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C:\Users\רוחמקין\Documents\עבודות אפרת\שיעורים לבית הספר\אופק חדש\"/>
    </mc:Choice>
  </mc:AlternateContent>
  <xr:revisionPtr revIDLastSave="0" documentId="13_ncr:1_{C36D928C-7041-4D15-A185-7AE4ED70D36C}" xr6:coauthVersionLast="47" xr6:coauthVersionMax="47" xr10:uidLastSave="{00000000-0000-0000-0000-000000000000}"/>
  <bookViews>
    <workbookView xWindow="-120" yWindow="-120" windowWidth="29040" windowHeight="15840" xr2:uid="{9A1BBD5A-1537-486D-BE96-78B684916EAD}"/>
  </bookViews>
  <sheets>
    <sheet name="מורים" sheetId="1" r:id="rId1"/>
    <sheet name="סגנים" sheetId="4" r:id="rId2"/>
    <sheet name="מנהלים" sheetId="3" r:id="rId3"/>
  </sheets>
  <externalReferences>
    <externalReference r:id="rId4"/>
  </externalReferences>
  <definedNames>
    <definedName name="__HAV2">'[1]מורים אופק חדש'!$AP$20:$AQ$25</definedName>
    <definedName name="__tav1">#REF!</definedName>
    <definedName name="__tmh1">#REF!</definedName>
    <definedName name="_HAV2">'[1]מורים אופק חדש'!$AP$20:$AQ$25</definedName>
    <definedName name="_tav1">#REF!</definedName>
    <definedName name="_tmh1">#REF!</definedName>
    <definedName name="ghad1">'[1]מורים אופק חדש'!$AA$2:$AB$15</definedName>
    <definedName name="horaa2">'[1]מורים אופק חדש'!$BZ$20:$CO$93</definedName>
    <definedName name="kothor1">'[1]מורים אופק חדש'!$CB$16:$CO$19</definedName>
    <definedName name="nihool">'[1]מורים אופק חדש'!$BA$2:$BB$18</definedName>
    <definedName name="ofek4">'[1]ט.שכר א.חדש'!$E$10:$O$85</definedName>
    <definedName name="ד3">'[1]מורים אופק חדש'!$I$9</definedName>
    <definedName name="טור">'[1]מורים אופק חדש'!$M$48:$N$64</definedName>
    <definedName name="טור12">'[1]המרה למנהל'!$M$28:$N$34</definedName>
    <definedName name="מורה">'[1]המרה למנהל'!$BU$723:$CK$803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6" i="4" l="1"/>
  <c r="F15" i="3"/>
  <c r="G944" i="3"/>
  <c r="C950" i="3" s="1"/>
  <c r="D943" i="3"/>
  <c r="D942" i="3"/>
  <c r="C942" i="3"/>
  <c r="D941" i="3"/>
  <c r="C941" i="3"/>
  <c r="D938" i="3"/>
  <c r="D937" i="3"/>
  <c r="E936" i="3"/>
  <c r="D936" i="3"/>
  <c r="E935" i="3"/>
  <c r="E934" i="3"/>
  <c r="D934" i="3"/>
  <c r="C934" i="3"/>
  <c r="F929" i="3"/>
  <c r="F928" i="3"/>
  <c r="E928" i="3"/>
  <c r="F927" i="3"/>
  <c r="E917" i="3"/>
  <c r="F915" i="3"/>
  <c r="D914" i="3"/>
  <c r="B914" i="3"/>
  <c r="E913" i="3"/>
  <c r="C913" i="3"/>
  <c r="G911" i="3"/>
  <c r="E911" i="3"/>
  <c r="E912" i="3" s="1"/>
  <c r="G910" i="3"/>
  <c r="D910" i="3"/>
  <c r="B910" i="3"/>
  <c r="G909" i="3"/>
  <c r="D909" i="3"/>
  <c r="B909" i="3"/>
  <c r="G908" i="3"/>
  <c r="D908" i="3"/>
  <c r="B908" i="3"/>
  <c r="G907" i="3"/>
  <c r="B907" i="3"/>
  <c r="E906" i="3"/>
  <c r="B906" i="3"/>
  <c r="B911" i="3" s="1"/>
  <c r="G905" i="3"/>
  <c r="F905" i="3"/>
  <c r="G970" i="3" s="1"/>
  <c r="F904" i="3"/>
  <c r="F903" i="3"/>
  <c r="F902" i="3"/>
  <c r="C898" i="3"/>
  <c r="H882" i="3"/>
  <c r="K880" i="3"/>
  <c r="H878" i="3"/>
  <c r="H877" i="3"/>
  <c r="H867" i="3"/>
  <c r="N855" i="3"/>
  <c r="M855" i="3"/>
  <c r="N854" i="3"/>
  <c r="M854" i="3"/>
  <c r="N853" i="3"/>
  <c r="M853" i="3"/>
  <c r="L853" i="3"/>
  <c r="M852" i="3"/>
  <c r="N851" i="3"/>
  <c r="N850" i="3"/>
  <c r="N856" i="3" s="1"/>
  <c r="M850" i="3"/>
  <c r="Z827" i="3"/>
  <c r="Y827" i="3"/>
  <c r="Z825" i="3"/>
  <c r="Z824" i="3"/>
  <c r="Z823" i="3"/>
  <c r="X822" i="3"/>
  <c r="X819" i="3"/>
  <c r="Y817" i="3"/>
  <c r="Z817" i="3" s="1"/>
  <c r="Y815" i="3"/>
  <c r="Z815" i="3" s="1"/>
  <c r="BF814" i="3"/>
  <c r="BM723" i="3" s="1"/>
  <c r="BD814" i="3"/>
  <c r="BE814" i="3" s="1"/>
  <c r="Y814" i="3"/>
  <c r="BE812" i="3"/>
  <c r="X812" i="3"/>
  <c r="BE811" i="3"/>
  <c r="X811" i="3"/>
  <c r="BE808" i="3"/>
  <c r="BE809" i="3" s="1"/>
  <c r="BK723" i="3" s="1"/>
  <c r="BE807" i="3"/>
  <c r="BD807" i="3"/>
  <c r="BE806" i="3"/>
  <c r="BD806" i="3"/>
  <c r="L806" i="3"/>
  <c r="M768" i="3" s="1"/>
  <c r="K806" i="3"/>
  <c r="N769" i="3" s="1"/>
  <c r="BE805" i="3"/>
  <c r="BD805" i="3"/>
  <c r="BE804" i="3"/>
  <c r="BD804" i="3"/>
  <c r="K804" i="3"/>
  <c r="BE803" i="3"/>
  <c r="BD803" i="3"/>
  <c r="K803" i="3"/>
  <c r="C940" i="3" s="1"/>
  <c r="BE802" i="3"/>
  <c r="BD802" i="3"/>
  <c r="I797" i="3"/>
  <c r="H796" i="3"/>
  <c r="K795" i="3"/>
  <c r="C939" i="3" s="1"/>
  <c r="H795" i="3"/>
  <c r="K794" i="3"/>
  <c r="C938" i="3" s="1"/>
  <c r="H794" i="3"/>
  <c r="K793" i="3"/>
  <c r="C937" i="3" s="1"/>
  <c r="H793" i="3"/>
  <c r="L792" i="3"/>
  <c r="M755" i="3" s="1"/>
  <c r="K792" i="3"/>
  <c r="C936" i="3" s="1"/>
  <c r="H792" i="3"/>
  <c r="H791" i="3"/>
  <c r="R790" i="3"/>
  <c r="L790" i="3"/>
  <c r="R789" i="3" s="1"/>
  <c r="K790" i="3"/>
  <c r="H790" i="3"/>
  <c r="K789" i="3"/>
  <c r="N752" i="3" s="1"/>
  <c r="H789" i="3"/>
  <c r="R788" i="3"/>
  <c r="K788" i="3"/>
  <c r="H788" i="3"/>
  <c r="K787" i="3"/>
  <c r="H787" i="3"/>
  <c r="K786" i="3"/>
  <c r="H786" i="3"/>
  <c r="BA785" i="3"/>
  <c r="K785" i="3"/>
  <c r="H785" i="3"/>
  <c r="BA784" i="3"/>
  <c r="H784" i="3"/>
  <c r="L783" i="3"/>
  <c r="H783" i="3"/>
  <c r="R782" i="3"/>
  <c r="H782" i="3"/>
  <c r="H781" i="3"/>
  <c r="H780" i="3"/>
  <c r="H779" i="3"/>
  <c r="I775" i="3"/>
  <c r="N767" i="3"/>
  <c r="N766" i="3"/>
  <c r="BA760" i="3"/>
  <c r="AZ760" i="3"/>
  <c r="AB757" i="3"/>
  <c r="S757" i="3"/>
  <c r="AG756" i="3"/>
  <c r="N756" i="3"/>
  <c r="AG755" i="3"/>
  <c r="N755" i="3"/>
  <c r="AE754" i="3"/>
  <c r="Z754" i="3"/>
  <c r="W753" i="3"/>
  <c r="N753" i="3"/>
  <c r="M753" i="3"/>
  <c r="AJ752" i="3"/>
  <c r="W752" i="3"/>
  <c r="AJ751" i="3"/>
  <c r="N751" i="3"/>
  <c r="M751" i="3"/>
  <c r="N750" i="3"/>
  <c r="BG749" i="3"/>
  <c r="BE749" i="3"/>
  <c r="AD749" i="3"/>
  <c r="AC749" i="3"/>
  <c r="N749" i="3"/>
  <c r="M749" i="3"/>
  <c r="N748" i="3"/>
  <c r="AD747" i="3"/>
  <c r="AC747" i="3"/>
  <c r="S747" i="3"/>
  <c r="V747" i="3" s="1"/>
  <c r="AJ744" i="3"/>
  <c r="AJ745" i="3" s="1"/>
  <c r="BH742" i="3"/>
  <c r="BE742" i="3"/>
  <c r="AB742" i="3"/>
  <c r="Z742" i="3"/>
  <c r="BE741" i="3"/>
  <c r="AV741" i="3"/>
  <c r="W739" i="3"/>
  <c r="AF738" i="3"/>
  <c r="AE738" i="3"/>
  <c r="AE740" i="3" s="1"/>
  <c r="AA738" i="3"/>
  <c r="AB747" i="3" s="1"/>
  <c r="I779" i="3" s="1"/>
  <c r="AX736" i="3"/>
  <c r="AX735" i="3"/>
  <c r="R735" i="3"/>
  <c r="O735" i="3"/>
  <c r="AX734" i="3"/>
  <c r="AD738" i="3" s="1"/>
  <c r="AS734" i="3"/>
  <c r="AW732" i="3"/>
  <c r="Y726" i="3"/>
  <c r="Y727" i="3" s="1"/>
  <c r="BN723" i="3"/>
  <c r="AW723" i="3"/>
  <c r="D939" i="3" s="1"/>
  <c r="BD722" i="3"/>
  <c r="BB722" i="3"/>
  <c r="AW722" i="3"/>
  <c r="P724" i="3" s="1"/>
  <c r="AT722" i="3"/>
  <c r="AM722" i="3"/>
  <c r="AA721" i="3"/>
  <c r="P721" i="3"/>
  <c r="O721" i="3" s="1"/>
  <c r="BO720" i="3"/>
  <c r="AN720" i="3"/>
  <c r="AM720" i="3"/>
  <c r="W719" i="3"/>
  <c r="O719" i="3"/>
  <c r="AQ718" i="3"/>
  <c r="AQ719" i="3" s="1"/>
  <c r="T718" i="3"/>
  <c r="T719" i="3" s="1"/>
  <c r="R718" i="3"/>
  <c r="AG717" i="3"/>
  <c r="Z717" i="3"/>
  <c r="R716" i="3"/>
  <c r="AP714" i="3"/>
  <c r="Y714" i="3"/>
  <c r="AP713" i="3"/>
  <c r="AP712" i="3"/>
  <c r="Q712" i="3"/>
  <c r="AE711" i="3"/>
  <c r="AP710" i="3"/>
  <c r="AP711" i="3" s="1"/>
  <c r="Q710" i="3"/>
  <c r="AP708" i="3"/>
  <c r="AP709" i="3" s="1"/>
  <c r="AP706" i="3"/>
  <c r="AP707" i="3" s="1"/>
  <c r="AP705" i="3"/>
  <c r="L776" i="3" s="1"/>
  <c r="K776" i="3" s="1"/>
  <c r="S704" i="3"/>
  <c r="T704" i="3" s="1"/>
  <c r="T705" i="3" s="1"/>
  <c r="D234" i="3"/>
  <c r="D231" i="3"/>
  <c r="D230" i="3"/>
  <c r="C230" i="3"/>
  <c r="D229" i="3"/>
  <c r="C229" i="3"/>
  <c r="S23" i="3" s="1"/>
  <c r="D228" i="3"/>
  <c r="C228" i="3"/>
  <c r="C227" i="3"/>
  <c r="D226" i="3"/>
  <c r="C226" i="3"/>
  <c r="D225" i="3"/>
  <c r="C225" i="3"/>
  <c r="D224" i="3"/>
  <c r="C224" i="3"/>
  <c r="L223" i="3"/>
  <c r="I223" i="3" s="1"/>
  <c r="L222" i="3"/>
  <c r="I222" i="3" s="1"/>
  <c r="D222" i="3"/>
  <c r="C222" i="3"/>
  <c r="L221" i="3"/>
  <c r="I221" i="3" s="1"/>
  <c r="L220" i="3"/>
  <c r="I220" i="3" s="1"/>
  <c r="L219" i="3"/>
  <c r="I219" i="3"/>
  <c r="L218" i="3"/>
  <c r="I218" i="3" s="1"/>
  <c r="L217" i="3"/>
  <c r="I217" i="3"/>
  <c r="L216" i="3"/>
  <c r="I216" i="3" s="1"/>
  <c r="L215" i="3"/>
  <c r="I215" i="3"/>
  <c r="L214" i="3"/>
  <c r="I214" i="3" s="1"/>
  <c r="L213" i="3"/>
  <c r="I213" i="3"/>
  <c r="L212" i="3"/>
  <c r="I212" i="3" s="1"/>
  <c r="F212" i="3"/>
  <c r="L211" i="3"/>
  <c r="I211" i="3"/>
  <c r="F211" i="3"/>
  <c r="L210" i="3"/>
  <c r="I210" i="3"/>
  <c r="F210" i="3"/>
  <c r="L209" i="3"/>
  <c r="I209" i="3" s="1"/>
  <c r="L208" i="3"/>
  <c r="I208" i="3"/>
  <c r="L207" i="3"/>
  <c r="I207" i="3" s="1"/>
  <c r="L206" i="3"/>
  <c r="L205" i="3"/>
  <c r="G204" i="3"/>
  <c r="F204" i="3"/>
  <c r="G203" i="3"/>
  <c r="G202" i="3"/>
  <c r="G180" i="3" s="1"/>
  <c r="D202" i="3"/>
  <c r="B202" i="3"/>
  <c r="C201" i="3"/>
  <c r="D198" i="3"/>
  <c r="B198" i="3"/>
  <c r="D197" i="3"/>
  <c r="B197" i="3"/>
  <c r="D196" i="3"/>
  <c r="B196" i="3"/>
  <c r="B195" i="3"/>
  <c r="B194" i="3"/>
  <c r="B199" i="3" s="1"/>
  <c r="F193" i="3"/>
  <c r="H192" i="3"/>
  <c r="J175" i="3" s="1"/>
  <c r="G190" i="3"/>
  <c r="F189" i="3"/>
  <c r="F187" i="3"/>
  <c r="C186" i="3"/>
  <c r="F182" i="3"/>
  <c r="G179" i="3"/>
  <c r="G178" i="3"/>
  <c r="G177" i="3"/>
  <c r="I173" i="3"/>
  <c r="M168" i="3"/>
  <c r="I167" i="3"/>
  <c r="I163" i="3"/>
  <c r="I162" i="3"/>
  <c r="I161" i="3"/>
  <c r="H160" i="3"/>
  <c r="H158" i="3"/>
  <c r="H157" i="3"/>
  <c r="H159" i="3" s="1"/>
  <c r="H156" i="3"/>
  <c r="H193" i="3" s="1"/>
  <c r="H155" i="3"/>
  <c r="D155" i="3"/>
  <c r="H153" i="3"/>
  <c r="I152" i="3"/>
  <c r="E151" i="3"/>
  <c r="F145" i="3"/>
  <c r="F144" i="3"/>
  <c r="E144" i="3"/>
  <c r="E143" i="3"/>
  <c r="E142" i="3"/>
  <c r="E141" i="3"/>
  <c r="M136" i="3"/>
  <c r="M134" i="3"/>
  <c r="M135" i="3" s="1"/>
  <c r="M132" i="3"/>
  <c r="M133" i="3" s="1"/>
  <c r="L132" i="3"/>
  <c r="H132" i="3"/>
  <c r="L131" i="3"/>
  <c r="H131" i="3"/>
  <c r="M130" i="3"/>
  <c r="M131" i="3" s="1"/>
  <c r="L130" i="3"/>
  <c r="H130" i="3"/>
  <c r="L129" i="3"/>
  <c r="H129" i="3"/>
  <c r="M128" i="3"/>
  <c r="M129" i="3" s="1"/>
  <c r="L128" i="3"/>
  <c r="H128" i="3"/>
  <c r="L127" i="3"/>
  <c r="H127" i="3"/>
  <c r="M126" i="3"/>
  <c r="M127" i="3" s="1"/>
  <c r="L126" i="3"/>
  <c r="H126" i="3"/>
  <c r="L125" i="3"/>
  <c r="M124" i="3"/>
  <c r="M125" i="3" s="1"/>
  <c r="L124" i="3"/>
  <c r="L123" i="3"/>
  <c r="M122" i="3"/>
  <c r="M123" i="3" s="1"/>
  <c r="L122" i="3"/>
  <c r="L121" i="3"/>
  <c r="M120" i="3"/>
  <c r="M121" i="3" s="1"/>
  <c r="L120" i="3"/>
  <c r="L119" i="3"/>
  <c r="L118" i="3"/>
  <c r="L117" i="3"/>
  <c r="L116" i="3"/>
  <c r="S112" i="3"/>
  <c r="S111" i="3"/>
  <c r="R111" i="3"/>
  <c r="S110" i="3"/>
  <c r="R110" i="3"/>
  <c r="S109" i="3"/>
  <c r="R109" i="3"/>
  <c r="R108" i="3"/>
  <c r="S107" i="3"/>
  <c r="S106" i="3"/>
  <c r="R106" i="3"/>
  <c r="BK104" i="3"/>
  <c r="BI104" i="3"/>
  <c r="BJ102" i="3"/>
  <c r="BE20" i="3" s="1"/>
  <c r="BE23" i="3" s="1"/>
  <c r="O102" i="3"/>
  <c r="P102" i="3" s="1"/>
  <c r="Q102" i="3" s="1"/>
  <c r="BJ101" i="3"/>
  <c r="O101" i="3"/>
  <c r="P101" i="3" s="1"/>
  <c r="Q101" i="3" s="1"/>
  <c r="O100" i="3"/>
  <c r="P100" i="3" s="1"/>
  <c r="Q100" i="3" s="1"/>
  <c r="O99" i="3"/>
  <c r="P99" i="3" s="1"/>
  <c r="Q99" i="3" s="1"/>
  <c r="BJ98" i="3"/>
  <c r="BJ99" i="3" s="1"/>
  <c r="BP20" i="3" s="1"/>
  <c r="BP25" i="3" s="1"/>
  <c r="P98" i="3"/>
  <c r="Q98" i="3" s="1"/>
  <c r="O98" i="3"/>
  <c r="BJ97" i="3"/>
  <c r="BI97" i="3"/>
  <c r="O97" i="3"/>
  <c r="P97" i="3" s="1"/>
  <c r="Q97" i="3" s="1"/>
  <c r="BJ96" i="3"/>
  <c r="BI96" i="3"/>
  <c r="P96" i="3"/>
  <c r="Q96" i="3" s="1"/>
  <c r="O96" i="3"/>
  <c r="BJ95" i="3"/>
  <c r="BI95" i="3"/>
  <c r="P95" i="3"/>
  <c r="Q95" i="3" s="1"/>
  <c r="O95" i="3"/>
  <c r="BJ94" i="3"/>
  <c r="BI94" i="3"/>
  <c r="P94" i="3"/>
  <c r="Q94" i="3" s="1"/>
  <c r="O94" i="3"/>
  <c r="BJ93" i="3"/>
  <c r="BI93" i="3"/>
  <c r="P93" i="3"/>
  <c r="Q93" i="3" s="1"/>
  <c r="O93" i="3"/>
  <c r="BJ92" i="3"/>
  <c r="BI92" i="3"/>
  <c r="Q92" i="3"/>
  <c r="P92" i="3"/>
  <c r="O92" i="3"/>
  <c r="P91" i="3"/>
  <c r="Q91" i="3" s="1"/>
  <c r="O91" i="3"/>
  <c r="O90" i="3"/>
  <c r="P90" i="3" s="1"/>
  <c r="Q90" i="3" s="1"/>
  <c r="P89" i="3"/>
  <c r="Q89" i="3" s="1"/>
  <c r="O89" i="3"/>
  <c r="O88" i="3"/>
  <c r="P88" i="3" s="1"/>
  <c r="Q88" i="3" s="1"/>
  <c r="P87" i="3"/>
  <c r="Q87" i="3" s="1"/>
  <c r="O87" i="3"/>
  <c r="O86" i="3"/>
  <c r="P86" i="3" s="1"/>
  <c r="Q86" i="3" s="1"/>
  <c r="W80" i="3"/>
  <c r="W78" i="3"/>
  <c r="BF75" i="3"/>
  <c r="L75" i="3"/>
  <c r="K75" i="3"/>
  <c r="I75" i="3"/>
  <c r="BF74" i="3"/>
  <c r="W72" i="3"/>
  <c r="T64" i="3"/>
  <c r="T63" i="3"/>
  <c r="T61" i="3"/>
  <c r="P61" i="3"/>
  <c r="L61" i="3"/>
  <c r="P60" i="3"/>
  <c r="L60" i="3"/>
  <c r="P59" i="3"/>
  <c r="L59" i="3"/>
  <c r="P58" i="3"/>
  <c r="L58" i="3"/>
  <c r="P57" i="3"/>
  <c r="L57" i="3"/>
  <c r="P56" i="3"/>
  <c r="L56" i="3"/>
  <c r="P55" i="3"/>
  <c r="L55" i="3"/>
  <c r="P54" i="3"/>
  <c r="P53" i="3"/>
  <c r="P52" i="3"/>
  <c r="P51" i="3"/>
  <c r="BF50" i="3"/>
  <c r="BE50" i="3"/>
  <c r="AB50" i="3"/>
  <c r="S108" i="3" s="1"/>
  <c r="P50" i="3"/>
  <c r="AB49" i="3"/>
  <c r="Z49" i="3"/>
  <c r="P49" i="3"/>
  <c r="AB48" i="3"/>
  <c r="P48" i="3"/>
  <c r="M48" i="3"/>
  <c r="AG47" i="3"/>
  <c r="Z50" i="3" s="1"/>
  <c r="Z51" i="3" s="1"/>
  <c r="P47" i="3"/>
  <c r="M47" i="3"/>
  <c r="BF46" i="3"/>
  <c r="AO46" i="3"/>
  <c r="AL46" i="3"/>
  <c r="P46" i="3"/>
  <c r="K46" i="3"/>
  <c r="K47" i="3" s="1"/>
  <c r="AL45" i="3"/>
  <c r="P45" i="3"/>
  <c r="BF44" i="3"/>
  <c r="AJ44" i="3"/>
  <c r="AE44" i="3"/>
  <c r="P44" i="3"/>
  <c r="AZ42" i="3"/>
  <c r="BA44" i="3" s="1"/>
  <c r="AB42" i="3"/>
  <c r="BC24" i="3" s="1"/>
  <c r="N42" i="3"/>
  <c r="M42" i="3"/>
  <c r="AO41" i="3"/>
  <c r="AO42" i="3" s="1"/>
  <c r="AF41" i="3"/>
  <c r="AF42" i="3" s="1"/>
  <c r="BL40" i="3"/>
  <c r="P40" i="3"/>
  <c r="I40" i="3"/>
  <c r="I41" i="3" s="1"/>
  <c r="I42" i="3" s="1"/>
  <c r="I43" i="3" s="1"/>
  <c r="I44" i="3" s="1"/>
  <c r="I45" i="3" s="1"/>
  <c r="BL39" i="3"/>
  <c r="BL41" i="3" s="1"/>
  <c r="BL42" i="3" s="1"/>
  <c r="BJ39" i="3"/>
  <c r="AI39" i="3"/>
  <c r="AH39" i="3"/>
  <c r="AJ40" i="3" s="1"/>
  <c r="AE39" i="3"/>
  <c r="AE38" i="3" s="1"/>
  <c r="P39" i="3"/>
  <c r="Q39" i="3" s="1"/>
  <c r="O39" i="3"/>
  <c r="C39" i="3"/>
  <c r="X23" i="3" s="1"/>
  <c r="AG38" i="3"/>
  <c r="AI37" i="3"/>
  <c r="AH37" i="3"/>
  <c r="X37" i="3"/>
  <c r="AA37" i="3" s="1"/>
  <c r="K37" i="3"/>
  <c r="AQ36" i="3"/>
  <c r="L36" i="3"/>
  <c r="I35" i="3"/>
  <c r="H35" i="3"/>
  <c r="AO34" i="3"/>
  <c r="AO35" i="3" s="1"/>
  <c r="I34" i="3"/>
  <c r="U33" i="3"/>
  <c r="T33" i="3"/>
  <c r="W33" i="3" s="1"/>
  <c r="T30" i="3" s="1"/>
  <c r="D135" i="3" s="1"/>
  <c r="BM32" i="3"/>
  <c r="BJ32" i="3"/>
  <c r="BA32" i="3"/>
  <c r="AG32" i="3"/>
  <c r="AE32" i="3"/>
  <c r="U32" i="3"/>
  <c r="V33" i="3" s="1"/>
  <c r="BJ31" i="3"/>
  <c r="BA31" i="3"/>
  <c r="AP31" i="3"/>
  <c r="AO31" i="3"/>
  <c r="S30" i="3"/>
  <c r="E30" i="3"/>
  <c r="D30" i="3"/>
  <c r="C30" i="3"/>
  <c r="AY29" i="3"/>
  <c r="AB29" i="3"/>
  <c r="S29" i="3"/>
  <c r="F29" i="3"/>
  <c r="AK28" i="3"/>
  <c r="AJ28" i="3"/>
  <c r="AJ30" i="3" s="1"/>
  <c r="Q28" i="3"/>
  <c r="P28" i="3"/>
  <c r="P29" i="3" s="1"/>
  <c r="BJ26" i="3"/>
  <c r="BC26" i="3"/>
  <c r="AF27" i="3" s="1"/>
  <c r="AR27" i="3" s="1"/>
  <c r="E26" i="3"/>
  <c r="D26" i="3"/>
  <c r="C26" i="3"/>
  <c r="DF25" i="3"/>
  <c r="BJ25" i="3"/>
  <c r="BC25" i="3"/>
  <c r="W25" i="3"/>
  <c r="T25" i="3"/>
  <c r="Q25" i="3"/>
  <c r="P25" i="3"/>
  <c r="S25" i="3" s="1"/>
  <c r="F25" i="3"/>
  <c r="C17" i="3" s="1"/>
  <c r="F16" i="3" s="1"/>
  <c r="BJ24" i="3"/>
  <c r="AX24" i="3"/>
  <c r="R24" i="3"/>
  <c r="O24" i="3"/>
  <c r="N24" i="3"/>
  <c r="CS23" i="3"/>
  <c r="CS24" i="3" s="1"/>
  <c r="CS25" i="3" s="1"/>
  <c r="CS26" i="3" s="1"/>
  <c r="CS27" i="3" s="1"/>
  <c r="BJ23" i="3"/>
  <c r="CS22" i="3"/>
  <c r="BJ22" i="3"/>
  <c r="BJ27" i="3" s="1"/>
  <c r="BB22" i="3"/>
  <c r="S22" i="3"/>
  <c r="O22" i="3"/>
  <c r="V21" i="3"/>
  <c r="S21" i="3"/>
  <c r="O21" i="3"/>
  <c r="BS20" i="3"/>
  <c r="BR20" i="3"/>
  <c r="BB20" i="3"/>
  <c r="D227" i="3" s="1"/>
  <c r="W20" i="3"/>
  <c r="S20" i="3"/>
  <c r="O20" i="3"/>
  <c r="BO19" i="3"/>
  <c r="BS19" i="3" s="1"/>
  <c r="BU21" i="3" s="1"/>
  <c r="BH19" i="3"/>
  <c r="BG19" i="3"/>
  <c r="BB19" i="3"/>
  <c r="AY19" i="3"/>
  <c r="AR19" i="3"/>
  <c r="S19" i="3"/>
  <c r="P19" i="3"/>
  <c r="AF18" i="3"/>
  <c r="W18" i="3"/>
  <c r="AB43" i="3" s="1"/>
  <c r="U18" i="3"/>
  <c r="T18" i="3" s="1"/>
  <c r="S18" i="3"/>
  <c r="Q18" i="3"/>
  <c r="R18" i="3" s="1"/>
  <c r="O18" i="3"/>
  <c r="BL17" i="3"/>
  <c r="AK17" i="3"/>
  <c r="AJ17" i="3"/>
  <c r="AI17" i="3"/>
  <c r="B17" i="3"/>
  <c r="AB16" i="3"/>
  <c r="P107" i="3" s="1"/>
  <c r="J188" i="3" s="1"/>
  <c r="T16" i="3"/>
  <c r="S16" i="3"/>
  <c r="R16" i="3"/>
  <c r="Q16" i="3"/>
  <c r="W79" i="3" s="1"/>
  <c r="P16" i="3"/>
  <c r="G16" i="3"/>
  <c r="AV15" i="3"/>
  <c r="AV16" i="3" s="1"/>
  <c r="Y15" i="3"/>
  <c r="Y16" i="3" s="1"/>
  <c r="W15" i="3"/>
  <c r="P15" i="3"/>
  <c r="S15" i="3" s="1"/>
  <c r="AL14" i="3"/>
  <c r="AE14" i="3"/>
  <c r="S14" i="3"/>
  <c r="R14" i="3"/>
  <c r="P14" i="3"/>
  <c r="K14" i="3"/>
  <c r="CT13" i="3"/>
  <c r="CT14" i="3" s="1"/>
  <c r="CT15" i="3" s="1"/>
  <c r="CT16" i="3" s="1"/>
  <c r="CT17" i="3" s="1"/>
  <c r="CT18" i="3" s="1"/>
  <c r="CT19" i="3" s="1"/>
  <c r="CT20" i="3" s="1"/>
  <c r="CT21" i="3" s="1"/>
  <c r="CT22" i="3" s="1"/>
  <c r="CT23" i="3" s="1"/>
  <c r="CT24" i="3" s="1"/>
  <c r="CT25" i="3" s="1"/>
  <c r="CT26" i="3" s="1"/>
  <c r="CT27" i="3" s="1"/>
  <c r="W13" i="3"/>
  <c r="S13" i="3"/>
  <c r="P13" i="3"/>
  <c r="S12" i="3"/>
  <c r="R12" i="3"/>
  <c r="P12" i="3"/>
  <c r="AD11" i="3"/>
  <c r="F213" i="3" s="1"/>
  <c r="S11" i="3"/>
  <c r="P11" i="3"/>
  <c r="N10" i="3"/>
  <c r="V9" i="3"/>
  <c r="Q9" i="3"/>
  <c r="AJ8" i="3"/>
  <c r="P4" i="3" s="1"/>
  <c r="P6" i="3" s="1"/>
  <c r="T8" i="3"/>
  <c r="V7" i="3"/>
  <c r="T7" i="3"/>
  <c r="P106" i="3" s="1"/>
  <c r="O7" i="3"/>
  <c r="O19" i="3" s="1"/>
  <c r="N7" i="3"/>
  <c r="N8" i="3" s="1"/>
  <c r="N25" i="3" s="1"/>
  <c r="C7" i="3"/>
  <c r="K13" i="3" s="1"/>
  <c r="N3" i="3"/>
  <c r="G3" i="3"/>
  <c r="C21" i="3" s="1"/>
  <c r="N2" i="3"/>
  <c r="Y1" i="3"/>
  <c r="Y2" i="3" s="1"/>
  <c r="X1" i="3"/>
  <c r="S1" i="3"/>
  <c r="H167" i="3" s="1"/>
  <c r="Q1" i="3"/>
  <c r="G944" i="4"/>
  <c r="C950" i="4" s="1"/>
  <c r="D943" i="4"/>
  <c r="D942" i="4"/>
  <c r="C942" i="4"/>
  <c r="D941" i="4"/>
  <c r="C941" i="4"/>
  <c r="N767" i="4" s="1"/>
  <c r="D937" i="4"/>
  <c r="E936" i="4"/>
  <c r="D936" i="4"/>
  <c r="E935" i="4"/>
  <c r="E934" i="4"/>
  <c r="D934" i="4"/>
  <c r="C934" i="4"/>
  <c r="F929" i="4"/>
  <c r="F928" i="4"/>
  <c r="E928" i="4"/>
  <c r="K880" i="4" s="1"/>
  <c r="F927" i="4"/>
  <c r="F905" i="4" s="1"/>
  <c r="G970" i="4" s="1"/>
  <c r="E917" i="4"/>
  <c r="F915" i="4"/>
  <c r="D914" i="4"/>
  <c r="B914" i="4"/>
  <c r="E913" i="4"/>
  <c r="C913" i="4"/>
  <c r="E911" i="4"/>
  <c r="E912" i="4" s="1"/>
  <c r="D910" i="4"/>
  <c r="B910" i="4"/>
  <c r="G909" i="4"/>
  <c r="D909" i="4"/>
  <c r="B909" i="4"/>
  <c r="G908" i="4"/>
  <c r="G945" i="4" s="1"/>
  <c r="D908" i="4"/>
  <c r="B908" i="4"/>
  <c r="G907" i="4"/>
  <c r="B907" i="4"/>
  <c r="B906" i="4"/>
  <c r="B911" i="4" s="1"/>
  <c r="G905" i="4"/>
  <c r="F904" i="4"/>
  <c r="F903" i="4"/>
  <c r="F902" i="4"/>
  <c r="C898" i="4"/>
  <c r="H882" i="4"/>
  <c r="H878" i="4"/>
  <c r="H877" i="4"/>
  <c r="H867" i="4"/>
  <c r="N856" i="4"/>
  <c r="N855" i="4"/>
  <c r="M855" i="4"/>
  <c r="N854" i="4"/>
  <c r="M854" i="4"/>
  <c r="N853" i="4"/>
  <c r="M853" i="4"/>
  <c r="L853" i="4"/>
  <c r="M852" i="4"/>
  <c r="N851" i="4"/>
  <c r="N850" i="4"/>
  <c r="M850" i="4"/>
  <c r="Y827" i="4"/>
  <c r="Z827" i="4" s="1"/>
  <c r="Z825" i="4"/>
  <c r="Z824" i="4"/>
  <c r="Z823" i="4"/>
  <c r="X822" i="4"/>
  <c r="X819" i="4"/>
  <c r="Y817" i="4"/>
  <c r="Z817" i="4" s="1"/>
  <c r="Y815" i="4"/>
  <c r="Z815" i="4" s="1"/>
  <c r="BF814" i="4"/>
  <c r="BM723" i="4" s="1"/>
  <c r="BD814" i="4"/>
  <c r="BE814" i="4" s="1"/>
  <c r="Y814" i="4"/>
  <c r="Z814" i="4" s="1"/>
  <c r="BE812" i="4"/>
  <c r="BH723" i="4" s="1"/>
  <c r="BH733" i="4" s="1"/>
  <c r="X812" i="4"/>
  <c r="BE811" i="4"/>
  <c r="X811" i="4"/>
  <c r="BE808" i="4"/>
  <c r="BE809" i="4" s="1"/>
  <c r="BK723" i="4" s="1"/>
  <c r="BK733" i="4" s="1"/>
  <c r="BD808" i="4"/>
  <c r="BD809" i="4" s="1"/>
  <c r="BE807" i="4"/>
  <c r="BD807" i="4"/>
  <c r="BE806" i="4"/>
  <c r="BD806" i="4"/>
  <c r="L806" i="4"/>
  <c r="K806" i="4"/>
  <c r="N769" i="4" s="1"/>
  <c r="BE805" i="4"/>
  <c r="BD805" i="4"/>
  <c r="BE804" i="4"/>
  <c r="BD804" i="4"/>
  <c r="K804" i="4"/>
  <c r="BE803" i="4"/>
  <c r="BD803" i="4"/>
  <c r="K803" i="4"/>
  <c r="C940" i="4" s="1"/>
  <c r="BE802" i="4"/>
  <c r="BD802" i="4"/>
  <c r="K795" i="4"/>
  <c r="C939" i="4" s="1"/>
  <c r="K794" i="4"/>
  <c r="C938" i="4" s="1"/>
  <c r="H794" i="4"/>
  <c r="K793" i="4"/>
  <c r="C937" i="4" s="1"/>
  <c r="H793" i="4"/>
  <c r="L792" i="4"/>
  <c r="M755" i="4" s="1"/>
  <c r="K792" i="4"/>
  <c r="C936" i="4" s="1"/>
  <c r="H792" i="4"/>
  <c r="H791" i="4"/>
  <c r="R790" i="4"/>
  <c r="L790" i="4"/>
  <c r="R789" i="4" s="1"/>
  <c r="K790" i="4"/>
  <c r="K789" i="4"/>
  <c r="R788" i="4"/>
  <c r="K788" i="4"/>
  <c r="K787" i="4"/>
  <c r="K786" i="4"/>
  <c r="BA785" i="4"/>
  <c r="K785" i="4"/>
  <c r="BA784" i="4"/>
  <c r="L783" i="4"/>
  <c r="R782" i="4"/>
  <c r="I775" i="4"/>
  <c r="N738" i="4" s="1"/>
  <c r="G919" i="4" s="1"/>
  <c r="M768" i="4"/>
  <c r="AZ760" i="4"/>
  <c r="N758" i="4"/>
  <c r="AB757" i="4"/>
  <c r="S757" i="4"/>
  <c r="AG756" i="4"/>
  <c r="AG755" i="4"/>
  <c r="AE754" i="4"/>
  <c r="Z754" i="4"/>
  <c r="W753" i="4"/>
  <c r="N753" i="4"/>
  <c r="M753" i="4"/>
  <c r="W752" i="4"/>
  <c r="N752" i="4"/>
  <c r="AJ751" i="4"/>
  <c r="AJ752" i="4" s="1"/>
  <c r="N751" i="4"/>
  <c r="M751" i="4"/>
  <c r="N750" i="4"/>
  <c r="BG749" i="4"/>
  <c r="AD749" i="4"/>
  <c r="AC749" i="4"/>
  <c r="N749" i="4"/>
  <c r="M749" i="4"/>
  <c r="N748" i="4"/>
  <c r="AD747" i="4"/>
  <c r="AC747" i="4"/>
  <c r="S747" i="4"/>
  <c r="V747" i="4" s="1"/>
  <c r="AJ744" i="4"/>
  <c r="AJ745" i="4" s="1"/>
  <c r="BH742" i="4"/>
  <c r="BE742" i="4"/>
  <c r="AB742" i="4"/>
  <c r="Z742" i="4"/>
  <c r="BE741" i="4"/>
  <c r="AV741" i="4"/>
  <c r="W739" i="4"/>
  <c r="AF738" i="4"/>
  <c r="AE738" i="4"/>
  <c r="AE740" i="4" s="1"/>
  <c r="AX735" i="4"/>
  <c r="R735" i="4"/>
  <c r="O735" i="4"/>
  <c r="AS734" i="4"/>
  <c r="AW732" i="4"/>
  <c r="Y727" i="4"/>
  <c r="Y726" i="4"/>
  <c r="BN723" i="4"/>
  <c r="AW723" i="4"/>
  <c r="BB722" i="4"/>
  <c r="AW722" i="4"/>
  <c r="AT722" i="4"/>
  <c r="AM722" i="4"/>
  <c r="AA721" i="4"/>
  <c r="P721" i="4"/>
  <c r="O721" i="4" s="1"/>
  <c r="BO720" i="4"/>
  <c r="AN720" i="4"/>
  <c r="AM720" i="4"/>
  <c r="W719" i="4"/>
  <c r="O719" i="4"/>
  <c r="AQ718" i="4"/>
  <c r="AQ719" i="4" s="1"/>
  <c r="AR719" i="4" s="1"/>
  <c r="AR718" i="4" s="1"/>
  <c r="T718" i="4"/>
  <c r="T719" i="4" s="1"/>
  <c r="R718" i="4"/>
  <c r="AG717" i="4"/>
  <c r="Z717" i="4"/>
  <c r="R716" i="4"/>
  <c r="AP714" i="4"/>
  <c r="Y714" i="4"/>
  <c r="AP712" i="4"/>
  <c r="AP713" i="4" s="1"/>
  <c r="AE711" i="4"/>
  <c r="AP710" i="4"/>
  <c r="AP711" i="4" s="1"/>
  <c r="Q710" i="4"/>
  <c r="AP708" i="4"/>
  <c r="AP709" i="4" s="1"/>
  <c r="AP706" i="4"/>
  <c r="AP707" i="4" s="1"/>
  <c r="S704" i="4"/>
  <c r="T704" i="4" s="1"/>
  <c r="T705" i="4" s="1"/>
  <c r="D234" i="4"/>
  <c r="C230" i="4"/>
  <c r="C229" i="4"/>
  <c r="S23" i="4" s="1"/>
  <c r="D228" i="4"/>
  <c r="C228" i="4"/>
  <c r="C227" i="4"/>
  <c r="C226" i="4"/>
  <c r="D225" i="4"/>
  <c r="C225" i="4"/>
  <c r="D224" i="4"/>
  <c r="C224" i="4"/>
  <c r="L223" i="4"/>
  <c r="I223" i="4"/>
  <c r="L222" i="4"/>
  <c r="I222" i="4" s="1"/>
  <c r="D222" i="4"/>
  <c r="C222" i="4"/>
  <c r="L221" i="4"/>
  <c r="I221" i="4" s="1"/>
  <c r="L220" i="4"/>
  <c r="I220" i="4" s="1"/>
  <c r="L219" i="4"/>
  <c r="I219" i="4" s="1"/>
  <c r="L218" i="4"/>
  <c r="I218" i="4" s="1"/>
  <c r="L217" i="4"/>
  <c r="I217" i="4" s="1"/>
  <c r="L216" i="4"/>
  <c r="I216" i="4" s="1"/>
  <c r="L215" i="4"/>
  <c r="I215" i="4" s="1"/>
  <c r="L214" i="4"/>
  <c r="I214" i="4" s="1"/>
  <c r="L213" i="4"/>
  <c r="I213" i="4" s="1"/>
  <c r="L212" i="4"/>
  <c r="I212" i="4" s="1"/>
  <c r="F212" i="4"/>
  <c r="L211" i="4"/>
  <c r="I211" i="4" s="1"/>
  <c r="F211" i="4"/>
  <c r="L210" i="4"/>
  <c r="I210" i="4" s="1"/>
  <c r="F210" i="4"/>
  <c r="L209" i="4"/>
  <c r="I209" i="4" s="1"/>
  <c r="L208" i="4"/>
  <c r="I208" i="4" s="1"/>
  <c r="L207" i="4"/>
  <c r="I207" i="4" s="1"/>
  <c r="L206" i="4"/>
  <c r="L205" i="4"/>
  <c r="G204" i="4"/>
  <c r="F204" i="4"/>
  <c r="V9" i="4" s="1"/>
  <c r="G203" i="4"/>
  <c r="G202" i="4"/>
  <c r="G180" i="4" s="1"/>
  <c r="D202" i="4"/>
  <c r="B202" i="4"/>
  <c r="C201" i="4"/>
  <c r="D198" i="4"/>
  <c r="B198" i="4"/>
  <c r="D197" i="4"/>
  <c r="B197" i="4"/>
  <c r="D196" i="4"/>
  <c r="B196" i="4"/>
  <c r="B195" i="4"/>
  <c r="B194" i="4"/>
  <c r="B199" i="4" s="1"/>
  <c r="F193" i="4"/>
  <c r="H192" i="4"/>
  <c r="J175" i="4" s="1"/>
  <c r="G190" i="4"/>
  <c r="F189" i="4"/>
  <c r="F187" i="4"/>
  <c r="F186" i="4" s="1"/>
  <c r="C186" i="4"/>
  <c r="F184" i="4"/>
  <c r="G179" i="4"/>
  <c r="G178" i="4"/>
  <c r="G177" i="4"/>
  <c r="I173" i="4"/>
  <c r="M168" i="4"/>
  <c r="I167" i="4"/>
  <c r="I163" i="4"/>
  <c r="I162" i="4"/>
  <c r="I161" i="4"/>
  <c r="H160" i="4"/>
  <c r="H158" i="4"/>
  <c r="H157" i="4"/>
  <c r="H159" i="4" s="1"/>
  <c r="H156" i="4"/>
  <c r="H155" i="4"/>
  <c r="H153" i="4"/>
  <c r="I152" i="4"/>
  <c r="F145" i="4"/>
  <c r="F144" i="4"/>
  <c r="E144" i="4"/>
  <c r="E143" i="4"/>
  <c r="E142" i="4"/>
  <c r="E141" i="4"/>
  <c r="M136" i="4"/>
  <c r="M134" i="4"/>
  <c r="M135" i="4" s="1"/>
  <c r="M132" i="4"/>
  <c r="M133" i="4" s="1"/>
  <c r="H132" i="4"/>
  <c r="H131" i="4"/>
  <c r="M130" i="4"/>
  <c r="M131" i="4" s="1"/>
  <c r="H130" i="4"/>
  <c r="H129" i="4"/>
  <c r="M128" i="4"/>
  <c r="M129" i="4" s="1"/>
  <c r="H128" i="4"/>
  <c r="H127" i="4"/>
  <c r="M126" i="4"/>
  <c r="M127" i="4" s="1"/>
  <c r="H126" i="4"/>
  <c r="M124" i="4"/>
  <c r="M125" i="4" s="1"/>
  <c r="M122" i="4"/>
  <c r="M123" i="4" s="1"/>
  <c r="M120" i="4"/>
  <c r="M121" i="4" s="1"/>
  <c r="L117" i="4"/>
  <c r="S111" i="4"/>
  <c r="R111" i="4"/>
  <c r="S110" i="4"/>
  <c r="R110" i="4"/>
  <c r="S109" i="4"/>
  <c r="R109" i="4"/>
  <c r="R108" i="4"/>
  <c r="S107" i="4"/>
  <c r="S106" i="4"/>
  <c r="S112" i="4" s="1"/>
  <c r="R106" i="4"/>
  <c r="BK104" i="4"/>
  <c r="BR20" i="4" s="1"/>
  <c r="BI104" i="4"/>
  <c r="BJ104" i="4" s="1"/>
  <c r="BJ102" i="4"/>
  <c r="BM20" i="4" s="1"/>
  <c r="BM23" i="4" s="1"/>
  <c r="O102" i="4"/>
  <c r="P102" i="4" s="1"/>
  <c r="Q102" i="4" s="1"/>
  <c r="BJ101" i="4"/>
  <c r="P101" i="4"/>
  <c r="Q101" i="4" s="1"/>
  <c r="O101" i="4"/>
  <c r="O100" i="4"/>
  <c r="P100" i="4" s="1"/>
  <c r="Q100" i="4" s="1"/>
  <c r="O99" i="4"/>
  <c r="P99" i="4" s="1"/>
  <c r="Q99" i="4" s="1"/>
  <c r="BJ98" i="4"/>
  <c r="BJ99" i="4" s="1"/>
  <c r="BP20" i="4" s="1"/>
  <c r="BP26" i="4" s="1"/>
  <c r="O98" i="4"/>
  <c r="P98" i="4" s="1"/>
  <c r="Q98" i="4" s="1"/>
  <c r="BJ97" i="4"/>
  <c r="BI97" i="4"/>
  <c r="O97" i="4"/>
  <c r="P97" i="4" s="1"/>
  <c r="Q97" i="4" s="1"/>
  <c r="BJ96" i="4"/>
  <c r="BI96" i="4"/>
  <c r="O96" i="4"/>
  <c r="P96" i="4" s="1"/>
  <c r="Q96" i="4" s="1"/>
  <c r="BJ95" i="4"/>
  <c r="BI95" i="4"/>
  <c r="O95" i="4"/>
  <c r="P95" i="4" s="1"/>
  <c r="Q95" i="4" s="1"/>
  <c r="BJ94" i="4"/>
  <c r="BI94" i="4"/>
  <c r="O94" i="4"/>
  <c r="P94" i="4" s="1"/>
  <c r="Q94" i="4" s="1"/>
  <c r="BJ93" i="4"/>
  <c r="BI93" i="4"/>
  <c r="O93" i="4"/>
  <c r="P93" i="4" s="1"/>
  <c r="Q93" i="4" s="1"/>
  <c r="BJ92" i="4"/>
  <c r="BI92" i="4"/>
  <c r="O92" i="4"/>
  <c r="P92" i="4" s="1"/>
  <c r="Q92" i="4" s="1"/>
  <c r="O91" i="4"/>
  <c r="P91" i="4" s="1"/>
  <c r="Q91" i="4" s="1"/>
  <c r="O90" i="4"/>
  <c r="P90" i="4" s="1"/>
  <c r="Q90" i="4" s="1"/>
  <c r="O89" i="4"/>
  <c r="P89" i="4" s="1"/>
  <c r="Q89" i="4" s="1"/>
  <c r="O88" i="4"/>
  <c r="P88" i="4" s="1"/>
  <c r="Q88" i="4" s="1"/>
  <c r="O87" i="4"/>
  <c r="P87" i="4" s="1"/>
  <c r="Q87" i="4" s="1"/>
  <c r="O86" i="4"/>
  <c r="P86" i="4" s="1"/>
  <c r="Q86" i="4" s="1"/>
  <c r="W80" i="4"/>
  <c r="W78" i="4"/>
  <c r="BF75" i="4"/>
  <c r="L75" i="4"/>
  <c r="K75" i="4"/>
  <c r="I75" i="4"/>
  <c r="BF74" i="4"/>
  <c r="W72" i="4"/>
  <c r="T64" i="4"/>
  <c r="H796" i="4"/>
  <c r="H795" i="4"/>
  <c r="T61" i="4"/>
  <c r="T63" i="4" s="1"/>
  <c r="P61" i="4"/>
  <c r="L61" i="4"/>
  <c r="P60" i="4"/>
  <c r="L60" i="4"/>
  <c r="P59" i="4"/>
  <c r="L59" i="4"/>
  <c r="P58" i="4"/>
  <c r="L58" i="4"/>
  <c r="P57" i="4"/>
  <c r="L57" i="4"/>
  <c r="P56" i="4"/>
  <c r="L56" i="4"/>
  <c r="H788" i="4"/>
  <c r="P55" i="4"/>
  <c r="L55" i="4"/>
  <c r="P54" i="4"/>
  <c r="P53" i="4"/>
  <c r="P52" i="4"/>
  <c r="H784" i="4"/>
  <c r="P51" i="4"/>
  <c r="H783" i="4"/>
  <c r="BF50" i="4"/>
  <c r="BE50" i="4"/>
  <c r="AB50" i="4"/>
  <c r="S108" i="4" s="1"/>
  <c r="P50" i="4"/>
  <c r="AB49" i="4"/>
  <c r="Z49" i="4"/>
  <c r="P49" i="4"/>
  <c r="AB48" i="4"/>
  <c r="P48" i="4"/>
  <c r="AG47" i="4"/>
  <c r="Z50" i="4" s="1"/>
  <c r="Z51" i="4" s="1"/>
  <c r="P47" i="4"/>
  <c r="BF46" i="4"/>
  <c r="AO46" i="4"/>
  <c r="AL46" i="4"/>
  <c r="P46" i="4"/>
  <c r="K46" i="4"/>
  <c r="K47" i="4" s="1"/>
  <c r="AL45" i="4"/>
  <c r="P45" i="4"/>
  <c r="AJ44" i="4"/>
  <c r="AE44" i="4"/>
  <c r="P44" i="4"/>
  <c r="BA43" i="4"/>
  <c r="AZ42" i="4"/>
  <c r="AF42" i="4"/>
  <c r="AB42" i="4"/>
  <c r="BC24" i="4" s="1"/>
  <c r="AG36" i="4" s="1"/>
  <c r="N42" i="4"/>
  <c r="M42" i="4"/>
  <c r="AO41" i="4"/>
  <c r="AO42" i="4" s="1"/>
  <c r="AF41" i="4"/>
  <c r="BL40" i="4"/>
  <c r="P40" i="4"/>
  <c r="Q40" i="4" s="1"/>
  <c r="I40" i="4"/>
  <c r="I41" i="4" s="1"/>
  <c r="I42" i="4" s="1"/>
  <c r="I43" i="4" s="1"/>
  <c r="I44" i="4" s="1"/>
  <c r="I45" i="4" s="1"/>
  <c r="BL39" i="4"/>
  <c r="BL41" i="4" s="1"/>
  <c r="BL42" i="4" s="1"/>
  <c r="AI39" i="4"/>
  <c r="AH39" i="4"/>
  <c r="AE39" i="4"/>
  <c r="AE38" i="4" s="1"/>
  <c r="P39" i="4"/>
  <c r="Q39" i="4" s="1"/>
  <c r="O39" i="4"/>
  <c r="AG38" i="4"/>
  <c r="AI37" i="4"/>
  <c r="AH37" i="4"/>
  <c r="AJ36" i="4" s="1"/>
  <c r="X37" i="4"/>
  <c r="AA37" i="4" s="1"/>
  <c r="K37" i="4"/>
  <c r="AQ36" i="4"/>
  <c r="L36" i="4"/>
  <c r="I35" i="4"/>
  <c r="H35" i="4"/>
  <c r="AO34" i="4"/>
  <c r="AO35" i="4" s="1"/>
  <c r="I34" i="4"/>
  <c r="U33" i="4"/>
  <c r="T33" i="4"/>
  <c r="BM32" i="4"/>
  <c r="BJ32" i="4"/>
  <c r="BA32" i="4"/>
  <c r="AG32" i="4"/>
  <c r="AE32" i="4"/>
  <c r="U32" i="4"/>
  <c r="BJ31" i="4"/>
  <c r="BA31" i="4"/>
  <c r="AO31" i="4"/>
  <c r="AP31" i="4" s="1"/>
  <c r="H154" i="4" s="1"/>
  <c r="G182" i="4" s="1"/>
  <c r="S30" i="4"/>
  <c r="E30" i="4"/>
  <c r="D30" i="4"/>
  <c r="C30" i="4"/>
  <c r="AY29" i="4"/>
  <c r="AB29" i="4"/>
  <c r="S29" i="4"/>
  <c r="F29" i="4"/>
  <c r="AK28" i="4"/>
  <c r="AJ28" i="4"/>
  <c r="AJ30" i="4" s="1"/>
  <c r="BJ26" i="4"/>
  <c r="BC26" i="4"/>
  <c r="AF27" i="4" s="1"/>
  <c r="AR27" i="4" s="1"/>
  <c r="E26" i="4"/>
  <c r="D26" i="4"/>
  <c r="DF25" i="4"/>
  <c r="BJ25" i="4"/>
  <c r="BC25" i="4"/>
  <c r="W25" i="4"/>
  <c r="T25" i="4"/>
  <c r="Q25" i="4"/>
  <c r="P25" i="4"/>
  <c r="S25" i="4" s="1"/>
  <c r="N24" i="4"/>
  <c r="F25" i="4"/>
  <c r="BJ24" i="4"/>
  <c r="AX24" i="4"/>
  <c r="R24" i="4"/>
  <c r="BJ23" i="4"/>
  <c r="O22" i="4"/>
  <c r="CS22" i="4"/>
  <c r="CS23" i="4" s="1"/>
  <c r="BJ22" i="4"/>
  <c r="BJ27" i="4" s="1"/>
  <c r="BB22" i="4"/>
  <c r="S22" i="4"/>
  <c r="S21" i="4"/>
  <c r="O21" i="4"/>
  <c r="BS20" i="4"/>
  <c r="BB20" i="4"/>
  <c r="W20" i="4"/>
  <c r="S20" i="4"/>
  <c r="BO19" i="4"/>
  <c r="BS19" i="4" s="1"/>
  <c r="BU21" i="4" s="1"/>
  <c r="BH19" i="4"/>
  <c r="BG19" i="4"/>
  <c r="BB19" i="4"/>
  <c r="J187" i="4" s="1"/>
  <c r="AY19" i="4"/>
  <c r="AR19" i="4"/>
  <c r="S19" i="4"/>
  <c r="P19" i="4"/>
  <c r="AF18" i="4"/>
  <c r="W18" i="4"/>
  <c r="U18" i="4"/>
  <c r="T18" i="4" s="1"/>
  <c r="L118" i="4" s="1"/>
  <c r="S18" i="4"/>
  <c r="Q18" i="4"/>
  <c r="R18" i="4" s="1"/>
  <c r="O18" i="4"/>
  <c r="BL17" i="4"/>
  <c r="AK17" i="4"/>
  <c r="AJ17" i="4"/>
  <c r="AI17" i="4"/>
  <c r="B17" i="4"/>
  <c r="AB16" i="4"/>
  <c r="V22" i="4" s="1"/>
  <c r="U22" i="4" s="1"/>
  <c r="T16" i="4"/>
  <c r="S16" i="4"/>
  <c r="R16" i="4"/>
  <c r="Q16" i="4"/>
  <c r="W79" i="4" s="1"/>
  <c r="P16" i="4"/>
  <c r="G16" i="4"/>
  <c r="AV15" i="4"/>
  <c r="AV16" i="4" s="1"/>
  <c r="Y15" i="4"/>
  <c r="Y16" i="4" s="1"/>
  <c r="W15" i="4"/>
  <c r="P15" i="4"/>
  <c r="S15" i="4" s="1"/>
  <c r="AL14" i="4"/>
  <c r="AE14" i="4"/>
  <c r="I164" i="4" s="1"/>
  <c r="R14" i="4"/>
  <c r="P14" i="4"/>
  <c r="CT13" i="4"/>
  <c r="CT14" i="4" s="1"/>
  <c r="CT15" i="4" s="1"/>
  <c r="CT16" i="4" s="1"/>
  <c r="CT17" i="4" s="1"/>
  <c r="CT18" i="4" s="1"/>
  <c r="CT19" i="4" s="1"/>
  <c r="CT20" i="4" s="1"/>
  <c r="CT21" i="4" s="1"/>
  <c r="CT22" i="4" s="1"/>
  <c r="CT23" i="4" s="1"/>
  <c r="CT24" i="4" s="1"/>
  <c r="CT25" i="4" s="1"/>
  <c r="CT26" i="4" s="1"/>
  <c r="CT27" i="4" s="1"/>
  <c r="W13" i="4"/>
  <c r="S13" i="4"/>
  <c r="P13" i="4"/>
  <c r="S12" i="4"/>
  <c r="R12" i="4"/>
  <c r="P12" i="4"/>
  <c r="S14" i="4"/>
  <c r="AD11" i="4"/>
  <c r="F213" i="4" s="1"/>
  <c r="P11" i="4"/>
  <c r="Q9" i="4"/>
  <c r="AJ8" i="4"/>
  <c r="P4" i="4" s="1"/>
  <c r="P6" i="4" s="1"/>
  <c r="T8" i="4"/>
  <c r="S11" i="4"/>
  <c r="V7" i="4"/>
  <c r="V8" i="4" s="1"/>
  <c r="T7" i="4"/>
  <c r="C7" i="4"/>
  <c r="R5" i="4"/>
  <c r="G3" i="4"/>
  <c r="X1" i="4"/>
  <c r="Y1" i="4" s="1"/>
  <c r="Y2" i="4" s="1"/>
  <c r="S1" i="4"/>
  <c r="H167" i="4" s="1"/>
  <c r="B5" i="1"/>
  <c r="B4" i="1"/>
  <c r="AU44" i="1"/>
  <c r="AV44" i="1"/>
  <c r="AV45" i="1"/>
  <c r="C39" i="1"/>
  <c r="C40" i="1"/>
  <c r="R39" i="4" l="1"/>
  <c r="O36" i="4" s="1"/>
  <c r="AF25" i="4"/>
  <c r="H193" i="4"/>
  <c r="F185" i="4"/>
  <c r="F188" i="4"/>
  <c r="AE746" i="4"/>
  <c r="N756" i="4"/>
  <c r="E907" i="4"/>
  <c r="E908" i="4"/>
  <c r="E909" i="4"/>
  <c r="E910" i="4"/>
  <c r="F26" i="3"/>
  <c r="J66" i="3" s="1"/>
  <c r="K66" i="3" s="1"/>
  <c r="C18" i="3" s="1"/>
  <c r="C37" i="3" s="1"/>
  <c r="V32" i="3"/>
  <c r="W32" i="3" s="1"/>
  <c r="T29" i="3" s="1"/>
  <c r="D134" i="3" s="1"/>
  <c r="AJ36" i="3"/>
  <c r="R39" i="3"/>
  <c r="O36" i="3" s="1"/>
  <c r="Q40" i="3"/>
  <c r="R40" i="3" s="1"/>
  <c r="O37" i="3" s="1"/>
  <c r="AE750" i="3"/>
  <c r="AD750" i="3" s="1"/>
  <c r="N757" i="3"/>
  <c r="AI40" i="3"/>
  <c r="AA737" i="3"/>
  <c r="AM737" i="3" s="1"/>
  <c r="I890" i="3"/>
  <c r="F182" i="4"/>
  <c r="V8" i="3"/>
  <c r="F30" i="3"/>
  <c r="P106" i="4"/>
  <c r="BJ39" i="4"/>
  <c r="BA44" i="4"/>
  <c r="F183" i="4"/>
  <c r="N757" i="4"/>
  <c r="E906" i="4"/>
  <c r="F146" i="3"/>
  <c r="G145" i="3" s="1"/>
  <c r="G142" i="3" s="1"/>
  <c r="N758" i="3"/>
  <c r="J797" i="3"/>
  <c r="BD808" i="3"/>
  <c r="E907" i="3"/>
  <c r="E908" i="3"/>
  <c r="E909" i="3"/>
  <c r="E910" i="3"/>
  <c r="C951" i="3"/>
  <c r="K77" i="3"/>
  <c r="M49" i="3"/>
  <c r="BF20" i="4"/>
  <c r="BF26" i="4" s="1"/>
  <c r="BM20" i="3"/>
  <c r="BM26" i="3" s="1"/>
  <c r="I902" i="3"/>
  <c r="BN20" i="3"/>
  <c r="BN25" i="3" s="1"/>
  <c r="BU24" i="3"/>
  <c r="BU22" i="3"/>
  <c r="BU27" i="3" s="1"/>
  <c r="BU26" i="3"/>
  <c r="BL20" i="3"/>
  <c r="BL24" i="3" s="1"/>
  <c r="BJ20" i="3"/>
  <c r="BI19" i="3"/>
  <c r="BF20" i="3"/>
  <c r="BF25" i="3" s="1"/>
  <c r="BS21" i="3"/>
  <c r="BS23" i="3" s="1"/>
  <c r="BM23" i="3"/>
  <c r="BM35" i="3"/>
  <c r="BM33" i="3" s="1"/>
  <c r="BN33" i="3" s="1"/>
  <c r="BM24" i="3"/>
  <c r="BM22" i="3"/>
  <c r="BM25" i="3"/>
  <c r="D949" i="3"/>
  <c r="D950" i="3" s="1"/>
  <c r="BM738" i="4"/>
  <c r="K77" i="4"/>
  <c r="F146" i="4"/>
  <c r="G145" i="4" s="1"/>
  <c r="G142" i="4" s="1"/>
  <c r="J39" i="3"/>
  <c r="P30" i="3"/>
  <c r="P31" i="3" s="1"/>
  <c r="P32" i="3" s="1"/>
  <c r="P33" i="3" s="1"/>
  <c r="Q29" i="3" s="1"/>
  <c r="Q30" i="3" s="1"/>
  <c r="F26" i="4"/>
  <c r="C17" i="4"/>
  <c r="F16" i="4" s="1"/>
  <c r="F30" i="4"/>
  <c r="N738" i="3"/>
  <c r="G919" i="3" s="1"/>
  <c r="AT739" i="3"/>
  <c r="AB748" i="3"/>
  <c r="AD739" i="3" s="1"/>
  <c r="AL720" i="3"/>
  <c r="O710" i="3"/>
  <c r="K887" i="3" s="1"/>
  <c r="BN22" i="3"/>
  <c r="BN27" i="3" s="1"/>
  <c r="BN23" i="3"/>
  <c r="BC27" i="3"/>
  <c r="Q8" i="3" s="1"/>
  <c r="I164" i="3"/>
  <c r="AW16" i="3"/>
  <c r="AW15" i="3" s="1"/>
  <c r="AV17" i="3" s="1"/>
  <c r="R5" i="3"/>
  <c r="R19" i="3" s="1"/>
  <c r="BU23" i="3"/>
  <c r="BU25" i="3"/>
  <c r="BK19" i="3"/>
  <c r="BJ29" i="3"/>
  <c r="BM34" i="3"/>
  <c r="BN34" i="3" s="1"/>
  <c r="O25" i="3"/>
  <c r="F14" i="3"/>
  <c r="C10" i="3" s="1"/>
  <c r="J187" i="3"/>
  <c r="U21" i="3"/>
  <c r="BE26" i="3"/>
  <c r="BE24" i="3"/>
  <c r="BE25" i="3"/>
  <c r="BE22" i="3"/>
  <c r="BE27" i="3" s="1"/>
  <c r="AG36" i="3"/>
  <c r="AI28" i="3"/>
  <c r="AF28" i="3"/>
  <c r="AG37" i="3" s="1"/>
  <c r="AI36" i="3"/>
  <c r="M742" i="3"/>
  <c r="M756" i="3" s="1"/>
  <c r="BA43" i="3"/>
  <c r="AF25" i="3" s="1"/>
  <c r="N81" i="3"/>
  <c r="M169" i="3" s="1"/>
  <c r="V22" i="3"/>
  <c r="U22" i="3" s="1"/>
  <c r="BP22" i="3"/>
  <c r="BL23" i="3"/>
  <c r="BP24" i="3"/>
  <c r="BP26" i="3"/>
  <c r="AY720" i="3"/>
  <c r="AR719" i="3"/>
  <c r="AR718" i="3" s="1"/>
  <c r="G960" i="3"/>
  <c r="AV742" i="3"/>
  <c r="BP23" i="3"/>
  <c r="X22" i="3"/>
  <c r="BS24" i="3"/>
  <c r="BL26" i="3"/>
  <c r="H154" i="3"/>
  <c r="BI98" i="3"/>
  <c r="BJ104" i="3"/>
  <c r="F185" i="3"/>
  <c r="F183" i="3"/>
  <c r="F188" i="3"/>
  <c r="F186" i="3"/>
  <c r="F184" i="3"/>
  <c r="H925" i="3"/>
  <c r="H879" i="3"/>
  <c r="AX737" i="3"/>
  <c r="BD809" i="3"/>
  <c r="BM738" i="3"/>
  <c r="K878" i="3"/>
  <c r="AJ741" i="3"/>
  <c r="AK741" i="3" s="1"/>
  <c r="H888" i="3"/>
  <c r="K775" i="3"/>
  <c r="L775" i="3" s="1"/>
  <c r="AL746" i="3"/>
  <c r="BH723" i="3"/>
  <c r="BG723" i="3"/>
  <c r="K888" i="3"/>
  <c r="I903" i="3" s="1"/>
  <c r="Q732" i="3"/>
  <c r="P732" i="3" s="1"/>
  <c r="BK733" i="3"/>
  <c r="BK735" i="3"/>
  <c r="BK734" i="3"/>
  <c r="BK732" i="3"/>
  <c r="AB746" i="3"/>
  <c r="Y810" i="3" s="1"/>
  <c r="G945" i="3"/>
  <c r="BA754" i="3"/>
  <c r="G946" i="3"/>
  <c r="Y728" i="3"/>
  <c r="Y729" i="3" s="1"/>
  <c r="BK736" i="3"/>
  <c r="AE746" i="3"/>
  <c r="AD746" i="3"/>
  <c r="Z814" i="3"/>
  <c r="F143" i="4"/>
  <c r="Q712" i="4"/>
  <c r="Q5" i="4"/>
  <c r="Q24" i="4" s="1"/>
  <c r="BJ20" i="4"/>
  <c r="BJ29" i="4" s="1"/>
  <c r="U21" i="4"/>
  <c r="BD722" i="4"/>
  <c r="BH734" i="4"/>
  <c r="BH736" i="4"/>
  <c r="N755" i="4"/>
  <c r="BI19" i="4"/>
  <c r="BL20" i="4"/>
  <c r="BL26" i="4" s="1"/>
  <c r="BF44" i="4"/>
  <c r="BI98" i="4"/>
  <c r="BH732" i="4"/>
  <c r="BK734" i="4"/>
  <c r="BH735" i="4"/>
  <c r="BH745" i="4"/>
  <c r="BH744" i="4" s="1"/>
  <c r="BI744" i="4" s="1"/>
  <c r="N766" i="4"/>
  <c r="I890" i="4"/>
  <c r="BE20" i="4"/>
  <c r="BE23" i="4" s="1"/>
  <c r="AJ40" i="4"/>
  <c r="AI40" i="4" s="1"/>
  <c r="BG723" i="4"/>
  <c r="BG736" i="4" s="1"/>
  <c r="BK735" i="4"/>
  <c r="BE749" i="4"/>
  <c r="D949" i="4"/>
  <c r="D950" i="4" s="1"/>
  <c r="AY720" i="4"/>
  <c r="AX720" i="4" s="1"/>
  <c r="AT739" i="4"/>
  <c r="AL746" i="4"/>
  <c r="O710" i="4"/>
  <c r="AL720" i="4"/>
  <c r="BU23" i="4"/>
  <c r="BU22" i="4"/>
  <c r="BU27" i="4" s="1"/>
  <c r="BU26" i="4"/>
  <c r="BU24" i="4"/>
  <c r="BU25" i="4"/>
  <c r="BS21" i="4"/>
  <c r="F32" i="4"/>
  <c r="F31" i="4"/>
  <c r="J39" i="4"/>
  <c r="P30" i="4"/>
  <c r="CS24" i="4"/>
  <c r="CS25" i="4" s="1"/>
  <c r="CS26" i="4" s="1"/>
  <c r="CS27" i="4" s="1"/>
  <c r="BN20" i="4"/>
  <c r="BF22" i="4"/>
  <c r="BF27" i="4" s="1"/>
  <c r="BP22" i="4"/>
  <c r="BF23" i="4"/>
  <c r="BP23" i="4"/>
  <c r="BL24" i="4"/>
  <c r="BM25" i="4"/>
  <c r="AI28" i="4"/>
  <c r="BM35" i="4"/>
  <c r="AW16" i="4"/>
  <c r="AW15" i="4" s="1"/>
  <c r="AV17" i="4" s="1"/>
  <c r="N81" i="4"/>
  <c r="M169" i="4" s="1"/>
  <c r="AB43" i="4"/>
  <c r="R19" i="4"/>
  <c r="V21" i="4"/>
  <c r="BM24" i="4"/>
  <c r="BE25" i="4"/>
  <c r="BM26" i="4"/>
  <c r="H779" i="4"/>
  <c r="H780" i="4"/>
  <c r="P107" i="4"/>
  <c r="J188" i="4" s="1"/>
  <c r="BM22" i="4"/>
  <c r="O24" i="4"/>
  <c r="BF25" i="4"/>
  <c r="BP25" i="4"/>
  <c r="BC27" i="4"/>
  <c r="AZ38" i="4" s="1"/>
  <c r="V32" i="4"/>
  <c r="W32" i="4" s="1"/>
  <c r="T29" i="4" s="1"/>
  <c r="D134" i="4" s="1"/>
  <c r="AY32" i="4"/>
  <c r="AY36" i="4" s="1"/>
  <c r="AY34" i="4" s="1"/>
  <c r="V33" i="4"/>
  <c r="W33" i="4" s="1"/>
  <c r="T30" i="4" s="1"/>
  <c r="D135" i="4" s="1"/>
  <c r="AI36" i="4"/>
  <c r="F205" i="4" s="1"/>
  <c r="R40" i="4"/>
  <c r="O37" i="4" s="1"/>
  <c r="BF24" i="4"/>
  <c r="BP24" i="4"/>
  <c r="AF28" i="4"/>
  <c r="AG37" i="4" s="1"/>
  <c r="AX736" i="4"/>
  <c r="AA737" i="4" s="1"/>
  <c r="AM737" i="4" s="1"/>
  <c r="G911" i="4"/>
  <c r="G910" i="4"/>
  <c r="AX734" i="4"/>
  <c r="AE750" i="4"/>
  <c r="AD750" i="4" s="1"/>
  <c r="BG735" i="4"/>
  <c r="P724" i="4"/>
  <c r="I902" i="4"/>
  <c r="H925" i="4"/>
  <c r="H879" i="4"/>
  <c r="AJ741" i="4"/>
  <c r="AK741" i="4" s="1"/>
  <c r="H888" i="4"/>
  <c r="K775" i="4"/>
  <c r="L775" i="4" s="1"/>
  <c r="G946" i="4"/>
  <c r="Y728" i="4"/>
  <c r="Y729" i="4" s="1"/>
  <c r="BK732" i="4"/>
  <c r="BK736" i="4"/>
  <c r="K878" i="4"/>
  <c r="K888" i="4"/>
  <c r="I903" i="4" s="1"/>
  <c r="Q732" i="4"/>
  <c r="P732" i="4" s="1"/>
  <c r="AX737" i="4"/>
  <c r="M742" i="4"/>
  <c r="M756" i="4" s="1"/>
  <c r="AD746" i="4"/>
  <c r="AB748" i="4"/>
  <c r="BA760" i="4"/>
  <c r="BA754" i="4"/>
  <c r="C951" i="4"/>
  <c r="AU40" i="1"/>
  <c r="AU39" i="1"/>
  <c r="AW44" i="1"/>
  <c r="AX44" i="1" s="1"/>
  <c r="F15" i="1" s="1"/>
  <c r="AW45" i="1"/>
  <c r="AX45" i="1" s="1"/>
  <c r="F16" i="1" s="1"/>
  <c r="BE22" i="4" l="1"/>
  <c r="BE27" i="4" s="1"/>
  <c r="BE26" i="4"/>
  <c r="K876" i="3"/>
  <c r="D940" i="3" s="1"/>
  <c r="BN24" i="3"/>
  <c r="F143" i="3"/>
  <c r="BE24" i="4"/>
  <c r="BK19" i="4"/>
  <c r="BS22" i="3"/>
  <c r="BS27" i="3" s="1"/>
  <c r="BN26" i="3"/>
  <c r="D951" i="3"/>
  <c r="D946" i="3" s="1"/>
  <c r="F31" i="3"/>
  <c r="F32" i="3"/>
  <c r="Q19" i="4"/>
  <c r="W81" i="4" s="1"/>
  <c r="BG733" i="4"/>
  <c r="BF23" i="3"/>
  <c r="BF24" i="3"/>
  <c r="BG739" i="4"/>
  <c r="BG732" i="4"/>
  <c r="BG737" i="4" s="1"/>
  <c r="BF22" i="3"/>
  <c r="BF27" i="3" s="1"/>
  <c r="BG734" i="4"/>
  <c r="BF26" i="3"/>
  <c r="BM27" i="3"/>
  <c r="BS26" i="3"/>
  <c r="BS25" i="3"/>
  <c r="BL29" i="3"/>
  <c r="BL25" i="3"/>
  <c r="BL22" i="3"/>
  <c r="BL27" i="3" s="1"/>
  <c r="AU41" i="1"/>
  <c r="F33" i="4"/>
  <c r="J66" i="4" s="1"/>
  <c r="K66" i="4" s="1"/>
  <c r="C18" i="4" s="1"/>
  <c r="C37" i="4" s="1"/>
  <c r="O711" i="3"/>
  <c r="Q711" i="3" s="1"/>
  <c r="G906" i="3"/>
  <c r="AT742" i="3" s="1"/>
  <c r="AT746" i="3" s="1"/>
  <c r="AT744" i="3" s="1"/>
  <c r="Q724" i="3"/>
  <c r="AU17" i="3"/>
  <c r="AU16" i="3"/>
  <c r="G968" i="3"/>
  <c r="L782" i="3"/>
  <c r="AJ746" i="3"/>
  <c r="AK746" i="3"/>
  <c r="BP27" i="3"/>
  <c r="AO36" i="3"/>
  <c r="BK737" i="3"/>
  <c r="BK738" i="3" s="1"/>
  <c r="BI99" i="3"/>
  <c r="BR28" i="3"/>
  <c r="F205" i="3"/>
  <c r="G201" i="3"/>
  <c r="Q10" i="3" s="1"/>
  <c r="Q5" i="3"/>
  <c r="AZ38" i="3"/>
  <c r="AP36" i="3"/>
  <c r="AP719" i="3"/>
  <c r="AX720" i="3"/>
  <c r="E964" i="3"/>
  <c r="K877" i="3"/>
  <c r="E937" i="3" s="1"/>
  <c r="E929" i="3"/>
  <c r="E940" i="3" s="1"/>
  <c r="BG735" i="3"/>
  <c r="BG734" i="3"/>
  <c r="BG732" i="3"/>
  <c r="BG737" i="3" s="1"/>
  <c r="BG739" i="3"/>
  <c r="BG736" i="3"/>
  <c r="BG733" i="3"/>
  <c r="E965" i="3"/>
  <c r="G964" i="3" s="1"/>
  <c r="G182" i="3"/>
  <c r="AY32" i="3"/>
  <c r="AY36" i="3" s="1"/>
  <c r="AY34" i="3" s="1"/>
  <c r="T9" i="3"/>
  <c r="AI29" i="3"/>
  <c r="BK28" i="3"/>
  <c r="BK20" i="3"/>
  <c r="R10" i="3"/>
  <c r="Y818" i="3"/>
  <c r="Z818" i="3" s="1"/>
  <c r="Y816" i="3"/>
  <c r="Y811" i="3"/>
  <c r="Y812" i="3" s="1"/>
  <c r="Z812" i="3" s="1"/>
  <c r="Y819" i="3"/>
  <c r="Z819" i="3" s="1"/>
  <c r="Y820" i="3"/>
  <c r="Z820" i="3" s="1"/>
  <c r="Z810" i="3"/>
  <c r="BH736" i="3"/>
  <c r="BH735" i="3"/>
  <c r="BH732" i="3"/>
  <c r="BH745" i="3"/>
  <c r="BH734" i="3"/>
  <c r="BH733" i="3"/>
  <c r="AU748" i="3"/>
  <c r="M747" i="3"/>
  <c r="G906" i="4"/>
  <c r="E963" i="4" s="1"/>
  <c r="AP719" i="4"/>
  <c r="BI99" i="4"/>
  <c r="BR28" i="4"/>
  <c r="BU29" i="4" s="1"/>
  <c r="D951" i="4"/>
  <c r="D946" i="4" s="1"/>
  <c r="AP36" i="4"/>
  <c r="BM27" i="4"/>
  <c r="F15" i="4"/>
  <c r="F14" i="4" s="1"/>
  <c r="C10" i="4" s="1"/>
  <c r="BL29" i="4"/>
  <c r="BL23" i="4"/>
  <c r="BL22" i="4"/>
  <c r="BL27" i="4" s="1"/>
  <c r="BL25" i="4"/>
  <c r="BH743" i="4"/>
  <c r="BI743" i="4" s="1"/>
  <c r="AO36" i="4"/>
  <c r="BH737" i="4"/>
  <c r="BH739" i="4" s="1"/>
  <c r="BH740" i="4" s="1"/>
  <c r="Q724" i="4"/>
  <c r="K887" i="4"/>
  <c r="O711" i="4"/>
  <c r="Q711" i="4" s="1"/>
  <c r="H790" i="4"/>
  <c r="AU16" i="4"/>
  <c r="AU17" i="4"/>
  <c r="G968" i="4"/>
  <c r="L782" i="4"/>
  <c r="AJ746" i="4"/>
  <c r="E965" i="4"/>
  <c r="G964" i="4" s="1"/>
  <c r="M747" i="4"/>
  <c r="I177" i="4"/>
  <c r="F222" i="4"/>
  <c r="F218" i="4"/>
  <c r="F214" i="4"/>
  <c r="F215" i="4" s="1"/>
  <c r="F219" i="4"/>
  <c r="AV742" i="4"/>
  <c r="G960" i="4"/>
  <c r="F216" i="4"/>
  <c r="D231" i="4"/>
  <c r="D230" i="4"/>
  <c r="BM33" i="4"/>
  <c r="BN33" i="4" s="1"/>
  <c r="BM34" i="4"/>
  <c r="BN34" i="4" s="1"/>
  <c r="BP27" i="4"/>
  <c r="BS25" i="4"/>
  <c r="BS23" i="4"/>
  <c r="BS22" i="4"/>
  <c r="BS27" i="4" s="1"/>
  <c r="BS26" i="4"/>
  <c r="BS24" i="4"/>
  <c r="AD738" i="4"/>
  <c r="AB746" i="4"/>
  <c r="AA738" i="4"/>
  <c r="AB747" i="4" s="1"/>
  <c r="I779" i="4" s="1"/>
  <c r="F217" i="4"/>
  <c r="H785" i="4"/>
  <c r="G201" i="4"/>
  <c r="Q10" i="4" s="1"/>
  <c r="BK737" i="4"/>
  <c r="BK738" i="4" s="1"/>
  <c r="E964" i="4"/>
  <c r="AK746" i="4"/>
  <c r="BK28" i="4"/>
  <c r="BK20" i="4"/>
  <c r="H786" i="4"/>
  <c r="AI29" i="4"/>
  <c r="T9" i="4"/>
  <c r="BN23" i="4"/>
  <c r="BN22" i="4"/>
  <c r="BN27" i="4" s="1"/>
  <c r="BN29" i="4" s="1"/>
  <c r="BV27" i="4" s="1"/>
  <c r="BN26" i="4"/>
  <c r="BN24" i="4"/>
  <c r="BN25" i="4"/>
  <c r="Q8" i="4"/>
  <c r="R10" i="4"/>
  <c r="H789" i="4"/>
  <c r="F33" i="3" l="1"/>
  <c r="BP28" i="3"/>
  <c r="BP28" i="4"/>
  <c r="BM29" i="4"/>
  <c r="BM30" i="4" s="1"/>
  <c r="BH737" i="3"/>
  <c r="BH739" i="3" s="1"/>
  <c r="BH740" i="3" s="1"/>
  <c r="Y813" i="3"/>
  <c r="Z813" i="3" s="1"/>
  <c r="BS29" i="4"/>
  <c r="BV30" i="4" s="1"/>
  <c r="F965" i="4"/>
  <c r="O712" i="3"/>
  <c r="O708" i="3" s="1"/>
  <c r="E963" i="3"/>
  <c r="G962" i="3" s="1"/>
  <c r="F907" i="3"/>
  <c r="F907" i="4"/>
  <c r="AT742" i="4"/>
  <c r="AT746" i="4" s="1"/>
  <c r="AT744" i="4" s="1"/>
  <c r="F965" i="3"/>
  <c r="BK25" i="3"/>
  <c r="BK29" i="3"/>
  <c r="BK26" i="3"/>
  <c r="BK24" i="3"/>
  <c r="BK22" i="3"/>
  <c r="BK27" i="3" s="1"/>
  <c r="BK23" i="3"/>
  <c r="BH743" i="3"/>
  <c r="BI743" i="3" s="1"/>
  <c r="BH744" i="3"/>
  <c r="BI744" i="3" s="1"/>
  <c r="Z816" i="3"/>
  <c r="BK30" i="3"/>
  <c r="F190" i="3" s="1"/>
  <c r="Q24" i="3"/>
  <c r="Q19" i="3"/>
  <c r="W81" i="3" s="1"/>
  <c r="M748" i="3"/>
  <c r="U720" i="3"/>
  <c r="M766" i="3"/>
  <c r="G963" i="3"/>
  <c r="F964" i="3"/>
  <c r="Q23" i="3"/>
  <c r="W85" i="3" s="1"/>
  <c r="Q20" i="3"/>
  <c r="Q15" i="3"/>
  <c r="W87" i="3" s="1"/>
  <c r="Q26" i="3"/>
  <c r="Q22" i="3"/>
  <c r="W84" i="3"/>
  <c r="W73" i="3"/>
  <c r="W86" i="3" s="1"/>
  <c r="Z811" i="3"/>
  <c r="R11" i="3"/>
  <c r="R17" i="3"/>
  <c r="R22" i="3"/>
  <c r="T5" i="3"/>
  <c r="U10" i="3"/>
  <c r="T10" i="3"/>
  <c r="U5" i="3"/>
  <c r="E942" i="3"/>
  <c r="E938" i="3"/>
  <c r="E939" i="3" s="1"/>
  <c r="H892" i="3"/>
  <c r="E943" i="3"/>
  <c r="E946" i="3"/>
  <c r="E941" i="3"/>
  <c r="F222" i="3"/>
  <c r="F219" i="3"/>
  <c r="F218" i="3"/>
  <c r="F214" i="3"/>
  <c r="F215" i="3" s="1"/>
  <c r="I177" i="3"/>
  <c r="F217" i="3"/>
  <c r="F216" i="3"/>
  <c r="BU29" i="3"/>
  <c r="BS29" i="3"/>
  <c r="BN29" i="3"/>
  <c r="BM29" i="3"/>
  <c r="BM30" i="3" s="1"/>
  <c r="U720" i="4"/>
  <c r="M748" i="4"/>
  <c r="M750" i="4" s="1"/>
  <c r="M757" i="4" s="1"/>
  <c r="M758" i="4" s="1"/>
  <c r="M766" i="4"/>
  <c r="Y810" i="4"/>
  <c r="AU748" i="4"/>
  <c r="K876" i="4"/>
  <c r="D940" i="4" s="1"/>
  <c r="U5" i="4"/>
  <c r="U10" i="4"/>
  <c r="T5" i="4"/>
  <c r="T10" i="4"/>
  <c r="BK29" i="4"/>
  <c r="BK30" i="4" s="1"/>
  <c r="F190" i="4" s="1"/>
  <c r="BK26" i="4"/>
  <c r="BK24" i="4"/>
  <c r="BK25" i="4"/>
  <c r="BK23" i="4"/>
  <c r="BK22" i="4"/>
  <c r="BK27" i="4" s="1"/>
  <c r="E929" i="4"/>
  <c r="H781" i="4"/>
  <c r="AD739" i="4"/>
  <c r="O712" i="4"/>
  <c r="G962" i="4"/>
  <c r="F963" i="4"/>
  <c r="R11" i="4"/>
  <c r="R13" i="4" s="1"/>
  <c r="R22" i="4"/>
  <c r="R17" i="4"/>
  <c r="K877" i="4"/>
  <c r="E937" i="4" s="1"/>
  <c r="H782" i="4"/>
  <c r="H787" i="4"/>
  <c r="G963" i="4"/>
  <c r="F964" i="4"/>
  <c r="W73" i="4"/>
  <c r="W86" i="4" s="1"/>
  <c r="Q22" i="4"/>
  <c r="Q15" i="4"/>
  <c r="W87" i="4" s="1"/>
  <c r="Q26" i="4"/>
  <c r="BJ19" i="4" s="1"/>
  <c r="Q23" i="4"/>
  <c r="W85" i="4" s="1"/>
  <c r="Q20" i="4"/>
  <c r="W84" i="4"/>
  <c r="D938" i="4"/>
  <c r="D939" i="4" s="1"/>
  <c r="BJ19" i="3" l="1"/>
  <c r="R13" i="3"/>
  <c r="R23" i="3" s="1"/>
  <c r="Y822" i="3"/>
  <c r="Z822" i="3" s="1"/>
  <c r="Y821" i="3"/>
  <c r="O713" i="3"/>
  <c r="O723" i="3" s="1"/>
  <c r="O724" i="3" s="1"/>
  <c r="F963" i="3"/>
  <c r="P708" i="3"/>
  <c r="P713" i="3"/>
  <c r="E947" i="3"/>
  <c r="T19" i="3"/>
  <c r="T24" i="3"/>
  <c r="R15" i="3"/>
  <c r="W90" i="3"/>
  <c r="BB29" i="3"/>
  <c r="AV14" i="3"/>
  <c r="AJ33" i="3"/>
  <c r="BC90" i="3" s="1"/>
  <c r="BB90" i="3" s="1"/>
  <c r="Q7" i="3"/>
  <c r="R20" i="3"/>
  <c r="R21" i="3" s="1"/>
  <c r="O734" i="3"/>
  <c r="O722" i="3"/>
  <c r="BI20" i="3"/>
  <c r="BH20" i="3"/>
  <c r="T26" i="3"/>
  <c r="T27" i="3" s="1"/>
  <c r="BF45" i="3" s="1"/>
  <c r="BF47" i="3" s="1"/>
  <c r="BF48" i="3" s="1"/>
  <c r="BA45" i="3" s="1"/>
  <c r="T20" i="3"/>
  <c r="T21" i="3" s="1"/>
  <c r="T23" i="3"/>
  <c r="T15" i="3"/>
  <c r="T22" i="3"/>
  <c r="W82" i="3"/>
  <c r="Q21" i="3"/>
  <c r="W83" i="3" s="1"/>
  <c r="M750" i="3"/>
  <c r="BV30" i="3"/>
  <c r="BV27" i="3"/>
  <c r="M767" i="4"/>
  <c r="M752" i="4"/>
  <c r="M769" i="4" s="1"/>
  <c r="R23" i="4"/>
  <c r="BI20" i="4"/>
  <c r="BH20" i="4"/>
  <c r="W82" i="4"/>
  <c r="Q21" i="4"/>
  <c r="W83" i="4" s="1"/>
  <c r="R20" i="4"/>
  <c r="R21" i="4" s="1"/>
  <c r="I797" i="4"/>
  <c r="J797" i="4"/>
  <c r="T15" i="4"/>
  <c r="T23" i="4"/>
  <c r="T20" i="4"/>
  <c r="T21" i="4" s="1"/>
  <c r="T26" i="4"/>
  <c r="T27" i="4" s="1"/>
  <c r="BF45" i="4" s="1"/>
  <c r="BF47" i="4" s="1"/>
  <c r="BF48" i="4" s="1"/>
  <c r="BA45" i="4" s="1"/>
  <c r="T22" i="4"/>
  <c r="Y818" i="4"/>
  <c r="Z818" i="4" s="1"/>
  <c r="Y816" i="4"/>
  <c r="Y811" i="4"/>
  <c r="Y819" i="4"/>
  <c r="Z819" i="4" s="1"/>
  <c r="Y820" i="4"/>
  <c r="Z820" i="4" s="1"/>
  <c r="Z810" i="4"/>
  <c r="W90" i="4"/>
  <c r="BB29" i="4"/>
  <c r="AJ33" i="4"/>
  <c r="BB89" i="4" s="1"/>
  <c r="Q7" i="4"/>
  <c r="AV14" i="4"/>
  <c r="R15" i="4"/>
  <c r="O708" i="4"/>
  <c r="O713" i="4"/>
  <c r="P708" i="4"/>
  <c r="P713" i="4"/>
  <c r="E942" i="4"/>
  <c r="E938" i="4"/>
  <c r="E939" i="4" s="1"/>
  <c r="E943" i="4"/>
  <c r="H892" i="4"/>
  <c r="E946" i="4"/>
  <c r="E941" i="4"/>
  <c r="E940" i="4"/>
  <c r="T24" i="4"/>
  <c r="T19" i="4"/>
  <c r="BB88" i="3" l="1"/>
  <c r="BP31" i="3" s="1"/>
  <c r="BM31" i="3" s="1"/>
  <c r="BB89" i="3"/>
  <c r="M770" i="4"/>
  <c r="R26" i="3"/>
  <c r="R25" i="3"/>
  <c r="M771" i="4"/>
  <c r="Z821" i="3"/>
  <c r="Z826" i="3" s="1"/>
  <c r="Y826" i="3"/>
  <c r="O732" i="3"/>
  <c r="O718" i="3"/>
  <c r="O733" i="3"/>
  <c r="R25" i="4"/>
  <c r="M757" i="3"/>
  <c r="M758" i="3" s="1"/>
  <c r="M767" i="3"/>
  <c r="M752" i="3"/>
  <c r="BH29" i="3"/>
  <c r="BH26" i="3"/>
  <c r="BH24" i="3"/>
  <c r="BH22" i="3"/>
  <c r="BH27" i="3" s="1"/>
  <c r="BH23" i="3"/>
  <c r="BH25" i="3"/>
  <c r="BH28" i="3"/>
  <c r="BI23" i="3"/>
  <c r="BI25" i="3"/>
  <c r="BI22" i="3"/>
  <c r="BI27" i="3" s="1"/>
  <c r="BI29" i="3"/>
  <c r="BI26" i="3"/>
  <c r="BI24" i="3"/>
  <c r="BI28" i="3"/>
  <c r="E962" i="3"/>
  <c r="G961" i="3"/>
  <c r="W759" i="3"/>
  <c r="W758" i="3"/>
  <c r="BA756" i="3"/>
  <c r="AU752" i="3"/>
  <c r="S758" i="3"/>
  <c r="S759" i="3" s="1"/>
  <c r="W760" i="3"/>
  <c r="N852" i="3" s="1"/>
  <c r="BB88" i="4"/>
  <c r="BP31" i="4" s="1"/>
  <c r="BM31" i="4" s="1"/>
  <c r="BC90" i="4"/>
  <c r="BB90" i="4" s="1"/>
  <c r="E947" i="4"/>
  <c r="O734" i="4"/>
  <c r="O722" i="4"/>
  <c r="Z816" i="4"/>
  <c r="BH25" i="4"/>
  <c r="BH29" i="4"/>
  <c r="BH23" i="4"/>
  <c r="BH22" i="4"/>
  <c r="BH27" i="4" s="1"/>
  <c r="BH26" i="4"/>
  <c r="BH24" i="4"/>
  <c r="BH28" i="4"/>
  <c r="BI29" i="4"/>
  <c r="BI23" i="4"/>
  <c r="BI22" i="4"/>
  <c r="BI27" i="4" s="1"/>
  <c r="BI26" i="4"/>
  <c r="BI24" i="4"/>
  <c r="BI25" i="4"/>
  <c r="BI28" i="4"/>
  <c r="Z811" i="4"/>
  <c r="D229" i="4"/>
  <c r="K14" i="4"/>
  <c r="D226" i="4"/>
  <c r="D227" i="4" s="1"/>
  <c r="K13" i="4"/>
  <c r="O723" i="4"/>
  <c r="O724" i="4" s="1"/>
  <c r="O718" i="4"/>
  <c r="O733" i="4"/>
  <c r="O732" i="4"/>
  <c r="Y812" i="4"/>
  <c r="R26" i="4"/>
  <c r="R27" i="3" l="1"/>
  <c r="M770" i="3"/>
  <c r="M769" i="3"/>
  <c r="M771" i="3" s="1"/>
  <c r="R27" i="4"/>
  <c r="O736" i="3"/>
  <c r="O737" i="3" s="1"/>
  <c r="BA755" i="3" s="1"/>
  <c r="BA757" i="3" s="1"/>
  <c r="BA758" i="3" s="1"/>
  <c r="AV755" i="3" s="1"/>
  <c r="AV753" i="3"/>
  <c r="AA735" i="3" s="1"/>
  <c r="AV754" i="3"/>
  <c r="G966" i="3"/>
  <c r="K909" i="3"/>
  <c r="G965" i="3"/>
  <c r="O736" i="4"/>
  <c r="O737" i="4" s="1"/>
  <c r="BA755" i="4" s="1"/>
  <c r="Z812" i="4"/>
  <c r="Y813" i="4"/>
  <c r="AP705" i="4"/>
  <c r="C39" i="4"/>
  <c r="E962" i="4"/>
  <c r="S758" i="4"/>
  <c r="S759" i="4" s="1"/>
  <c r="W760" i="4"/>
  <c r="N852" i="4" s="1"/>
  <c r="G961" i="4"/>
  <c r="W759" i="4"/>
  <c r="BA756" i="4"/>
  <c r="AU752" i="4"/>
  <c r="W758" i="4"/>
  <c r="G971" i="3" l="1"/>
  <c r="AJ756" i="3" s="1"/>
  <c r="BE736" i="3"/>
  <c r="BE733" i="3"/>
  <c r="BE723" i="3"/>
  <c r="BA723" i="3"/>
  <c r="BE735" i="3"/>
  <c r="BE732" i="3"/>
  <c r="BE737" i="3" s="1"/>
  <c r="AZ723" i="3"/>
  <c r="BC722" i="3"/>
  <c r="BE734" i="3"/>
  <c r="Z749" i="3"/>
  <c r="Z748" i="3" s="1"/>
  <c r="BJ722" i="3"/>
  <c r="AA751" i="3"/>
  <c r="BA757" i="4"/>
  <c r="BA758" i="4" s="1"/>
  <c r="AV755" i="4" s="1"/>
  <c r="Z813" i="4"/>
  <c r="Y822" i="4"/>
  <c r="Z822" i="4" s="1"/>
  <c r="Y821" i="4"/>
  <c r="G966" i="4"/>
  <c r="G965" i="4"/>
  <c r="K909" i="4"/>
  <c r="X23" i="4"/>
  <c r="X22" i="4"/>
  <c r="AV753" i="4"/>
  <c r="AA735" i="4" s="1"/>
  <c r="AV754" i="4"/>
  <c r="L116" i="4"/>
  <c r="P28" i="4"/>
  <c r="BA733" i="3" l="1"/>
  <c r="BA735" i="3"/>
  <c r="BA734" i="3"/>
  <c r="BA732" i="3"/>
  <c r="BA737" i="3" s="1"/>
  <c r="BA736" i="3"/>
  <c r="BN722" i="3"/>
  <c r="BI723" i="3"/>
  <c r="AZ736" i="3"/>
  <c r="AZ733" i="3"/>
  <c r="AZ735" i="3"/>
  <c r="AZ732" i="3"/>
  <c r="AZ737" i="3" s="1"/>
  <c r="AZ734" i="3"/>
  <c r="BE739" i="3"/>
  <c r="G967" i="3" s="1"/>
  <c r="BF722" i="3"/>
  <c r="L776" i="4"/>
  <c r="K776" i="4" s="1"/>
  <c r="Q28" i="4"/>
  <c r="Z749" i="4"/>
  <c r="Z748" i="4" s="1"/>
  <c r="AA751" i="4"/>
  <c r="BJ722" i="4"/>
  <c r="Z821" i="4"/>
  <c r="Z826" i="4" s="1"/>
  <c r="Y826" i="4"/>
  <c r="G971" i="4"/>
  <c r="AJ756" i="4" s="1"/>
  <c r="BE736" i="4"/>
  <c r="BA723" i="4"/>
  <c r="BE732" i="4"/>
  <c r="BE737" i="4" s="1"/>
  <c r="BE723" i="4"/>
  <c r="AZ723" i="4"/>
  <c r="BC722" i="4"/>
  <c r="BE734" i="4"/>
  <c r="BE733" i="4"/>
  <c r="BE735" i="4"/>
  <c r="P29" i="4"/>
  <c r="P31" i="4" s="1"/>
  <c r="P32" i="4" s="1"/>
  <c r="P33" i="4" s="1"/>
  <c r="BF738" i="3" l="1"/>
  <c r="BF723" i="3"/>
  <c r="BP724" i="3"/>
  <c r="BN724" i="3"/>
  <c r="BI736" i="3"/>
  <c r="BI733" i="3"/>
  <c r="BI735" i="3"/>
  <c r="BI732" i="3"/>
  <c r="BI737" i="3" s="1"/>
  <c r="BI734" i="3"/>
  <c r="G969" i="3"/>
  <c r="G972" i="3" s="1"/>
  <c r="G974" i="3" s="1"/>
  <c r="E969" i="3"/>
  <c r="BE739" i="4"/>
  <c r="G967" i="4" s="1"/>
  <c r="BF722" i="4"/>
  <c r="BN722" i="4"/>
  <c r="BI723" i="4"/>
  <c r="Q29" i="4"/>
  <c r="Q30" i="4" s="1"/>
  <c r="BA733" i="4"/>
  <c r="BA735" i="4"/>
  <c r="BA734" i="4"/>
  <c r="BA736" i="4"/>
  <c r="BA732" i="4"/>
  <c r="BA737" i="4" s="1"/>
  <c r="M47" i="4"/>
  <c r="N3" i="4"/>
  <c r="N2" i="4"/>
  <c r="AZ736" i="4"/>
  <c r="AZ732" i="4"/>
  <c r="AZ737" i="4" s="1"/>
  <c r="AZ735" i="4"/>
  <c r="AZ734" i="4"/>
  <c r="AZ733" i="4"/>
  <c r="E974" i="3" l="1"/>
  <c r="BI739" i="3"/>
  <c r="BN735" i="3"/>
  <c r="BN734" i="3"/>
  <c r="BN732" i="3"/>
  <c r="BN737" i="3" s="1"/>
  <c r="BN739" i="3" s="1"/>
  <c r="BN733" i="3"/>
  <c r="BN736" i="3"/>
  <c r="BP736" i="3"/>
  <c r="BP734" i="3"/>
  <c r="BP733" i="3"/>
  <c r="BP735" i="3"/>
  <c r="BP732" i="3"/>
  <c r="BP737" i="3" s="1"/>
  <c r="BP739" i="3" s="1"/>
  <c r="AA752" i="3"/>
  <c r="BG750" i="3"/>
  <c r="BG751" i="3" s="1"/>
  <c r="BG752" i="3" s="1"/>
  <c r="H876" i="3"/>
  <c r="G973" i="3"/>
  <c r="G912" i="3" s="1"/>
  <c r="BF733" i="3"/>
  <c r="BF735" i="3"/>
  <c r="BF734" i="3"/>
  <c r="BF732" i="3"/>
  <c r="BF737" i="3" s="1"/>
  <c r="BF736" i="3"/>
  <c r="BF739" i="3"/>
  <c r="BF740" i="3" s="1"/>
  <c r="E914" i="3" s="1"/>
  <c r="M48" i="4"/>
  <c r="M49" i="4" s="1"/>
  <c r="BI736" i="4"/>
  <c r="BI735" i="4"/>
  <c r="BI734" i="4"/>
  <c r="BI733" i="4"/>
  <c r="BI732" i="4"/>
  <c r="BI737" i="4" s="1"/>
  <c r="BP724" i="4"/>
  <c r="BN724" i="4"/>
  <c r="BF738" i="4"/>
  <c r="BF723" i="4"/>
  <c r="D155" i="4"/>
  <c r="O20" i="4" s="1"/>
  <c r="E151" i="4"/>
  <c r="N7" i="4"/>
  <c r="G969" i="4"/>
  <c r="G972" i="4" s="1"/>
  <c r="G974" i="4" s="1"/>
  <c r="E969" i="4"/>
  <c r="BQ737" i="3" l="1"/>
  <c r="BQ740" i="3"/>
  <c r="BF733" i="4"/>
  <c r="BF739" i="4"/>
  <c r="BF736" i="4"/>
  <c r="BF732" i="4"/>
  <c r="BF737" i="4" s="1"/>
  <c r="BF735" i="4"/>
  <c r="BF734" i="4"/>
  <c r="N10" i="4"/>
  <c r="O7" i="4"/>
  <c r="N8" i="4"/>
  <c r="BF740" i="4"/>
  <c r="E914" i="4" s="1"/>
  <c r="BN735" i="4"/>
  <c r="BN734" i="4"/>
  <c r="BN732" i="4"/>
  <c r="BN737" i="4" s="1"/>
  <c r="BN739" i="4" s="1"/>
  <c r="BN736" i="4"/>
  <c r="BN733" i="4"/>
  <c r="E974" i="4"/>
  <c r="BI739" i="4"/>
  <c r="AA752" i="4"/>
  <c r="BG750" i="4"/>
  <c r="BG751" i="4" s="1"/>
  <c r="BG752" i="4" s="1"/>
  <c r="H876" i="4"/>
  <c r="G973" i="4"/>
  <c r="G912" i="4" s="1"/>
  <c r="BP732" i="4"/>
  <c r="BP737" i="4" s="1"/>
  <c r="BP739" i="4" s="1"/>
  <c r="BP735" i="4"/>
  <c r="BP734" i="4"/>
  <c r="BP733" i="4"/>
  <c r="BP736" i="4"/>
  <c r="N25" i="4" l="1"/>
  <c r="BQ737" i="4"/>
  <c r="BQ740" i="4"/>
  <c r="O19" i="4"/>
  <c r="O25" i="4" s="1"/>
  <c r="S72" i="3" l="1"/>
  <c r="R72" i="3" l="1"/>
  <c r="R73" i="3" s="1"/>
  <c r="T72" i="3"/>
  <c r="U72" i="3" s="1"/>
  <c r="V72" i="3" s="1"/>
  <c r="N82" i="3"/>
  <c r="S73" i="3"/>
  <c r="S74" i="3"/>
  <c r="P1" i="3" l="1"/>
  <c r="Q2" i="3"/>
  <c r="P2" i="3" s="1"/>
  <c r="M170" i="3"/>
  <c r="J207" i="3" s="1"/>
  <c r="T73" i="3"/>
  <c r="U73" i="3" s="1"/>
  <c r="V73" i="3" s="1"/>
  <c r="N83" i="3"/>
  <c r="M171" i="3" s="1"/>
  <c r="J208" i="3" s="1"/>
  <c r="S75" i="3"/>
  <c r="R74" i="3"/>
  <c r="R75" i="3" s="1"/>
  <c r="T74" i="3"/>
  <c r="U74" i="3" s="1"/>
  <c r="V74" i="3" s="1"/>
  <c r="N84" i="3"/>
  <c r="M172" i="3" s="1"/>
  <c r="J209" i="3" s="1"/>
  <c r="S76" i="3"/>
  <c r="R76" i="3" l="1"/>
  <c r="R77" i="3" s="1"/>
  <c r="S77" i="3"/>
  <c r="T76" i="3"/>
  <c r="U76" i="3" s="1"/>
  <c r="V76" i="3" s="1"/>
  <c r="N86" i="3"/>
  <c r="M174" i="3" s="1"/>
  <c r="J211" i="3" s="1"/>
  <c r="S78" i="3"/>
  <c r="T75" i="3"/>
  <c r="U75" i="3" s="1"/>
  <c r="V75" i="3" s="1"/>
  <c r="N85" i="3"/>
  <c r="M173" i="3" s="1"/>
  <c r="J210" i="3" s="1"/>
  <c r="T77" i="3" l="1"/>
  <c r="U77" i="3" s="1"/>
  <c r="V77" i="3" s="1"/>
  <c r="N87" i="3"/>
  <c r="M175" i="3" s="1"/>
  <c r="J212" i="3" s="1"/>
  <c r="R78" i="3"/>
  <c r="R79" i="3" s="1"/>
  <c r="N88" i="3"/>
  <c r="M176" i="3" s="1"/>
  <c r="J213" i="3" s="1"/>
  <c r="S79" i="3"/>
  <c r="T78" i="3"/>
  <c r="U78" i="3" s="1"/>
  <c r="V78" i="3" s="1"/>
  <c r="S80" i="3"/>
  <c r="S82" i="3" l="1"/>
  <c r="T79" i="3"/>
  <c r="U79" i="3" s="1"/>
  <c r="V79" i="3" s="1"/>
  <c r="N89" i="3"/>
  <c r="M177" i="3" s="1"/>
  <c r="J214" i="3" s="1"/>
  <c r="S81" i="3"/>
  <c r="R80" i="3"/>
  <c r="R81" i="3" s="1"/>
  <c r="T80" i="3"/>
  <c r="U80" i="3" s="1"/>
  <c r="V80" i="3" s="1"/>
  <c r="N90" i="3"/>
  <c r="N91" i="3" l="1"/>
  <c r="M179" i="3" s="1"/>
  <c r="J216" i="3" s="1"/>
  <c r="T81" i="3"/>
  <c r="U81" i="3" s="1"/>
  <c r="V81" i="3" s="1"/>
  <c r="M178" i="3"/>
  <c r="J215" i="3" s="1"/>
  <c r="R2" i="3"/>
  <c r="T82" i="3"/>
  <c r="U82" i="3" s="1"/>
  <c r="V82" i="3" s="1"/>
  <c r="N92" i="3"/>
  <c r="M180" i="3" s="1"/>
  <c r="J217" i="3" s="1"/>
  <c r="R82" i="3"/>
  <c r="R83" i="3" s="1"/>
  <c r="S83" i="3"/>
  <c r="S84" i="3"/>
  <c r="S85" i="3" l="1"/>
  <c r="R84" i="3"/>
  <c r="R85" i="3" s="1"/>
  <c r="T84" i="3"/>
  <c r="U84" i="3" s="1"/>
  <c r="V84" i="3" s="1"/>
  <c r="N94" i="3"/>
  <c r="M182" i="3" s="1"/>
  <c r="J219" i="3" s="1"/>
  <c r="N93" i="3"/>
  <c r="M181" i="3" s="1"/>
  <c r="J218" i="3" s="1"/>
  <c r="T83" i="3"/>
  <c r="U83" i="3" s="1"/>
  <c r="V83" i="3" s="1"/>
  <c r="S88" i="3"/>
  <c r="S86" i="3"/>
  <c r="S72" i="4"/>
  <c r="S87" i="3" l="1"/>
  <c r="T86" i="3"/>
  <c r="U86" i="3" s="1"/>
  <c r="V86" i="3" s="1"/>
  <c r="R86" i="3"/>
  <c r="R87" i="3" s="1"/>
  <c r="N96" i="3"/>
  <c r="M184" i="3" s="1"/>
  <c r="J221" i="3" s="1"/>
  <c r="S70" i="3"/>
  <c r="T85" i="3"/>
  <c r="U85" i="3" s="1"/>
  <c r="V85" i="3" s="1"/>
  <c r="N95" i="3"/>
  <c r="M183" i="3" s="1"/>
  <c r="J220" i="3" s="1"/>
  <c r="R88" i="3"/>
  <c r="T88" i="3"/>
  <c r="U88" i="3" s="1"/>
  <c r="V88" i="3" s="1"/>
  <c r="N98" i="3"/>
  <c r="M186" i="3" s="1"/>
  <c r="J223" i="3" s="1"/>
  <c r="S73" i="4"/>
  <c r="T72" i="4"/>
  <c r="U72" i="4" s="1"/>
  <c r="V72" i="4" s="1"/>
  <c r="N82" i="4"/>
  <c r="R72" i="4"/>
  <c r="R73" i="4" s="1"/>
  <c r="S74" i="4"/>
  <c r="T87" i="3" l="1"/>
  <c r="U87" i="3" s="1"/>
  <c r="V87" i="3" s="1"/>
  <c r="N97" i="3"/>
  <c r="M185" i="3" s="1"/>
  <c r="J222" i="3" s="1"/>
  <c r="L119" i="4"/>
  <c r="M170" i="4"/>
  <c r="J207" i="4" s="1"/>
  <c r="P1" i="4"/>
  <c r="Q2" i="4"/>
  <c r="P2" i="4" s="1"/>
  <c r="S76" i="4"/>
  <c r="T74" i="4"/>
  <c r="U74" i="4" s="1"/>
  <c r="V74" i="4" s="1"/>
  <c r="S75" i="4"/>
  <c r="R74" i="4"/>
  <c r="R75" i="4" s="1"/>
  <c r="N83" i="4"/>
  <c r="T73" i="4"/>
  <c r="U73" i="4" s="1"/>
  <c r="V73" i="4" s="1"/>
  <c r="N84" i="4" l="1"/>
  <c r="M172" i="4" s="1"/>
  <c r="J209" i="4" s="1"/>
  <c r="T75" i="4"/>
  <c r="U75" i="4" s="1"/>
  <c r="V75" i="4" s="1"/>
  <c r="N85" i="4"/>
  <c r="S78" i="4"/>
  <c r="M171" i="4"/>
  <c r="J208" i="4" s="1"/>
  <c r="L120" i="4"/>
  <c r="S77" i="4"/>
  <c r="R76" i="4"/>
  <c r="R77" i="4" s="1"/>
  <c r="T76" i="4"/>
  <c r="U76" i="4" s="1"/>
  <c r="V76" i="4" s="1"/>
  <c r="L121" i="4"/>
  <c r="N86" i="4" l="1"/>
  <c r="M174" i="4" s="1"/>
  <c r="J211" i="4" s="1"/>
  <c r="N87" i="4"/>
  <c r="T77" i="4"/>
  <c r="U77" i="4" s="1"/>
  <c r="V77" i="4" s="1"/>
  <c r="R78" i="4"/>
  <c r="R79" i="4" s="1"/>
  <c r="N88" i="4"/>
  <c r="S79" i="4"/>
  <c r="T78" i="4"/>
  <c r="U78" i="4" s="1"/>
  <c r="V78" i="4" s="1"/>
  <c r="L123" i="4"/>
  <c r="Q1" i="4"/>
  <c r="M173" i="4"/>
  <c r="J210" i="4" s="1"/>
  <c r="L122" i="4"/>
  <c r="S80" i="4"/>
  <c r="T79" i="4" l="1"/>
  <c r="U79" i="4" s="1"/>
  <c r="V79" i="4" s="1"/>
  <c r="N89" i="4"/>
  <c r="M175" i="4"/>
  <c r="J212" i="4" s="1"/>
  <c r="L124" i="4"/>
  <c r="M176" i="4"/>
  <c r="J213" i="4" s="1"/>
  <c r="L125" i="4"/>
  <c r="S82" i="4"/>
  <c r="S81" i="4"/>
  <c r="R80" i="4"/>
  <c r="R81" i="4" s="1"/>
  <c r="T80" i="4"/>
  <c r="U80" i="4" s="1"/>
  <c r="V80" i="4" s="1"/>
  <c r="N90" i="4" l="1"/>
  <c r="M178" i="4" s="1"/>
  <c r="J215" i="4" s="1"/>
  <c r="L127" i="4"/>
  <c r="N91" i="4"/>
  <c r="T81" i="4"/>
  <c r="U81" i="4" s="1"/>
  <c r="V81" i="4" s="1"/>
  <c r="S84" i="4"/>
  <c r="N92" i="4"/>
  <c r="T82" i="4"/>
  <c r="U82" i="4" s="1"/>
  <c r="V82" i="4" s="1"/>
  <c r="R82" i="4"/>
  <c r="R83" i="4" s="1"/>
  <c r="S83" i="4"/>
  <c r="M177" i="4"/>
  <c r="J214" i="4" s="1"/>
  <c r="L126" i="4"/>
  <c r="R2" i="4" l="1"/>
  <c r="T83" i="4"/>
  <c r="U83" i="4" s="1"/>
  <c r="V83" i="4" s="1"/>
  <c r="S86" i="4"/>
  <c r="S85" i="4"/>
  <c r="R84" i="4"/>
  <c r="R85" i="4" s="1"/>
  <c r="N94" i="4"/>
  <c r="T84" i="4"/>
  <c r="U84" i="4" s="1"/>
  <c r="V84" i="4" s="1"/>
  <c r="L129" i="4"/>
  <c r="M180" i="4"/>
  <c r="J217" i="4" s="1"/>
  <c r="M179" i="4"/>
  <c r="J216" i="4" s="1"/>
  <c r="L128" i="4"/>
  <c r="N93" i="4" l="1"/>
  <c r="M181" i="4" s="1"/>
  <c r="J218" i="4" s="1"/>
  <c r="S88" i="4"/>
  <c r="N95" i="4"/>
  <c r="T85" i="4"/>
  <c r="U85" i="4" s="1"/>
  <c r="V85" i="4" s="1"/>
  <c r="S87" i="4"/>
  <c r="S70" i="4" s="1"/>
  <c r="T86" i="4"/>
  <c r="U86" i="4" s="1"/>
  <c r="V86" i="4" s="1"/>
  <c r="N96" i="4"/>
  <c r="R86" i="4"/>
  <c r="R87" i="4" s="1"/>
  <c r="L130" i="4"/>
  <c r="M182" i="4"/>
  <c r="J219" i="4" s="1"/>
  <c r="L131" i="4"/>
  <c r="M183" i="4" l="1"/>
  <c r="J220" i="4" s="1"/>
  <c r="L132" i="4"/>
  <c r="M184" i="4"/>
  <c r="J221" i="4" s="1"/>
  <c r="T88" i="4"/>
  <c r="U88" i="4" s="1"/>
  <c r="V88" i="4" s="1"/>
  <c r="N98" i="4"/>
  <c r="R88" i="4"/>
  <c r="N97" i="4"/>
  <c r="T87" i="4"/>
  <c r="U87" i="4" s="1"/>
  <c r="V87" i="4" s="1"/>
  <c r="F926" i="4" l="1"/>
  <c r="L784" i="4" s="1"/>
  <c r="L779" i="3"/>
  <c r="F926" i="3"/>
  <c r="L784" i="3" s="1"/>
  <c r="L779" i="4"/>
  <c r="M186" i="4"/>
  <c r="J223" i="4" s="1"/>
  <c r="M185" i="4"/>
  <c r="J222" i="4" s="1"/>
  <c r="L794" i="3" l="1"/>
  <c r="L803" i="3"/>
  <c r="L789" i="3"/>
  <c r="R797" i="3" s="1"/>
  <c r="L804" i="3"/>
  <c r="R795" i="3" s="1"/>
  <c r="R783" i="3"/>
  <c r="R796" i="3" s="1"/>
  <c r="R794" i="3"/>
  <c r="L805" i="3"/>
  <c r="L793" i="3"/>
  <c r="R791" i="3" s="1"/>
  <c r="L794" i="4"/>
  <c r="R794" i="4"/>
  <c r="L789" i="4"/>
  <c r="R797" i="4" s="1"/>
  <c r="L804" i="4"/>
  <c r="R795" i="4" s="1"/>
  <c r="R783" i="4"/>
  <c r="R796" i="4" s="1"/>
  <c r="L803" i="4"/>
  <c r="L805" i="4"/>
  <c r="L793" i="4"/>
  <c r="R791" i="4" s="1"/>
  <c r="R792" i="4" l="1"/>
  <c r="L795" i="4"/>
  <c r="R793" i="4" s="1"/>
  <c r="R792" i="3"/>
  <c r="L795" i="3"/>
  <c r="R793" i="3" s="1"/>
  <c r="L807" i="3"/>
  <c r="L807" i="4" l="1"/>
  <c r="L781" i="4" s="1"/>
  <c r="K781" i="4" s="1"/>
  <c r="AW739" i="3"/>
  <c r="AQ717" i="3"/>
  <c r="R800" i="3"/>
  <c r="BE722" i="3"/>
  <c r="L781" i="3"/>
  <c r="K781" i="3" s="1"/>
  <c r="AE743" i="3"/>
  <c r="AW798" i="3" s="1"/>
  <c r="BK741" i="3" s="1"/>
  <c r="BH741" i="3" s="1"/>
  <c r="AX800" i="3"/>
  <c r="AW800" i="3" s="1"/>
  <c r="AQ717" i="4"/>
  <c r="BE722" i="4"/>
  <c r="AE743" i="4"/>
  <c r="AW798" i="4" s="1"/>
  <c r="BK741" i="4" s="1"/>
  <c r="BH741" i="4" s="1"/>
  <c r="R800" i="4"/>
  <c r="AW739" i="4"/>
  <c r="AX800" i="4" l="1"/>
  <c r="AW800" i="4" s="1"/>
  <c r="AW799" i="3"/>
  <c r="AW799" i="4"/>
  <c r="BC723" i="4"/>
  <c r="BD723" i="4"/>
  <c r="BC723" i="3"/>
  <c r="BD723" i="3"/>
  <c r="BD733" i="3" l="1"/>
  <c r="BD736" i="3"/>
  <c r="BD732" i="3"/>
  <c r="BD737" i="3" s="1"/>
  <c r="BD735" i="3"/>
  <c r="BD734" i="3"/>
  <c r="BD738" i="3"/>
  <c r="BD739" i="3"/>
  <c r="BC734" i="4"/>
  <c r="BC736" i="4"/>
  <c r="BC735" i="4"/>
  <c r="BC732" i="4"/>
  <c r="BC737" i="4" s="1"/>
  <c r="BC738" i="4"/>
  <c r="BC739" i="4"/>
  <c r="BC733" i="4"/>
  <c r="BC735" i="3"/>
  <c r="BC733" i="3"/>
  <c r="BC734" i="3"/>
  <c r="BC736" i="3"/>
  <c r="BC732" i="3"/>
  <c r="BC737" i="3" s="1"/>
  <c r="BC738" i="3"/>
  <c r="BC739" i="3"/>
  <c r="BD739" i="4"/>
  <c r="BD736" i="4"/>
  <c r="BD732" i="4"/>
  <c r="BD737" i="4" s="1"/>
  <c r="BD735" i="4"/>
  <c r="BD733" i="4"/>
  <c r="BD734" i="4"/>
  <c r="BD738"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עזרא נפתלי</author>
    <author>techn</author>
  </authors>
  <commentList>
    <comment ref="T2" authorId="0" shapeId="0" xr:uid="{F15952D7-1877-451E-9E3D-090CBA2205A3}">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P4" authorId="0" shapeId="0" xr:uid="{E7D6E2C5-F0D2-4878-BB52-6536862A93B1}">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J6" authorId="0" shapeId="0" xr:uid="{1D18EAA9-7CAC-498B-A3B0-206E33B9BF6B}">
      <text>
        <r>
          <rPr>
            <b/>
            <sz val="8"/>
            <color indexed="81"/>
            <rFont val="Tahoma"/>
            <family val="2"/>
          </rPr>
          <t xml:space="preserve"> סכומים אלו  צריכים 
להתאים לתלוש השכר ממנו הזנת את הנתונים </t>
        </r>
      </text>
    </comment>
    <comment ref="O6" authorId="0" shapeId="0" xr:uid="{174F5616-C6A2-439E-B874-CFB2C6FD5355}">
      <text>
        <r>
          <rPr>
            <b/>
            <sz val="8"/>
            <color indexed="81"/>
            <rFont val="Tahoma"/>
            <family val="2"/>
          </rPr>
          <t xml:space="preserve"> סכומים אלו  צריכים 
להתאים לתלוש השכר ממנו הזנת את הנתונים </t>
        </r>
      </text>
    </comment>
    <comment ref="I7" authorId="0" shapeId="0" xr:uid="{07C942A4-A014-4049-B9F1-688ED2E79B26}">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P10" authorId="0" shapeId="0" xr:uid="{585364EE-98AF-47CE-AD24-56F91D2C7B76}">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AD13" authorId="0" shapeId="0" xr:uid="{BF24623D-0F6A-4186-9E04-FEEF8422F975}">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AD14" authorId="0" shapeId="0" xr:uid="{34B3F099-0D45-4EC5-B131-5B2F763746E4}">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L14" authorId="0" shapeId="0" xr:uid="{6D04392D-9326-4B55-BC06-AC6CB3B52CE7}">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B15" authorId="0" shapeId="0" xr:uid="{943A43B3-943E-4F6C-BE72-873772D18D2D}">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D15" authorId="0" shapeId="0" xr:uid="{608A52EE-A37E-4C31-90EF-3CC664FF8F4F}">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AA17" authorId="0" shapeId="0" xr:uid="{A61CAA25-D821-4F28-B2F0-972E91B798EF}">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‎22 לעיל, לפי בסיס משרה של 24 ש"ש, בבית ספר יסודי, בשנת הלימודים שבה חל.. החודש הקובע, תחושב לפי המרת השכר למורה בחטיבת הביניים, אולם </t>
        </r>
        <r>
          <rPr>
            <b/>
            <sz val="8"/>
            <color indexed="12"/>
            <rFont val="Tahoma"/>
            <family val="2"/>
          </rPr>
          <t>מקדם ההמרה Y יהיה גדול ב -12.5%</t>
        </r>
        <r>
          <rPr>
            <sz val="8"/>
            <color indexed="81"/>
            <rFont val="Tahoma"/>
            <family val="2"/>
          </rPr>
          <t xml:space="preserve"> מהתוספת הקבועה בסעיף
</t>
        </r>
      </text>
    </comment>
    <comment ref="AQ17" authorId="0" shapeId="0" xr:uid="{449E1F86-B496-421D-819F-CB9B68AFEE89}">
      <text>
        <r>
          <rPr>
            <sz val="8"/>
            <color indexed="81"/>
            <rFont val="Tahoma"/>
            <family val="2"/>
          </rPr>
          <t xml:space="preserve">מבנה תאריך :
    dd/mm/yyyy
</t>
        </r>
      </text>
    </comment>
    <comment ref="AA20" authorId="0" shapeId="0" xr:uid="{A71E100A-BBEE-484B-B4DF-50DE4B90A403}">
      <text>
        <r>
          <rPr>
            <b/>
            <sz val="8"/>
            <color indexed="81"/>
            <rFont val="Tahoma"/>
            <family val="2"/>
          </rPr>
          <t xml:space="preserve">עזרא נפתלי:
</t>
        </r>
        <r>
          <rPr>
            <sz val="8"/>
            <color indexed="81"/>
            <rFont val="Tahoma"/>
            <family val="2"/>
          </rPr>
          <t xml:space="preserve">
לגננת שאינה  אקדמאית   מקדם ההמרה מוכפל ב 90% </t>
        </r>
      </text>
    </comment>
    <comment ref="AQ20" authorId="0" shapeId="0" xr:uid="{9F9221BE-84E4-414C-982A-CB6FE43BA8D8}">
      <text>
        <r>
          <rPr>
            <sz val="8"/>
            <color indexed="81"/>
            <rFont val="Tahoma"/>
            <family val="2"/>
          </rPr>
          <t xml:space="preserve">מבנה תאריך :
    dd/mm/yyyy
</t>
        </r>
      </text>
    </comment>
    <comment ref="AA21" authorId="0" shapeId="0" xr:uid="{A2C4112F-788F-4594-A7E8-66A2A6A357EC}">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Q22" authorId="0" shapeId="0" xr:uid="{9450A746-F644-4807-8EF0-6F36A41EB170}">
      <text>
        <r>
          <rPr>
            <sz val="8"/>
            <color indexed="81"/>
            <rFont val="Tahoma"/>
            <family val="2"/>
          </rPr>
          <t xml:space="preserve">מבנה תאריך :
    dd/mm/yyyy
</t>
        </r>
      </text>
    </comment>
    <comment ref="BC24" authorId="0" shapeId="0" xr:uid="{8CB69C23-86C2-4BD2-AA84-59AACA8804BA}">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K25" authorId="0" shapeId="0" xr:uid="{C7AB5A23-8A81-410A-8932-75DB6D097F48}">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BB27" authorId="0" shapeId="0" xr:uid="{A95EB10A-2DF2-44C4-A4EE-698835F7ECBB}">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BC27" authorId="0" shapeId="0" xr:uid="{19C827B2-7A4E-48A4-A02F-28FC91A45A5A}">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Z35" authorId="0" shapeId="0" xr:uid="{4CC09F0F-5787-401A-9578-64F6C80710E5}">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AA36" authorId="0" shapeId="0" xr:uid="{C3401F55-DA66-4B82-A9C2-431A4A17A64B}">
      <text>
        <r>
          <rPr>
            <sz val="8"/>
            <color indexed="81"/>
            <rFont val="Tahoma"/>
            <family val="2"/>
          </rPr>
          <t xml:space="preserve"> 
     בטבלה יופיעו נתונים
     רק לאחר  שתקליד מספר      חודשי חל"ת לרכישה!
 (בתא שמעל)
</t>
        </r>
      </text>
    </comment>
    <comment ref="BK39" authorId="0" shapeId="0" xr:uid="{D36DB885-005E-431D-AC7E-2764E01BCED6}">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AA40" authorId="0" shapeId="0" xr:uid="{618816B1-8B20-412C-A61F-16BE296E2D87}">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L41" authorId="0" shapeId="0" xr:uid="{AF3D1C99-0AEE-4544-BAC6-2080F5E1A63D}">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AB42" authorId="0" shapeId="0" xr:uid="{92949A6D-B0AB-4281-8473-F615A7746F92}">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Y42" authorId="0" shapeId="0" xr:uid="{B434B73E-28E4-4C0D-804A-8FA21C50F605}">
      <text>
        <r>
          <rPr>
            <sz val="8"/>
            <color indexed="81"/>
            <rFont val="Tahoma"/>
            <family val="2"/>
          </rPr>
          <t xml:space="preserve">
 מועד הפרישה כפי 
 שהקשת בסימולטור
</t>
        </r>
      </text>
    </comment>
    <comment ref="AA44" authorId="0" shapeId="0" xr:uid="{CC98216B-C733-4847-BF19-C377890638BF}">
      <text>
        <r>
          <rPr>
            <b/>
            <sz val="8"/>
            <color indexed="81"/>
            <rFont val="Tahoma"/>
            <family val="2"/>
          </rPr>
          <t xml:space="preserve">עזרא נפתלי:
נתון זה  מופיע בסדין </t>
        </r>
        <r>
          <rPr>
            <sz val="8"/>
            <color indexed="81"/>
            <rFont val="Tahoma"/>
            <family val="2"/>
          </rPr>
          <t xml:space="preserve">
</t>
        </r>
      </text>
    </comment>
    <comment ref="G47" authorId="0" shapeId="0" xr:uid="{EB3129FA-A73B-4C43-B42D-FB76F10B618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B58" authorId="0" shapeId="0" xr:uid="{C82C99FB-9F66-4DC5-BC51-2C7DAE0E98C6}">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BF62" authorId="0" shapeId="0" xr:uid="{6C8EB774-5771-4AF0-B896-AB246D6DC04F}">
      <text>
        <r>
          <rPr>
            <sz val="8"/>
            <color indexed="81"/>
            <rFont val="Tahoma"/>
            <family val="2"/>
          </rPr>
          <t xml:space="preserve">
   משמש  לחישוב מענק יובל  
</t>
        </r>
      </text>
    </comment>
    <comment ref="BF64" authorId="0" shapeId="0" xr:uid="{E6E61264-EAAD-4E44-9354-92BDBB037214}">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F65" authorId="0" shapeId="0" xr:uid="{1FC69DC0-B715-48C9-9B24-45986740A6C4}">
      <text>
        <r>
          <rPr>
            <sz val="8"/>
            <color indexed="81"/>
            <rFont val="Tahoma"/>
            <family val="2"/>
          </rPr>
          <t xml:space="preserve">יכלל כרכיב לפנסיה 
 רק למורה  שחינך בשנה אחרונה שלפני הפרישה
</t>
        </r>
      </text>
    </comment>
    <comment ref="BF66" authorId="0" shapeId="0" xr:uid="{1929F679-18FB-4B72-951A-0D778629A6FD}">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F67" authorId="0" shapeId="0" xr:uid="{16711B35-333E-4473-9F25-92A579E99EB1}">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BF68" authorId="0" shapeId="0" xr:uid="{57F9ECF7-92F3-4AAB-B271-6086EF7423E0}">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F69" authorId="0" shapeId="0" xr:uid="{280CAD6F-7599-4914-8BA0-E3882795833B}">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F70" authorId="0" shapeId="0" xr:uid="{1D51E2DC-F8E8-4AF5-9F44-0114086841FC}">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F72" authorId="0" shapeId="0" xr:uid="{468E99DC-97D9-4EC0-AD44-B8ACD5BB21BB}">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BF74" authorId="0" shapeId="0" xr:uid="{D17C410E-23F4-442B-BF57-415ABD30C623}">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F75" authorId="0" shapeId="0" xr:uid="{6CE2F0A0-12D1-4B83-B420-AD1BF062879A}">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F77" authorId="0" shapeId="0" xr:uid="{C0DD6151-9C20-4CDD-A07D-6CF05306EC58}">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G149" authorId="0" shapeId="0" xr:uid="{6EDD6AC1-6F57-4946-883E-B8D7DF31A6C4}">
      <text>
        <r>
          <rPr>
            <b/>
            <sz val="8"/>
            <color indexed="81"/>
            <rFont val="Tahoma"/>
            <family val="2"/>
          </rPr>
          <t xml:space="preserve">
בתנאי שתוספת זו ניתנה לך  במסגרת תפקידך הקבוע 
ערב הרפורמה .
.
</t>
        </r>
        <r>
          <rPr>
            <b/>
            <sz val="11"/>
            <color indexed="10"/>
            <rFont val="Tahoma"/>
            <family val="2"/>
          </rPr>
          <t>לגננת עצמאית  :</t>
        </r>
        <r>
          <rPr>
            <b/>
            <sz val="11"/>
            <color indexed="12"/>
            <rFont val="Tahoma"/>
            <family val="2"/>
          </rPr>
          <t xml:space="preserve"> </t>
        </r>
        <r>
          <rPr>
            <b/>
            <sz val="8"/>
            <color indexed="12"/>
            <rFont val="Tahoma"/>
            <family val="2"/>
          </rPr>
          <t>הקלידי  אחוזי  גמול  ריכוז  גן  בסעיף זה .
        ובסעיף הבא (ותק למנהל ולסגנו ) הקלידי  אחוזי  ותק               גמול     ריכוז גן  .</t>
        </r>
        <r>
          <rPr>
            <b/>
            <sz val="8"/>
            <color indexed="81"/>
            <rFont val="Tahoma"/>
            <family val="2"/>
          </rPr>
          <t xml:space="preserve">
 </t>
        </r>
      </text>
    </comment>
    <comment ref="G150" authorId="0" shapeId="0" xr:uid="{B48A96EB-ED43-4E4D-8C03-45F7ABD98E06}">
      <text>
        <r>
          <rPr>
            <b/>
            <sz val="8"/>
            <color indexed="81"/>
            <rFont val="Tahoma"/>
            <family val="2"/>
          </rPr>
          <t xml:space="preserve">
בתנאי שתוספת זו ניתנה לעובד  במסגרת תפקידו הקבוע .
</t>
        </r>
        <r>
          <rPr>
            <b/>
            <sz val="8"/>
            <color indexed="12"/>
            <rFont val="Tahoma"/>
            <family val="2"/>
          </rPr>
          <t>אם  הנך כיום  בשנה הראשונה  בתפקיד  ואינך
זכאי/ת עדיין  לותק בניהול הקש    0.1</t>
        </r>
        <r>
          <rPr>
            <b/>
            <sz val="8"/>
            <color indexed="81"/>
            <rFont val="Tahoma"/>
            <family val="2"/>
          </rPr>
          <t xml:space="preserve">
זאת כדי  לחשב את  הותק  בניהול בגיל הפרישה .
</t>
        </r>
        <r>
          <rPr>
            <b/>
            <sz val="8"/>
            <color indexed="10"/>
            <rFont val="Tahoma"/>
            <family val="2"/>
          </rPr>
          <t>גננת עצמאית  :</t>
        </r>
        <r>
          <rPr>
            <b/>
            <sz val="8"/>
            <color indexed="81"/>
            <rFont val="Tahoma"/>
            <family val="2"/>
          </rPr>
          <t xml:space="preserve"> </t>
        </r>
        <r>
          <rPr>
            <b/>
            <sz val="8"/>
            <color indexed="21"/>
            <rFont val="Tahoma"/>
            <family val="2"/>
          </rPr>
          <t xml:space="preserve">הקלידי  אחוזי  ותק  גמול ריכוז גן  בסעיף זה </t>
        </r>
      </text>
    </comment>
    <comment ref="G151" authorId="0" shapeId="0" xr:uid="{FC45E1D4-BD0E-4E5B-90FA-66FD32E01EAB}">
      <text>
        <r>
          <rPr>
            <b/>
            <sz val="8"/>
            <color indexed="81"/>
            <rFont val="Tahoma"/>
            <family val="2"/>
          </rPr>
          <t xml:space="preserve">    השאלה מתיחסת 
    לזכאות  לפי ס. 8   לחוק  הגמלאות 
       ערב הרפורמה   בלבד !
 אם כן  החישוב לתקופה א     :
   43%  כפול  שיעור המשרה  ערב הפרישה 
</t>
        </r>
        <r>
          <rPr>
            <sz val="8"/>
            <color indexed="81"/>
            <rFont val="Tahoma"/>
            <family val="2"/>
          </rPr>
          <t xml:space="preserve">
זאת בתנאי  שעסקת בפיקוח  /הדרכה   גם 
    בשנת הפרישה
</t>
        </r>
      </text>
    </comment>
    <comment ref="F158" authorId="0" shapeId="0" xr:uid="{129A582C-328C-49E5-BDE3-8110BAC4BFA7}">
      <text>
        <r>
          <rPr>
            <b/>
            <sz val="9"/>
            <color indexed="10"/>
            <rFont val="Tahoma"/>
            <family val="2"/>
          </rPr>
          <t xml:space="preserve">                     קריטריונים להגדלת שירות על פי חוק הגמלאות</t>
        </r>
        <r>
          <rPr>
            <sz val="8"/>
            <color indexed="81"/>
            <rFont val="Tahoma"/>
            <family val="2"/>
          </rPr>
          <t xml:space="preserve">
</t>
        </r>
        <r>
          <rPr>
            <b/>
            <sz val="8"/>
            <color indexed="20"/>
            <rFont val="Tahoma"/>
            <family val="2"/>
          </rPr>
          <t>א. הגדלת שירות בעקבות פעילות קודמת</t>
        </r>
        <r>
          <rPr>
            <sz val="8"/>
            <color indexed="81"/>
            <rFont val="Tahoma"/>
            <family val="2"/>
          </rPr>
          <t xml:space="preserve">
    1. עבודה בבתי ספר יהודיים בחוץ לארץ - 0.5% לכל שנת הוראה.
    2. פעילות ציונית בחוץ לארץ (נדרש אישור המחלקה לעסקנים ציוניים בסוכנות 
        היהודית) - 0.5% לכל שנת פעילות.
    3. שנות כליאה בבית סוהר כאסיר ציון - 1% לכל שנת מאסר.
    4. עבודת הוראה, רצופה, בקיבוץ, בבית ספר בו לומדים ילדי הקיבוץ, קודם לתחילת 
        ההעסקה בשירות- 1% לכל שנת עבודה.
</t>
        </r>
        <r>
          <rPr>
            <b/>
            <sz val="8"/>
            <color indexed="20"/>
            <rFont val="Tahoma"/>
            <family val="2"/>
          </rPr>
          <t>ב. ניצולי שואה</t>
        </r>
        <r>
          <rPr>
            <sz val="8"/>
            <color indexed="81"/>
            <rFont val="Tahoma"/>
            <family val="2"/>
          </rPr>
          <t xml:space="preserve">
עובד הוראה שהוא ניצול שואה - תוגדל קצבתו ב-3%.
(ההגדלה תתבצע אם אין לעובד קצבה אחרת או תשלום שקיבל, בגין היותו ניצול שואה, 
למעט אם קיבל פיצויי חד-פעמי, עד 5,000 מרקים גרמניים. 
כדי לקבל הגדלה זו יש למלא טופס הצהרה מתאים ).
</t>
        </r>
        <r>
          <rPr>
            <b/>
            <sz val="8"/>
            <color indexed="20"/>
            <rFont val="Tahoma"/>
            <family val="2"/>
          </rPr>
          <t>ג. עולה חדש</t>
        </r>
        <r>
          <rPr>
            <sz val="8"/>
            <color indexed="81"/>
            <rFont val="Tahoma"/>
            <family val="2"/>
          </rPr>
          <t xml:space="preserve">
עולה חדש זכאי ל-35% קצבה עבור 10 השנים הראשונות לעבודתו, עבור כל שנה נוספת יקבל 2%, בתנאים הבאים:
אם ביום תחילת העבודה בשירות  היה בן 50 לפחות.
אם התחיל עבודתו בשירות תוך שנתיים מיום עלייתו לארץ.
אם עבד 10 שנים לפחות (בהיקף של 1/3 משרה לפחות) עד לפרישתו.
אם אינו מקבל קצבה מעבודה או תשלומי ביטוח לאומי ממדינה אחרת.
</t>
        </r>
        <r>
          <rPr>
            <b/>
            <sz val="8"/>
            <color indexed="20"/>
            <rFont val="Tahoma"/>
            <family val="2"/>
          </rPr>
          <t>ד. הורה שכול או אלמנה</t>
        </r>
        <r>
          <rPr>
            <sz val="8"/>
            <color indexed="81"/>
            <rFont val="Tahoma"/>
            <family val="2"/>
          </rPr>
          <t xml:space="preserve">
עובד שהוא הורה שכול או אלמנה, כמשמעותם בחוק משפחות חיילים שניספו במערכה, יומלץ על הגדלת קצבה לכדי 50% ובלבד שהיא לא תעלה על הכפלה מלאה של תקופת שירותו הממשית במדינה.
אם מגיעה לעובד, לפני הגדלת השירות, קצבה בשיעור של 45% ויותר, תוגדל קצבתו ב-6%.
</t>
        </r>
        <r>
          <rPr>
            <b/>
            <sz val="8"/>
            <color indexed="20"/>
            <rFont val="Tahoma"/>
            <family val="2"/>
          </rPr>
          <t xml:space="preserve">ה. הגדלת שירות מחמת מצב בריאות של העובד או של </t>
        </r>
        <r>
          <rPr>
            <b/>
            <sz val="8"/>
            <color indexed="10"/>
            <rFont val="Tahoma"/>
            <family val="2"/>
          </rPr>
          <t>בן  הזוג (פרוט  במדריך לפורש לגמלאות סעיף יא )</t>
        </r>
        <r>
          <rPr>
            <sz val="8"/>
            <color indexed="81"/>
            <rFont val="Tahoma"/>
            <family val="2"/>
          </rPr>
          <t xml:space="preserve">
אם חלה עובד הוראה או הוחמר מצבו הבריאותי בשנה שקדמה לפרישתו, ועקב כך הופחת שיעור משרתו ב-1/3 לפחות או נעדר מעבודתו לפחות 1/3 מהתקופה, או הופחת שכרו לפחות ב-1/3, זכאי הוא לפנות לוועדה רפואית של המדינה שתקבע את ''שיעור נכותו לגמלאות''.
אם היה שיעור נכותו פחות מ-50%, יוגדל שירותו ב-1% לכ-10% נכות.
אם היה שיעור נכותו 50% ומעלה, יהיה עליו לפנות בתביעת נכות כללית למוסד לביטוח לאומי.
במקרה שנדחתה התביעה, יוגדל שירותו ב-1% לכל 10% נכות. תתקבל התביעה, יוגדל שירותו ב-1% לכל 10% נכות, רק עם תום זכאותו לקצבת הנכות מהביטוח הלאומי.
</t>
        </r>
        <r>
          <rPr>
            <b/>
            <sz val="8"/>
            <color indexed="20"/>
            <rFont val="Tahoma"/>
            <family val="2"/>
          </rPr>
          <t>ו. הבטחת רמת מחיה</t>
        </r>
        <r>
          <rPr>
            <sz val="8"/>
            <color indexed="81"/>
            <rFont val="Tahoma"/>
            <family val="2"/>
          </rPr>
          <t xml:space="preserve">
אם פרש עובד לאחר שירות קצר ביותר (לפחות 10 שנים) ואין לו, או לבן/בת הזוג, הכנסה אחרת מכל מקור אחר, למעט קצבת זקנה מהמוסד לביטוח לאומי, תוענק לו קצבה שלא תפחת מ-30%.
כל הגדלת שירות כאמור, כפופה לחלקיות משרתו המשוקללת של עובד ההוראה, טרם הגדלת השירות.
</t>
        </r>
      </text>
    </comment>
    <comment ref="F159" authorId="0" shapeId="0" xr:uid="{DA1057E4-EAB1-4F6D-997B-9C6F08D1DB70}">
      <text>
        <r>
          <rPr>
            <sz val="8"/>
            <color indexed="81"/>
            <rFont val="Tahoma"/>
            <family val="2"/>
          </rPr>
          <t xml:space="preserve">                
                   שים לב  !
נתון זה משמש  לצורך חישובי מס בגין   סכום הפרישה  החד פעמי  בלבד .  </t>
        </r>
        <r>
          <rPr>
            <b/>
            <sz val="8"/>
            <color indexed="10"/>
            <rFont val="Tahoma"/>
            <family val="2"/>
          </rPr>
          <t>סכום קצבת הפנסיה 
מחושב  ללא  הכנסה  נוספת זו  !!</t>
        </r>
        <r>
          <rPr>
            <sz val="8"/>
            <color indexed="81"/>
            <rFont val="Tahoma"/>
            <family val="2"/>
          </rPr>
          <t xml:space="preserve">
אם להערכתך ,תמשיך לעבוד במקום עבודה  חדש ,לאחר  יציאתך לפנסיה מוקדמת , הקש את הכנסתך החודשית המשוערת ,מאחר ותהיה   לה 
השפעה על  המס השולי האפקטיבי של המענק  !
         </t>
        </r>
        <r>
          <rPr>
            <b/>
            <sz val="8"/>
            <color indexed="10"/>
            <rFont val="Tahoma"/>
            <family val="2"/>
          </rPr>
          <t xml:space="preserve">אם כן  -הקש  סכום ברוטו (להערכתך )של הכנסתך החודשית  העתידית   מיגיעה אישית 
    </t>
        </r>
        <r>
          <rPr>
            <b/>
            <sz val="8"/>
            <color indexed="81"/>
            <rFont val="Tahoma"/>
            <family val="2"/>
          </rPr>
          <t>שים לב שנתון זה משנה את נתוני הרווח  בפריסת המס    של המענק  ויתר המרכיבים 
שחל עליהם פטור מס !</t>
        </r>
        <r>
          <rPr>
            <b/>
            <sz val="8"/>
            <color indexed="10"/>
            <rFont val="Tahoma"/>
            <family val="2"/>
          </rPr>
          <t xml:space="preserve">
    ( בדוק כדאיות פריסת  מס לשנים קודמות 
       פשוט </t>
        </r>
        <r>
          <rPr>
            <b/>
            <sz val="8"/>
            <color indexed="12"/>
            <rFont val="Tahoma"/>
            <family val="2"/>
          </rPr>
          <t xml:space="preserve"> עי השוואה  עם הרווח מפריסה  , ללא
       ההכנסה הנוספת </t>
        </r>
        <r>
          <rPr>
            <b/>
            <sz val="8"/>
            <color indexed="10"/>
            <rFont val="Tahoma"/>
            <family val="2"/>
          </rPr>
          <t xml:space="preserve">)
</t>
        </r>
      </text>
    </comment>
    <comment ref="H159" authorId="1" shapeId="0" xr:uid="{8F587CF7-7B30-4B05-9654-2C9CED0BC541}">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H161" authorId="0" shapeId="0" xr:uid="{E18CAD86-EC22-40E8-9D51-69902EDCE475}">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162" authorId="0" shapeId="0" xr:uid="{2DC50FB2-7DED-4F24-A92E-B4044C36D53F}">
      <text>
        <r>
          <rPr>
            <sz val="8"/>
            <color indexed="81"/>
            <rFont val="Tahoma"/>
            <family val="2"/>
          </rPr>
          <t xml:space="preserve">
הדרגה שקבלת  מיד עם
כניסתך  לאופק חדש  , בעת 
בצוע ההמרה !
</t>
        </r>
      </text>
    </comment>
    <comment ref="I163" authorId="0" shapeId="0" xr:uid="{A7E25115-2440-459D-A615-ADA57275E192}">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C165" authorId="0" shapeId="0" xr:uid="{4E0A3A07-07AE-4C1C-AC43-713942AE5E64}">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t>
        </r>
        <r>
          <rPr>
            <b/>
            <sz val="8"/>
            <color indexed="81"/>
            <rFont val="Tahoma"/>
            <family val="2"/>
          </rPr>
          <t xml:space="preserve">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t>
        </r>
      </text>
    </comment>
    <comment ref="D165" authorId="0" shapeId="0" xr:uid="{F2B46840-DE7A-4743-A1DE-18896564B68F}">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67" authorId="0" shapeId="0" xr:uid="{264AF2AC-46EA-470D-B6B4-0ABFF9B79D1B}">
      <text>
        <r>
          <rPr>
            <sz val="8"/>
            <color indexed="81"/>
            <rFont val="Tahoma"/>
            <family val="2"/>
          </rPr>
          <t xml:space="preserve">
          </t>
        </r>
        <r>
          <rPr>
            <b/>
            <sz val="8"/>
            <color indexed="12"/>
            <rFont val="Tahoma"/>
            <family val="2"/>
          </rPr>
          <t xml:space="preserve">חודש  הסתגלות   </t>
        </r>
        <r>
          <rPr>
            <sz val="8"/>
            <color indexed="81"/>
            <rFont val="Tahoma"/>
            <family val="2"/>
          </rPr>
          <t xml:space="preserve">
        </t>
        </r>
        <r>
          <rPr>
            <b/>
            <sz val="8"/>
            <color indexed="81"/>
            <rFont val="Tahoma"/>
            <family val="2"/>
          </rPr>
          <t xml:space="preserve">ברוטו  לפנסיה  ביום  הפרישה
  +
          ביגוד והבראה   בחישוב  חודשי </t>
        </r>
        <r>
          <rPr>
            <sz val="8"/>
            <color indexed="81"/>
            <rFont val="Tahoma"/>
            <family val="2"/>
          </rPr>
          <t xml:space="preserve">
         ( מענק יובל לא נכלל בחישוב
           חוזרי פרישה  אחרונים  )        
        </t>
        </r>
        <r>
          <rPr>
            <sz val="8"/>
            <color indexed="10"/>
            <rFont val="Tahoma"/>
            <family val="2"/>
          </rPr>
          <t xml:space="preserve"> </t>
        </r>
        <r>
          <rPr>
            <b/>
            <sz val="8"/>
            <color indexed="10"/>
            <rFont val="Tahoma"/>
            <family val="2"/>
          </rPr>
          <t xml:space="preserve">באפשרותך לשנוות את ערך 
        חודש ההסתגלות   מרשימה בתא D39
 </t>
        </r>
      </text>
    </comment>
    <comment ref="D168" authorId="0" shapeId="0" xr:uid="{D1AACFF0-E287-4689-A86E-8AB3A1FB657A}">
      <text>
        <r>
          <rPr>
            <b/>
            <sz val="8"/>
            <color indexed="81"/>
            <rFont val="Tahoma"/>
            <family val="2"/>
          </rPr>
          <t>עזרא נפתלי:</t>
        </r>
        <r>
          <rPr>
            <sz val="8"/>
            <color indexed="81"/>
            <rFont val="Tahoma"/>
            <family val="2"/>
          </rPr>
          <t xml:space="preserve">
</t>
        </r>
        <r>
          <rPr>
            <b/>
            <sz val="9"/>
            <color indexed="81"/>
            <rFont val="Tahoma"/>
            <family val="2"/>
          </rPr>
          <t>אם   ידוע לך  מהי דרגתך   ביום  הפרישה  יש להקישה !</t>
        </r>
        <r>
          <rPr>
            <sz val="8"/>
            <color indexed="81"/>
            <rFont val="Tahoma"/>
            <family val="2"/>
          </rPr>
          <t xml:space="preserve">
אם  מדובר בפרישה בעוד מספר רב של   שנים  ,  יש  להשאר   ב"ברירת מחדל" , והסימולטור יחשב  אוטומטית את דרגת הפרישה  .
במידה  ובחרת  באפשרות של  "ברירת מחדל ", יש להזין  בשדה  G5  , 
במספר שנות העיכוב בדרגה  ,  עד לפרישה .
</t>
        </r>
      </text>
    </comment>
    <comment ref="C169" authorId="0" shapeId="0" xr:uid="{CB13B6F6-81C6-483C-9C7D-9661D7FF3791}">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בדוק כדאיות רכישת זכויות  של תקופת חל"ת :</t>
        </r>
        <r>
          <rPr>
            <b/>
            <sz val="8"/>
            <color indexed="81"/>
            <rFont val="Tahoma"/>
            <family val="2"/>
          </rPr>
          <t xml:space="preserve">
                          הקש   מספר חודשי החל"ת  שתרצה לרכוש  ,
                          ומיד יופיעו נתוני   עלות הרכישה  ואת העליה                                        בשכרך   לאורך השנים.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הרווח ממעבר  מדירוג  מנהלי  לדירוג מח"ר</t>
        </r>
        <r>
          <rPr>
            <b/>
            <sz val="8"/>
            <color indexed="81"/>
            <rFont val="Tahoma"/>
            <family val="2"/>
          </rPr>
          <t xml:space="preserve"> 
                                    (אם הנך כיום  בדירוג המנהלי )
                       4) כך תוכל לראות  את  המשכורת  הקובעת   
                           אם  וכאשר תהיה   אקדמאי  :
                          א    שנה את דירוגך למחר תואר ראשון ,
                          ב    שנה גמול  השתלמות  לגמול ב
                           ג       והוסף  21 לדרגתך  הנוכחית-                                                    (לדוגמא   17+  מנהלי       =        38 + מח" ר   )
</t>
        </r>
      </text>
    </comment>
    <comment ref="D169" authorId="0" shapeId="0" xr:uid="{2AC12FD7-26FE-4594-BACB-51DF90DB049E}">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70" authorId="0" shapeId="0" xr:uid="{28B2F44F-AA53-4838-AC37-47549C16CA1B}">
      <text>
        <r>
          <rPr>
            <b/>
            <sz val="9"/>
            <color indexed="10"/>
            <rFont val="Tahoma"/>
            <family val="2"/>
          </rPr>
          <t xml:space="preserve">   
                                                               </t>
        </r>
        <r>
          <rPr>
            <b/>
            <u/>
            <sz val="9"/>
            <color indexed="10"/>
            <rFont val="Tahoma"/>
            <family val="2"/>
          </rPr>
          <t xml:space="preserve">   הגדלת שירות  הינה תוספת  לאחוזי הקצבה :
           </t>
        </r>
        <r>
          <rPr>
            <b/>
            <u/>
            <sz val="8"/>
            <color indexed="20"/>
            <rFont val="Tahoma"/>
            <family val="2"/>
          </rPr>
          <t xml:space="preserve">הגדלת שרות בשל נסיבות אישיות לפרטים נוספים  תוכל לעיין  בהערה המופיעה בתא  משמאל   לתא נוכחי  !  </t>
        </r>
        <r>
          <rPr>
            <b/>
            <sz val="8"/>
            <color indexed="10"/>
            <rFont val="Tahoma"/>
            <family val="2"/>
          </rPr>
          <t xml:space="preserve">
            </t>
        </r>
        <r>
          <rPr>
            <b/>
            <sz val="8"/>
            <color indexed="20"/>
            <rFont val="Tahoma"/>
            <family val="2"/>
          </rPr>
          <t xml:space="preserve"> הורים שכולים   ,  אלמנות צהל  ,   נפגעי איבה   : עד   6%
            טעמים רפואיים    של עובד או בן הזוג  :      עד  6% 
             אחוזי נכות     :       1%  לכל  10%  נכות 
              ניצול שואה  שלא  קבל מעולם פיצוי כלשהו  מכל מקור שהוא    :       3%         בתוקף עד 7.5.2012
</t>
        </r>
        <r>
          <rPr>
            <b/>
            <sz val="8"/>
            <color indexed="12"/>
            <rFont val="Tahoma"/>
            <family val="2"/>
          </rPr>
          <t xml:space="preserve">
                                               </t>
        </r>
        <r>
          <rPr>
            <b/>
            <sz val="10"/>
            <color indexed="12"/>
            <rFont val="Tahoma"/>
            <family val="2"/>
          </rPr>
          <t xml:space="preserve">   </t>
        </r>
        <r>
          <rPr>
            <b/>
            <sz val="10"/>
            <color indexed="81"/>
            <rFont val="Tahoma"/>
            <family val="2"/>
          </rPr>
          <t xml:space="preserve"> ובנוסף  מתוך התקשיר סעיף 85.143  :</t>
        </r>
        <r>
          <rPr>
            <b/>
            <sz val="8"/>
            <color indexed="12"/>
            <rFont val="Tahoma"/>
            <family val="2"/>
          </rPr>
          <t xml:space="preserve">
     </t>
        </r>
        <r>
          <rPr>
            <b/>
            <sz val="8"/>
            <color indexed="10"/>
            <rFont val="Tahoma"/>
            <family val="2"/>
          </rPr>
          <t xml:space="preserve">      </t>
        </r>
        <r>
          <rPr>
            <b/>
            <sz val="9"/>
            <color indexed="10"/>
            <rFont val="Tahoma"/>
            <family val="2"/>
          </rPr>
          <t xml:space="preserve"> ועדת הגמלאות ממליצה על הגדלת תקופת השירות בעקבות שירות קודם או פעילות קודמת מעל גיל 15 שנה כלהלן;</t>
        </r>
        <r>
          <rPr>
            <b/>
            <sz val="8"/>
            <color indexed="12"/>
            <rFont val="Tahoma"/>
            <family val="2"/>
          </rPr>
          <t xml:space="preserve">
(ד)         שירות מחתרתי בחוץ-לארץ ואסיר ציון
1.            שירות פעיל ומלא במחתרת בחוץ-לארץ לרבות עבודה בשדה החינוך העברי של הקהילה היהודית בארצות בהן נרדפו היהודים;
2.            מי שישב בבית סוהר בחוץ-לארץ כאסיר ציון. 
              במקרים המנויים לעיל תוגדל הקצבה בשיעור של 1% בעד כל שנת שירות או מאסר כאמור;
(ה)        פעילות ציונית, בחוץ-לארץ, עבודה חינוכית, חברות בארגוני המחתרות ועבודת חלוצית בארץ;
1.            פעילות ציונית בחוץ-לארץ, שלה הוקדשה מרבית זמנו של העובד, אשר הוכרה ואושרה על- ידי המחלקה לעסקנים ציוניים בסוכנות היהודית;
2.            עבודה חינוכית בבתי ספר יהודיים בחוץ-לארץ;
(ח)     </t>
        </r>
        <r>
          <rPr>
            <b/>
            <sz val="8"/>
            <color indexed="10"/>
            <rFont val="Tahoma"/>
            <family val="2"/>
          </rPr>
          <t xml:space="preserve">   עובד שאיבד את זכויותיו במקום עבודתו בחוץ-לארץ עקב רדיפות ואינו זכאי לכל הגדלה בגלל פעילות קודמת
               כנזכר לעיל ואף לא זכאי להגדלה עקב היותו ניצול השואה בהתאם לפסקה 85.144 (א) תוגדל תצבתו בשיעור כולל של   3%    .
</t>
        </r>
        <r>
          <rPr>
            <b/>
            <sz val="8"/>
            <color indexed="12"/>
            <rFont val="Tahoma"/>
            <family val="2"/>
          </rPr>
          <t xml:space="preserve">
</t>
        </r>
      </text>
    </comment>
    <comment ref="B172" authorId="0" shapeId="0" xr:uid="{12F0FA3D-7F1B-454F-AC0D-5A3775DB88F4}">
      <text>
        <r>
          <rPr>
            <b/>
            <sz val="9"/>
            <color indexed="16"/>
            <rFont val="Tahoma"/>
            <family val="2"/>
          </rPr>
          <t xml:space="preserve">ליועץ חינוכי : </t>
        </r>
        <r>
          <rPr>
            <b/>
            <sz val="9"/>
            <color indexed="10"/>
            <rFont val="Tahoma"/>
            <family val="2"/>
          </rPr>
          <t xml:space="preserve">לא להזין  גמול ייעוץ </t>
        </r>
        <r>
          <rPr>
            <sz val="8"/>
            <color indexed="81"/>
            <rFont val="Tahoma"/>
            <family val="2"/>
          </rPr>
          <t xml:space="preserve">
גמול יעוץ   ערב הרפורמה  
</t>
        </r>
        <r>
          <rPr>
            <b/>
            <sz val="8"/>
            <color indexed="81"/>
            <rFont val="Tahoma"/>
            <family val="2"/>
          </rPr>
          <t>אינו</t>
        </r>
        <r>
          <rPr>
            <sz val="8"/>
            <color indexed="81"/>
            <rFont val="Tahoma"/>
            <family val="2"/>
          </rPr>
          <t xml:space="preserve"> נכלל בהמרת   שכרך , ויחשב כגמול    נע"ת . 
אם הנך יועץ חינוכי ,הזן את  אחוזי הגמול  בשדה  H23  !
</t>
        </r>
      </text>
    </comment>
    <comment ref="G179" authorId="0" shapeId="0" xr:uid="{A40E5BED-7E8C-47CC-8511-5FADA7FC38A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G181" authorId="0" shapeId="0" xr:uid="{1B72A479-89A0-4CED-BB55-FD2F88059572}">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G182" authorId="0" shapeId="0" xr:uid="{E8A853AE-2E4F-43C8-AB4A-D01D7CF2277A}">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C183" authorId="0" shapeId="0" xr:uid="{0EC2105B-D856-496C-B60B-CA2A567B9B9B}">
      <text>
        <r>
          <rPr>
            <sz val="8"/>
            <color indexed="81"/>
            <rFont val="Tahoma"/>
            <family val="2"/>
          </rPr>
          <t xml:space="preserve"> 
     בטבלה יופיעו נתונים
     רק לאחר  שתקליד מספר      חודשי חל"ת לרכישה!
 (בתא  H7)
</t>
        </r>
      </text>
    </comment>
    <comment ref="G183" authorId="0" shapeId="0" xr:uid="{FF45ACE9-0BA8-47A3-8CFD-CDDC5F8CE43D}">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G186" authorId="0" shapeId="0" xr:uid="{43328507-67DF-4DB5-B3B6-D0B04F4E227B}">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D199" authorId="0" shapeId="0" xr:uid="{8F5A8697-861E-417D-9D33-C5BCCCF472B7}">
      <text>
        <r>
          <rPr>
            <b/>
            <sz val="8"/>
            <color indexed="81"/>
            <rFont val="Tahoma"/>
            <family val="2"/>
          </rPr>
          <t xml:space="preserve">
סכום חד פעמי שתקבל  עם פרישתך  (החישוב  במסלול 
פריסה  ועפ"י מדרגות מס    
       נוכחיות )</t>
        </r>
      </text>
    </comment>
    <comment ref="G201" authorId="0" shapeId="0" xr:uid="{8EAEC8AC-B029-47CD-B2A8-A6E48EE591A6}">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C202" authorId="0" shapeId="0" xr:uid="{4AC9F238-2BC9-4463-8D02-9F7CE8C098D6}">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205" authorId="0" shapeId="0" xr:uid="{B7265EEC-50F1-4DDE-A6F2-DF9BEDDFB7E5}">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228" authorId="0" shapeId="0" xr:uid="{7BDA0310-6C44-4532-8DCD-D8B5C034E764}">
      <text>
        <r>
          <rPr>
            <sz val="8"/>
            <color indexed="81"/>
            <rFont val="Tahoma"/>
            <family val="2"/>
          </rPr>
          <t xml:space="preserve">אם קבלת ערב הרפורמה 
אזי   החישוב  כדלקמן:
  43%   
  כפול שיעור המשרה בהדרכה               ערב הפרישה      
</t>
        </r>
      </text>
    </comment>
    <comment ref="D231" authorId="0" shapeId="0" xr:uid="{A1416072-6EE2-471F-8BDE-DC8DD95070DE}">
      <text>
        <r>
          <rPr>
            <sz val="8"/>
            <color indexed="81"/>
            <rFont val="Tahoma"/>
            <family val="2"/>
          </rPr>
          <t xml:space="preserve">שיעור גמול חינוך מיוחד 
במועד הפרישה
באחוזים   מוכפל 
בשעור המשרה ערב הפרישה
</t>
        </r>
      </text>
    </comment>
    <comment ref="O705" authorId="0" shapeId="0" xr:uid="{17D09339-95A8-4FB4-9FF9-8A376FEA3644}">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AE707" authorId="0" shapeId="0" xr:uid="{85F1A84D-B5ED-4829-9F8D-4A5612DE962A}">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(א) המרת השכר למורה שלימד בכיתות ז'-ט', למעט בבית ספר לחינוך מיוחד הכולל מספר שלבי חינוך כאמור בסעיף ‎22 לעיל, לפי בסיס משרה של 24 ש"ש, בבית ספר יסודי, בשנת הלימודים שבה חל החודש הקובע, תחושב לפי המרת השכר למורה בחטיבת הביניים, אולם מקדם ההמרה Y</t>
        </r>
        <r>
          <rPr>
            <b/>
            <sz val="10"/>
            <color indexed="12"/>
            <rFont val="Tahoma"/>
            <family val="2"/>
          </rPr>
          <t xml:space="preserve"> יהיה גדול ב -12.5%</t>
        </r>
        <r>
          <rPr>
            <sz val="8"/>
            <color indexed="81"/>
            <rFont val="Tahoma"/>
            <family val="2"/>
          </rPr>
          <t xml:space="preserve"> מהתוספת הקבועה בסעיף ‎44.
</t>
        </r>
      </text>
    </comment>
    <comment ref="AE708" authorId="0" shapeId="0" xr:uid="{1F999A28-F5FA-4DDF-83AE-E571A532DF01}">
      <text>
        <r>
          <rPr>
            <b/>
            <sz val="8"/>
            <color indexed="81"/>
            <rFont val="Tahoma"/>
            <family val="2"/>
          </rPr>
          <t xml:space="preserve">עזרא נפתלי:
</t>
        </r>
        <r>
          <rPr>
            <sz val="8"/>
            <color indexed="81"/>
            <rFont val="Tahoma"/>
            <family val="2"/>
          </rPr>
          <t xml:space="preserve">
לגננת שאינה  אקדמאית   מקדם ההמרה מוכפל ב 80% </t>
        </r>
      </text>
    </comment>
    <comment ref="Y716" authorId="0" shapeId="0" xr:uid="{66BA8E1C-4B70-4696-B7AD-059CC98FF9C4}">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Y717" authorId="0" shapeId="0" xr:uid="{CBCFB28F-AEB6-467A-9858-456577A0B0A7}">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G717" authorId="0" shapeId="0" xr:uid="{83F9C411-726D-429D-B477-5AC9E6F4FCFE}">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AT720" authorId="0" shapeId="0" xr:uid="{6541A1A6-1F2D-46FA-BC0D-4F13E7279E9F}">
      <text>
        <r>
          <rPr>
            <sz val="8"/>
            <color indexed="81"/>
            <rFont val="Tahoma"/>
            <family val="2"/>
          </rPr>
          <t xml:space="preserve">מבנה תאריך :
    dd/mm/yyyy
</t>
        </r>
      </text>
    </comment>
    <comment ref="AL723" authorId="0" shapeId="0" xr:uid="{A0C48CF6-33CF-4515-875A-B68BD661754E}">
      <text>
        <r>
          <rPr>
            <sz val="8"/>
            <color indexed="81"/>
            <rFont val="Tahoma"/>
            <family val="2"/>
          </rPr>
          <t xml:space="preserve">מבנה תאריך :
    dd/mm/yyyy
</t>
        </r>
      </text>
    </comment>
    <comment ref="V724" authorId="0" shapeId="0" xr:uid="{83B07B24-236E-42B8-AA8A-A011A2002D91}">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L732" authorId="0" shapeId="0" xr:uid="{1EAACEE3-BE64-48C8-BBE9-019948D7B9DC}">
      <text>
        <r>
          <rPr>
            <sz val="8"/>
            <color indexed="81"/>
            <rFont val="Tahoma"/>
            <family val="2"/>
          </rPr>
          <t xml:space="preserve">מבנה תאריך :
    dd/mm/yyyy
</t>
        </r>
      </text>
    </comment>
    <comment ref="AX734" authorId="0" shapeId="0" xr:uid="{998FBDE0-51DF-4BEA-954A-B47CFB2070FD}">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F735" authorId="0" shapeId="0" xr:uid="{8342A974-3236-4110-BBE3-0CFD638A000D}">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AW737" authorId="0" shapeId="0" xr:uid="{5F46B19C-4CF5-4745-AD74-88D9CB42AE56}">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X737" authorId="0" shapeId="0" xr:uid="{45CC36FC-8324-4707-887C-377A0BD7100F}">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U745" authorId="0" shapeId="0" xr:uid="{E69DA442-7AF4-46EF-B127-E3616C665908}">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V746" authorId="0" shapeId="0" xr:uid="{F3B551F9-EB50-452B-9698-F679569E01A6}">
      <text>
        <r>
          <rPr>
            <sz val="8"/>
            <color indexed="81"/>
            <rFont val="Tahoma"/>
            <family val="2"/>
          </rPr>
          <t xml:space="preserve"> 
     בטבלה יופיעו נתונים
     רק לאחר  שתקליד מספר      חודשי חל"ת לרכישה!
 (בתא שמעל)
</t>
        </r>
      </text>
    </comment>
    <comment ref="BF749" authorId="0" shapeId="0" xr:uid="{FFE33C0B-F0A8-4366-909F-8CAD77BC113C}">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V750" authorId="0" shapeId="0" xr:uid="{5E9D1C89-43AF-4DE8-82F6-BFEFD42E72C6}">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G751" authorId="0" shapeId="0" xr:uid="{744D871C-3C02-4A49-9ED2-A6724368D767}">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W752" authorId="0" shapeId="0" xr:uid="{54950136-8117-4984-993F-F3726005DDD1}">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T752" authorId="0" shapeId="0" xr:uid="{A2DB07F1-8247-4C29-89F8-30CDCEB3D5B3}">
      <text>
        <r>
          <rPr>
            <sz val="8"/>
            <color indexed="81"/>
            <rFont val="Tahoma"/>
            <family val="2"/>
          </rPr>
          <t xml:space="preserve">
 מועד הפרישה כפי 
 שהקשת בסימולטור
</t>
        </r>
      </text>
    </comment>
    <comment ref="V754" authorId="0" shapeId="0" xr:uid="{458D5B55-5114-4C71-AF00-05580C90BF11}">
      <text>
        <r>
          <rPr>
            <b/>
            <sz val="8"/>
            <color indexed="81"/>
            <rFont val="Tahoma"/>
            <family val="2"/>
          </rPr>
          <t xml:space="preserve">עזרא נפתלי:
נתון זה  מופיע בסדין </t>
        </r>
        <r>
          <rPr>
            <sz val="8"/>
            <color indexed="81"/>
            <rFont val="Tahoma"/>
            <family val="2"/>
          </rPr>
          <t xml:space="preserve">
</t>
        </r>
      </text>
    </comment>
    <comment ref="BA772" authorId="0" shapeId="0" xr:uid="{0A8BC0FF-E689-4AE1-8C60-F9AEDE134DDB}">
      <text>
        <r>
          <rPr>
            <sz val="8"/>
            <color indexed="81"/>
            <rFont val="Tahoma"/>
            <family val="2"/>
          </rPr>
          <t xml:space="preserve">
   משמש  לחישוב מענק יובל  
</t>
        </r>
      </text>
    </comment>
    <comment ref="BA774" authorId="0" shapeId="0" xr:uid="{17B997DE-0ED3-4F54-846D-2A3E24E76C97}">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A775" authorId="0" shapeId="0" xr:uid="{7073F030-1CD2-4051-96CC-825C0579DC7E}">
      <text>
        <r>
          <rPr>
            <sz val="8"/>
            <color indexed="81"/>
            <rFont val="Tahoma"/>
            <family val="2"/>
          </rPr>
          <t xml:space="preserve">יכלל כרכיב לפנסיה 
 רק למורה  שחינך בשנה אחרונה שלפני הפרישה
</t>
        </r>
      </text>
    </comment>
    <comment ref="H776" authorId="0" shapeId="0" xr:uid="{CBDC35BC-C6B7-43F9-9F62-A499A321DFE5}">
      <text>
        <r>
          <rPr>
            <b/>
            <sz val="11"/>
            <color indexed="10"/>
            <rFont val="Tahoma"/>
            <family val="2"/>
          </rPr>
          <t xml:space="preserve">   מצ"ב   כתובת  אימייל
לפניותכם  :
ezranf@013.net </t>
        </r>
        <r>
          <rPr>
            <sz val="8"/>
            <color indexed="81"/>
            <rFont val="Tahoma"/>
            <family val="2"/>
          </rPr>
          <t xml:space="preserve"> 
לבירורים  ושאלות מומלץ לצרף את קובץ הסימולטור   המעודכן  בנתונים האישיים הקשורים לשאלתכם.
</t>
        </r>
        <r>
          <rPr>
            <b/>
            <sz val="8"/>
            <color indexed="48"/>
            <rFont val="Tahoma"/>
            <family val="2"/>
          </rPr>
          <t>כל הצעה או רעיון להמשך  פיתוח  או שינוי 
יתקבלו בברכה .</t>
        </r>
        <r>
          <rPr>
            <sz val="8"/>
            <color indexed="81"/>
            <rFont val="Tahoma"/>
            <family val="2"/>
          </rPr>
          <t xml:space="preserve">
</t>
        </r>
      </text>
    </comment>
    <comment ref="BA776" authorId="0" shapeId="0" xr:uid="{45636A89-AE0B-4CC0-9079-493207B69BE2}">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A777" authorId="0" shapeId="0" xr:uid="{A36B90F7-2415-4CF2-8D13-412BB8D4DEF3}">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H778" authorId="0" shapeId="0" xr:uid="{8AF636F7-67A4-4117-A885-D6BE51578A22}">
      <text>
        <r>
          <rPr>
            <b/>
            <sz val="8"/>
            <color indexed="81"/>
            <rFont val="Tahoma"/>
            <family val="2"/>
          </rPr>
          <t xml:space="preserve"> סכומים אלו  צריכים 
להתאים לתלוש השכר ממנו הזנת את הנתונים </t>
        </r>
      </text>
    </comment>
    <comment ref="BA778" authorId="0" shapeId="0" xr:uid="{B78684FF-68CD-4768-8679-0402FBA12122}">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A779" authorId="0" shapeId="0" xr:uid="{41E296A4-98BA-47B5-93C3-1EDFF6651244}">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A780" authorId="0" shapeId="0" xr:uid="{DAD1B4C1-7467-4D6F-9A61-829008753710}">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A782" authorId="0" shapeId="0" xr:uid="{C5D461CF-BFCB-410F-9329-3B08A7D23FBA}">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K784" authorId="0" shapeId="0" xr:uid="{88108264-928C-4C3E-8151-540A825A3951}">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BA784" authorId="0" shapeId="0" xr:uid="{1E1A8BF5-AAAD-4348-AE31-92C3188F6D5D}">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A785" authorId="0" shapeId="0" xr:uid="{2FD48450-BCC3-4F8E-98E5-E3E3DACC1DCA}">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A787" authorId="0" shapeId="0" xr:uid="{EF39DF71-6BE6-4EE2-90DB-4155DF860F0A}">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Y810" authorId="0" shapeId="0" xr:uid="{4B189235-B9D4-43C1-ACEC-67A44C31AC47}">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H878" authorId="0" shapeId="0" xr:uid="{809B0399-CD54-4ADC-91B8-A8AD269A4AA5}">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F904" authorId="0" shapeId="0" xr:uid="{CD5D1610-44EC-4F82-8514-9B5E306BCC20}">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F906" authorId="0" shapeId="0" xr:uid="{79A6D655-2615-4BAE-9847-3EA585C42BDD}">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F907" authorId="0" shapeId="0" xr:uid="{629F2EE3-3175-430D-8039-0523741E0D66}">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F908" authorId="0" shapeId="0" xr:uid="{7AD004F4-DA23-44EC-905E-6BF55A49DA6D}">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D911" authorId="0" shapeId="0" xr:uid="{98A78EF2-06C9-43E4-ACEB-D888FA1A5FDF}">
      <text>
        <r>
          <rPr>
            <b/>
            <sz val="8"/>
            <color indexed="81"/>
            <rFont val="Tahoma"/>
            <family val="2"/>
          </rPr>
          <t xml:space="preserve">
סכום חד פעמי שתקבל  עם פרישתך  (החישוב  במסלול 
פריסה  ועפ"י מדרגות מס    
       נוכחיות )</t>
        </r>
      </text>
    </comment>
    <comment ref="F911" authorId="0" shapeId="0" xr:uid="{613D5487-76CD-4DC2-8712-ECA13DEAE58C}">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G911" authorId="1" shapeId="0" xr:uid="{3940458F-435B-4DF8-998C-D6B1C4DA11DE}">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G913" authorId="0" shapeId="0" xr:uid="{262DB7D0-807C-4D0D-8D17-C05022C88536}">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914" authorId="0" shapeId="0" xr:uid="{6C893C8D-70E7-4C8F-BC69-3963927537AB}">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926" authorId="0" shapeId="0" xr:uid="{41C3F1FD-3244-49AA-A39B-B4C7C9349A16}">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E929" authorId="0" shapeId="0" xr:uid="{AD608461-91B4-4648-9F98-80C5973F606B}">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940" authorId="0" shapeId="0" xr:uid="{15FC7311-61DB-4612-B8A4-40F03076DE0E}">
      <text>
        <r>
          <rPr>
            <sz val="8"/>
            <color indexed="81"/>
            <rFont val="Tahoma"/>
            <family val="2"/>
          </rPr>
          <t xml:space="preserve">אם קבלת ערב הרפורמה 
אזי   החישוב  כדלקמן:
  43%   
  כפול שיעור המשרה בהדרכה               ערב הפרישה      
</t>
        </r>
      </text>
    </comment>
    <comment ref="D943" authorId="0" shapeId="0" xr:uid="{DE3EA23D-8677-47B9-B35F-2D59018E4D97}">
      <text>
        <r>
          <rPr>
            <sz val="8"/>
            <color indexed="81"/>
            <rFont val="Tahoma"/>
            <family val="2"/>
          </rPr>
          <t xml:space="preserve">שיעור גמול חינוך מיוחד 
במועד הפרישה
באחוזים   מוכפל 
בשעור המשרה ערב הפרישה
</t>
        </r>
      </text>
    </comment>
    <comment ref="G960" authorId="0" shapeId="0" xr:uid="{A7E9211C-5A46-421B-BD57-BEA6BCB857D8}">
      <text>
        <r>
          <rPr>
            <sz val="8"/>
            <color indexed="81"/>
            <rFont val="Tahoma"/>
            <family val="2"/>
          </rPr>
          <t xml:space="preserve">    </t>
        </r>
        <r>
          <rPr>
            <b/>
            <u/>
            <sz val="8"/>
            <color indexed="10"/>
            <rFont val="Tahoma"/>
            <family val="2"/>
          </rPr>
          <t xml:space="preserve"> 
     חישוב    קצבת  הפנסיה :</t>
        </r>
        <r>
          <rPr>
            <sz val="8"/>
            <color indexed="81"/>
            <rFont val="Tahoma"/>
            <family val="2"/>
          </rPr>
          <t xml:space="preserve">
          אחוזים  לפנסיה  שצברת 
      כפול 
        משכורת קובעת האחרונה  שלך             ערב הפרישה  הכוללת  :
        </t>
        </r>
        <r>
          <rPr>
            <sz val="8"/>
            <color indexed="10"/>
            <rFont val="Tahoma"/>
            <family val="2"/>
          </rPr>
          <t>ברוטו לפנסיה ,</t>
        </r>
        <r>
          <rPr>
            <sz val="8"/>
            <color indexed="12"/>
            <rFont val="Tahoma"/>
            <family val="2"/>
          </rPr>
          <t xml:space="preserve"> ומענק יובל,
       ביגוד והבראה  בחישוב חודשי</t>
        </r>
        <r>
          <rPr>
            <sz val="8"/>
            <color indexed="81"/>
            <rFont val="Tahoma"/>
            <family val="2"/>
          </rPr>
          <t xml:space="preserve"> .
 </t>
        </r>
      </text>
    </comment>
    <comment ref="G961" authorId="0" shapeId="0" xr:uid="{F3D16163-CFE6-4D69-BFCF-795D2638D1E1}">
      <text>
        <r>
          <rPr>
            <sz val="8"/>
            <color indexed="81"/>
            <rFont val="Tahoma"/>
            <family val="2"/>
          </rPr>
          <t xml:space="preserve">
קיצבה רגילה - הקיצבה מחושבת כאחוז ממשכורת קובעת. 2% מהמשכורת הקובעת (ברוטו לפנסיה)עבור כל שנה ו 0.1667%  מהמשכורת הקובעת עבור כל חודש.
לדוגמה: עובד פרש לאחר עשרים שנה וחודשיים בשרות המדינה ומשכורתו הקובעת לגמלאות הינה  10,000 קיצבתו החודשית תהיה:
 4,333 שקל לחודש = 10,000  *40.33% 
תקופה שאינה עולה על חודש :
   מעל 15  ימים  תחשב כחודש שלם
       15  ימים ומטה  לא תחשב כלל  .
</t>
        </r>
      </text>
    </comment>
    <comment ref="G962" authorId="0" shapeId="0" xr:uid="{18463467-7A2F-44D8-A6BE-653C4E80847E}">
      <text>
        <r>
          <rPr>
            <sz val="8"/>
            <color indexed="81"/>
            <rFont val="Tahoma"/>
            <family val="2"/>
          </rPr>
          <t xml:space="preserve">   
</t>
        </r>
        <r>
          <rPr>
            <sz val="8"/>
            <color indexed="10"/>
            <rFont val="Tahoma"/>
            <family val="2"/>
          </rPr>
          <t>חישוב   מענק יובל  בפנסיה   :</t>
        </r>
        <r>
          <rPr>
            <sz val="8"/>
            <color indexed="81"/>
            <rFont val="Tahoma"/>
            <family val="2"/>
          </rPr>
          <t xml:space="preserve">
     60 אחוז מתוך 
  קצבת הפנסיה  החודשית</t>
        </r>
        <r>
          <rPr>
            <b/>
            <sz val="8"/>
            <color indexed="81"/>
            <rFont val="Tahoma"/>
            <family val="2"/>
          </rPr>
          <t>(ללא ביגוד והבראה )</t>
        </r>
        <r>
          <rPr>
            <sz val="8"/>
            <color indexed="81"/>
            <rFont val="Tahoma"/>
            <family val="2"/>
          </rPr>
          <t xml:space="preserve">
</t>
        </r>
      </text>
    </comment>
    <comment ref="G964" authorId="0" shapeId="0" xr:uid="{E11AE170-6504-47DD-9949-D2C73E0C14A6}">
      <text>
        <r>
          <rPr>
            <sz val="8"/>
            <color indexed="81"/>
            <rFont val="Tahoma"/>
            <family val="2"/>
          </rPr>
          <t xml:space="preserve">
במהלך השנה הקלנדרית הראשונה לפרישה זכאי הגמלאי</t>
        </r>
        <r>
          <rPr>
            <b/>
            <sz val="8"/>
            <color indexed="81"/>
            <rFont val="Tahoma"/>
            <family val="2"/>
          </rPr>
          <t xml:space="preserve"> </t>
        </r>
        <r>
          <rPr>
            <b/>
            <sz val="8"/>
            <color indexed="10"/>
            <rFont val="Tahoma"/>
            <family val="2"/>
          </rPr>
          <t xml:space="preserve">למלוא התשלום </t>
        </r>
        <r>
          <rPr>
            <sz val="8"/>
            <color indexed="81"/>
            <rFont val="Tahoma"/>
            <family val="2"/>
          </rPr>
          <t xml:space="preserve"> מהמשרד בו עבד ערב הפרישה (ולא על פי אחוז הקצבה).
לדוגמה : עובד פרש לגמלאות באוגוסט וזכאי למענק יובל, ב 1 אוקטובר יפיק המשרד ממנו פרש תלוש שכר וישלם לו מענק יובל בגובה 60% מהשכר לו היה זכאי לו היה ממשיך לעבוד.  ב 30 ספטמבר שנה מאוחר יותר יקבל מענק יובל בגמלאתו בגובה 60% מהקיצבה. 
 הבראה  -בקצבת חודש יוני
  ביגוד  -   בקצבת חודש יולי
   מענק יובל -בקצבת חודש ספטמבר 
   תשלומים אלו   משולמים פעם בשנה  אך  מופיעים בסימולטור כסכום  ממוצע  חודשי.
   </t>
        </r>
      </text>
    </comment>
    <comment ref="F969" authorId="0" shapeId="0" xr:uid="{C335D8BC-EFE0-4C99-A950-21C9AAA6FC9B}">
      <text>
        <r>
          <rPr>
            <b/>
            <sz val="8"/>
            <color indexed="81"/>
            <rFont val="Tahoma"/>
            <family val="2"/>
          </rPr>
          <t xml:space="preserve">
</t>
        </r>
        <r>
          <rPr>
            <b/>
            <sz val="8"/>
            <color indexed="10"/>
            <rFont val="Tahoma"/>
            <family val="2"/>
          </rPr>
          <t>הקלות במס לבן/בת זוג בעלי הכנסה שנתית נמוכה</t>
        </r>
        <r>
          <rPr>
            <b/>
            <sz val="8"/>
            <color indexed="81"/>
            <rFont val="Tahoma"/>
            <family val="2"/>
          </rPr>
          <t xml:space="preserve"> 
א. אם הגעתם לגיל פרישה ולבן/ת הזוג שלכם אין הכנסות, אתם זכאים לנקודת זיכוי אחת נוספת בהתאם לשווי שלה בשנת המס הנוכחית. כדי לקבל את ההקלות עליכם לפנות לפקיד השומה במס הכנסה ולמלא טופס 116. מידע והסברים על מילוי טופס 116 תוכלו למצוא בערוץ תיאום מס לשכירים.
ב. אם אתם או בני הזוג שלכם הגעתם לגיל פרישה ולבני הזוג שלכם הכנסות שנתיות הנמוכות מהקבוע בחוק אתם זכאים לנקודת זיכוי ממס נוספת. כדי לקבל את ההקלות עליכם לפנות לפקיד השומה במס הכנסה ולמלא טופס 116. מידע והסברים על מילוי טופס 116 תוכלו למצוא בערוץ תיאום מס לשכירים. 
חשוב לדעת 
כדי לקבל את הזיכוי במס עליכם להגיע לפקיד השומה אך ורק בין החודשים נובמבר-דצמבר. 
 </t>
        </r>
        <r>
          <rPr>
            <b/>
            <sz val="8"/>
            <color indexed="10"/>
            <rFont val="Tahoma"/>
            <family val="2"/>
          </rPr>
          <t>לאישה</t>
        </r>
        <r>
          <rPr>
            <b/>
            <sz val="8"/>
            <color indexed="81"/>
            <rFont val="Tahoma"/>
            <family val="2"/>
          </rPr>
          <t xml:space="preserve"> : גיל הפרישה האישי  שלך  מופיעה  בתא  G30
                    (גיל פרישה לגבר 67 )
</t>
        </r>
      </text>
    </comment>
    <comment ref="F971" authorId="0" shapeId="0" xr:uid="{BF14CD9A-AB01-4F5E-9A34-EE5FD0FB183D}">
      <text>
        <r>
          <rPr>
            <b/>
            <sz val="8"/>
            <color indexed="81"/>
            <rFont val="Tahoma"/>
            <family val="2"/>
          </rPr>
          <t xml:space="preserve">עזרא נפתלי:
</t>
        </r>
        <r>
          <rPr>
            <sz val="8"/>
            <color indexed="81"/>
            <rFont val="Tahoma"/>
            <family val="2"/>
          </rPr>
          <t xml:space="preserve">
</t>
        </r>
        <r>
          <rPr>
            <b/>
            <sz val="8"/>
            <color indexed="10"/>
            <rFont val="Tahoma"/>
            <family val="2"/>
          </rPr>
          <t>פטור מתשלום דמי ביטוח, הכנסה מפנסיה - אילו גמלאים פטורים מתשלום דמי ביטוח מהפנסיה?</t>
        </r>
        <r>
          <rPr>
            <sz val="8"/>
            <color indexed="81"/>
            <rFont val="Tahoma"/>
            <family val="2"/>
          </rPr>
          <t xml:space="preserve">
1. מבוטח שהגיע לגיל פרישה.
2. אלמנה המקבלת מן המוסד לביטוח לאומי קצבת שאירים או קצבה לבני משפחה של נפטר מתאונת עבודה.
3. מבוטח נכה המקבל מן המוסד לביטוח לאומי קצבת נכות כללית בשיעור של 75% לפחות לצמיתות, או קצבת נכות מעבודה בשיעור של 100% לצמיתות, או קצבת נכות של 75% זמנית, לשנה אחד לפחות, או נכות מעבודה.
4. אישה נשואה שאינה עובדת מחוץ למשק ביתה ובעלה מבוטח בביטוח זקנה ושאירים. 
  הגיל שבו זכאותך לקצבת זקנה מותנית בהכנסות שלך מעבודה ושלא מעבודה. ההכנסה מפנסיה אינה נלקחת בחשבון. גיל זה עולה בהדרגה, וכשיושלם התהליך, הוא יהיה 67 לגברים ו-64 לנשים. 
                                        מתוך האתר לבטוח לאומי 
</t>
        </r>
      </text>
    </comment>
    <comment ref="G971" authorId="0" shapeId="0" xr:uid="{B4200447-4D65-413D-8563-1A6866C8EE58}">
      <text>
        <r>
          <rPr>
            <b/>
            <sz val="8"/>
            <color indexed="81"/>
            <rFont val="Tahoma"/>
            <family val="2"/>
          </rPr>
          <t xml:space="preserve">עזרא נפתלי:
                      </t>
        </r>
        <r>
          <rPr>
            <b/>
            <sz val="10"/>
            <color indexed="10"/>
            <rFont val="Tahoma"/>
            <family val="2"/>
          </rPr>
          <t>דמי ביטוח בריאות 
              ל</t>
        </r>
        <r>
          <rPr>
            <b/>
            <sz val="9"/>
            <color indexed="10"/>
            <rFont val="Tahoma"/>
            <family val="2"/>
          </rPr>
          <t xml:space="preserve">מקבל פנסיה מוקדמת
</t>
        </r>
        <r>
          <rPr>
            <sz val="8"/>
            <color indexed="81"/>
            <rFont val="Tahoma"/>
            <family val="2"/>
          </rPr>
          <t xml:space="preserve">
גמלאי שעדיין לא הגיע לגיל פרישה, וגמלאית מבוטחת שעדיין לא הגיעה לגיל פרישה, ומשולמת להם פנסיה, משלם הפנסיה ינכה מהפנסיה </t>
        </r>
        <r>
          <rPr>
            <b/>
            <sz val="8"/>
            <color indexed="10"/>
            <rFont val="Tahoma"/>
            <family val="2"/>
          </rPr>
          <t>דמי ביטוח בריאות</t>
        </r>
        <r>
          <rPr>
            <sz val="8"/>
            <color indexed="81"/>
            <rFont val="Tahoma"/>
            <family val="2"/>
          </rPr>
          <t xml:space="preserve"> בשיעור של % 3.10 (החל ב- 01.02.2004) מהחלק של הפנסיה שעד 60% מהשכר הממוצע ו–% 5.00 (החל ב- 01.01.2006) מחלק הפנסיה שמעל 60% מהשכר הממוצע.
        מתוך אתר בטוח לאומי 
</t>
        </r>
      </text>
    </comment>
    <comment ref="F972" authorId="0" shapeId="0" xr:uid="{70A22C55-7C72-4995-9EB8-6A92A198B572}">
      <text>
        <r>
          <rPr>
            <b/>
            <sz val="8"/>
            <color indexed="81"/>
            <rFont val="Tahoma"/>
            <family val="2"/>
          </rPr>
          <t xml:space="preserve">עזרא נפתלי:  
</t>
        </r>
        <r>
          <rPr>
            <b/>
            <u/>
            <sz val="10"/>
            <color indexed="10"/>
            <rFont val="Tahoma"/>
            <family val="2"/>
          </rPr>
          <t>דמי בטוח בריאות ל</t>
        </r>
        <r>
          <rPr>
            <b/>
            <u/>
            <sz val="9"/>
            <color indexed="10"/>
            <rFont val="Tahoma"/>
            <family val="2"/>
          </rPr>
          <t>מקבלי קצבת זקנה</t>
        </r>
        <r>
          <rPr>
            <b/>
            <sz val="9"/>
            <color indexed="10"/>
            <rFont val="Tahoma"/>
            <family val="2"/>
          </rPr>
          <t xml:space="preserve">
</t>
        </r>
        <r>
          <rPr>
            <sz val="8"/>
            <color indexed="81"/>
            <rFont val="Tahoma"/>
            <family val="2"/>
          </rPr>
          <t xml:space="preserve">
</t>
        </r>
        <r>
          <rPr>
            <b/>
            <sz val="8"/>
            <color indexed="81"/>
            <rFont val="Tahoma"/>
            <family val="2"/>
          </rPr>
          <t xml:space="preserve">ממקבלי קצבת זקנה ינוכו </t>
        </r>
        <r>
          <rPr>
            <b/>
            <sz val="8"/>
            <color indexed="10"/>
            <rFont val="Tahoma"/>
            <family val="2"/>
          </rPr>
          <t xml:space="preserve">דמי ביטוח בריאות </t>
        </r>
        <r>
          <rPr>
            <b/>
            <sz val="8"/>
            <color indexed="81"/>
            <rFont val="Tahoma"/>
            <family val="2"/>
          </rPr>
          <t>בשיעורים הבאים:</t>
        </r>
        <r>
          <rPr>
            <sz val="8"/>
            <color indexed="81"/>
            <rFont val="Tahoma"/>
            <family val="2"/>
          </rPr>
          <t xml:space="preserve">
מקבל קצבת זקנה בתוספת השלמת הכנסה - ישלם סכום מינימלי של 97 ש"ח (החל ב- 01.01.2011) .
מקבל קצבת זקנה ליחיד ללא השלמת הכנסה - ישלם 184 ש"ח (החל ב- 01.01.2011) .
גבר שמקבל קצבת זקנה עם תוספת בעבור אשתו, או שני בני זוג שמקבלים קצבאות זקנה מכוח עצמם - ינוכו מקצבתו של הגבר דמי ביטוח בריאות בשיעור של  267 ש"ח (החל ב- 01.01.2011) .
אישה נשואה שמקבלת קצבת זקנה ובעלה מבוטח בביטוח הלאומי - פטורה מתשלום דמי ביטוח בריאות מהקצבה.
שים לב,
מקבלי קצבת זקנה פטורים מתשלום דמי ביטוח בריאות מכל הכנסה אחרת.
</t>
        </r>
      </text>
    </comment>
    <comment ref="E973" authorId="0" shapeId="0" xr:uid="{5C37D2A6-AB2E-485F-A62C-007D515E86C1}">
      <text>
        <r>
          <rPr>
            <sz val="8"/>
            <color indexed="81"/>
            <rFont val="Tahoma"/>
            <family val="2"/>
          </rPr>
          <t xml:space="preserve">
פטור של 35% מהקיצבה ניתן לאחר השלבים הבאים יחדיו  :
1  פנסיונר/ית שהגיע/ה לגיל פרישה החדש  
 2 פנסיונר/ית ששילמ/ה מס על מענקי הפרישה
במידה והגעת לגיל פרישה ולא שילמת מס על מענקי הפרישה, יחושב הפטור לפי נוסחה מיוחדת ויתכן כי לא ינתן כל הפטור בשיעור של 35% אלא באופן חלקי בלבד. 
גיל הפרישה החדש הוא לגברים 67 ולנשים 62 בהדרגה
(מאתר מנהלת הגמלאות)
 פטור זה  אינו   נכלל בחישוב  בסכום הקצבה  שבטבלה  זו .  פטור זה כן  מופיע  בטבלת   מסלולי המיסוי.
</t>
        </r>
      </text>
    </comment>
    <comment ref="G973" authorId="0" shapeId="0" xr:uid="{A90F39F5-6AB6-4C85-A896-6D9FD2D6B66F}">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 ref="G974" authorId="0" shapeId="0" xr:uid="{6F9C3F87-8F4D-4BDA-9F53-71115867F43C}">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עזרא נפתלי</author>
    <author>techn</author>
  </authors>
  <commentList>
    <comment ref="T2" authorId="0" shapeId="0" xr:uid="{D90EB5C0-99F1-4974-8BA8-CDD90E998C2C}">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P4" authorId="0" shapeId="0" xr:uid="{F1E52C90-829D-43A6-BF9E-15BE061A3179}">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J6" authorId="0" shapeId="0" xr:uid="{A465BA67-1128-48B5-A0B8-F4E96B6FF1E3}">
      <text>
        <r>
          <rPr>
            <b/>
            <sz val="8"/>
            <color indexed="81"/>
            <rFont val="Tahoma"/>
            <family val="2"/>
          </rPr>
          <t xml:space="preserve"> סכומים אלו  צריכים 
להתאים לתלוש השכר ממנו הזנת את הנתונים </t>
        </r>
      </text>
    </comment>
    <comment ref="O6" authorId="0" shapeId="0" xr:uid="{97C0FAF4-78DC-45B8-9CC3-D3B45E73DB38}">
      <text>
        <r>
          <rPr>
            <b/>
            <sz val="8"/>
            <color indexed="81"/>
            <rFont val="Tahoma"/>
            <family val="2"/>
          </rPr>
          <t xml:space="preserve"> סכומים אלו  צריכים 
להתאים לתלוש השכר ממנו הזנת את הנתונים </t>
        </r>
      </text>
    </comment>
    <comment ref="I7" authorId="0" shapeId="0" xr:uid="{8BA22D17-E6FB-4385-8F88-A22B4E5EEA34}">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P10" authorId="0" shapeId="0" xr:uid="{F7D31681-E4C7-4CD8-94EF-DD9167335029}">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AD13" authorId="0" shapeId="0" xr:uid="{CF2993A4-C476-4177-A4A4-15DC648D8A92}">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AD14" authorId="0" shapeId="0" xr:uid="{51655FA9-3744-4921-BC6D-B8ACC1A6AFF4}">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L14" authorId="0" shapeId="0" xr:uid="{54D31F92-6643-460D-BC02-42FA96B3E0CE}">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B15" authorId="0" shapeId="0" xr:uid="{21BE25CC-A8E2-425B-BF7A-C80387A03EA7}">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D15" authorId="0" shapeId="0" xr:uid="{2D87385C-6389-42F7-9506-AEBB023924E6}">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AA17" authorId="0" shapeId="0" xr:uid="{7BC8588F-2139-4356-AA74-6D74D449BE8A}">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‎22 לעיל, לפי בסיס משרה של 24 ש"ש, בבית ספר יסודי, בשנת הלימודים שבה חל.. החודש הקובע, תחושב לפי המרת השכר למורה בחטיבת הביניים, אולם </t>
        </r>
        <r>
          <rPr>
            <b/>
            <sz val="8"/>
            <color indexed="12"/>
            <rFont val="Tahoma"/>
            <family val="2"/>
          </rPr>
          <t>מקדם ההמרה Y יהיה גדול ב -12.5%</t>
        </r>
        <r>
          <rPr>
            <sz val="8"/>
            <color indexed="81"/>
            <rFont val="Tahoma"/>
            <family val="2"/>
          </rPr>
          <t xml:space="preserve"> מהתוספת הקבועה בסעיף
</t>
        </r>
      </text>
    </comment>
    <comment ref="AQ17" authorId="0" shapeId="0" xr:uid="{AB8ACFAD-BEFE-4ADF-924A-2E0A2F984A79}">
      <text>
        <r>
          <rPr>
            <sz val="8"/>
            <color indexed="81"/>
            <rFont val="Tahoma"/>
            <family val="2"/>
          </rPr>
          <t xml:space="preserve">מבנה תאריך :
    dd/mm/yyyy
</t>
        </r>
      </text>
    </comment>
    <comment ref="AA20" authorId="0" shapeId="0" xr:uid="{8F02D313-CF83-4665-B2D4-135ECFFD66A9}">
      <text>
        <r>
          <rPr>
            <b/>
            <sz val="8"/>
            <color indexed="81"/>
            <rFont val="Tahoma"/>
            <family val="2"/>
          </rPr>
          <t xml:space="preserve">עזרא נפתלי:
</t>
        </r>
        <r>
          <rPr>
            <sz val="8"/>
            <color indexed="81"/>
            <rFont val="Tahoma"/>
            <family val="2"/>
          </rPr>
          <t xml:space="preserve">
לגננת שאינה  אקדמאית   מקדם ההמרה מוכפל ב 90% </t>
        </r>
      </text>
    </comment>
    <comment ref="AQ20" authorId="0" shapeId="0" xr:uid="{A7AEC164-D39D-4DE5-B0C7-9C00EEFE1C0D}">
      <text>
        <r>
          <rPr>
            <sz val="8"/>
            <color indexed="81"/>
            <rFont val="Tahoma"/>
            <family val="2"/>
          </rPr>
          <t xml:space="preserve">מבנה תאריך :
    dd/mm/yyyy
</t>
        </r>
      </text>
    </comment>
    <comment ref="AA21" authorId="0" shapeId="0" xr:uid="{9E91A902-66D5-4272-9064-B965E24C6692}">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Q22" authorId="0" shapeId="0" xr:uid="{3BC50C73-A0CF-454B-9D43-A015B746220A}">
      <text>
        <r>
          <rPr>
            <sz val="8"/>
            <color indexed="81"/>
            <rFont val="Tahoma"/>
            <family val="2"/>
          </rPr>
          <t xml:space="preserve">מבנה תאריך :
    dd/mm/yyyy
</t>
        </r>
      </text>
    </comment>
    <comment ref="BC24" authorId="0" shapeId="0" xr:uid="{00726B9E-208A-4A49-AA5E-9E8E8B29BF51}">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K25" authorId="0" shapeId="0" xr:uid="{A08482F6-6BB9-48E6-9B7B-892A4BB42F38}">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BB27" authorId="0" shapeId="0" xr:uid="{066F344E-D0C9-4E34-B7CA-DB26D79C6126}">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BC27" authorId="0" shapeId="0" xr:uid="{05378102-DC8D-4CA1-860B-6F9955426D2B}">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Z35" authorId="0" shapeId="0" xr:uid="{B5CFE950-F6C0-4981-ABB1-581A821493B1}">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AA36" authorId="0" shapeId="0" xr:uid="{6BDAA8E5-E9D9-43C4-958E-F661A12F60DB}">
      <text>
        <r>
          <rPr>
            <sz val="8"/>
            <color indexed="81"/>
            <rFont val="Tahoma"/>
            <family val="2"/>
          </rPr>
          <t xml:space="preserve"> 
     בטבלה יופיעו נתונים
     רק לאחר  שתקליד מספר      חודשי חל"ת לרכישה!
 (בתא שמעל)
</t>
        </r>
      </text>
    </comment>
    <comment ref="BK39" authorId="0" shapeId="0" xr:uid="{01335268-8420-402B-A32E-55200558A9F8}">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AA40" authorId="0" shapeId="0" xr:uid="{D4485E90-4C6C-4F96-964C-A8D191D4069A}">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L41" authorId="0" shapeId="0" xr:uid="{93B2B54A-42AF-4D6F-AC4C-EA42A67321F6}">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AB42" authorId="0" shapeId="0" xr:uid="{40F59CE4-4DE9-4B7E-9BDF-8423C3608117}">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Y42" authorId="0" shapeId="0" xr:uid="{4A6045C9-AC61-4DDE-BC20-2872C085910E}">
      <text>
        <r>
          <rPr>
            <sz val="8"/>
            <color indexed="81"/>
            <rFont val="Tahoma"/>
            <family val="2"/>
          </rPr>
          <t xml:space="preserve">
 מועד הפרישה כפי 
 שהקשת בסימולטור
</t>
        </r>
      </text>
    </comment>
    <comment ref="AA44" authorId="0" shapeId="0" xr:uid="{FB9B3645-650A-4697-B9FC-BAE9C0C81DC6}">
      <text>
        <r>
          <rPr>
            <b/>
            <sz val="8"/>
            <color indexed="81"/>
            <rFont val="Tahoma"/>
            <family val="2"/>
          </rPr>
          <t xml:space="preserve">עזרא נפתלי:
נתון זה  מופיע בסדין </t>
        </r>
        <r>
          <rPr>
            <sz val="8"/>
            <color indexed="81"/>
            <rFont val="Tahoma"/>
            <family val="2"/>
          </rPr>
          <t xml:space="preserve">
</t>
        </r>
      </text>
    </comment>
    <comment ref="G47" authorId="0" shapeId="0" xr:uid="{1830FB93-C759-4897-8352-832D00CCBF1F}">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B58" authorId="0" shapeId="0" xr:uid="{5562C061-E9AE-4457-8589-67856D56D86A}">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BF62" authorId="0" shapeId="0" xr:uid="{D85556C9-BAA7-4E6C-B451-E16E59BBBA04}">
      <text>
        <r>
          <rPr>
            <sz val="8"/>
            <color indexed="81"/>
            <rFont val="Tahoma"/>
            <family val="2"/>
          </rPr>
          <t xml:space="preserve">
   משמש  לחישוב מענק יובל  
</t>
        </r>
      </text>
    </comment>
    <comment ref="BF64" authorId="0" shapeId="0" xr:uid="{971B12D4-42FE-4DFE-8E65-E1AAC8EDCA67}">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F65" authorId="0" shapeId="0" xr:uid="{4F91752D-E24B-4755-BA6C-18C1F8B31347}">
      <text>
        <r>
          <rPr>
            <sz val="8"/>
            <color indexed="81"/>
            <rFont val="Tahoma"/>
            <family val="2"/>
          </rPr>
          <t xml:space="preserve">יכלל כרכיב לפנסיה 
 רק למורה  שחינך בשנה אחרונה שלפני הפרישה
</t>
        </r>
      </text>
    </comment>
    <comment ref="BF66" authorId="0" shapeId="0" xr:uid="{53B0E4D3-B858-4CE2-8E0D-21A345B3A677}">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F67" authorId="0" shapeId="0" xr:uid="{E18A528D-424F-4FD3-A236-2414EF55C13C}">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BF68" authorId="0" shapeId="0" xr:uid="{787EE789-664B-444E-ABBF-6E2C16177295}">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F69" authorId="0" shapeId="0" xr:uid="{14072264-4E75-4334-B9EC-06F75C2B4E3F}">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F70" authorId="0" shapeId="0" xr:uid="{114AED39-0E80-435B-B18E-8F0FECEAEEB6}">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F72" authorId="0" shapeId="0" xr:uid="{EEA5C76B-6420-4B37-A728-2E89E245EFC9}">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BF74" authorId="0" shapeId="0" xr:uid="{88C0C5C6-0B9A-4F59-ABDC-B11A4951C9A1}">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F75" authorId="0" shapeId="0" xr:uid="{C84781EA-7059-4067-8555-7F1C329D05F9}">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F77" authorId="0" shapeId="0" xr:uid="{9B39504B-49F3-4BBD-AE24-34424D1704BA}">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G149" authorId="0" shapeId="0" xr:uid="{C8CBC58D-2A36-43B8-9C9C-D8EDAF2FBF9D}">
      <text>
        <r>
          <rPr>
            <b/>
            <sz val="8"/>
            <color indexed="81"/>
            <rFont val="Tahoma"/>
            <family val="2"/>
          </rPr>
          <t xml:space="preserve">
בתנאי שתוספת זו ניתנה לך  במסגרת תפקידך הקבוע 
ערב הרפורמה .
.
</t>
        </r>
        <r>
          <rPr>
            <b/>
            <sz val="11"/>
            <color indexed="10"/>
            <rFont val="Tahoma"/>
            <family val="2"/>
          </rPr>
          <t>לגננת עצמאית  :</t>
        </r>
        <r>
          <rPr>
            <b/>
            <sz val="11"/>
            <color indexed="12"/>
            <rFont val="Tahoma"/>
            <family val="2"/>
          </rPr>
          <t xml:space="preserve"> </t>
        </r>
        <r>
          <rPr>
            <b/>
            <sz val="8"/>
            <color indexed="12"/>
            <rFont val="Tahoma"/>
            <family val="2"/>
          </rPr>
          <t>הקלידי  אחוזי  גמול  ריכוז  גן  בסעיף זה .
        ובסעיף הבא (ותק למנהל ולסגנו ) הקלידי  אחוזי  ותק               גמול     ריכוז גן  .</t>
        </r>
        <r>
          <rPr>
            <b/>
            <sz val="8"/>
            <color indexed="81"/>
            <rFont val="Tahoma"/>
            <family val="2"/>
          </rPr>
          <t xml:space="preserve">
 </t>
        </r>
      </text>
    </comment>
    <comment ref="G150" authorId="0" shapeId="0" xr:uid="{91FB7BE0-8338-4379-B4AD-8B487A4BDB71}">
      <text>
        <r>
          <rPr>
            <b/>
            <sz val="8"/>
            <color indexed="81"/>
            <rFont val="Tahoma"/>
            <family val="2"/>
          </rPr>
          <t xml:space="preserve">
בתנאי שתוספת זו ניתנה לעובד  במסגרת תפקידו הקבוע .
</t>
        </r>
        <r>
          <rPr>
            <b/>
            <sz val="8"/>
            <color indexed="12"/>
            <rFont val="Tahoma"/>
            <family val="2"/>
          </rPr>
          <t>אם  הנך כיום  בשנה הראשונה  בתפקיד  ואינך
זכאי/ת עדיין  לותק בניהול הקש    0.1</t>
        </r>
        <r>
          <rPr>
            <b/>
            <sz val="8"/>
            <color indexed="81"/>
            <rFont val="Tahoma"/>
            <family val="2"/>
          </rPr>
          <t xml:space="preserve">
זאת כדי  לחשב את  הותק  בניהול בגיל הפרישה .
</t>
        </r>
        <r>
          <rPr>
            <b/>
            <sz val="8"/>
            <color indexed="10"/>
            <rFont val="Tahoma"/>
            <family val="2"/>
          </rPr>
          <t>גננת עצמאית  :</t>
        </r>
        <r>
          <rPr>
            <b/>
            <sz val="8"/>
            <color indexed="81"/>
            <rFont val="Tahoma"/>
            <family val="2"/>
          </rPr>
          <t xml:space="preserve"> </t>
        </r>
        <r>
          <rPr>
            <b/>
            <sz val="8"/>
            <color indexed="21"/>
            <rFont val="Tahoma"/>
            <family val="2"/>
          </rPr>
          <t xml:space="preserve">הקלידי  אחוזי  ותק  גמול ריכוז גן  בסעיף זה </t>
        </r>
      </text>
    </comment>
    <comment ref="G151" authorId="0" shapeId="0" xr:uid="{556CB070-3059-4E87-A0FF-8F7BB70375F8}">
      <text>
        <r>
          <rPr>
            <b/>
            <sz val="8"/>
            <color indexed="81"/>
            <rFont val="Tahoma"/>
            <family val="2"/>
          </rPr>
          <t xml:space="preserve">    השאלה מתיחסת 
    לזכאות  לפי ס. 8   לחוק  הגמלאות 
       ערב הרפורמה   בלבד !
 אם כן  החישוב לתקופה א     :
   43%  כפול  שיעור המשרה  ערב הפרישה 
</t>
        </r>
        <r>
          <rPr>
            <sz val="8"/>
            <color indexed="81"/>
            <rFont val="Tahoma"/>
            <family val="2"/>
          </rPr>
          <t xml:space="preserve">
זאת בתנאי  שעסקת בפיקוח  /הדרכה   גם 
    בשנת הפרישה
</t>
        </r>
      </text>
    </comment>
    <comment ref="F158" authorId="0" shapeId="0" xr:uid="{AC2D1505-E141-4B86-A915-B52AC2252A2A}">
      <text>
        <r>
          <rPr>
            <b/>
            <sz val="9"/>
            <color indexed="10"/>
            <rFont val="Tahoma"/>
            <family val="2"/>
          </rPr>
          <t xml:space="preserve">                     קריטריונים להגדלת שירות על פי חוק הגמלאות</t>
        </r>
        <r>
          <rPr>
            <sz val="8"/>
            <color indexed="81"/>
            <rFont val="Tahoma"/>
            <family val="2"/>
          </rPr>
          <t xml:space="preserve">
</t>
        </r>
        <r>
          <rPr>
            <b/>
            <sz val="8"/>
            <color indexed="20"/>
            <rFont val="Tahoma"/>
            <family val="2"/>
          </rPr>
          <t>א. הגדלת שירות בעקבות פעילות קודמת</t>
        </r>
        <r>
          <rPr>
            <sz val="8"/>
            <color indexed="81"/>
            <rFont val="Tahoma"/>
            <family val="2"/>
          </rPr>
          <t xml:space="preserve">
    1. עבודה בבתי ספר יהודיים בחוץ לארץ - 0.5% לכל שנת הוראה.
    2. פעילות ציונית בחוץ לארץ (נדרש אישור המחלקה לעסקנים ציוניים בסוכנות 
        היהודית) - 0.5% לכל שנת פעילות.
    3. שנות כליאה בבית סוהר כאסיר ציון - 1% לכל שנת מאסר.
    4. עבודת הוראה, רצופה, בקיבוץ, בבית ספר בו לומדים ילדי הקיבוץ, קודם לתחילת 
        ההעסקה בשירות- 1% לכל שנת עבודה.
</t>
        </r>
        <r>
          <rPr>
            <b/>
            <sz val="8"/>
            <color indexed="20"/>
            <rFont val="Tahoma"/>
            <family val="2"/>
          </rPr>
          <t>ב. ניצולי שואה</t>
        </r>
        <r>
          <rPr>
            <sz val="8"/>
            <color indexed="81"/>
            <rFont val="Tahoma"/>
            <family val="2"/>
          </rPr>
          <t xml:space="preserve">
עובד הוראה שהוא ניצול שואה - תוגדל קצבתו ב-3%.
(ההגדלה תתבצע אם אין לעובד קצבה אחרת או תשלום שקיבל, בגין היותו ניצול שואה, 
למעט אם קיבל פיצויי חד-פעמי, עד 5,000 מרקים גרמניים. 
כדי לקבל הגדלה זו יש למלא טופס הצהרה מתאים ).
</t>
        </r>
        <r>
          <rPr>
            <b/>
            <sz val="8"/>
            <color indexed="20"/>
            <rFont val="Tahoma"/>
            <family val="2"/>
          </rPr>
          <t>ג. עולה חדש</t>
        </r>
        <r>
          <rPr>
            <sz val="8"/>
            <color indexed="81"/>
            <rFont val="Tahoma"/>
            <family val="2"/>
          </rPr>
          <t xml:space="preserve">
עולה חדש זכאי ל-35% קצבה עבור 10 השנים הראשונות לעבודתו, עבור כל שנה נוספת יקבל 2%, בתנאים הבאים:
אם ביום תחילת העבודה בשירות  היה בן 50 לפחות.
אם התחיל עבודתו בשירות תוך שנתיים מיום עלייתו לארץ.
אם עבד 10 שנים לפחות (בהיקף של 1/3 משרה לפחות) עד לפרישתו.
אם אינו מקבל קצבה מעבודה או תשלומי ביטוח לאומי ממדינה אחרת.
</t>
        </r>
        <r>
          <rPr>
            <b/>
            <sz val="8"/>
            <color indexed="20"/>
            <rFont val="Tahoma"/>
            <family val="2"/>
          </rPr>
          <t>ד. הורה שכול או אלמנה</t>
        </r>
        <r>
          <rPr>
            <sz val="8"/>
            <color indexed="81"/>
            <rFont val="Tahoma"/>
            <family val="2"/>
          </rPr>
          <t xml:space="preserve">
עובד שהוא הורה שכול או אלמנה, כמשמעותם בחוק משפחות חיילים שניספו במערכה, יומלץ על הגדלת קצבה לכדי 50% ובלבד שהיא לא תעלה על הכפלה מלאה של תקופת שירותו הממשית במדינה.
אם מגיעה לעובד, לפני הגדלת השירות, קצבה בשיעור של 45% ויותר, תוגדל קצבתו ב-6%.
</t>
        </r>
        <r>
          <rPr>
            <b/>
            <sz val="8"/>
            <color indexed="20"/>
            <rFont val="Tahoma"/>
            <family val="2"/>
          </rPr>
          <t xml:space="preserve">ה. הגדלת שירות מחמת מצב בריאות של העובד או של </t>
        </r>
        <r>
          <rPr>
            <b/>
            <sz val="8"/>
            <color indexed="10"/>
            <rFont val="Tahoma"/>
            <family val="2"/>
          </rPr>
          <t>בן  הזוג (פרוט  במדריך לפורש לגמלאות סעיף יא )</t>
        </r>
        <r>
          <rPr>
            <sz val="8"/>
            <color indexed="81"/>
            <rFont val="Tahoma"/>
            <family val="2"/>
          </rPr>
          <t xml:space="preserve">
אם חלה עובד הוראה או הוחמר מצבו הבריאותי בשנה שקדמה לפרישתו, ועקב כך הופחת שיעור משרתו ב-1/3 לפחות או נעדר מעבודתו לפחות 1/3 מהתקופה, או הופחת שכרו לפחות ב-1/3, זכאי הוא לפנות לוועדה רפואית של המדינה שתקבע את ''שיעור נכותו לגמלאות''.
אם היה שיעור נכותו פחות מ-50%, יוגדל שירותו ב-1% לכ-10% נכות.
אם היה שיעור נכותו 50% ומעלה, יהיה עליו לפנות בתביעת נכות כללית למוסד לביטוח לאומי.
במקרה שנדחתה התביעה, יוגדל שירותו ב-1% לכל 10% נכות. תתקבל התביעה, יוגדל שירותו ב-1% לכל 10% נכות, רק עם תום זכאותו לקצבת הנכות מהביטוח הלאומי.
</t>
        </r>
        <r>
          <rPr>
            <b/>
            <sz val="8"/>
            <color indexed="20"/>
            <rFont val="Tahoma"/>
            <family val="2"/>
          </rPr>
          <t>ו. הבטחת רמת מחיה</t>
        </r>
        <r>
          <rPr>
            <sz val="8"/>
            <color indexed="81"/>
            <rFont val="Tahoma"/>
            <family val="2"/>
          </rPr>
          <t xml:space="preserve">
אם פרש עובד לאחר שירות קצר ביותר (לפחות 10 שנים) ואין לו, או לבן/בת הזוג, הכנסה אחרת מכל מקור אחר, למעט קצבת זקנה מהמוסד לביטוח לאומי, תוענק לו קצבה שלא תפחת מ-30%.
כל הגדלת שירות כאמור, כפופה לחלקיות משרתו המשוקללת של עובד ההוראה, טרם הגדלת השירות.
</t>
        </r>
      </text>
    </comment>
    <comment ref="F159" authorId="0" shapeId="0" xr:uid="{346D01CF-E71C-4130-8BD6-FA43B240D3A8}">
      <text>
        <r>
          <rPr>
            <sz val="8"/>
            <color indexed="81"/>
            <rFont val="Tahoma"/>
            <family val="2"/>
          </rPr>
          <t xml:space="preserve">                
                   שים לב  !
נתון זה משמש  לצורך חישובי מס בגין   סכום הפרישה  החד פעמי  בלבד .  </t>
        </r>
        <r>
          <rPr>
            <b/>
            <sz val="8"/>
            <color indexed="10"/>
            <rFont val="Tahoma"/>
            <family val="2"/>
          </rPr>
          <t>סכום קצבת הפנסיה 
מחושב  ללא  הכנסה  נוספת זו  !!</t>
        </r>
        <r>
          <rPr>
            <sz val="8"/>
            <color indexed="81"/>
            <rFont val="Tahoma"/>
            <family val="2"/>
          </rPr>
          <t xml:space="preserve">
אם להערכתך ,תמשיך לעבוד במקום עבודה  חדש ,לאחר  יציאתך לפנסיה מוקדמת , הקש את הכנסתך החודשית המשוערת ,מאחר ותהיה   לה 
השפעה על  המס השולי האפקטיבי של המענק  !
         </t>
        </r>
        <r>
          <rPr>
            <b/>
            <sz val="8"/>
            <color indexed="10"/>
            <rFont val="Tahoma"/>
            <family val="2"/>
          </rPr>
          <t xml:space="preserve">אם כן  -הקש  סכום ברוטו (להערכתך )של הכנסתך החודשית  העתידית   מיגיעה אישית 
    </t>
        </r>
        <r>
          <rPr>
            <b/>
            <sz val="8"/>
            <color indexed="81"/>
            <rFont val="Tahoma"/>
            <family val="2"/>
          </rPr>
          <t>שים לב שנתון זה משנה את נתוני הרווח  בפריסת המס    של המענק  ויתר המרכיבים 
שחל עליהם פטור מס !</t>
        </r>
        <r>
          <rPr>
            <b/>
            <sz val="8"/>
            <color indexed="10"/>
            <rFont val="Tahoma"/>
            <family val="2"/>
          </rPr>
          <t xml:space="preserve">
    ( בדוק כדאיות פריסת  מס לשנים קודמות 
       פשוט </t>
        </r>
        <r>
          <rPr>
            <b/>
            <sz val="8"/>
            <color indexed="12"/>
            <rFont val="Tahoma"/>
            <family val="2"/>
          </rPr>
          <t xml:space="preserve"> עי השוואה  עם הרווח מפריסה  , ללא
       ההכנסה הנוספת </t>
        </r>
        <r>
          <rPr>
            <b/>
            <sz val="8"/>
            <color indexed="10"/>
            <rFont val="Tahoma"/>
            <family val="2"/>
          </rPr>
          <t xml:space="preserve">)
</t>
        </r>
      </text>
    </comment>
    <comment ref="H159" authorId="1" shapeId="0" xr:uid="{4F70ABA1-061E-4090-B14C-569B2B443DFA}">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H161" authorId="0" shapeId="0" xr:uid="{8D280660-EBFB-4136-9F74-2139C0D123AB}">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162" authorId="0" shapeId="0" xr:uid="{533DBE82-E09C-4DE3-8958-820C3EADDAF9}">
      <text>
        <r>
          <rPr>
            <sz val="8"/>
            <color indexed="81"/>
            <rFont val="Tahoma"/>
            <family val="2"/>
          </rPr>
          <t xml:space="preserve">
הדרגה שקבלת  מיד עם
כניסתך  לאופק חדש  , בעת 
בצוע ההמרה !
</t>
        </r>
      </text>
    </comment>
    <comment ref="I163" authorId="0" shapeId="0" xr:uid="{FF4AAF18-BAED-4464-B3A3-B5CEC0A4AB24}">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C165" authorId="0" shapeId="0" xr:uid="{CDD9DFB8-6C97-49DA-84C1-F60C28AEB3A6}">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t>
        </r>
        <r>
          <rPr>
            <b/>
            <sz val="8"/>
            <color indexed="81"/>
            <rFont val="Tahoma"/>
            <family val="2"/>
          </rPr>
          <t xml:space="preserve">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t>
        </r>
      </text>
    </comment>
    <comment ref="D165" authorId="0" shapeId="0" xr:uid="{7EBB62B2-7EDD-4E38-A95F-20B2C9527F77}">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67" authorId="0" shapeId="0" xr:uid="{7D5CF07E-B50D-41F7-B2B8-832E91046354}">
      <text>
        <r>
          <rPr>
            <sz val="8"/>
            <color indexed="81"/>
            <rFont val="Tahoma"/>
            <family val="2"/>
          </rPr>
          <t xml:space="preserve">
          </t>
        </r>
        <r>
          <rPr>
            <b/>
            <sz val="8"/>
            <color indexed="12"/>
            <rFont val="Tahoma"/>
            <family val="2"/>
          </rPr>
          <t xml:space="preserve">חודש  הסתגלות   </t>
        </r>
        <r>
          <rPr>
            <sz val="8"/>
            <color indexed="81"/>
            <rFont val="Tahoma"/>
            <family val="2"/>
          </rPr>
          <t xml:space="preserve">
        </t>
        </r>
        <r>
          <rPr>
            <b/>
            <sz val="8"/>
            <color indexed="81"/>
            <rFont val="Tahoma"/>
            <family val="2"/>
          </rPr>
          <t xml:space="preserve">ברוטו  לפנסיה  ביום  הפרישה
  +
          ביגוד והבראה   בחישוב  חודשי </t>
        </r>
        <r>
          <rPr>
            <sz val="8"/>
            <color indexed="81"/>
            <rFont val="Tahoma"/>
            <family val="2"/>
          </rPr>
          <t xml:space="preserve">
         ( מענק יובל לא נכלל בחישוב
           חוזרי פרישה  אחרונים  )        
        </t>
        </r>
        <r>
          <rPr>
            <sz val="8"/>
            <color indexed="10"/>
            <rFont val="Tahoma"/>
            <family val="2"/>
          </rPr>
          <t xml:space="preserve"> </t>
        </r>
        <r>
          <rPr>
            <b/>
            <sz val="8"/>
            <color indexed="10"/>
            <rFont val="Tahoma"/>
            <family val="2"/>
          </rPr>
          <t xml:space="preserve">באפשרותך לשנוות את ערך 
        חודש ההסתגלות   מרשימה בתא D39
 </t>
        </r>
      </text>
    </comment>
    <comment ref="D168" authorId="0" shapeId="0" xr:uid="{C88D9311-09FF-4C7A-BA3D-E3739AB6C153}">
      <text>
        <r>
          <rPr>
            <b/>
            <sz val="8"/>
            <color indexed="81"/>
            <rFont val="Tahoma"/>
            <family val="2"/>
          </rPr>
          <t>עזרא נפתלי:</t>
        </r>
        <r>
          <rPr>
            <sz val="8"/>
            <color indexed="81"/>
            <rFont val="Tahoma"/>
            <family val="2"/>
          </rPr>
          <t xml:space="preserve">
</t>
        </r>
        <r>
          <rPr>
            <b/>
            <sz val="9"/>
            <color indexed="81"/>
            <rFont val="Tahoma"/>
            <family val="2"/>
          </rPr>
          <t>אם   ידוע לך  מהי דרגתך   ביום  הפרישה  יש להקישה !</t>
        </r>
        <r>
          <rPr>
            <sz val="8"/>
            <color indexed="81"/>
            <rFont val="Tahoma"/>
            <family val="2"/>
          </rPr>
          <t xml:space="preserve">
אם  מדובר בפרישה בעוד מספר רב של   שנים  ,  יש  להשאר   ב"ברירת מחדל" , והסימולטור יחשב  אוטומטית את דרגת הפרישה  .
במידה  ובחרת  באפשרות של  "ברירת מחדל ", יש להזין  בשדה  G5  , 
במספר שנות העיכוב בדרגה  ,  עד לפרישה .
</t>
        </r>
      </text>
    </comment>
    <comment ref="C169" authorId="0" shapeId="0" xr:uid="{F818979E-5455-4828-B9F6-D539028E57F1}">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בדוק כדאיות רכישת זכויות  של תקופת חל"ת :</t>
        </r>
        <r>
          <rPr>
            <b/>
            <sz val="8"/>
            <color indexed="81"/>
            <rFont val="Tahoma"/>
            <family val="2"/>
          </rPr>
          <t xml:space="preserve">
                          הקש   מספר חודשי החל"ת  שתרצה לרכוש  ,
                          ומיד יופיעו נתוני   עלות הרכישה  ואת העליה                                        בשכרך   לאורך השנים.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הרווח ממעבר  מדירוג  מנהלי  לדירוג מח"ר</t>
        </r>
        <r>
          <rPr>
            <b/>
            <sz val="8"/>
            <color indexed="81"/>
            <rFont val="Tahoma"/>
            <family val="2"/>
          </rPr>
          <t xml:space="preserve"> 
                                    (אם הנך כיום  בדירוג המנהלי )
                       4) כך תוכל לראות  את  המשכורת  הקובעת   
                           אם  וכאשר תהיה   אקדמאי  :
                          א    שנה את דירוגך למחר תואר ראשון ,
                          ב    שנה גמול  השתלמות  לגמול ב
                           ג       והוסף  21 לדרגתך  הנוכחית-                                                    (לדוגמא   17+  מנהלי       =        38 + מח" ר   )
</t>
        </r>
      </text>
    </comment>
    <comment ref="D169" authorId="0" shapeId="0" xr:uid="{A18FE337-4415-43EB-A28C-FFC2FE5B3289}">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70" authorId="0" shapeId="0" xr:uid="{2F189864-5842-454F-ABEF-76D783E84BE4}">
      <text>
        <r>
          <rPr>
            <b/>
            <sz val="9"/>
            <color indexed="10"/>
            <rFont val="Tahoma"/>
            <family val="2"/>
          </rPr>
          <t xml:space="preserve">   
                                                               </t>
        </r>
        <r>
          <rPr>
            <b/>
            <u/>
            <sz val="9"/>
            <color indexed="10"/>
            <rFont val="Tahoma"/>
            <family val="2"/>
          </rPr>
          <t xml:space="preserve">   הגדלת שירות  הינה תוספת  לאחוזי הקצבה :
           </t>
        </r>
        <r>
          <rPr>
            <b/>
            <u/>
            <sz val="8"/>
            <color indexed="20"/>
            <rFont val="Tahoma"/>
            <family val="2"/>
          </rPr>
          <t xml:space="preserve">הגדלת שרות בשל נסיבות אישיות לפרטים נוספים  תוכל לעיין  בהערה המופיעה בתא  משמאל   לתא נוכחי  !  </t>
        </r>
        <r>
          <rPr>
            <b/>
            <sz val="8"/>
            <color indexed="10"/>
            <rFont val="Tahoma"/>
            <family val="2"/>
          </rPr>
          <t xml:space="preserve">
            </t>
        </r>
        <r>
          <rPr>
            <b/>
            <sz val="8"/>
            <color indexed="20"/>
            <rFont val="Tahoma"/>
            <family val="2"/>
          </rPr>
          <t xml:space="preserve"> הורים שכולים   ,  אלמנות צהל  ,   נפגעי איבה   : עד   6%
            טעמים רפואיים    של עובד או בן הזוג  :      עד  6% 
             אחוזי נכות     :       1%  לכל  10%  נכות 
              ניצול שואה  שלא  קבל מעולם פיצוי כלשהו  מכל מקור שהוא    :       3%         בתוקף עד 7.5.2012
</t>
        </r>
        <r>
          <rPr>
            <b/>
            <sz val="8"/>
            <color indexed="12"/>
            <rFont val="Tahoma"/>
            <family val="2"/>
          </rPr>
          <t xml:space="preserve">
                                               </t>
        </r>
        <r>
          <rPr>
            <b/>
            <sz val="10"/>
            <color indexed="12"/>
            <rFont val="Tahoma"/>
            <family val="2"/>
          </rPr>
          <t xml:space="preserve">   </t>
        </r>
        <r>
          <rPr>
            <b/>
            <sz val="10"/>
            <color indexed="81"/>
            <rFont val="Tahoma"/>
            <family val="2"/>
          </rPr>
          <t xml:space="preserve"> ובנוסף  מתוך התקשיר סעיף 85.143  :</t>
        </r>
        <r>
          <rPr>
            <b/>
            <sz val="8"/>
            <color indexed="12"/>
            <rFont val="Tahoma"/>
            <family val="2"/>
          </rPr>
          <t xml:space="preserve">
     </t>
        </r>
        <r>
          <rPr>
            <b/>
            <sz val="8"/>
            <color indexed="10"/>
            <rFont val="Tahoma"/>
            <family val="2"/>
          </rPr>
          <t xml:space="preserve">      </t>
        </r>
        <r>
          <rPr>
            <b/>
            <sz val="9"/>
            <color indexed="10"/>
            <rFont val="Tahoma"/>
            <family val="2"/>
          </rPr>
          <t xml:space="preserve"> ועדת הגמלאות ממליצה על הגדלת תקופת השירות בעקבות שירות קודם או פעילות קודמת מעל גיל 15 שנה כלהלן;</t>
        </r>
        <r>
          <rPr>
            <b/>
            <sz val="8"/>
            <color indexed="12"/>
            <rFont val="Tahoma"/>
            <family val="2"/>
          </rPr>
          <t xml:space="preserve">
(ד)         שירות מחתרתי בחוץ-לארץ ואסיר ציון
1.            שירות פעיל ומלא במחתרת בחוץ-לארץ לרבות עבודה בשדה החינוך העברי של הקהילה היהודית בארצות בהן נרדפו היהודים;
2.            מי שישב בבית סוהר בחוץ-לארץ כאסיר ציון. 
              במקרים המנויים לעיל תוגדל הקצבה בשיעור של 1% בעד כל שנת שירות או מאסר כאמור;
(ה)        פעילות ציונית, בחוץ-לארץ, עבודה חינוכית, חברות בארגוני המחתרות ועבודת חלוצית בארץ;
1.            פעילות ציונית בחוץ-לארץ, שלה הוקדשה מרבית זמנו של העובד, אשר הוכרה ואושרה על- ידי המחלקה לעסקנים ציוניים בסוכנות היהודית;
2.            עבודה חינוכית בבתי ספר יהודיים בחוץ-לארץ;
(ח)     </t>
        </r>
        <r>
          <rPr>
            <b/>
            <sz val="8"/>
            <color indexed="10"/>
            <rFont val="Tahoma"/>
            <family val="2"/>
          </rPr>
          <t xml:space="preserve">   עובד שאיבד את זכויותיו במקום עבודתו בחוץ-לארץ עקב רדיפות ואינו זכאי לכל הגדלה בגלל פעילות קודמת
               כנזכר לעיל ואף לא זכאי להגדלה עקב היותו ניצול השואה בהתאם לפסקה 85.144 (א) תוגדל תצבתו בשיעור כולל של   3%    .
</t>
        </r>
        <r>
          <rPr>
            <b/>
            <sz val="8"/>
            <color indexed="12"/>
            <rFont val="Tahoma"/>
            <family val="2"/>
          </rPr>
          <t xml:space="preserve">
</t>
        </r>
      </text>
    </comment>
    <comment ref="B172" authorId="0" shapeId="0" xr:uid="{6F82EC4D-3BD8-4B62-89C7-A3815319FE6A}">
      <text>
        <r>
          <rPr>
            <b/>
            <sz val="9"/>
            <color indexed="16"/>
            <rFont val="Tahoma"/>
            <family val="2"/>
          </rPr>
          <t xml:space="preserve">ליועץ חינוכי : </t>
        </r>
        <r>
          <rPr>
            <b/>
            <sz val="9"/>
            <color indexed="10"/>
            <rFont val="Tahoma"/>
            <family val="2"/>
          </rPr>
          <t xml:space="preserve">לא להזין  גמול ייעוץ </t>
        </r>
        <r>
          <rPr>
            <sz val="8"/>
            <color indexed="81"/>
            <rFont val="Tahoma"/>
            <family val="2"/>
          </rPr>
          <t xml:space="preserve">
גמול יעוץ   ערב הרפורמה  
</t>
        </r>
        <r>
          <rPr>
            <b/>
            <sz val="8"/>
            <color indexed="81"/>
            <rFont val="Tahoma"/>
            <family val="2"/>
          </rPr>
          <t>אינו</t>
        </r>
        <r>
          <rPr>
            <sz val="8"/>
            <color indexed="81"/>
            <rFont val="Tahoma"/>
            <family val="2"/>
          </rPr>
          <t xml:space="preserve"> נכלל בהמרת   שכרך , ויחשב כגמול    נע"ת . 
אם הנך יועץ חינוכי ,הזן את  אחוזי הגמול  בשדה  H23  !
</t>
        </r>
      </text>
    </comment>
    <comment ref="G179" authorId="0" shapeId="0" xr:uid="{C043C86B-CE09-4330-8D59-34F854ECBE7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G181" authorId="0" shapeId="0" xr:uid="{FD022DE5-84D1-4644-9602-5722146E0C46}">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G182" authorId="0" shapeId="0" xr:uid="{C40D2133-4698-4DD9-82A6-E1210540C2A9}">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C183" authorId="0" shapeId="0" xr:uid="{26491CA6-F82D-4C4E-8BFB-7FA6D5DA2937}">
      <text>
        <r>
          <rPr>
            <sz val="8"/>
            <color indexed="81"/>
            <rFont val="Tahoma"/>
            <family val="2"/>
          </rPr>
          <t xml:space="preserve"> 
     בטבלה יופיעו נתונים
     רק לאחר  שתקליד מספר      חודשי חל"ת לרכישה!
 (בתא  H7)
</t>
        </r>
      </text>
    </comment>
    <comment ref="G183" authorId="0" shapeId="0" xr:uid="{4455F3CE-8189-406F-AE41-298867671831}">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G186" authorId="0" shapeId="0" xr:uid="{F198C005-A5F1-4D1B-9391-6CE3C36984F5}">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D199" authorId="0" shapeId="0" xr:uid="{04EC0C62-8A1C-4C0D-BB5F-A948A23BC032}">
      <text>
        <r>
          <rPr>
            <b/>
            <sz val="8"/>
            <color indexed="81"/>
            <rFont val="Tahoma"/>
            <family val="2"/>
          </rPr>
          <t xml:space="preserve">
סכום חד פעמי שתקבל  עם פרישתך  (החישוב  במסלול 
פריסה  ועפ"י מדרגות מס    
       נוכחיות )</t>
        </r>
      </text>
    </comment>
    <comment ref="G201" authorId="0" shapeId="0" xr:uid="{ED6E46F2-D84F-4F3C-B19D-BB4CC34FCA0B}">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C202" authorId="0" shapeId="0" xr:uid="{85E610F3-B2EC-4BCE-BF8B-1611A6A55A79}">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205" authorId="0" shapeId="0" xr:uid="{E076027F-8BFD-4EE5-86E9-411D67B2B038}">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228" authorId="0" shapeId="0" xr:uid="{282AB1CD-244A-4AE3-B87A-92422A6BCB83}">
      <text>
        <r>
          <rPr>
            <sz val="8"/>
            <color indexed="81"/>
            <rFont val="Tahoma"/>
            <family val="2"/>
          </rPr>
          <t xml:space="preserve">אם קבלת ערב הרפורמה 
אזי   החישוב  כדלקמן:
  43%   
  כפול שיעור המשרה בהדרכה               ערב הפרישה      
</t>
        </r>
      </text>
    </comment>
    <comment ref="D231" authorId="0" shapeId="0" xr:uid="{724D3ABD-FE35-4229-8213-358697D25D55}">
      <text>
        <r>
          <rPr>
            <sz val="8"/>
            <color indexed="81"/>
            <rFont val="Tahoma"/>
            <family val="2"/>
          </rPr>
          <t xml:space="preserve">שיעור גמול חינוך מיוחד 
במועד הפרישה
באחוזים   מוכפל 
בשעור המשרה ערב הפרישה
</t>
        </r>
      </text>
    </comment>
    <comment ref="O705" authorId="0" shapeId="0" xr:uid="{FC59CED2-6CED-4853-9118-FA8DA030D30C}">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AE707" authorId="0" shapeId="0" xr:uid="{35390586-4E8D-4950-BE10-DBCCBF092E58}">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(א) המרת השכר למורה שלימד בכיתות ז'-ט', למעט בבית ספר לחינוך מיוחד הכולל מספר שלבי חינוך כאמור בסעיף ‎22 לעיל, לפי בסיס משרה של 24 ש"ש, בבית ספר יסודי, בשנת הלימודים שבה חל החודש הקובע, תחושב לפי המרת השכר למורה בחטיבת הביניים, אולם מקדם ההמרה Y</t>
        </r>
        <r>
          <rPr>
            <b/>
            <sz val="10"/>
            <color indexed="12"/>
            <rFont val="Tahoma"/>
            <family val="2"/>
          </rPr>
          <t xml:space="preserve"> יהיה גדול ב -12.5%</t>
        </r>
        <r>
          <rPr>
            <sz val="8"/>
            <color indexed="81"/>
            <rFont val="Tahoma"/>
            <family val="2"/>
          </rPr>
          <t xml:space="preserve"> מהתוספת הקבועה בסעיף ‎44.
</t>
        </r>
      </text>
    </comment>
    <comment ref="AE708" authorId="0" shapeId="0" xr:uid="{AE347E3E-CE21-45BB-AE55-12B24AE7D706}">
      <text>
        <r>
          <rPr>
            <b/>
            <sz val="8"/>
            <color indexed="81"/>
            <rFont val="Tahoma"/>
            <family val="2"/>
          </rPr>
          <t xml:space="preserve">עזרא נפתלי:
</t>
        </r>
        <r>
          <rPr>
            <sz val="8"/>
            <color indexed="81"/>
            <rFont val="Tahoma"/>
            <family val="2"/>
          </rPr>
          <t xml:space="preserve">
לגננת שאינה  אקדמאית   מקדם ההמרה מוכפל ב 80% </t>
        </r>
      </text>
    </comment>
    <comment ref="Y716" authorId="0" shapeId="0" xr:uid="{EA3310FE-4E54-420E-A728-CE8AFEA00588}">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Y717" authorId="0" shapeId="0" xr:uid="{1A0A21BB-A8EE-4708-9F84-814B951DC935}">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G717" authorId="0" shapeId="0" xr:uid="{8AB79B98-6007-44A9-BEE5-C740E4568158}">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AT720" authorId="0" shapeId="0" xr:uid="{09AE966C-1B1B-40F6-8387-BF95B3AF18ED}">
      <text>
        <r>
          <rPr>
            <sz val="8"/>
            <color indexed="81"/>
            <rFont val="Tahoma"/>
            <family val="2"/>
          </rPr>
          <t xml:space="preserve">מבנה תאריך :
    dd/mm/yyyy
</t>
        </r>
      </text>
    </comment>
    <comment ref="AL723" authorId="0" shapeId="0" xr:uid="{9348E78C-22A0-4843-8428-322656C20CD0}">
      <text>
        <r>
          <rPr>
            <sz val="8"/>
            <color indexed="81"/>
            <rFont val="Tahoma"/>
            <family val="2"/>
          </rPr>
          <t xml:space="preserve">מבנה תאריך :
    dd/mm/yyyy
</t>
        </r>
      </text>
    </comment>
    <comment ref="V724" authorId="0" shapeId="0" xr:uid="{B9368F3B-9B4E-4BFC-B7BF-9FB7EB774742}">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L732" authorId="0" shapeId="0" xr:uid="{226B82B9-F029-4B11-BDB5-6BA11063B197}">
      <text>
        <r>
          <rPr>
            <sz val="8"/>
            <color indexed="81"/>
            <rFont val="Tahoma"/>
            <family val="2"/>
          </rPr>
          <t xml:space="preserve">מבנה תאריך :
    dd/mm/yyyy
</t>
        </r>
      </text>
    </comment>
    <comment ref="AX734" authorId="0" shapeId="0" xr:uid="{D5A4D7EE-942D-4B4B-AF9D-2F0F8B78D36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F735" authorId="0" shapeId="0" xr:uid="{12B14CC1-C995-40AF-B92E-A47AB5CEA804}">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AW737" authorId="0" shapeId="0" xr:uid="{E4D82276-DCFD-49D2-B91E-291809B7DCE9}">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X737" authorId="0" shapeId="0" xr:uid="{4F0999FB-0B12-4448-B228-64F265F683ED}">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U745" authorId="0" shapeId="0" xr:uid="{915EA773-5580-49CD-A1B8-0F476E34B61C}">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V746" authorId="0" shapeId="0" xr:uid="{62F287F6-F0A2-4A65-8ED8-E0E6FA9177BA}">
      <text>
        <r>
          <rPr>
            <sz val="8"/>
            <color indexed="81"/>
            <rFont val="Tahoma"/>
            <family val="2"/>
          </rPr>
          <t xml:space="preserve"> 
     בטבלה יופיעו נתונים
     רק לאחר  שתקליד מספר      חודשי חל"ת לרכישה!
 (בתא שמעל)
</t>
        </r>
      </text>
    </comment>
    <comment ref="BF749" authorId="0" shapeId="0" xr:uid="{49E3CAC0-C3BE-479B-A2ED-85AAEFBE40FA}">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V750" authorId="0" shapeId="0" xr:uid="{F2728126-3C9B-443A-A5B2-9F69D6C1D46E}">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G751" authorId="0" shapeId="0" xr:uid="{85773075-6324-4BFF-B4C2-FDF4DA6067C7}">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W752" authorId="0" shapeId="0" xr:uid="{35E86616-F52D-42D4-9843-0E0435A03A0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T752" authorId="0" shapeId="0" xr:uid="{5C34C0EC-24E9-49CE-96FD-F34D9DF8729A}">
      <text>
        <r>
          <rPr>
            <sz val="8"/>
            <color indexed="81"/>
            <rFont val="Tahoma"/>
            <family val="2"/>
          </rPr>
          <t xml:space="preserve">
 מועד הפרישה כפי 
 שהקשת בסימולטור
</t>
        </r>
      </text>
    </comment>
    <comment ref="V754" authorId="0" shapeId="0" xr:uid="{29826E66-C5A6-4A5A-817F-E6F341878C47}">
      <text>
        <r>
          <rPr>
            <b/>
            <sz val="8"/>
            <color indexed="81"/>
            <rFont val="Tahoma"/>
            <family val="2"/>
          </rPr>
          <t xml:space="preserve">עזרא נפתלי:
נתון זה  מופיע בסדין </t>
        </r>
        <r>
          <rPr>
            <sz val="8"/>
            <color indexed="81"/>
            <rFont val="Tahoma"/>
            <family val="2"/>
          </rPr>
          <t xml:space="preserve">
</t>
        </r>
      </text>
    </comment>
    <comment ref="BA772" authorId="0" shapeId="0" xr:uid="{3DF85A5E-5C5B-4949-A116-C43F16BCD3A5}">
      <text>
        <r>
          <rPr>
            <sz val="8"/>
            <color indexed="81"/>
            <rFont val="Tahoma"/>
            <family val="2"/>
          </rPr>
          <t xml:space="preserve">
   משמש  לחישוב מענק יובל  
</t>
        </r>
      </text>
    </comment>
    <comment ref="BA774" authorId="0" shapeId="0" xr:uid="{71D36A9B-4424-48FF-B8BA-590A946BE22A}">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A775" authorId="0" shapeId="0" xr:uid="{FDCF5925-36C6-45B6-90C9-540976609E49}">
      <text>
        <r>
          <rPr>
            <sz val="8"/>
            <color indexed="81"/>
            <rFont val="Tahoma"/>
            <family val="2"/>
          </rPr>
          <t xml:space="preserve">יכלל כרכיב לפנסיה 
 רק למורה  שחינך בשנה אחרונה שלפני הפרישה
</t>
        </r>
      </text>
    </comment>
    <comment ref="H776" authorId="0" shapeId="0" xr:uid="{EB791751-E379-42BE-AA3A-C423E3B52C68}">
      <text>
        <r>
          <rPr>
            <b/>
            <sz val="11"/>
            <color indexed="10"/>
            <rFont val="Tahoma"/>
            <family val="2"/>
          </rPr>
          <t xml:space="preserve">   מצ"ב   כתובת  אימייל
לפניותכם  :
ezranf@013.net </t>
        </r>
        <r>
          <rPr>
            <sz val="8"/>
            <color indexed="81"/>
            <rFont val="Tahoma"/>
            <family val="2"/>
          </rPr>
          <t xml:space="preserve"> 
לבירורים  ושאלות מומלץ לצרף את קובץ הסימולטור   המעודכן  בנתונים האישיים הקשורים לשאלתכם.
</t>
        </r>
        <r>
          <rPr>
            <b/>
            <sz val="8"/>
            <color indexed="48"/>
            <rFont val="Tahoma"/>
            <family val="2"/>
          </rPr>
          <t>כל הצעה או רעיון להמשך  פיתוח  או שינוי 
יתקבלו בברכה .</t>
        </r>
        <r>
          <rPr>
            <sz val="8"/>
            <color indexed="81"/>
            <rFont val="Tahoma"/>
            <family val="2"/>
          </rPr>
          <t xml:space="preserve">
</t>
        </r>
      </text>
    </comment>
    <comment ref="BA776" authorId="0" shapeId="0" xr:uid="{008A3C92-AF24-47DD-96B9-209B60604257}">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A777" authorId="0" shapeId="0" xr:uid="{492D1331-6633-4285-A193-1845BA91BE49}">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H778" authorId="0" shapeId="0" xr:uid="{02A86B6C-9D56-4884-90BA-16141585D849}">
      <text>
        <r>
          <rPr>
            <b/>
            <sz val="8"/>
            <color indexed="81"/>
            <rFont val="Tahoma"/>
            <family val="2"/>
          </rPr>
          <t xml:space="preserve"> סכומים אלו  צריכים 
להתאים לתלוש השכר ממנו הזנת את הנתונים </t>
        </r>
      </text>
    </comment>
    <comment ref="BA778" authorId="0" shapeId="0" xr:uid="{78BF2C63-FB39-4703-9706-EBC032575247}">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A779" authorId="0" shapeId="0" xr:uid="{BBD73962-3CE5-495D-BCF3-56A1EE01F091}">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A780" authorId="0" shapeId="0" xr:uid="{D34ECD51-05B3-461E-AF2C-057B1A7C082B}">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A782" authorId="0" shapeId="0" xr:uid="{6FFB54A8-C561-47AC-BCBB-90EDA16B5664}">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K784" authorId="0" shapeId="0" xr:uid="{73D84A80-BA5D-4DA2-A3E5-7F4D97869265}">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BA784" authorId="0" shapeId="0" xr:uid="{2186ACCF-B47A-4EDE-B4EC-A4BE369717BE}">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A785" authorId="0" shapeId="0" xr:uid="{0FE84777-C27B-4AA9-8DCE-D2006F91690D}">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A787" authorId="0" shapeId="0" xr:uid="{7BD857C9-9763-4687-81D2-0C6799C197E5}">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Y810" authorId="0" shapeId="0" xr:uid="{7A1A9C01-6E15-4561-90D3-FE0425B8DFDD}">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H878" authorId="0" shapeId="0" xr:uid="{49147258-6FF1-4ED3-9791-5DA0DA4088C8}">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F904" authorId="0" shapeId="0" xr:uid="{2C831579-BE80-43B8-B32B-109C3706B41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F906" authorId="0" shapeId="0" xr:uid="{6F7F285C-315A-48B6-B937-01910AA2A1D4}">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F907" authorId="0" shapeId="0" xr:uid="{AE715ABC-FFCD-4E5F-83B6-1EFA8C76A705}">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F908" authorId="0" shapeId="0" xr:uid="{5D09BF8C-6469-4035-928C-5BAF2F69767A}">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D911" authorId="0" shapeId="0" xr:uid="{216F4C79-F93A-48AE-B897-2426FFD69414}">
      <text>
        <r>
          <rPr>
            <b/>
            <sz val="8"/>
            <color indexed="81"/>
            <rFont val="Tahoma"/>
            <family val="2"/>
          </rPr>
          <t xml:space="preserve">
סכום חד פעמי שתקבל  עם פרישתך  (החישוב  במסלול 
פריסה  ועפ"י מדרגות מס    
       נוכחיות )</t>
        </r>
      </text>
    </comment>
    <comment ref="F911" authorId="0" shapeId="0" xr:uid="{F1106976-F702-4461-834A-8CC4EA212A23}">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G911" authorId="1" shapeId="0" xr:uid="{5A09EDDD-1E05-4078-BE3B-9D73C4BB329A}">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G913" authorId="0" shapeId="0" xr:uid="{A766CD6A-1A76-4D1A-B092-302987483E0A}">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914" authorId="0" shapeId="0" xr:uid="{4247D98B-5990-4419-9DCC-FA6B17743B0B}">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926" authorId="0" shapeId="0" xr:uid="{7C02C943-8CA4-439B-B862-59003B4F1DF7}">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E929" authorId="0" shapeId="0" xr:uid="{29E9DEA2-9F4D-434B-AEFF-039E93AAF210}">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940" authorId="0" shapeId="0" xr:uid="{9AE27F0A-4EC4-43C0-AD26-2551E8CD14FE}">
      <text>
        <r>
          <rPr>
            <sz val="8"/>
            <color indexed="81"/>
            <rFont val="Tahoma"/>
            <family val="2"/>
          </rPr>
          <t xml:space="preserve">אם קבלת ערב הרפורמה 
אזי   החישוב  כדלקמן:
  43%   
  כפול שיעור המשרה בהדרכה               ערב הפרישה      
</t>
        </r>
      </text>
    </comment>
    <comment ref="D943" authorId="0" shapeId="0" xr:uid="{54BC4653-33EF-4658-831C-6E4CB68DC05C}">
      <text>
        <r>
          <rPr>
            <sz val="8"/>
            <color indexed="81"/>
            <rFont val="Tahoma"/>
            <family val="2"/>
          </rPr>
          <t xml:space="preserve">שיעור גמול חינוך מיוחד 
במועד הפרישה
באחוזים   מוכפל 
בשעור המשרה ערב הפרישה
</t>
        </r>
      </text>
    </comment>
    <comment ref="G960" authorId="0" shapeId="0" xr:uid="{7EABC6EA-01B0-430B-936C-773157FA1DA5}">
      <text>
        <r>
          <rPr>
            <sz val="8"/>
            <color indexed="81"/>
            <rFont val="Tahoma"/>
            <family val="2"/>
          </rPr>
          <t xml:space="preserve">    </t>
        </r>
        <r>
          <rPr>
            <b/>
            <u/>
            <sz val="8"/>
            <color indexed="10"/>
            <rFont val="Tahoma"/>
            <family val="2"/>
          </rPr>
          <t xml:space="preserve"> 
     חישוב    קצבת  הפנסיה :</t>
        </r>
        <r>
          <rPr>
            <sz val="8"/>
            <color indexed="81"/>
            <rFont val="Tahoma"/>
            <family val="2"/>
          </rPr>
          <t xml:space="preserve">
          אחוזים  לפנסיה  שצברת 
      כפול 
        משכורת קובעת האחרונה  שלך             ערב הפרישה  הכוללת  :
        </t>
        </r>
        <r>
          <rPr>
            <sz val="8"/>
            <color indexed="10"/>
            <rFont val="Tahoma"/>
            <family val="2"/>
          </rPr>
          <t>ברוטו לפנסיה ,</t>
        </r>
        <r>
          <rPr>
            <sz val="8"/>
            <color indexed="12"/>
            <rFont val="Tahoma"/>
            <family val="2"/>
          </rPr>
          <t xml:space="preserve"> ומענק יובל,
       ביגוד והבראה  בחישוב חודשי</t>
        </r>
        <r>
          <rPr>
            <sz val="8"/>
            <color indexed="81"/>
            <rFont val="Tahoma"/>
            <family val="2"/>
          </rPr>
          <t xml:space="preserve"> .
 </t>
        </r>
      </text>
    </comment>
    <comment ref="G961" authorId="0" shapeId="0" xr:uid="{D8237441-3AB2-48C4-A419-CE333675172C}">
      <text>
        <r>
          <rPr>
            <sz val="8"/>
            <color indexed="81"/>
            <rFont val="Tahoma"/>
            <family val="2"/>
          </rPr>
          <t xml:space="preserve">
קיצבה רגילה - הקיצבה מחושבת כאחוז ממשכורת קובעת. 2% מהמשכורת הקובעת (ברוטו לפנסיה)עבור כל שנה ו 0.1667%  מהמשכורת הקובעת עבור כל חודש.
לדוגמה: עובד פרש לאחר עשרים שנה וחודשיים בשרות המדינה ומשכורתו הקובעת לגמלאות הינה  10,000 קיצבתו החודשית תהיה:
 4,333 שקל לחודש = 10,000  *40.33% 
תקופה שאינה עולה על חודש :
   מעל 15  ימים  תחשב כחודש שלם
       15  ימים ומטה  לא תחשב כלל  .
</t>
        </r>
      </text>
    </comment>
    <comment ref="G962" authorId="0" shapeId="0" xr:uid="{B4D4A366-2600-416F-AE3E-C751B88B7E41}">
      <text>
        <r>
          <rPr>
            <sz val="8"/>
            <color indexed="81"/>
            <rFont val="Tahoma"/>
            <family val="2"/>
          </rPr>
          <t xml:space="preserve">   
</t>
        </r>
        <r>
          <rPr>
            <sz val="8"/>
            <color indexed="10"/>
            <rFont val="Tahoma"/>
            <family val="2"/>
          </rPr>
          <t>חישוב   מענק יובל  בפנסיה   :</t>
        </r>
        <r>
          <rPr>
            <sz val="8"/>
            <color indexed="81"/>
            <rFont val="Tahoma"/>
            <family val="2"/>
          </rPr>
          <t xml:space="preserve">
     60 אחוז מתוך 
  קצבת הפנסיה  החודשית</t>
        </r>
        <r>
          <rPr>
            <b/>
            <sz val="8"/>
            <color indexed="81"/>
            <rFont val="Tahoma"/>
            <family val="2"/>
          </rPr>
          <t>(ללא ביגוד והבראה )</t>
        </r>
        <r>
          <rPr>
            <sz val="8"/>
            <color indexed="81"/>
            <rFont val="Tahoma"/>
            <family val="2"/>
          </rPr>
          <t xml:space="preserve">
</t>
        </r>
      </text>
    </comment>
    <comment ref="G964" authorId="0" shapeId="0" xr:uid="{74C77BAE-A378-481C-AF7D-370452FC3772}">
      <text>
        <r>
          <rPr>
            <sz val="8"/>
            <color indexed="81"/>
            <rFont val="Tahoma"/>
            <family val="2"/>
          </rPr>
          <t xml:space="preserve">
במהלך השנה הקלנדרית הראשונה לפרישה זכאי הגמלאי</t>
        </r>
        <r>
          <rPr>
            <b/>
            <sz val="8"/>
            <color indexed="81"/>
            <rFont val="Tahoma"/>
            <family val="2"/>
          </rPr>
          <t xml:space="preserve"> </t>
        </r>
        <r>
          <rPr>
            <b/>
            <sz val="8"/>
            <color indexed="10"/>
            <rFont val="Tahoma"/>
            <family val="2"/>
          </rPr>
          <t xml:space="preserve">למלוא התשלום </t>
        </r>
        <r>
          <rPr>
            <sz val="8"/>
            <color indexed="81"/>
            <rFont val="Tahoma"/>
            <family val="2"/>
          </rPr>
          <t xml:space="preserve"> מהמשרד בו עבד ערב הפרישה (ולא על פי אחוז הקצבה).
לדוגמה : עובד פרש לגמלאות באוגוסט וזכאי למענק יובל, ב 1 אוקטובר יפיק המשרד ממנו פרש תלוש שכר וישלם לו מענק יובל בגובה 60% מהשכר לו היה זכאי לו היה ממשיך לעבוד.  ב 30 ספטמבר שנה מאוחר יותר יקבל מענק יובל בגמלאתו בגובה 60% מהקיצבה. 
 הבראה  -בקצבת חודש יוני
  ביגוד  -   בקצבת חודש יולי
   מענק יובל -בקצבת חודש ספטמבר 
   תשלומים אלו   משולמים פעם בשנה  אך  מופיעים בסימולטור כסכום  ממוצע  חודשי.
   </t>
        </r>
      </text>
    </comment>
    <comment ref="F969" authorId="0" shapeId="0" xr:uid="{1ADD577B-2D85-4A6A-BFA2-C16BEF835A57}">
      <text>
        <r>
          <rPr>
            <b/>
            <sz val="8"/>
            <color indexed="81"/>
            <rFont val="Tahoma"/>
            <family val="2"/>
          </rPr>
          <t xml:space="preserve">
</t>
        </r>
        <r>
          <rPr>
            <b/>
            <sz val="8"/>
            <color indexed="10"/>
            <rFont val="Tahoma"/>
            <family val="2"/>
          </rPr>
          <t>הקלות במס לבן/בת זוג בעלי הכנסה שנתית נמוכה</t>
        </r>
        <r>
          <rPr>
            <b/>
            <sz val="8"/>
            <color indexed="81"/>
            <rFont val="Tahoma"/>
            <family val="2"/>
          </rPr>
          <t xml:space="preserve"> 
א. אם הגעתם לגיל פרישה ולבן/ת הזוג שלכם אין הכנסות, אתם זכאים לנקודת זיכוי אחת נוספת בהתאם לשווי שלה בשנת המס הנוכחית. כדי לקבל את ההקלות עליכם לפנות לפקיד השומה במס הכנסה ולמלא טופס 116. מידע והסברים על מילוי טופס 116 תוכלו למצוא בערוץ תיאום מס לשכירים.
ב. אם אתם או בני הזוג שלכם הגעתם לגיל פרישה ולבני הזוג שלכם הכנסות שנתיות הנמוכות מהקבוע בחוק אתם זכאים לנקודת זיכוי ממס נוספת. כדי לקבל את ההקלות עליכם לפנות לפקיד השומה במס הכנסה ולמלא טופס 116. מידע והסברים על מילוי טופס 116 תוכלו למצוא בערוץ תיאום מס לשכירים. 
חשוב לדעת 
כדי לקבל את הזיכוי במס עליכם להגיע לפקיד השומה אך ורק בין החודשים נובמבר-דצמבר. 
 </t>
        </r>
        <r>
          <rPr>
            <b/>
            <sz val="8"/>
            <color indexed="10"/>
            <rFont val="Tahoma"/>
            <family val="2"/>
          </rPr>
          <t>לאישה</t>
        </r>
        <r>
          <rPr>
            <b/>
            <sz val="8"/>
            <color indexed="81"/>
            <rFont val="Tahoma"/>
            <family val="2"/>
          </rPr>
          <t xml:space="preserve"> : גיל הפרישה האישי  שלך  מופיעה  בתא  G30
                    (גיל פרישה לגבר 67 )
</t>
        </r>
      </text>
    </comment>
    <comment ref="F971" authorId="0" shapeId="0" xr:uid="{B4F824DF-CED8-46F0-80BE-3012056642DB}">
      <text>
        <r>
          <rPr>
            <b/>
            <sz val="8"/>
            <color indexed="81"/>
            <rFont val="Tahoma"/>
            <family val="2"/>
          </rPr>
          <t xml:space="preserve">עזרא נפתלי:
</t>
        </r>
        <r>
          <rPr>
            <sz val="8"/>
            <color indexed="81"/>
            <rFont val="Tahoma"/>
            <family val="2"/>
          </rPr>
          <t xml:space="preserve">
</t>
        </r>
        <r>
          <rPr>
            <b/>
            <sz val="8"/>
            <color indexed="10"/>
            <rFont val="Tahoma"/>
            <family val="2"/>
          </rPr>
          <t>פטור מתשלום דמי ביטוח, הכנסה מפנסיה - אילו גמלאים פטורים מתשלום דמי ביטוח מהפנסיה?</t>
        </r>
        <r>
          <rPr>
            <sz val="8"/>
            <color indexed="81"/>
            <rFont val="Tahoma"/>
            <family val="2"/>
          </rPr>
          <t xml:space="preserve">
1. מבוטח שהגיע לגיל פרישה.
2. אלמנה המקבלת מן המוסד לביטוח לאומי קצבת שאירים או קצבה לבני משפחה של נפטר מתאונת עבודה.
3. מבוטח נכה המקבל מן המוסד לביטוח לאומי קצבת נכות כללית בשיעור של 75% לפחות לצמיתות, או קצבת נכות מעבודה בשיעור של 100% לצמיתות, או קצבת נכות של 75% זמנית, לשנה אחד לפחות, או נכות מעבודה.
4. אישה נשואה שאינה עובדת מחוץ למשק ביתה ובעלה מבוטח בביטוח זקנה ושאירים. 
  הגיל שבו זכאותך לקצבת זקנה מותנית בהכנסות שלך מעבודה ושלא מעבודה. ההכנסה מפנסיה אינה נלקחת בחשבון. גיל זה עולה בהדרגה, וכשיושלם התהליך, הוא יהיה 67 לגברים ו-64 לנשים. 
                                        מתוך האתר לבטוח לאומי 
</t>
        </r>
      </text>
    </comment>
    <comment ref="G971" authorId="0" shapeId="0" xr:uid="{4DE9C3C5-E877-4A8A-B248-19B94B610784}">
      <text>
        <r>
          <rPr>
            <b/>
            <sz val="8"/>
            <color indexed="81"/>
            <rFont val="Tahoma"/>
            <family val="2"/>
          </rPr>
          <t xml:space="preserve">עזרא נפתלי:
                      </t>
        </r>
        <r>
          <rPr>
            <b/>
            <sz val="10"/>
            <color indexed="10"/>
            <rFont val="Tahoma"/>
            <family val="2"/>
          </rPr>
          <t>דמי ביטוח בריאות 
              ל</t>
        </r>
        <r>
          <rPr>
            <b/>
            <sz val="9"/>
            <color indexed="10"/>
            <rFont val="Tahoma"/>
            <family val="2"/>
          </rPr>
          <t xml:space="preserve">מקבל פנסיה מוקדמת
</t>
        </r>
        <r>
          <rPr>
            <sz val="8"/>
            <color indexed="81"/>
            <rFont val="Tahoma"/>
            <family val="2"/>
          </rPr>
          <t xml:space="preserve">
גמלאי שעדיין לא הגיע לגיל פרישה, וגמלאית מבוטחת שעדיין לא הגיעה לגיל פרישה, ומשולמת להם פנסיה, משלם הפנסיה ינכה מהפנסיה </t>
        </r>
        <r>
          <rPr>
            <b/>
            <sz val="8"/>
            <color indexed="10"/>
            <rFont val="Tahoma"/>
            <family val="2"/>
          </rPr>
          <t>דמי ביטוח בריאות</t>
        </r>
        <r>
          <rPr>
            <sz val="8"/>
            <color indexed="81"/>
            <rFont val="Tahoma"/>
            <family val="2"/>
          </rPr>
          <t xml:space="preserve"> בשיעור של % 3.10 (החל ב- 01.02.2004) מהחלק של הפנסיה שעד 60% מהשכר הממוצע ו–% 5.00 (החל ב- 01.01.2006) מחלק הפנסיה שמעל 60% מהשכר הממוצע.
        מתוך אתר בטוח לאומי 
</t>
        </r>
      </text>
    </comment>
    <comment ref="F972" authorId="0" shapeId="0" xr:uid="{868B59B0-0B44-4009-836E-0A08C91FED5B}">
      <text>
        <r>
          <rPr>
            <b/>
            <sz val="8"/>
            <color indexed="81"/>
            <rFont val="Tahoma"/>
            <family val="2"/>
          </rPr>
          <t xml:space="preserve">עזרא נפתלי:  
</t>
        </r>
        <r>
          <rPr>
            <b/>
            <u/>
            <sz val="10"/>
            <color indexed="10"/>
            <rFont val="Tahoma"/>
            <family val="2"/>
          </rPr>
          <t>דמי בטוח בריאות ל</t>
        </r>
        <r>
          <rPr>
            <b/>
            <u/>
            <sz val="9"/>
            <color indexed="10"/>
            <rFont val="Tahoma"/>
            <family val="2"/>
          </rPr>
          <t>מקבלי קצבת זקנה</t>
        </r>
        <r>
          <rPr>
            <b/>
            <sz val="9"/>
            <color indexed="10"/>
            <rFont val="Tahoma"/>
            <family val="2"/>
          </rPr>
          <t xml:space="preserve">
</t>
        </r>
        <r>
          <rPr>
            <sz val="8"/>
            <color indexed="81"/>
            <rFont val="Tahoma"/>
            <family val="2"/>
          </rPr>
          <t xml:space="preserve">
</t>
        </r>
        <r>
          <rPr>
            <b/>
            <sz val="8"/>
            <color indexed="81"/>
            <rFont val="Tahoma"/>
            <family val="2"/>
          </rPr>
          <t xml:space="preserve">ממקבלי קצבת זקנה ינוכו </t>
        </r>
        <r>
          <rPr>
            <b/>
            <sz val="8"/>
            <color indexed="10"/>
            <rFont val="Tahoma"/>
            <family val="2"/>
          </rPr>
          <t xml:space="preserve">דמי ביטוח בריאות </t>
        </r>
        <r>
          <rPr>
            <b/>
            <sz val="8"/>
            <color indexed="81"/>
            <rFont val="Tahoma"/>
            <family val="2"/>
          </rPr>
          <t>בשיעורים הבאים:</t>
        </r>
        <r>
          <rPr>
            <sz val="8"/>
            <color indexed="81"/>
            <rFont val="Tahoma"/>
            <family val="2"/>
          </rPr>
          <t xml:space="preserve">
מקבל קצבת זקנה בתוספת השלמת הכנסה - ישלם סכום מינימלי של 97 ש"ח (החל ב- 01.01.2011) .
מקבל קצבת זקנה ליחיד ללא השלמת הכנסה - ישלם 184 ש"ח (החל ב- 01.01.2011) .
גבר שמקבל קצבת זקנה עם תוספת בעבור אשתו, או שני בני זוג שמקבלים קצבאות זקנה מכוח עצמם - ינוכו מקצבתו של הגבר דמי ביטוח בריאות בשיעור של  267 ש"ח (החל ב- 01.01.2011) .
אישה נשואה שמקבלת קצבת זקנה ובעלה מבוטח בביטוח הלאומי - פטורה מתשלום דמי ביטוח בריאות מהקצבה.
שים לב,
מקבלי קצבת זקנה פטורים מתשלום דמי ביטוח בריאות מכל הכנסה אחרת.
</t>
        </r>
      </text>
    </comment>
    <comment ref="E973" authorId="0" shapeId="0" xr:uid="{72FE8DB9-D4F2-43F0-B428-6EC59F2584E3}">
      <text>
        <r>
          <rPr>
            <sz val="8"/>
            <color indexed="81"/>
            <rFont val="Tahoma"/>
            <family val="2"/>
          </rPr>
          <t xml:space="preserve">
פטור של 35% מהקיצבה ניתן לאחר השלבים הבאים יחדיו  :
1  פנסיונר/ית שהגיע/ה לגיל פרישה החדש  
 2 פנסיונר/ית ששילמ/ה מס על מענקי הפרישה
במידה והגעת לגיל פרישה ולא שילמת מס על מענקי הפרישה, יחושב הפטור לפי נוסחה מיוחדת ויתכן כי לא ינתן כל הפטור בשיעור של 35% אלא באופן חלקי בלבד. 
גיל הפרישה החדש הוא לגברים 67 ולנשים 62 בהדרגה
(מאתר מנהלת הגמלאות)
 פטור זה  אינו   נכלל בחישוב  בסכום הקצבה  שבטבלה  זו .  פטור זה כן  מופיע  בטבלת   מסלולי המיסוי.
</t>
        </r>
      </text>
    </comment>
    <comment ref="G973" authorId="0" shapeId="0" xr:uid="{A1DF1D7F-71BA-408E-8538-B79C3315B2E6}">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 ref="G974" authorId="0" shapeId="0" xr:uid="{E27234FC-C8AD-4C22-B9E3-EB135015E885}">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List>
</comments>
</file>

<file path=xl/sharedStrings.xml><?xml version="1.0" encoding="utf-8"?>
<sst xmlns="http://schemas.openxmlformats.org/spreadsheetml/2006/main" count="2763" uniqueCount="611">
  <si>
    <t>סיווג/תואר</t>
  </si>
  <si>
    <t>ב"א</t>
  </si>
  <si>
    <t>ותק  בהוראה  בארץ</t>
  </si>
  <si>
    <t>תוספת הכשרה</t>
  </si>
  <si>
    <t>גמול כפל תואר</t>
  </si>
  <si>
    <t xml:space="preserve">גמול פיצול </t>
  </si>
  <si>
    <t>גמול חינוך כיתה</t>
  </si>
  <si>
    <t>משרת אם</t>
  </si>
  <si>
    <t>כן</t>
  </si>
  <si>
    <t>בכיר</t>
  </si>
  <si>
    <t>ד"ר</t>
  </si>
  <si>
    <t>מ"א</t>
  </si>
  <si>
    <t>מורה מוסמך</t>
  </si>
  <si>
    <t>שלב א"א</t>
  </si>
  <si>
    <t>שלב א+</t>
  </si>
  <si>
    <t>שלב א</t>
  </si>
  <si>
    <t>שלב ב</t>
  </si>
  <si>
    <t>מדריך מקצועי מוסמך</t>
  </si>
  <si>
    <t>מדריך מוסמך בפועל</t>
  </si>
  <si>
    <t>מדריך בלתי מוסמך</t>
  </si>
  <si>
    <t>מדריך ביניים</t>
  </si>
  <si>
    <t>סטז'ר</t>
  </si>
  <si>
    <t>מתמלא אוטומט למי שלא חישבה גמול חינוך כיתה</t>
  </si>
  <si>
    <t>מתמלא אוטומט למי שסימנה ב"א</t>
  </si>
  <si>
    <t>לסמן</t>
  </si>
  <si>
    <t>לסמן כן או לא</t>
  </si>
  <si>
    <t>משולב</t>
  </si>
  <si>
    <t>לא</t>
  </si>
  <si>
    <t>א-ו</t>
  </si>
  <si>
    <t>ז-ח</t>
  </si>
  <si>
    <t>אחוז משרה ז-ח</t>
  </si>
  <si>
    <t>אחוז משרה א-ו</t>
  </si>
  <si>
    <t>גמול חינוך מיוחד</t>
  </si>
  <si>
    <t xml:space="preserve">תוספת מעונות </t>
  </si>
  <si>
    <t>למלאות מספר ילדים: 0,1,2 (אין תוספת ליותר מ2)</t>
  </si>
  <si>
    <t>נתוני העסקה בשנת תשפ"ג</t>
  </si>
  <si>
    <t>אין צורך לסמן</t>
  </si>
  <si>
    <t>אחוז משרה</t>
  </si>
  <si>
    <t>יחידות גמול השתלמות נוכחי</t>
  </si>
  <si>
    <t>אם יש משהו שאמור להשתנות בשנת תשפ"ד נא לציין זאת:</t>
  </si>
  <si>
    <t>שעות משרה ז-ח כולל שעות חינוך (3 ש')</t>
  </si>
  <si>
    <t>שעות משרה א-ו כולל שעות חינוך (3 ש')</t>
  </si>
  <si>
    <t>האם בסיס המשרה הוא א-ו, או ז-ח, או משולב</t>
  </si>
  <si>
    <t>לסמן א-ו, או ז,ח, או משולב (אם מסמנים משולב נפתח תיבה של חלוקת המשרה בין שלבי החינוך)</t>
  </si>
  <si>
    <t>לסמן כמה אחוז משרה</t>
  </si>
  <si>
    <t>לסמן כמה אחוז יש (אם אין לסמן 0)</t>
  </si>
  <si>
    <t>לסמן כמות גמול (כיתה רגילה 10, כיתה א 11.5) = אם אינך מחנכת סמני 0</t>
  </si>
  <si>
    <t>לסמן כמה שנות ותק בשנת תשפ"ג</t>
  </si>
  <si>
    <t>לא נצרך להמרה אבל מועיל לחישוב השכר אחר ההמרה:</t>
  </si>
  <si>
    <t>לסמן כמה אחוז משרה א-ו</t>
  </si>
  <si>
    <t>לסמן כמה אחוז משרה ז-ח</t>
  </si>
  <si>
    <t>לסמן כמה אחוז משרה כולל כל שלבי החינוך</t>
  </si>
  <si>
    <t>כל  תוצאה  המתקבלת בסימולטור ובטבלאות השונות הינה באחריות המשתמש בלבד !!!</t>
  </si>
  <si>
    <t>ט. ל.  ח.</t>
  </si>
  <si>
    <t>ותק באופק חדש</t>
  </si>
  <si>
    <t>חצי דרגה :</t>
  </si>
  <si>
    <t xml:space="preserve">גמול הדרכה </t>
  </si>
  <si>
    <t>דרגות :</t>
  </si>
  <si>
    <t xml:space="preserve">ותק בניהול </t>
  </si>
  <si>
    <t xml:space="preserve"> </t>
  </si>
  <si>
    <t xml:space="preserve">   סימולטור המרת דרגה </t>
  </si>
  <si>
    <t>מנהלים</t>
  </si>
  <si>
    <t>דרגה</t>
  </si>
  <si>
    <t>הנחת מס ישוב מזכה</t>
  </si>
  <si>
    <t>ת.שכר 2001</t>
  </si>
  <si>
    <t>גמול ייעוץ</t>
  </si>
  <si>
    <t xml:space="preserve">ברירת מחדל </t>
  </si>
  <si>
    <t>אחוז תוספת אישית</t>
  </si>
  <si>
    <t>בנתונים כלולה   הגדלת</t>
  </si>
  <si>
    <t>השירות שבצעת</t>
  </si>
  <si>
    <t>עיוור /נכה 100%    365 יום</t>
  </si>
  <si>
    <t xml:space="preserve">לא </t>
  </si>
  <si>
    <t xml:space="preserve">ת.שכר 2008 </t>
  </si>
  <si>
    <t xml:space="preserve"> 12  : ש"ש יעוץ</t>
  </si>
  <si>
    <t xml:space="preserve">         עדכן  את  נתוניך  האישיים  בתאים שבירוק  בהיר  בלבד !</t>
  </si>
  <si>
    <t xml:space="preserve">מחשבון חודש חל"ת </t>
  </si>
  <si>
    <t>מחשבון חלקיות משרה</t>
  </si>
  <si>
    <t xml:space="preserve"> 11  : ש"ש יעוץ</t>
  </si>
  <si>
    <t>שכר אופק חדש</t>
  </si>
  <si>
    <t xml:space="preserve">                     יסוד משולב משרה מלאה :</t>
  </si>
  <si>
    <t xml:space="preserve"> 10  : ש"ש יעוץ</t>
  </si>
  <si>
    <t>לסמן = ותק בשנה שקדמה להצטרפות (תשפ"ג)</t>
  </si>
  <si>
    <t xml:space="preserve"> 100% משרה</t>
  </si>
  <si>
    <t>אחוז משרה מותאם</t>
  </si>
  <si>
    <t>לא מקבלת</t>
  </si>
  <si>
    <t>9  : ש"ש יעוץ</t>
  </si>
  <si>
    <t>מחושב אוטומט = משולם למי שיש לה ב"א ומעלה</t>
  </si>
  <si>
    <t>יסוד משולב</t>
  </si>
  <si>
    <t xml:space="preserve">גיל כיום </t>
  </si>
  <si>
    <t xml:space="preserve">ןתק א. חדש כיום </t>
  </si>
  <si>
    <t xml:space="preserve"> 8  : ש"ש יעוץ</t>
  </si>
  <si>
    <t xml:space="preserve"> יח' ג. השתלמות נוכחי</t>
  </si>
  <si>
    <t>לסמן כמה יש (לא כולל כפל תואר)</t>
  </si>
  <si>
    <t>תוספת אישית</t>
  </si>
  <si>
    <t>ביגוד</t>
  </si>
  <si>
    <t>עד גיל 60</t>
  </si>
  <si>
    <t>ותק א.חדש ב60</t>
  </si>
  <si>
    <t>ג.חינוך כיתה +כיתה נוספת</t>
  </si>
  <si>
    <t xml:space="preserve"> 7  : ש"ש יעוץ</t>
  </si>
  <si>
    <t xml:space="preserve">מקדם משרה  </t>
  </si>
  <si>
    <t>לסמן  = כמה אחוז</t>
  </si>
  <si>
    <t>תוספת 2016</t>
  </si>
  <si>
    <t>הבראה</t>
  </si>
  <si>
    <t>ותק מחושב בגיל 60</t>
  </si>
  <si>
    <t>דרגה בגיל 60</t>
  </si>
  <si>
    <t>מעוגל בחישובים)</t>
  </si>
  <si>
    <t xml:space="preserve">גמול חינוך כיתה א </t>
  </si>
  <si>
    <t>6  : ש"ש יעוץ</t>
  </si>
  <si>
    <t>בית ספר רגיל</t>
  </si>
  <si>
    <t>בית ספר מיוחד</t>
  </si>
  <si>
    <t>גמול ניהול</t>
  </si>
  <si>
    <t>מחושב אוטומט = לפי הסימון למטה (ותק ניהול +כיתות)</t>
  </si>
  <si>
    <t>ת. שכר 2011</t>
  </si>
  <si>
    <t>יסוד משולב בגיל 60</t>
  </si>
  <si>
    <t>גמול מקצוע והכשרות</t>
  </si>
  <si>
    <t xml:space="preserve">0-5 :ש"ש יעוץ </t>
  </si>
  <si>
    <r>
      <rPr>
        <b/>
        <sz val="9"/>
        <color indexed="9"/>
        <rFont val="Calibri"/>
        <family val="2"/>
      </rPr>
      <t>סמינרים</t>
    </r>
  </si>
  <si>
    <r>
      <rPr>
        <b/>
        <sz val="9"/>
        <color indexed="9"/>
        <rFont val="Calibri"/>
        <family val="2"/>
      </rPr>
      <t>בית ספר על≠יסודי</t>
    </r>
  </si>
  <si>
    <t>לסמן = האם יש וכמה אחוז</t>
  </si>
  <si>
    <t xml:space="preserve">תגבור הוראה </t>
  </si>
  <si>
    <t>שנות ותק בניהול התוספת באחוזים מסכום גמול הניהול</t>
  </si>
  <si>
    <r>
      <rPr>
        <b/>
        <sz val="9"/>
        <color indexed="9"/>
        <rFont val="Calibri"/>
        <family val="2"/>
      </rPr>
      <t>מספר כיתות</t>
    </r>
  </si>
  <si>
    <r>
      <rPr>
        <b/>
        <sz val="9"/>
        <color indexed="9"/>
        <rFont val="Calibri"/>
        <family val="2"/>
      </rPr>
      <t>מנהל</t>
    </r>
  </si>
  <si>
    <r>
      <rPr>
        <b/>
        <sz val="9"/>
        <color indexed="9"/>
        <rFont val="Calibri"/>
        <family val="2"/>
      </rPr>
      <t>סגן</t>
    </r>
  </si>
  <si>
    <r>
      <rPr>
        <b/>
        <sz val="9"/>
        <color indexed="9"/>
        <rFont val="Calibri"/>
        <family val="2"/>
      </rPr>
      <t>סגן ראשון</t>
    </r>
  </si>
  <si>
    <t>מנהל -סימולטור בפיתוח</t>
  </si>
  <si>
    <t>סגן מנהל ראשון -סימולטור בפתוח</t>
  </si>
  <si>
    <t>0 1</t>
  </si>
  <si>
    <t>גמול השתלמות +כפל תואר</t>
  </si>
  <si>
    <t>גמול כפל תואר לבד</t>
  </si>
  <si>
    <t>מ.א.  5%</t>
  </si>
  <si>
    <t xml:space="preserve">שנות ותק עיכוב קידום בדרגה: </t>
  </si>
  <si>
    <t>2.4 2</t>
  </si>
  <si>
    <t>לסמן = האם יש וכמה אחוז (10 ב-ח, 11.5 כיתה א)</t>
  </si>
  <si>
    <t>גמול השתלמות לבד</t>
  </si>
  <si>
    <t>ד"ר  10%</t>
  </si>
  <si>
    <t>מקדם משרה באופק חדש</t>
  </si>
  <si>
    <r>
      <t>מענק פרישה</t>
    </r>
    <r>
      <rPr>
        <b/>
        <sz val="10"/>
        <rFont val="Arial"/>
        <family val="2"/>
      </rPr>
      <t xml:space="preserve"> כחוק </t>
    </r>
    <r>
      <rPr>
        <sz val="11"/>
        <color theme="1"/>
        <rFont val="Arial"/>
        <family val="2"/>
        <charset val="177"/>
        <scheme val="minor"/>
      </rPr>
      <t>לעובדי מדינה</t>
    </r>
  </si>
  <si>
    <t>שנות ותק</t>
  </si>
  <si>
    <t>אחוז תוספת ותק</t>
  </si>
  <si>
    <t>דרגות עובד הוראה</t>
  </si>
  <si>
    <t>בלתי מוסמך</t>
  </si>
  <si>
    <t>מדריך מקצועי</t>
  </si>
  <si>
    <t>4.8 3</t>
  </si>
  <si>
    <t xml:space="preserve">שכר נוסף  להמרה  </t>
  </si>
  <si>
    <t>לסמן  = כמה שכר בפועל (ראה הערה)</t>
  </si>
  <si>
    <t>7.2 4</t>
  </si>
  <si>
    <r>
      <rPr>
        <sz val="8.5"/>
        <color indexed="63"/>
        <rFont val="Tahoma"/>
        <family val="2"/>
      </rPr>
      <t>23.J</t>
    </r>
  </si>
  <si>
    <t>ותק בניהול</t>
  </si>
  <si>
    <t>לסמן  = כמה שנים ותק בניהול</t>
  </si>
  <si>
    <t>גמול פיצול</t>
  </si>
  <si>
    <t>ספטמבר</t>
  </si>
  <si>
    <t>שכ"ע</t>
  </si>
  <si>
    <t>9.6 5</t>
  </si>
  <si>
    <r>
      <rPr>
        <sz val="8.5"/>
        <color indexed="63"/>
        <rFont val="Tahoma"/>
        <family val="2"/>
      </rPr>
      <t>2J.4</t>
    </r>
  </si>
  <si>
    <t>מחושב אוטומט = לפי הסימון למטה</t>
  </si>
  <si>
    <t>גמול השתלמות</t>
  </si>
  <si>
    <t>מורה ביסודי על בסיס חט"ב</t>
  </si>
  <si>
    <t>ינואר</t>
  </si>
  <si>
    <t>תאריך מעברך לאופק חדש</t>
  </si>
  <si>
    <t xml:space="preserve">מענק יובל </t>
  </si>
  <si>
    <t xml:space="preserve">מענק מלא </t>
  </si>
  <si>
    <t>מענק חייב</t>
  </si>
  <si>
    <t xml:space="preserve">מענק חייב </t>
  </si>
  <si>
    <t>מענק</t>
  </si>
  <si>
    <t>מס' נייר</t>
  </si>
  <si>
    <t>12.0 6</t>
  </si>
  <si>
    <t>רמת מורכבות</t>
  </si>
  <si>
    <t>פברואר</t>
  </si>
  <si>
    <t>מנהלי</t>
  </si>
  <si>
    <t>גיל פרישה אישה</t>
  </si>
  <si>
    <t xml:space="preserve">קצבה </t>
  </si>
  <si>
    <t>בפריסה</t>
  </si>
  <si>
    <t>קצבה</t>
  </si>
  <si>
    <t>מענק חייב מס</t>
  </si>
  <si>
    <t xml:space="preserve"> שכר עבודה</t>
  </si>
  <si>
    <t>הכנסה נוספת</t>
  </si>
  <si>
    <t xml:space="preserve">נוסחת השילוב </t>
  </si>
  <si>
    <t>14.4 7</t>
  </si>
  <si>
    <r>
      <rPr>
        <sz val="8.5"/>
        <color indexed="63"/>
        <rFont val="Tahoma"/>
        <family val="2"/>
      </rPr>
      <t>36.J</t>
    </r>
  </si>
  <si>
    <t>סוג בית ספר</t>
  </si>
  <si>
    <t>לסמן  = האם בית ספר רגיל או חינוך מיוחד</t>
  </si>
  <si>
    <t>חינוך מיוחד</t>
  </si>
  <si>
    <t>א-ח</t>
  </si>
  <si>
    <t xml:space="preserve">הקש ימי עבודה בשבוע  </t>
  </si>
  <si>
    <t>לא  מקבל</t>
  </si>
  <si>
    <t>מרץ</t>
  </si>
  <si>
    <t>ותק</t>
  </si>
  <si>
    <t>מס ימים</t>
  </si>
  <si>
    <t>דרגות</t>
  </si>
  <si>
    <t>תאריך לידה</t>
  </si>
  <si>
    <t>נוכחי</t>
  </si>
  <si>
    <t>הכ נוספת</t>
  </si>
  <si>
    <t xml:space="preserve">מס לאחר </t>
  </si>
  <si>
    <t>16.8 8</t>
  </si>
  <si>
    <t>לסמן  = האם בית ספר א-ח, או חט"ב בבי"ס שש שנתי</t>
  </si>
  <si>
    <t>חט"ב בבי"ס שש שנתי</t>
  </si>
  <si>
    <t xml:space="preserve">גננת שאינה אקדמאית </t>
  </si>
  <si>
    <t xml:space="preserve">כן </t>
  </si>
  <si>
    <t xml:space="preserve">גמול א </t>
  </si>
  <si>
    <t xml:space="preserve">מנהלי  </t>
  </si>
  <si>
    <t>אפריל</t>
  </si>
  <si>
    <t>10+</t>
  </si>
  <si>
    <t xml:space="preserve">ערב הרפורמה </t>
  </si>
  <si>
    <t>חודשי</t>
  </si>
  <si>
    <t>תקרה</t>
  </si>
  <si>
    <t>% מול מוסמך</t>
  </si>
  <si>
    <t>19.2 9</t>
  </si>
  <si>
    <t xml:space="preserve">דרוג מנהל  </t>
  </si>
  <si>
    <t>מחושב אוטומט = לפי הסיווג/תואר שצוין למעלה</t>
  </si>
  <si>
    <t>תוספת 2022</t>
  </si>
  <si>
    <t>לא נכלל בחישוב להמרה</t>
  </si>
  <si>
    <t xml:space="preserve">דירוג </t>
  </si>
  <si>
    <t xml:space="preserve">גמול מנהל שלב א </t>
  </si>
  <si>
    <t>מאי</t>
  </si>
  <si>
    <t xml:space="preserve">מין </t>
  </si>
  <si>
    <t>אשה נשואה</t>
  </si>
  <si>
    <t>עיצוב הערות</t>
  </si>
  <si>
    <t xml:space="preserve">כל המענק  חייב מס </t>
  </si>
  <si>
    <t>פריסת מס</t>
  </si>
  <si>
    <t>מסלול מזומן</t>
  </si>
  <si>
    <t>חופש</t>
  </si>
  <si>
    <t>חל"ת</t>
  </si>
  <si>
    <t>שכ"ע 2009</t>
  </si>
  <si>
    <t>הנחת מס 35%</t>
  </si>
  <si>
    <t>ישוב מזכה</t>
  </si>
  <si>
    <t>21.6 10</t>
  </si>
  <si>
    <r>
      <rPr>
        <sz val="8.5"/>
        <color indexed="63"/>
        <rFont val="Tahoma"/>
        <family val="2"/>
      </rPr>
      <t>21.J</t>
    </r>
  </si>
  <si>
    <t>טלפון</t>
  </si>
  <si>
    <t xml:space="preserve">גננת לא אקדמאית </t>
  </si>
  <si>
    <t>האם אתה  שוטר/סוהר  ?</t>
  </si>
  <si>
    <t>גמול מנהל שלב ב</t>
  </si>
  <si>
    <t xml:space="preserve">     הקלידי נתוני סדין</t>
  </si>
  <si>
    <t>יוני</t>
  </si>
  <si>
    <t>תחילת עבודה</t>
  </si>
  <si>
    <t>11+</t>
  </si>
  <si>
    <t>24.0 11</t>
  </si>
  <si>
    <r>
      <rPr>
        <sz val="8.5"/>
        <color indexed="63"/>
        <rFont val="Tahoma"/>
        <family val="2"/>
      </rPr>
      <t>4J.9</t>
    </r>
  </si>
  <si>
    <t>השלמה למינימום</t>
  </si>
  <si>
    <t xml:space="preserve">                מספר דרגות פרישה</t>
  </si>
  <si>
    <t>גמול ב</t>
  </si>
  <si>
    <t xml:space="preserve">גמול מנהל שלב ג </t>
  </si>
  <si>
    <t>תקופה מזכה בחודשים</t>
  </si>
  <si>
    <t>יולי</t>
  </si>
  <si>
    <t>26.4 12</t>
  </si>
  <si>
    <r>
      <rPr>
        <sz val="8.5"/>
        <color indexed="63"/>
        <rFont val="Tahoma"/>
        <family val="2"/>
      </rPr>
      <t>48.J</t>
    </r>
  </si>
  <si>
    <t>כיתות רגילות</t>
  </si>
  <si>
    <t>כיתות ז-ח</t>
  </si>
  <si>
    <t>כיתות חינוך מיוחד</t>
  </si>
  <si>
    <t>סה"כ</t>
  </si>
  <si>
    <t>תוספת מעונות</t>
  </si>
  <si>
    <t xml:space="preserve">תוספת דרגת קידום </t>
  </si>
  <si>
    <t>תקציבית</t>
  </si>
  <si>
    <t xml:space="preserve">אחוז קצבה מחלקיות מלאה </t>
  </si>
  <si>
    <t>אוגוסט</t>
  </si>
  <si>
    <t>12+</t>
  </si>
  <si>
    <t>מח"ר</t>
  </si>
  <si>
    <r>
      <t xml:space="preserve">סך </t>
    </r>
    <r>
      <rPr>
        <b/>
        <sz val="10"/>
        <color indexed="10"/>
        <rFont val="Arial"/>
        <family val="2"/>
      </rPr>
      <t>ותק</t>
    </r>
    <r>
      <rPr>
        <b/>
        <sz val="10"/>
        <color indexed="12"/>
        <rFont val="Arial"/>
        <family val="2"/>
      </rPr>
      <t xml:space="preserve">  </t>
    </r>
    <r>
      <rPr>
        <b/>
        <sz val="10"/>
        <color indexed="10"/>
        <rFont val="Arial"/>
        <family val="2"/>
      </rPr>
      <t xml:space="preserve">מחושב </t>
    </r>
  </si>
  <si>
    <t>28.8 13</t>
  </si>
  <si>
    <r>
      <rPr>
        <sz val="8.5"/>
        <color indexed="63"/>
        <rFont val="Tahoma"/>
        <family val="2"/>
      </rPr>
      <t>27.J</t>
    </r>
  </si>
  <si>
    <r>
      <rPr>
        <sz val="8.5"/>
        <color indexed="63"/>
        <rFont val="Tahoma"/>
        <family val="2"/>
      </rPr>
      <t>J0.9</t>
    </r>
  </si>
  <si>
    <t>מספר כיתות</t>
  </si>
  <si>
    <t>לסמן מספר כיתות</t>
  </si>
  <si>
    <t>צוברת</t>
  </si>
  <si>
    <t>מענק רגיל</t>
  </si>
  <si>
    <t xml:space="preserve">  תאריך פרישה מסדין</t>
  </si>
  <si>
    <t>31.2 14</t>
  </si>
  <si>
    <r>
      <rPr>
        <sz val="8.5"/>
        <color indexed="63"/>
        <rFont val="Tahoma"/>
        <family val="2"/>
      </rPr>
      <t>29.J</t>
    </r>
  </si>
  <si>
    <r>
      <rPr>
        <sz val="8.5"/>
        <color indexed="63"/>
        <rFont val="Tahoma"/>
        <family val="2"/>
      </rPr>
      <t>J4.6</t>
    </r>
  </si>
  <si>
    <t>דירוג מורכבות</t>
  </si>
  <si>
    <t>מחושב אוטומט</t>
  </si>
  <si>
    <t>ברוטו לפנסיה   בגיל 60</t>
  </si>
  <si>
    <t>אוקטובר</t>
  </si>
  <si>
    <t>13+</t>
  </si>
  <si>
    <t>34+</t>
  </si>
  <si>
    <t>ותק הבראה</t>
  </si>
  <si>
    <t>33.6 15</t>
  </si>
  <si>
    <t>שכר להמרה  :</t>
  </si>
  <si>
    <t xml:space="preserve">דרגה </t>
  </si>
  <si>
    <t>מ.קובעת</t>
  </si>
  <si>
    <t>ותק מחושב</t>
  </si>
  <si>
    <t xml:space="preserve"> קידום ותק לשכר</t>
  </si>
  <si>
    <t>מעל ותק 30 שנה</t>
  </si>
  <si>
    <t>נובמבר</t>
  </si>
  <si>
    <t xml:space="preserve">            חלקיות משרה</t>
  </si>
  <si>
    <t>כולל הנחת שוטר</t>
  </si>
  <si>
    <t>36.0 16</t>
  </si>
  <si>
    <t>A -אוטיזם</t>
  </si>
  <si>
    <t>B - פיגור קל</t>
  </si>
  <si>
    <t>C -יתר הכיתות</t>
  </si>
  <si>
    <t>תוספת שחיקה</t>
  </si>
  <si>
    <t>א</t>
  </si>
  <si>
    <t xml:space="preserve">ותק מחושב </t>
  </si>
  <si>
    <t>דצמבר</t>
  </si>
  <si>
    <t>14+</t>
  </si>
  <si>
    <t>35+</t>
  </si>
  <si>
    <t>תוספת</t>
  </si>
  <si>
    <r>
      <rPr>
        <sz val="8.5"/>
        <color indexed="63"/>
        <rFont val="Tahoma"/>
        <family val="2"/>
      </rPr>
      <t>2J.J</t>
    </r>
  </si>
  <si>
    <r>
      <rPr>
        <sz val="8.5"/>
        <color indexed="63"/>
        <rFont val="Tahoma"/>
        <family val="2"/>
      </rPr>
      <t>3J.6</t>
    </r>
  </si>
  <si>
    <t>מקדם המרה  :</t>
  </si>
  <si>
    <t>א+</t>
  </si>
  <si>
    <t>תוספת אישית :</t>
  </si>
  <si>
    <t>תוספת סמינרים  12%</t>
  </si>
  <si>
    <t>שנות ותק מחו</t>
  </si>
  <si>
    <t>בפרישה</t>
  </si>
  <si>
    <t>לפי תלווש דצמבר</t>
  </si>
  <si>
    <t>ברוטו פנסיה שנתי</t>
  </si>
  <si>
    <t>פטור  או</t>
  </si>
  <si>
    <t>הנחת מס :</t>
  </si>
  <si>
    <t>לשנות  ערך BI 15</t>
  </si>
  <si>
    <t>הנחת נוסחת השילוב</t>
  </si>
  <si>
    <t>שכר לאחר המרה  :</t>
  </si>
  <si>
    <t>ב</t>
  </si>
  <si>
    <t>עיגול התוספת</t>
  </si>
  <si>
    <t xml:space="preserve">סכום </t>
  </si>
  <si>
    <t>חישוב ותק נגרר</t>
  </si>
  <si>
    <t>15+</t>
  </si>
  <si>
    <t>36+</t>
  </si>
  <si>
    <t>אם יש שינוי בתקרת ישובי הצפון וק.שמונה</t>
  </si>
  <si>
    <t>תוספת רב שלבי</t>
  </si>
  <si>
    <t>ב+</t>
  </si>
  <si>
    <t>תוספת סמינרים  12% ערב רפורמה</t>
  </si>
  <si>
    <t>מענק לחישוב</t>
  </si>
  <si>
    <t>נקודות זכוי</t>
  </si>
  <si>
    <t>חודשי עבודה בשנת הפרישה בפריסה:</t>
  </si>
  <si>
    <t>מס הכנסה</t>
  </si>
  <si>
    <t>לנכות 35%</t>
  </si>
  <si>
    <t>קופת גמל</t>
  </si>
  <si>
    <t>תוספת רפואי</t>
  </si>
  <si>
    <t>שכר ברוטו מטבלת המרה:</t>
  </si>
  <si>
    <t>תוספת אישות בפועיל אחרי עיגול התוספת</t>
  </si>
  <si>
    <t>ג</t>
  </si>
  <si>
    <t xml:space="preserve">בחר  סוג הפנסיה שלך  </t>
  </si>
  <si>
    <t>16+</t>
  </si>
  <si>
    <t>37+</t>
  </si>
  <si>
    <t>חודשי ותק</t>
  </si>
  <si>
    <t>חודשי עבודה בשנת הפרישה במזומן :</t>
  </si>
  <si>
    <t xml:space="preserve">נק זכוי </t>
  </si>
  <si>
    <t>ג+</t>
  </si>
  <si>
    <t xml:space="preserve">גמול תואר </t>
  </si>
  <si>
    <t xml:space="preserve">מענק חד פעמי </t>
  </si>
  <si>
    <t>קיזוז ימי מחלה</t>
  </si>
  <si>
    <t>קיזוז ימי חופש</t>
  </si>
  <si>
    <t>קצבה  ברוטו</t>
  </si>
  <si>
    <t>בטוח לאומי</t>
  </si>
  <si>
    <r>
      <rPr>
        <sz val="8.5"/>
        <color indexed="63"/>
        <rFont val="Tahoma"/>
        <family val="2"/>
      </rPr>
      <t>J9.6</t>
    </r>
  </si>
  <si>
    <t xml:space="preserve">סה"כ ברוטו </t>
  </si>
  <si>
    <t>ד</t>
  </si>
  <si>
    <t>17+</t>
  </si>
  <si>
    <t>38+</t>
  </si>
  <si>
    <t>אחוזי קצבה</t>
  </si>
  <si>
    <t>בטוח בריאות</t>
  </si>
  <si>
    <t>חינוך</t>
  </si>
  <si>
    <t xml:space="preserve"> הקש  מספר חודשי חל"ת לסימולצית רכישה</t>
  </si>
  <si>
    <t>מחשבון תקופת חל"ת</t>
  </si>
  <si>
    <t>הפרש ותק</t>
  </si>
  <si>
    <t>השלמת ותק</t>
  </si>
  <si>
    <t xml:space="preserve">  לבדיקת כדאיות רכישה החל"ת  לחץ כאן  &gt;</t>
  </si>
  <si>
    <t>כדאיות  הרכישה</t>
  </si>
  <si>
    <t xml:space="preserve"> הנתונים כוללים את רכישת החל"ת שבצעת</t>
  </si>
  <si>
    <t xml:space="preserve">נכון </t>
  </si>
  <si>
    <t>18+</t>
  </si>
  <si>
    <t>39+</t>
  </si>
  <si>
    <t xml:space="preserve"> שנות ותק </t>
  </si>
  <si>
    <t>רמת מורכבות בית הספר</t>
  </si>
  <si>
    <t>הפרש x12</t>
  </si>
  <si>
    <t>כפול מקדם הוון</t>
  </si>
  <si>
    <t>בסיס משרה: א-ו, ז-ח, חט"ב, משולב</t>
  </si>
  <si>
    <t>לסמן = א,ו, ז-ח, או משולב (גם א-ו וגם ז-ח)</t>
  </si>
  <si>
    <t>אקדמאי</t>
  </si>
  <si>
    <t>שנים לפרישה</t>
  </si>
  <si>
    <t>19+</t>
  </si>
  <si>
    <t>40+</t>
  </si>
  <si>
    <t>יסוד משולב נוכחי</t>
  </si>
  <si>
    <t>מקדם ההמרה</t>
  </si>
  <si>
    <t>מחושב אוטומט - לא לסמן</t>
  </si>
  <si>
    <t>תוספת ערבה</t>
  </si>
  <si>
    <t>ותק למענק</t>
  </si>
  <si>
    <t>עבודה נטו</t>
  </si>
  <si>
    <t>גמול הכנה לבגרות</t>
  </si>
  <si>
    <t>20+</t>
  </si>
  <si>
    <t>41+</t>
  </si>
  <si>
    <t>קצבה  נטו</t>
  </si>
  <si>
    <t>יחס קצבה ברוטו</t>
  </si>
  <si>
    <t xml:space="preserve">מענק פרישה </t>
  </si>
  <si>
    <t>רגיל</t>
  </si>
  <si>
    <t>הפרש</t>
  </si>
  <si>
    <t>קצבה נטו</t>
  </si>
  <si>
    <t>21+</t>
  </si>
  <si>
    <t>42+</t>
  </si>
  <si>
    <t>משכורתך ברוטו במועד הפרישה</t>
  </si>
  <si>
    <t>הנמוך  מבינהם:</t>
  </si>
  <si>
    <t xml:space="preserve">אחוז פטור מס </t>
  </si>
  <si>
    <t>בוררות  30%</t>
  </si>
  <si>
    <t>גמול שיפוט</t>
  </si>
  <si>
    <t xml:space="preserve">   משכורות</t>
  </si>
  <si>
    <t xml:space="preserve">          ירידה בהכנסה בפרישה</t>
  </si>
  <si>
    <t>.התשואות לפדיון מחושבות תחת הנחות אינפלציה*</t>
  </si>
  <si>
    <r>
      <rPr>
        <sz val="8.5"/>
        <color indexed="63"/>
        <rFont val="Tahoma"/>
        <family val="2"/>
      </rPr>
      <t>32+</t>
    </r>
  </si>
  <si>
    <r>
      <rPr>
        <sz val="8.5"/>
        <color indexed="63"/>
        <rFont val="Tahoma"/>
        <family val="2"/>
      </rPr>
      <t>63.J</t>
    </r>
  </si>
  <si>
    <t>חלקיות משרה משוקללת</t>
  </si>
  <si>
    <t xml:space="preserve">להוסיף לחישוב </t>
  </si>
  <si>
    <t>מקבל</t>
  </si>
  <si>
    <t>22+</t>
  </si>
  <si>
    <t>43+</t>
  </si>
  <si>
    <t xml:space="preserve">         חצי משכורת שנתית עבור כל שנת שירות</t>
  </si>
  <si>
    <t>מקור הנתונים</t>
  </si>
  <si>
    <t>לא להוסיף לחישוב</t>
  </si>
  <si>
    <t>לא מקבל</t>
  </si>
  <si>
    <t xml:space="preserve">בטוח לאומי שוטר </t>
  </si>
  <si>
    <t>הוון קצבה דחויה</t>
  </si>
  <si>
    <t>הקצבה בגיל 60</t>
  </si>
  <si>
    <t>מאחר ואין כלל  מס על קצבתך , בוחרים בפטור על המענק</t>
  </si>
  <si>
    <t>23+</t>
  </si>
  <si>
    <t>44+</t>
  </si>
  <si>
    <t>הקצבה בפרישה</t>
  </si>
  <si>
    <t>שכר מטבלת המרה   :</t>
  </si>
  <si>
    <t>חזור לדף ראשי</t>
  </si>
  <si>
    <t>תקרת פטור</t>
  </si>
  <si>
    <t>כולל הבראה בגוד ומ. יובל</t>
  </si>
  <si>
    <t xml:space="preserve">סה"כ  שכר ברוטו </t>
  </si>
  <si>
    <t xml:space="preserve">ללא  מענק יובל </t>
  </si>
  <si>
    <t>24+</t>
  </si>
  <si>
    <t>45+</t>
  </si>
  <si>
    <t>ללא הבראה בגוד ומ.יובל</t>
  </si>
  <si>
    <t>25+</t>
  </si>
  <si>
    <t>46+</t>
  </si>
  <si>
    <t>מקדם גיל</t>
  </si>
  <si>
    <t>עד</t>
  </si>
  <si>
    <t>מ</t>
  </si>
  <si>
    <t xml:space="preserve">                חישוב חודש הסתגלות</t>
  </si>
  <si>
    <t xml:space="preserve">     הקלידי נתוני תלוש שכר אחרון</t>
  </si>
  <si>
    <t xml:space="preserve">   לחץ כאן  לבצוע  סימולציות </t>
  </si>
  <si>
    <t>דרגתך כיום באופק חדש</t>
  </si>
  <si>
    <t>ותק צה"ל</t>
  </si>
  <si>
    <t>רמת מרוכבות</t>
  </si>
  <si>
    <t>גמול חינוך כתה</t>
  </si>
  <si>
    <t xml:space="preserve">גמול יעוץ </t>
  </si>
  <si>
    <t>גמול ניהול /סגנות/גננות</t>
  </si>
  <si>
    <t>ותק בניהול למנהל ולסגנו/גננת</t>
  </si>
  <si>
    <t>חישוב סופי כוללאקדמאי</t>
  </si>
  <si>
    <t>ותק הדרכה לגמול פיקוח/הדרכה</t>
  </si>
  <si>
    <t>מא</t>
  </si>
  <si>
    <t>בא</t>
  </si>
  <si>
    <t>מוסמך</t>
  </si>
  <si>
    <t xml:space="preserve">מדריך מקצועי </t>
  </si>
  <si>
    <t xml:space="preserve">  כיום בתנאי פרישה</t>
  </si>
  <si>
    <t>מקבלת תוספת סמינרים  12%</t>
  </si>
  <si>
    <t>סה"כ כיתות</t>
  </si>
  <si>
    <t>נקודות זיכוי</t>
  </si>
  <si>
    <t>תגבור 94</t>
  </si>
  <si>
    <t>ברוטו למס  שנתי מטופס 106</t>
  </si>
  <si>
    <t>הסכם 87</t>
  </si>
  <si>
    <t xml:space="preserve">                  תוצאה  מטבלת ההמרה</t>
  </si>
  <si>
    <t xml:space="preserve"> הפקדת המעביד לקרן השתלמות</t>
  </si>
  <si>
    <t xml:space="preserve">הפקדת  המעביד לקופת גמל </t>
  </si>
  <si>
    <t xml:space="preserve">הנחות מס לתושבי קו עימות וישוב מזכה </t>
  </si>
  <si>
    <t>כולל מענק חד פעמי</t>
  </si>
  <si>
    <t>ישובי הצפון 13%</t>
  </si>
  <si>
    <t>קרית שמונה 25%</t>
  </si>
  <si>
    <t>קו עימות דרומי 13%</t>
  </si>
  <si>
    <t>קו עימות דרומי 16%</t>
  </si>
  <si>
    <t>מצפה רמון  25%</t>
  </si>
  <si>
    <t>דימונה וירוחם20%</t>
  </si>
  <si>
    <t>הנחת מס עד לתקרה :</t>
  </si>
  <si>
    <t>תקרת פטור עיוור /נכה100%</t>
  </si>
  <si>
    <t xml:space="preserve">הנחת כוחות בטחון </t>
  </si>
  <si>
    <t xml:space="preserve"> מענק עפי חוק</t>
  </si>
  <si>
    <t>מענק הסדר פרישה</t>
  </si>
  <si>
    <t>כמות</t>
  </si>
  <si>
    <t xml:space="preserve"> חודשי  הסתגלות </t>
  </si>
  <si>
    <t xml:space="preserve"> פדיון  ימי  מחלה </t>
  </si>
  <si>
    <t xml:space="preserve"> פדיון  ימי  חופש</t>
  </si>
  <si>
    <t xml:space="preserve">פיצוי  עודף  אחוזים </t>
  </si>
  <si>
    <t>יש לשים לב לסמן קודם האם יש</t>
  </si>
  <si>
    <t>משרת אם (עמודה C שורה 13)</t>
  </si>
  <si>
    <t>טבלת פדיון ימי מחלה</t>
  </si>
  <si>
    <t>משכורת קובעת בפרישה</t>
  </si>
  <si>
    <t xml:space="preserve">                            טבלת מקדמי המרה לאופק חדש </t>
  </si>
  <si>
    <t xml:space="preserve">קישורים מומלצים </t>
  </si>
  <si>
    <t>מעמד המורה (סטטוס)</t>
  </si>
  <si>
    <t>יסודי</t>
  </si>
  <si>
    <t>חטיבה</t>
  </si>
  <si>
    <t>יסודי ז-ח</t>
  </si>
  <si>
    <t>מורה רגיל/ה</t>
  </si>
  <si>
    <t>מחנך/ת</t>
  </si>
  <si>
    <t>מורה אם</t>
  </si>
  <si>
    <t>מורה אם ומחנכת</t>
  </si>
  <si>
    <t>גננת</t>
  </si>
  <si>
    <t>משרה באופק</t>
  </si>
  <si>
    <t>שעות בפועל</t>
  </si>
  <si>
    <t>מעונות 1</t>
  </si>
  <si>
    <t>מעונות 2</t>
  </si>
  <si>
    <t>אופק חדש</t>
  </si>
  <si>
    <t>זכאי לגמול פיקוח/הדרכה</t>
  </si>
  <si>
    <r>
      <t xml:space="preserve">      ובדרגה </t>
    </r>
    <r>
      <rPr>
        <sz val="11"/>
        <rFont val="Arial"/>
        <family val="2"/>
      </rPr>
      <t xml:space="preserve"> </t>
    </r>
  </si>
  <si>
    <t>רכשת חל"ת בסימולציה</t>
  </si>
  <si>
    <t>המרה במקרים חריגים</t>
  </si>
  <si>
    <t>סגן מנהל שני  אקדמאי</t>
  </si>
  <si>
    <t xml:space="preserve"> אחוזי קצבה שהוספת</t>
  </si>
  <si>
    <t>חטיבת ביניים</t>
  </si>
  <si>
    <t xml:space="preserve">דרגה תחילית אופק חדש </t>
  </si>
  <si>
    <t>שכר עבודה נטו כיום :</t>
  </si>
  <si>
    <t xml:space="preserve"> חודשי חל"ת :</t>
  </si>
  <si>
    <t>מקדם  משרה  א.חדש :</t>
  </si>
  <si>
    <t xml:space="preserve">                     בצע סימולציות פרישה  </t>
  </si>
  <si>
    <t xml:space="preserve">                סכום  מענק  פרישה</t>
  </si>
  <si>
    <t xml:space="preserve">                מספר חודשי הסתגלות</t>
  </si>
  <si>
    <t xml:space="preserve">                דרגתך ביום   הפרישה</t>
  </si>
  <si>
    <t xml:space="preserve">                     בצע   סימולציות   פרישה</t>
  </si>
  <si>
    <t xml:space="preserve"> אחוזי קצבה נוספים הגדלת שרות/רצף זכויות </t>
  </si>
  <si>
    <t xml:space="preserve">     הכנסה עתידית  נוספת לאחר פרישה</t>
  </si>
  <si>
    <t>אחוזי זכאות לגמול ייעוץ</t>
  </si>
  <si>
    <t xml:space="preserve">        נכון לתאריך :</t>
  </si>
  <si>
    <t xml:space="preserve">חזור למסך הזנת נתונים </t>
  </si>
  <si>
    <t xml:space="preserve">                 תוצאות פנסיה תקציבית </t>
  </si>
  <si>
    <t>לחץ למעבר אל    :</t>
  </si>
  <si>
    <t>ריכוז תוצאות ראשוני</t>
  </si>
  <si>
    <t>קצבה מקופת גמל</t>
  </si>
  <si>
    <t xml:space="preserve">           פנסיה   </t>
  </si>
  <si>
    <t>מחשבון היוון קצבה</t>
  </si>
  <si>
    <t xml:space="preserve">חרגת מגיל פרישת חובה </t>
  </si>
  <si>
    <t xml:space="preserve">קצבת הפנסיה  </t>
  </si>
  <si>
    <t xml:space="preserve">      גיל פרישתך כחוק</t>
  </si>
  <si>
    <t>מענקים:פטור ופריסת מס</t>
  </si>
  <si>
    <t>טבלת מענק כחוק</t>
  </si>
  <si>
    <t>שנות  ותק חל"ת לרכישה</t>
  </si>
  <si>
    <t>מסלולי מיסוי מענק/קצבה</t>
  </si>
  <si>
    <t>קצבת שארים</t>
  </si>
  <si>
    <t>טבלת כדאיות פרישה</t>
  </si>
  <si>
    <t>ותק עבודה בפרישה</t>
  </si>
  <si>
    <t>מחשבון תכנון הכנסה</t>
  </si>
  <si>
    <t xml:space="preserve">סה"כ שנות ותק מסדין </t>
  </si>
  <si>
    <t>להציג  טבלאות חישוב ?</t>
  </si>
  <si>
    <t>אחוזי קצבה מוותק  מסדין</t>
  </si>
  <si>
    <t xml:space="preserve">    תואר  ודרגה</t>
  </si>
  <si>
    <t>אחוזי הגדלת שרות</t>
  </si>
  <si>
    <t xml:space="preserve">אחוזי קצבה </t>
  </si>
  <si>
    <t>קצבה חודשית נטו</t>
  </si>
  <si>
    <t xml:space="preserve">קצבה נטו  בתוספת הבראה בגוד ומענק יובל </t>
  </si>
  <si>
    <t>מרשות המיסים  !</t>
  </si>
  <si>
    <t xml:space="preserve">             (ברוטו)</t>
  </si>
  <si>
    <t>ריכוז  תוצאות  הסימולציה  לפרישתך במסלול פטור מס על המענק בגיל   :</t>
  </si>
  <si>
    <t xml:space="preserve"> מענק עפי חוק  נטו</t>
  </si>
  <si>
    <t>מענק הסדר פרישה נטו</t>
  </si>
  <si>
    <t xml:space="preserve">       לחץ לחזרה   </t>
  </si>
  <si>
    <t xml:space="preserve"> חודשי  הסתגלות  נטו</t>
  </si>
  <si>
    <t xml:space="preserve"> פדיון  ימי  מחלה  נטו</t>
  </si>
  <si>
    <t>פיצוי  עודף  אחוזים נטו</t>
  </si>
  <si>
    <t xml:space="preserve"> מענקי   פרישה</t>
  </si>
  <si>
    <t>סה"כ נטו  משוערך</t>
  </si>
  <si>
    <t xml:space="preserve">סכום המענק  שתקבל  בעת הפרישה נטו </t>
  </si>
  <si>
    <t xml:space="preserve"> פדיון  ימי  חופש נטו</t>
  </si>
  <si>
    <t>בעת מילוי טופס 161א בקש פטור מס מוגדל   למענק  החייב,  בסך  :</t>
  </si>
  <si>
    <t>ביום הפרישה -B   בגיל</t>
  </si>
  <si>
    <t>מאחר והאישור לבקשתך מפקיד השומה הינו אוטומטי , התוצאות  הינן  לפי פטור מוגדל !</t>
  </si>
  <si>
    <t xml:space="preserve">אופציה לבקשת פטור נוסף, על העודף  מסכום המענק החייב,בסך </t>
  </si>
  <si>
    <t>רשאי המנהל(פקיד השומה) לפטור את העודף, כולו או מקצתו, בהתחשב בתקופת השירות, בגובה השכר, בתנאי העבודה ובנסיבות הפרישה;</t>
  </si>
  <si>
    <t>שנות הוראה</t>
  </si>
  <si>
    <t>אם ברצונך בפריסת מס עליך להגיש בקשה בטופס  116ג</t>
  </si>
  <si>
    <t>לקבלת החזר המס השנתי מהפריסה מלא טופס 135 (דוח שנתי מקוצר)</t>
  </si>
  <si>
    <t>שנות ותק באופק חדש :</t>
  </si>
  <si>
    <t>שנות ותק  תקופה ראשונה :</t>
  </si>
  <si>
    <t>משכורת קובעת  לתקופה:</t>
  </si>
  <si>
    <t xml:space="preserve">בסיס משרה יסודי+חט"ב </t>
  </si>
  <si>
    <t xml:space="preserve">מקבל ותק אזור פתוח </t>
  </si>
  <si>
    <t>גננת מוסמכת</t>
  </si>
  <si>
    <t>מוסמך בפועל</t>
  </si>
  <si>
    <t>ביניים</t>
  </si>
  <si>
    <t>מנהל אקדמאי קיים</t>
  </si>
  <si>
    <t>מנהל בכיר קיים</t>
  </si>
  <si>
    <t>מנהל מוסמך  קיים</t>
  </si>
  <si>
    <t>מנהל בלתי מוסמך קיים</t>
  </si>
  <si>
    <t>ותק אזור פתוח</t>
  </si>
  <si>
    <t xml:space="preserve">בחר מקדם המרה מטבלה </t>
  </si>
  <si>
    <t>פותח ע"י</t>
  </si>
  <si>
    <t>עזרא נפתלי</t>
  </si>
  <si>
    <t>הסכם אופק חדש</t>
  </si>
  <si>
    <t xml:space="preserve">לפי חלקיות </t>
  </si>
  <si>
    <t xml:space="preserve">משכורת קובעת </t>
  </si>
  <si>
    <t>קובעת משרה מלאה</t>
  </si>
  <si>
    <t>חלקיות משרה  :</t>
  </si>
  <si>
    <t>בגילום שנתי</t>
  </si>
  <si>
    <t>משכורת קובעת סופית לפנסיה לאחר שיקלול</t>
  </si>
  <si>
    <t>סה"כ ותק בהוראה</t>
  </si>
  <si>
    <t xml:space="preserve">שכר ערב רפורמה </t>
  </si>
  <si>
    <t xml:space="preserve">לאחר אחוזי  קידום  ותק  </t>
  </si>
  <si>
    <t>לאחר אחוזי קידום דרגה</t>
  </si>
  <si>
    <t>חרגת מגיל פרישה חובה</t>
  </si>
  <si>
    <t xml:space="preserve">                  משכורת קובעת   (ללא מענק יובל)</t>
  </si>
  <si>
    <t xml:space="preserve">            קצבת  הפנסיה  ומרכיביה</t>
  </si>
  <si>
    <t>משכורת קובעת ביום הפרישה</t>
  </si>
  <si>
    <t xml:space="preserve">    אחוזי קצבה :</t>
  </si>
  <si>
    <t>ברוטו לפנסיה</t>
  </si>
  <si>
    <t>סכום הקצבה ברוטו  :</t>
  </si>
  <si>
    <t>מענק יובל</t>
  </si>
  <si>
    <t>מקדמת יוקר  3.82%</t>
  </si>
  <si>
    <t>סה"כ ברוטו</t>
  </si>
  <si>
    <t>מס הכנסה שלילי</t>
  </si>
  <si>
    <t>נק זיכוי</t>
  </si>
  <si>
    <t>מס בנכוי נק זכוי</t>
  </si>
  <si>
    <t>ביטוח לאומי</t>
  </si>
  <si>
    <t>לא בחישוב</t>
  </si>
  <si>
    <t>ביטוח בריאות</t>
  </si>
  <si>
    <t>סה"כ מס</t>
  </si>
  <si>
    <t>לפני נק זיכוי :</t>
  </si>
  <si>
    <t xml:space="preserve">         קצבה נטו עם ביגוד הבראה ומ. יובל  בממוצע חודשי</t>
  </si>
  <si>
    <t>אם הגמול ניהול שונה  מה שכתוב בטבלה בצד ימין נא לציין גמול נכון</t>
  </si>
  <si>
    <t>ניתן לחשב כמה אחוז משרה בכל שלב לפי מילוי טבלה זו - נא לשים לב למלאות קודם האם יש משרת אם (שורה 10 עמודה B) = לא חובה למלאות את זה</t>
  </si>
  <si>
    <t>סגנים</t>
  </si>
  <si>
    <t>נתוני תלוש מרץ של שנת תשפ"ג</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</si>
</sst>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
    <numFmt numFmtId="165" formatCode="0.0"/>
    <numFmt numFmtId="166" formatCode="&quot;₪&quot;\ #,##0.00"/>
    <numFmt numFmtId="167" formatCode="&quot;₪&quot;\ #,##0"/>
    <numFmt numFmtId="168" formatCode="[$-1010000]d/m/yy;@"/>
  </numFmts>
  <fonts count="101" x14ac:knownFonts="1">
    <font>
      <sz val="11"/>
      <color theme="1"/>
      <name val="Arial"/>
      <family val="2"/>
      <charset val="177"/>
      <scheme val="minor"/>
    </font>
    <font>
      <sz val="11"/>
      <color theme="1"/>
      <name val="Arial"/>
      <family val="2"/>
      <charset val="177"/>
      <scheme val="minor"/>
    </font>
    <font>
      <b/>
      <sz val="11"/>
      <color indexed="12"/>
      <name val="Arial"/>
      <family val="2"/>
    </font>
    <font>
      <b/>
      <sz val="10"/>
      <color indexed="20"/>
      <name val="Arial"/>
      <family val="2"/>
    </font>
    <font>
      <b/>
      <sz val="10"/>
      <name val="Arial"/>
      <family val="2"/>
    </font>
    <font>
      <b/>
      <sz val="10"/>
      <color indexed="12"/>
      <name val="Arial"/>
      <family val="2"/>
    </font>
    <font>
      <b/>
      <sz val="11"/>
      <name val="Arial"/>
      <family val="2"/>
    </font>
    <font>
      <sz val="11"/>
      <color rgb="FFFF0000"/>
      <name val="Arial"/>
      <family val="2"/>
      <charset val="177"/>
      <scheme val="minor"/>
    </font>
    <font>
      <u/>
      <sz val="11"/>
      <color theme="10"/>
      <name val="Arial"/>
      <family val="2"/>
      <charset val="177"/>
      <scheme val="minor"/>
    </font>
    <font>
      <b/>
      <sz val="11"/>
      <color indexed="10"/>
      <name val="Arial"/>
      <family val="2"/>
    </font>
    <font>
      <b/>
      <sz val="10"/>
      <color indexed="10"/>
      <name val="Arial"/>
      <family val="2"/>
    </font>
    <font>
      <sz val="10"/>
      <color indexed="10"/>
      <name val="Arial"/>
      <family val="2"/>
    </font>
    <font>
      <sz val="11"/>
      <color rgb="FFF2F2F2"/>
      <name val="Arial"/>
      <family val="2"/>
    </font>
    <font>
      <b/>
      <sz val="11"/>
      <color indexed="13"/>
      <name val="Arial"/>
      <family val="2"/>
    </font>
    <font>
      <b/>
      <sz val="11"/>
      <color indexed="9"/>
      <name val="Arial"/>
      <family val="2"/>
    </font>
    <font>
      <b/>
      <i/>
      <sz val="12"/>
      <color indexed="9"/>
      <name val="Arial"/>
      <family val="2"/>
    </font>
    <font>
      <b/>
      <sz val="12"/>
      <color indexed="9"/>
      <name val="Arial"/>
      <family val="2"/>
    </font>
    <font>
      <b/>
      <sz val="11"/>
      <color indexed="20"/>
      <name val="Arial"/>
      <family val="2"/>
    </font>
    <font>
      <sz val="8"/>
      <color theme="0" tint="-0.499984740745262"/>
      <name val="Arial"/>
      <family val="2"/>
    </font>
    <font>
      <sz val="8"/>
      <color rgb="FFFF0000"/>
      <name val="Arial"/>
      <family val="2"/>
    </font>
    <font>
      <b/>
      <sz val="10"/>
      <color indexed="9"/>
      <name val="Arial"/>
      <family val="2"/>
    </font>
    <font>
      <b/>
      <sz val="11"/>
      <color rgb="FFFF0000"/>
      <name val="Arial"/>
      <family val="2"/>
    </font>
    <font>
      <b/>
      <sz val="11"/>
      <color theme="5"/>
      <name val="Arial"/>
      <family val="2"/>
    </font>
    <font>
      <b/>
      <sz val="10"/>
      <color indexed="62"/>
      <name val="Arial"/>
      <family val="2"/>
    </font>
    <font>
      <sz val="10"/>
      <color rgb="FF000000"/>
      <name val="Times New Roman"/>
      <charset val="204"/>
    </font>
    <font>
      <sz val="10"/>
      <name val="Arial"/>
      <charset val="177"/>
    </font>
    <font>
      <sz val="7"/>
      <color rgb="FFFF0000"/>
      <name val="Arial"/>
      <family val="2"/>
    </font>
    <font>
      <b/>
      <sz val="9"/>
      <color indexed="9"/>
      <name val="Calibri"/>
      <family val="2"/>
    </font>
    <font>
      <b/>
      <sz val="11"/>
      <color theme="7" tint="0.39997558519241921"/>
      <name val="Arial"/>
      <family val="2"/>
    </font>
    <font>
      <b/>
      <sz val="11"/>
      <color theme="3" tint="0.39997558519241921"/>
      <name val="Arial"/>
      <family val="2"/>
    </font>
    <font>
      <sz val="8.5"/>
      <color indexed="63"/>
      <name val="Tahoma"/>
      <family val="2"/>
    </font>
    <font>
      <sz val="10"/>
      <name val="Arial"/>
      <family val="2"/>
    </font>
    <font>
      <sz val="11"/>
      <name val="Arial"/>
      <family val="2"/>
    </font>
    <font>
      <b/>
      <sz val="10"/>
      <color theme="7" tint="-0.249977111117893"/>
      <name val="Arial"/>
      <family val="2"/>
    </font>
    <font>
      <sz val="11"/>
      <color rgb="FFFF0000"/>
      <name val="Arial"/>
      <family val="2"/>
    </font>
    <font>
      <b/>
      <sz val="12"/>
      <color indexed="12"/>
      <name val="Arial"/>
      <family val="2"/>
    </font>
    <font>
      <b/>
      <sz val="14"/>
      <color indexed="13"/>
      <name val="Arial"/>
      <family val="2"/>
    </font>
    <font>
      <sz val="10"/>
      <color indexed="9"/>
      <name val="Arial"/>
      <family val="2"/>
    </font>
    <font>
      <b/>
      <sz val="10"/>
      <color indexed="16"/>
      <name val="Arial"/>
      <family val="2"/>
    </font>
    <font>
      <b/>
      <sz val="14"/>
      <name val="Arial"/>
      <family val="2"/>
    </font>
    <font>
      <b/>
      <sz val="12"/>
      <color indexed="13"/>
      <name val="Arial"/>
      <family val="2"/>
    </font>
    <font>
      <b/>
      <sz val="10"/>
      <color indexed="22"/>
      <name val="Arial"/>
      <family val="2"/>
    </font>
    <font>
      <sz val="10"/>
      <color indexed="23"/>
      <name val="Arial"/>
      <family val="2"/>
    </font>
    <font>
      <b/>
      <sz val="12"/>
      <color indexed="20"/>
      <name val="Arial"/>
      <family val="2"/>
    </font>
    <font>
      <b/>
      <u/>
      <sz val="11"/>
      <color indexed="13"/>
      <name val="Arial"/>
      <family val="2"/>
    </font>
    <font>
      <b/>
      <sz val="20"/>
      <color indexed="26"/>
      <name val="Arial"/>
      <family val="2"/>
    </font>
    <font>
      <b/>
      <sz val="10"/>
      <color indexed="30"/>
      <name val="Arial"/>
      <family val="2"/>
    </font>
    <font>
      <b/>
      <sz val="12"/>
      <name val="Arial"/>
      <family val="2"/>
    </font>
    <font>
      <b/>
      <sz val="12"/>
      <color indexed="15"/>
      <name val="Arial"/>
      <family val="2"/>
    </font>
    <font>
      <b/>
      <u/>
      <sz val="12"/>
      <color indexed="13"/>
      <name val="Arial"/>
      <family val="2"/>
    </font>
    <font>
      <b/>
      <sz val="10"/>
      <color indexed="34"/>
      <name val="Arial"/>
      <family val="2"/>
    </font>
    <font>
      <b/>
      <sz val="14"/>
      <color indexed="12"/>
      <name val="Arial"/>
      <family val="2"/>
    </font>
    <font>
      <b/>
      <sz val="11"/>
      <color indexed="62"/>
      <name val="Arial"/>
      <family val="2"/>
    </font>
    <font>
      <sz val="8"/>
      <color indexed="81"/>
      <name val="Tahoma"/>
      <family val="2"/>
    </font>
    <font>
      <u/>
      <sz val="8"/>
      <color indexed="12"/>
      <name val="Tahoma"/>
      <family val="2"/>
    </font>
    <font>
      <b/>
      <sz val="8"/>
      <color indexed="81"/>
      <name val="Tahoma"/>
      <family val="2"/>
    </font>
    <font>
      <b/>
      <sz val="8"/>
      <color indexed="10"/>
      <name val="Tahoma"/>
      <family val="2"/>
    </font>
    <font>
      <b/>
      <sz val="11"/>
      <color indexed="81"/>
      <name val="Tahoma"/>
      <family val="2"/>
    </font>
    <font>
      <b/>
      <sz val="8"/>
      <color indexed="14"/>
      <name val="Tahoma"/>
      <family val="2"/>
    </font>
    <font>
      <sz val="8"/>
      <color indexed="10"/>
      <name val="Tahoma"/>
      <family val="2"/>
    </font>
    <font>
      <b/>
      <sz val="8"/>
      <color indexed="12"/>
      <name val="Tahoma"/>
      <family val="2"/>
    </font>
    <font>
      <sz val="10"/>
      <color indexed="10"/>
      <name val="Tahoma"/>
      <family val="2"/>
    </font>
    <font>
      <b/>
      <sz val="10"/>
      <color indexed="10"/>
      <name val="Tahoma"/>
      <family val="2"/>
    </font>
    <font>
      <b/>
      <sz val="9"/>
      <color indexed="10"/>
      <name val="Tahoma"/>
      <family val="2"/>
    </font>
    <font>
      <sz val="11"/>
      <color indexed="12"/>
      <name val="Tahoma"/>
      <family val="2"/>
    </font>
    <font>
      <sz val="11"/>
      <color indexed="20"/>
      <name val="Tahoma"/>
      <family val="2"/>
    </font>
    <font>
      <sz val="8"/>
      <color indexed="14"/>
      <name val="Tahoma"/>
      <family val="2"/>
    </font>
    <font>
      <sz val="20"/>
      <color indexed="10"/>
      <name val="Tahoma"/>
      <family val="2"/>
    </font>
    <font>
      <b/>
      <sz val="11"/>
      <color indexed="10"/>
      <name val="Tahoma"/>
      <family val="2"/>
    </font>
    <font>
      <sz val="11"/>
      <color indexed="10"/>
      <name val="Tahoma"/>
      <family val="2"/>
    </font>
    <font>
      <b/>
      <u/>
      <sz val="10"/>
      <color indexed="12"/>
      <name val="Tahoma"/>
      <family val="2"/>
    </font>
    <font>
      <b/>
      <u/>
      <sz val="10"/>
      <color indexed="10"/>
      <name val="Tahoma"/>
      <family val="2"/>
    </font>
    <font>
      <b/>
      <sz val="12"/>
      <color indexed="12"/>
      <name val="Tahoma"/>
      <family val="2"/>
    </font>
    <font>
      <b/>
      <u/>
      <sz val="12"/>
      <color indexed="10"/>
      <name val="Tahoma"/>
      <family val="2"/>
    </font>
    <font>
      <b/>
      <sz val="12"/>
      <color indexed="10"/>
      <name val="Tahoma"/>
      <family val="2"/>
    </font>
    <font>
      <b/>
      <sz val="9"/>
      <color indexed="12"/>
      <name val="Tahoma"/>
      <family val="2"/>
    </font>
    <font>
      <b/>
      <sz val="11"/>
      <color indexed="12"/>
      <name val="Tahoma"/>
      <family val="2"/>
    </font>
    <font>
      <b/>
      <u/>
      <sz val="8"/>
      <color indexed="21"/>
      <name val="Tahoma"/>
      <family val="2"/>
    </font>
    <font>
      <b/>
      <sz val="10"/>
      <color indexed="81"/>
      <name val="Tahoma"/>
      <family val="2"/>
    </font>
    <font>
      <b/>
      <u/>
      <sz val="8"/>
      <color indexed="12"/>
      <name val="Tahoma"/>
      <family val="2"/>
    </font>
    <font>
      <b/>
      <sz val="10"/>
      <color indexed="12"/>
      <name val="Tahoma"/>
      <family val="2"/>
    </font>
    <font>
      <b/>
      <sz val="8"/>
      <color indexed="21"/>
      <name val="Tahoma"/>
      <family val="2"/>
    </font>
    <font>
      <b/>
      <u/>
      <sz val="10"/>
      <color indexed="81"/>
      <name val="Tahoma"/>
      <family val="2"/>
    </font>
    <font>
      <b/>
      <sz val="10"/>
      <color indexed="20"/>
      <name val="Tahoma"/>
      <family val="2"/>
    </font>
    <font>
      <b/>
      <sz val="9"/>
      <color indexed="81"/>
      <name val="Tahoma"/>
      <family val="2"/>
    </font>
    <font>
      <b/>
      <sz val="8"/>
      <color indexed="20"/>
      <name val="Tahoma"/>
      <family val="2"/>
    </font>
    <font>
      <sz val="11"/>
      <color indexed="81"/>
      <name val="Tahoma"/>
      <family val="2"/>
    </font>
    <font>
      <sz val="10"/>
      <color indexed="81"/>
      <name val="Tahoma"/>
      <family val="2"/>
    </font>
    <font>
      <b/>
      <u/>
      <sz val="8"/>
      <color indexed="10"/>
      <name val="Tahoma"/>
      <family val="2"/>
    </font>
    <font>
      <sz val="8"/>
      <color indexed="48"/>
      <name val="Tahoma"/>
      <family val="2"/>
    </font>
    <font>
      <b/>
      <sz val="8"/>
      <color indexed="48"/>
      <name val="Tahoma"/>
      <family val="2"/>
    </font>
    <font>
      <b/>
      <u/>
      <sz val="9"/>
      <color indexed="10"/>
      <name val="Tahoma"/>
      <family val="2"/>
    </font>
    <font>
      <b/>
      <u/>
      <sz val="8"/>
      <color indexed="20"/>
      <name val="Tahoma"/>
      <family val="2"/>
    </font>
    <font>
      <b/>
      <sz val="9"/>
      <color indexed="16"/>
      <name val="Tahoma"/>
      <family val="2"/>
    </font>
    <font>
      <sz val="8"/>
      <color indexed="12"/>
      <name val="Tahoma"/>
      <family val="2"/>
    </font>
    <font>
      <u/>
      <sz val="8"/>
      <color indexed="81"/>
      <name val="Tahoma"/>
      <family val="2"/>
    </font>
    <font>
      <b/>
      <u/>
      <sz val="8"/>
      <color indexed="81"/>
      <name val="Tahoma"/>
      <family val="2"/>
    </font>
    <font>
      <b/>
      <u/>
      <sz val="11"/>
      <color indexed="10"/>
      <name val="Tahoma"/>
      <family val="2"/>
    </font>
    <font>
      <b/>
      <sz val="10"/>
      <color rgb="FFFF0000"/>
      <name val="Arial"/>
      <family val="2"/>
    </font>
    <font>
      <b/>
      <sz val="10"/>
      <color theme="0"/>
      <name val="Arial"/>
      <family val="2"/>
    </font>
    <font>
      <sz val="11"/>
      <color theme="0"/>
      <name val="Arial"/>
      <family val="2"/>
      <scheme val="minor"/>
    </font>
  </fonts>
  <fills count="31">
    <fill>
      <patternFill patternType="none"/>
    </fill>
    <fill>
      <patternFill patternType="gray125"/>
    </fill>
    <fill>
      <patternFill patternType="solid">
        <fgColor indexed="42"/>
        <bgColor indexed="64"/>
      </patternFill>
    </fill>
    <fill>
      <patternFill patternType="solid">
        <fgColor rgb="FFFFC000"/>
        <bgColor indexed="64"/>
      </patternFill>
    </fill>
    <fill>
      <patternFill patternType="solid">
        <fgColor theme="4" tint="0.79998168889431442"/>
        <bgColor indexed="65"/>
      </patternFill>
    </fill>
    <fill>
      <patternFill patternType="solid">
        <fgColor indexed="63"/>
        <bgColor indexed="64"/>
      </patternFill>
    </fill>
    <fill>
      <patternFill patternType="solid">
        <fgColor rgb="FFF2F2F2"/>
        <bgColor rgb="FFF2F2F2"/>
      </patternFill>
    </fill>
    <fill>
      <patternFill patternType="solid">
        <fgColor indexed="21"/>
        <bgColor indexed="64"/>
      </patternFill>
    </fill>
    <fill>
      <patternFill patternType="solid">
        <fgColor indexed="13"/>
        <bgColor indexed="64"/>
      </patternFill>
    </fill>
    <fill>
      <patternFill patternType="solid">
        <fgColor indexed="52"/>
        <bgColor indexed="64"/>
      </patternFill>
    </fill>
    <fill>
      <patternFill patternType="solid">
        <fgColor theme="0" tint="-4.9989318521683403E-2"/>
        <bgColor indexed="64"/>
      </patternFill>
    </fill>
    <fill>
      <patternFill patternType="solid">
        <fgColor indexed="47"/>
        <bgColor indexed="64"/>
      </patternFill>
    </fill>
    <fill>
      <patternFill patternType="solid">
        <fgColor indexed="23"/>
        <bgColor indexed="64"/>
      </patternFill>
    </fill>
    <fill>
      <patternFill patternType="solid">
        <fgColor theme="9" tint="0.59999389629810485"/>
        <bgColor indexed="64"/>
      </patternFill>
    </fill>
    <fill>
      <patternFill patternType="solid">
        <fgColor indexed="26"/>
        <bgColor indexed="64"/>
      </patternFill>
    </fill>
    <fill>
      <patternFill patternType="solid">
        <fgColor indexed="31"/>
        <bgColor indexed="64"/>
      </patternFill>
    </fill>
    <fill>
      <patternFill patternType="solid">
        <fgColor indexed="22"/>
        <bgColor indexed="64"/>
      </patternFill>
    </fill>
    <fill>
      <patternFill patternType="solid">
        <fgColor indexed="10"/>
        <bgColor indexed="64"/>
      </patternFill>
    </fill>
    <fill>
      <patternFill patternType="solid">
        <fgColor indexed="12"/>
        <bgColor indexed="64"/>
      </patternFill>
    </fill>
    <fill>
      <patternFill patternType="solid">
        <fgColor indexed="62"/>
        <bgColor indexed="64"/>
      </patternFill>
    </fill>
    <fill>
      <patternFill patternType="solid">
        <fgColor indexed="46"/>
        <bgColor indexed="64"/>
      </patternFill>
    </fill>
    <fill>
      <patternFill patternType="solid">
        <fgColor indexed="24"/>
        <bgColor indexed="64"/>
      </patternFill>
    </fill>
    <fill>
      <patternFill patternType="solid">
        <fgColor indexed="37"/>
        <bgColor indexed="64"/>
      </patternFill>
    </fill>
    <fill>
      <patternFill patternType="solid">
        <fgColor indexed="14"/>
        <bgColor indexed="64"/>
      </patternFill>
    </fill>
    <fill>
      <patternFill patternType="solid">
        <fgColor indexed="48"/>
        <bgColor indexed="64"/>
      </patternFill>
    </fill>
    <fill>
      <patternFill patternType="solid">
        <fgColor indexed="36"/>
        <bgColor indexed="64"/>
      </patternFill>
    </fill>
    <fill>
      <patternFill patternType="solid">
        <fgColor indexed="8"/>
        <bgColor indexed="64"/>
      </patternFill>
    </fill>
    <fill>
      <patternFill patternType="solid">
        <fgColor indexed="55"/>
        <bgColor indexed="64"/>
      </patternFill>
    </fill>
    <fill>
      <patternFill patternType="solid">
        <fgColor indexed="41"/>
        <bgColor indexed="64"/>
      </patternFill>
    </fill>
    <fill>
      <patternFill patternType="solid">
        <fgColor theme="5" tint="0.59999389629810485"/>
        <bgColor indexed="64"/>
      </patternFill>
    </fill>
    <fill>
      <patternFill patternType="solid">
        <fgColor theme="3" tint="0.79998168889431442"/>
        <bgColor indexed="64"/>
      </patternFill>
    </fill>
  </fills>
  <borders count="78">
    <border>
      <left/>
      <right/>
      <top/>
      <bottom/>
      <diagonal/>
    </border>
    <border>
      <left style="thick">
        <color indexed="12"/>
      </left>
      <right/>
      <top style="thick">
        <color indexed="12"/>
      </top>
      <bottom style="double">
        <color indexed="64"/>
      </bottom>
      <diagonal/>
    </border>
    <border>
      <left/>
      <right style="thick">
        <color indexed="64"/>
      </right>
      <top style="thick">
        <color indexed="12"/>
      </top>
      <bottom style="thick">
        <color indexed="12"/>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style="medium">
        <color indexed="64"/>
      </right>
      <top style="thin">
        <color indexed="64"/>
      </top>
      <bottom style="medium">
        <color indexed="64"/>
      </bottom>
      <diagonal/>
    </border>
    <border>
      <left/>
      <right style="medium">
        <color indexed="9"/>
      </right>
      <top/>
      <bottom/>
      <diagonal/>
    </border>
    <border>
      <left/>
      <right style="medium">
        <color indexed="8"/>
      </right>
      <top/>
      <bottom/>
      <diagonal/>
    </border>
    <border>
      <left/>
      <right/>
      <top/>
      <bottom style="thick">
        <color indexed="64"/>
      </bottom>
      <diagonal/>
    </border>
    <border>
      <left/>
      <right style="thick">
        <color indexed="64"/>
      </right>
      <top/>
      <bottom style="thick">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n">
        <color indexed="64"/>
      </right>
      <top/>
      <bottom/>
      <diagonal/>
    </border>
    <border>
      <left style="thick">
        <color indexed="64"/>
      </left>
      <right style="thin">
        <color indexed="64"/>
      </right>
      <top style="thin">
        <color indexed="64"/>
      </top>
      <bottom style="thick">
        <color indexed="64"/>
      </bottom>
      <diagonal/>
    </border>
    <border>
      <left/>
      <right style="thick">
        <color indexed="64"/>
      </right>
      <top style="thick">
        <color indexed="64"/>
      </top>
      <bottom style="thick">
        <color indexed="64"/>
      </bottom>
      <diagonal/>
    </border>
    <border>
      <left style="double">
        <color indexed="64"/>
      </left>
      <right style="thick">
        <color indexed="64"/>
      </right>
      <top/>
      <bottom/>
      <diagonal/>
    </border>
    <border>
      <left style="thick">
        <color indexed="64"/>
      </left>
      <right style="double">
        <color indexed="64"/>
      </right>
      <top/>
      <bottom/>
      <diagonal/>
    </border>
    <border>
      <left style="dashed">
        <color indexed="64"/>
      </left>
      <right style="thick">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ck">
        <color indexed="64"/>
      </top>
      <bottom style="double">
        <color indexed="64"/>
      </bottom>
      <diagonal/>
    </border>
    <border>
      <left style="thick">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ck">
        <color indexed="64"/>
      </left>
      <right/>
      <top style="double">
        <color indexed="64"/>
      </top>
      <bottom/>
      <diagonal/>
    </border>
    <border>
      <left/>
      <right style="double">
        <color indexed="64"/>
      </right>
      <top/>
      <bottom/>
      <diagonal/>
    </border>
    <border>
      <left style="double">
        <color indexed="64"/>
      </left>
      <right/>
      <top style="double">
        <color indexed="64"/>
      </top>
      <bottom/>
      <diagonal/>
    </border>
    <border>
      <left style="double">
        <color indexed="64"/>
      </left>
      <right style="double">
        <color indexed="64"/>
      </right>
      <top style="double">
        <color indexed="64"/>
      </top>
      <bottom/>
      <diagonal/>
    </border>
    <border>
      <left/>
      <right style="double">
        <color indexed="64"/>
      </right>
      <top style="double">
        <color indexed="64"/>
      </top>
      <bottom/>
      <diagonal/>
    </border>
    <border>
      <left style="double">
        <color indexed="64"/>
      </left>
      <right/>
      <top/>
      <bottom/>
      <diagonal/>
    </border>
    <border>
      <left style="double">
        <color indexed="64"/>
      </left>
      <right style="double">
        <color indexed="64"/>
      </right>
      <top/>
      <bottom/>
      <diagonal/>
    </border>
    <border>
      <left style="double">
        <color indexed="64"/>
      </left>
      <right/>
      <top/>
      <bottom style="double">
        <color indexed="64"/>
      </bottom>
      <diagonal/>
    </border>
    <border>
      <left/>
      <right style="double">
        <color indexed="64"/>
      </right>
      <top/>
      <bottom style="double">
        <color indexed="64"/>
      </bottom>
      <diagonal/>
    </border>
    <border>
      <left style="double">
        <color indexed="64"/>
      </left>
      <right style="double">
        <color indexed="64"/>
      </right>
      <top/>
      <bottom style="double">
        <color indexed="64"/>
      </bottom>
      <diagonal/>
    </border>
    <border>
      <left style="thin">
        <color indexed="64"/>
      </left>
      <right style="thin">
        <color indexed="64"/>
      </right>
      <top/>
      <bottom style="thin">
        <color indexed="64"/>
      </bottom>
      <diagonal/>
    </border>
    <border>
      <left style="double">
        <color indexed="64"/>
      </left>
      <right/>
      <top/>
      <bottom style="thick">
        <color indexed="64"/>
      </bottom>
      <diagonal/>
    </border>
    <border>
      <left style="double">
        <color indexed="64"/>
      </left>
      <right/>
      <top style="thick">
        <color indexed="64"/>
      </top>
      <bottom style="double">
        <color indexed="64"/>
      </bottom>
      <diagonal/>
    </border>
    <border>
      <left style="double">
        <color indexed="53"/>
      </left>
      <right style="thick">
        <color indexed="64"/>
      </right>
      <top/>
      <bottom/>
      <diagonal/>
    </border>
    <border>
      <left style="thick">
        <color indexed="64"/>
      </left>
      <right/>
      <top style="thick">
        <color indexed="64"/>
      </top>
      <bottom style="double">
        <color indexed="64"/>
      </bottom>
      <diagonal/>
    </border>
    <border>
      <left style="thick">
        <color indexed="12"/>
      </left>
      <right style="thick">
        <color indexed="12"/>
      </right>
      <top/>
      <bottom style="thin">
        <color indexed="12"/>
      </bottom>
      <diagonal/>
    </border>
    <border>
      <left/>
      <right style="thick">
        <color indexed="12"/>
      </right>
      <top style="thick">
        <color indexed="12"/>
      </top>
      <bottom/>
      <diagonal/>
    </border>
    <border>
      <left style="thick">
        <color indexed="12"/>
      </left>
      <right/>
      <top style="thick">
        <color indexed="12"/>
      </top>
      <bottom/>
      <diagonal/>
    </border>
    <border>
      <left style="thin">
        <color indexed="64"/>
      </left>
      <right style="thick">
        <color indexed="64"/>
      </right>
      <top/>
      <bottom style="thin">
        <color indexed="64"/>
      </bottom>
      <diagonal/>
    </border>
    <border>
      <left style="thick">
        <color indexed="64"/>
      </left>
      <right style="thin">
        <color indexed="64"/>
      </right>
      <top/>
      <bottom style="thin">
        <color indexed="64"/>
      </bottom>
      <diagonal/>
    </border>
    <border>
      <left style="thick">
        <color indexed="64"/>
      </left>
      <right style="thin">
        <color indexed="64"/>
      </right>
      <top/>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bottom style="double">
        <color indexed="64"/>
      </bottom>
      <diagonal/>
    </border>
    <border>
      <left style="thick">
        <color indexed="64"/>
      </left>
      <right style="double">
        <color indexed="64"/>
      </right>
      <top style="double">
        <color indexed="64"/>
      </top>
      <bottom/>
      <diagonal/>
    </border>
    <border>
      <left style="thin">
        <color indexed="64"/>
      </left>
      <right style="thick">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ck">
        <color indexed="64"/>
      </left>
      <right style="double">
        <color indexed="53"/>
      </right>
      <top style="double">
        <color indexed="53"/>
      </top>
      <bottom/>
      <diagonal/>
    </border>
    <border>
      <left style="thick">
        <color indexed="64"/>
      </left>
      <right/>
      <top style="thick">
        <color indexed="64"/>
      </top>
      <bottom style="thin">
        <color indexed="64"/>
      </bottom>
      <diagonal/>
    </border>
    <border>
      <left style="thin">
        <color indexed="64"/>
      </left>
      <right style="thick">
        <color indexed="64"/>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ck">
        <color indexed="64"/>
      </right>
      <top style="thick">
        <color indexed="10"/>
      </top>
      <bottom/>
      <diagonal/>
    </border>
    <border>
      <left style="thick">
        <color indexed="64"/>
      </left>
      <right/>
      <top style="thick">
        <color indexed="10"/>
      </top>
      <bottom/>
      <diagonal/>
    </border>
    <border>
      <left/>
      <right/>
      <top style="thick">
        <color indexed="10"/>
      </top>
      <bottom/>
      <diagonal/>
    </border>
    <border>
      <left style="thin">
        <color indexed="10"/>
      </left>
      <right style="double">
        <color indexed="64"/>
      </right>
      <top/>
      <bottom style="thin">
        <color indexed="10"/>
      </bottom>
      <diagonal/>
    </border>
    <border>
      <left/>
      <right style="double">
        <color indexed="64"/>
      </right>
      <top style="thick">
        <color indexed="64"/>
      </top>
      <bottom style="double">
        <color indexed="64"/>
      </bottom>
      <diagonal/>
    </border>
    <border>
      <left style="double">
        <color indexed="64"/>
      </left>
      <right style="thick">
        <color indexed="64"/>
      </right>
      <top/>
      <bottom style="thick">
        <color indexed="64"/>
      </bottom>
      <diagonal/>
    </border>
    <border>
      <left style="double">
        <color indexed="64"/>
      </left>
      <right style="double">
        <color indexed="64"/>
      </right>
      <top style="double">
        <color indexed="64"/>
      </top>
      <bottom style="thick">
        <color indexed="64"/>
      </bottom>
      <diagonal/>
    </border>
    <border>
      <left style="thick">
        <color indexed="64"/>
      </left>
      <right style="double">
        <color indexed="64"/>
      </right>
      <top style="double">
        <color indexed="64"/>
      </top>
      <bottom style="thick">
        <color indexed="64"/>
      </bottom>
      <diagonal/>
    </border>
    <border>
      <left style="double">
        <color indexed="64"/>
      </left>
      <right/>
      <top style="double">
        <color indexed="64"/>
      </top>
      <bottom style="thick">
        <color indexed="64"/>
      </bottom>
      <diagonal/>
    </border>
    <border>
      <left/>
      <right style="double">
        <color indexed="64"/>
      </right>
      <top style="double">
        <color indexed="64"/>
      </top>
      <bottom style="thick">
        <color indexed="64"/>
      </bottom>
      <diagonal/>
    </border>
    <border>
      <left style="double">
        <color indexed="64"/>
      </left>
      <right style="double">
        <color indexed="64"/>
      </right>
      <top style="double">
        <color indexed="64"/>
      </top>
      <bottom style="thin">
        <color indexed="64"/>
      </bottom>
      <diagonal/>
    </border>
    <border>
      <left/>
      <right style="thick">
        <color indexed="42"/>
      </right>
      <top style="thick">
        <color indexed="64"/>
      </top>
      <bottom style="thick">
        <color indexed="64"/>
      </bottom>
      <diagonal/>
    </border>
    <border>
      <left style="double">
        <color indexed="64"/>
      </left>
      <right style="double">
        <color indexed="64"/>
      </right>
      <top style="thick">
        <color indexed="64"/>
      </top>
      <bottom style="double">
        <color indexed="64"/>
      </bottom>
      <diagonal/>
    </border>
    <border>
      <left style="thick">
        <color indexed="64"/>
      </left>
      <right/>
      <top/>
      <bottom style="double">
        <color indexed="64"/>
      </bottom>
      <diagonal/>
    </border>
    <border>
      <left style="double">
        <color indexed="64"/>
      </left>
      <right style="thin">
        <color indexed="64"/>
      </right>
      <top style="double">
        <color indexed="64"/>
      </top>
      <bottom/>
      <diagonal/>
    </border>
    <border>
      <left style="double">
        <color indexed="64"/>
      </left>
      <right style="thin">
        <color indexed="64"/>
      </right>
      <top/>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ck">
        <color indexed="64"/>
      </bottom>
      <diagonal/>
    </border>
    <border>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s>
  <cellStyleXfs count="5">
    <xf numFmtId="0" fontId="0" fillId="0" borderId="0"/>
    <xf numFmtId="9" fontId="1" fillId="0" borderId="0" applyFont="0" applyFill="0" applyBorder="0" applyAlignment="0" applyProtection="0"/>
    <xf numFmtId="0" fontId="1" fillId="4" borderId="0" applyNumberFormat="0" applyBorder="0" applyAlignment="0" applyProtection="0"/>
    <xf numFmtId="0" fontId="8" fillId="0" borderId="0" applyNumberFormat="0" applyFill="0" applyBorder="0" applyAlignment="0" applyProtection="0"/>
    <xf numFmtId="0" fontId="24" fillId="0" borderId="0"/>
  </cellStyleXfs>
  <cellXfs count="215">
    <xf numFmtId="0" fontId="0" fillId="0" borderId="0" xfId="0"/>
    <xf numFmtId="1" fontId="3" fillId="0" borderId="3" xfId="0" applyNumberFormat="1" applyFont="1" applyBorder="1"/>
    <xf numFmtId="1" fontId="4" fillId="2" borderId="4" xfId="0" applyNumberFormat="1" applyFont="1" applyFill="1" applyBorder="1" applyAlignment="1" applyProtection="1">
      <alignment horizontal="center"/>
      <protection locked="0"/>
    </xf>
    <xf numFmtId="0" fontId="4" fillId="2" borderId="4" xfId="0" applyFont="1" applyFill="1" applyBorder="1" applyAlignment="1" applyProtection="1">
      <alignment horizontal="center"/>
      <protection locked="0"/>
    </xf>
    <xf numFmtId="164" fontId="5" fillId="2" borderId="4" xfId="0" applyNumberFormat="1" applyFont="1" applyFill="1" applyBorder="1" applyAlignment="1" applyProtection="1">
      <alignment horizontal="center"/>
      <protection locked="0"/>
    </xf>
    <xf numFmtId="2" fontId="4" fillId="2" borderId="4" xfId="0" applyNumberFormat="1" applyFont="1" applyFill="1" applyBorder="1" applyAlignment="1" applyProtection="1">
      <alignment horizontal="center"/>
      <protection locked="0"/>
    </xf>
    <xf numFmtId="1" fontId="3" fillId="0" borderId="0" xfId="0" applyNumberFormat="1" applyFont="1"/>
    <xf numFmtId="1" fontId="3" fillId="0" borderId="5" xfId="0" applyNumberFormat="1" applyFont="1" applyBorder="1"/>
    <xf numFmtId="0" fontId="2" fillId="3" borderId="1" xfId="0" applyFont="1" applyFill="1" applyBorder="1"/>
    <xf numFmtId="0" fontId="2" fillId="3" borderId="2" xfId="0" applyFont="1" applyFill="1" applyBorder="1"/>
    <xf numFmtId="1" fontId="0" fillId="0" borderId="0" xfId="0" applyNumberFormat="1"/>
    <xf numFmtId="0" fontId="6" fillId="3" borderId="6" xfId="0" applyFont="1" applyFill="1" applyBorder="1" applyAlignment="1" applyProtection="1">
      <alignment horizontal="center"/>
      <protection locked="0"/>
    </xf>
    <xf numFmtId="0" fontId="0" fillId="0" borderId="0" xfId="0" applyAlignment="1">
      <alignment horizontal="center"/>
    </xf>
    <xf numFmtId="0" fontId="4" fillId="3" borderId="6" xfId="0" applyFont="1" applyFill="1" applyBorder="1" applyAlignment="1" applyProtection="1">
      <alignment horizontal="center"/>
      <protection locked="0"/>
    </xf>
    <xf numFmtId="0" fontId="6" fillId="3" borderId="0" xfId="0" applyFont="1" applyFill="1" applyBorder="1" applyAlignment="1" applyProtection="1">
      <alignment horizontal="center"/>
      <protection locked="0"/>
    </xf>
    <xf numFmtId="164" fontId="5" fillId="2" borderId="0" xfId="0" applyNumberFormat="1" applyFont="1" applyFill="1" applyBorder="1" applyAlignment="1" applyProtection="1">
      <alignment horizontal="center"/>
      <protection locked="0"/>
    </xf>
    <xf numFmtId="0" fontId="0" fillId="0" borderId="0" xfId="0" applyBorder="1"/>
    <xf numFmtId="1" fontId="3" fillId="0" borderId="9" xfId="0" applyNumberFormat="1" applyFont="1" applyBorder="1"/>
    <xf numFmtId="164" fontId="5" fillId="2" borderId="10" xfId="0" applyNumberFormat="1" applyFont="1" applyFill="1" applyBorder="1" applyAlignment="1" applyProtection="1">
      <alignment horizontal="center"/>
      <protection locked="0"/>
    </xf>
    <xf numFmtId="0" fontId="0" fillId="0" borderId="0" xfId="0" applyProtection="1">
      <protection locked="0"/>
    </xf>
    <xf numFmtId="1" fontId="0" fillId="0" borderId="0" xfId="0" applyNumberFormat="1" applyProtection="1">
      <protection locked="0"/>
    </xf>
    <xf numFmtId="0" fontId="0" fillId="0" borderId="0" xfId="0" applyAlignment="1" applyProtection="1">
      <alignment horizontal="center"/>
      <protection locked="0"/>
    </xf>
    <xf numFmtId="0" fontId="7" fillId="0" borderId="0" xfId="0" applyFont="1"/>
    <xf numFmtId="1" fontId="9" fillId="5" borderId="11" xfId="0" applyNumberFormat="1" applyFont="1" applyFill="1" applyBorder="1"/>
    <xf numFmtId="1" fontId="9" fillId="5" borderId="12" xfId="0" applyNumberFormat="1" applyFont="1" applyFill="1" applyBorder="1"/>
    <xf numFmtId="1" fontId="10" fillId="5" borderId="12" xfId="0" applyNumberFormat="1" applyFont="1" applyFill="1" applyBorder="1"/>
    <xf numFmtId="1" fontId="11" fillId="5" borderId="12" xfId="0" applyNumberFormat="1" applyFont="1" applyFill="1" applyBorder="1"/>
    <xf numFmtId="0" fontId="12" fillId="6" borderId="0" xfId="0" applyFont="1" applyFill="1" applyAlignment="1">
      <alignment horizontal="center"/>
    </xf>
    <xf numFmtId="1" fontId="13" fillId="7" borderId="14" xfId="0" applyNumberFormat="1" applyFont="1" applyFill="1" applyBorder="1"/>
    <xf numFmtId="1" fontId="14" fillId="7" borderId="15" xfId="0" applyNumberFormat="1" applyFont="1" applyFill="1" applyBorder="1"/>
    <xf numFmtId="1" fontId="15" fillId="7" borderId="15" xfId="0" applyNumberFormat="1" applyFont="1" applyFill="1" applyBorder="1"/>
    <xf numFmtId="1" fontId="16" fillId="7" borderId="15" xfId="0" applyNumberFormat="1" applyFont="1" applyFill="1" applyBorder="1"/>
    <xf numFmtId="0" fontId="2" fillId="8" borderId="1" xfId="0" applyFont="1" applyFill="1" applyBorder="1" applyAlignment="1">
      <alignment horizontal="right"/>
    </xf>
    <xf numFmtId="0" fontId="2" fillId="8" borderId="2" xfId="0" applyFont="1" applyFill="1" applyBorder="1"/>
    <xf numFmtId="1" fontId="6" fillId="9" borderId="0" xfId="0" applyNumberFormat="1" applyFont="1" applyFill="1"/>
    <xf numFmtId="1" fontId="17" fillId="10" borderId="3" xfId="0" applyNumberFormat="1" applyFont="1" applyFill="1" applyBorder="1" applyAlignment="1">
      <alignment horizontal="center"/>
    </xf>
    <xf numFmtId="1" fontId="6" fillId="2" borderId="4" xfId="0" applyNumberFormat="1" applyFont="1" applyFill="1" applyBorder="1" applyAlignment="1" applyProtection="1">
      <alignment horizontal="center"/>
      <protection locked="0"/>
    </xf>
    <xf numFmtId="0" fontId="18" fillId="6" borderId="3" xfId="0" applyFont="1" applyFill="1" applyBorder="1" applyAlignment="1">
      <alignment horizontal="right"/>
    </xf>
    <xf numFmtId="0" fontId="18" fillId="6" borderId="16" xfId="0" applyFont="1" applyFill="1" applyBorder="1" applyAlignment="1">
      <alignment horizontal="right"/>
    </xf>
    <xf numFmtId="0" fontId="19" fillId="6" borderId="16" xfId="0" applyFont="1" applyFill="1" applyBorder="1" applyAlignment="1">
      <alignment horizontal="right"/>
    </xf>
    <xf numFmtId="0" fontId="6" fillId="2" borderId="4" xfId="0" applyFont="1" applyFill="1" applyBorder="1" applyAlignment="1" applyProtection="1">
      <alignment horizontal="center"/>
      <protection locked="0"/>
    </xf>
    <xf numFmtId="0" fontId="19" fillId="6" borderId="3" xfId="0" applyFont="1" applyFill="1" applyBorder="1" applyAlignment="1">
      <alignment horizontal="right"/>
    </xf>
    <xf numFmtId="1" fontId="21" fillId="10" borderId="3" xfId="0" applyNumberFormat="1" applyFont="1" applyFill="1" applyBorder="1" applyAlignment="1">
      <alignment horizontal="center"/>
    </xf>
    <xf numFmtId="2" fontId="6" fillId="2" borderId="4" xfId="0" applyNumberFormat="1" applyFont="1" applyFill="1" applyBorder="1" applyAlignment="1" applyProtection="1">
      <alignment horizontal="center"/>
      <protection locked="0"/>
    </xf>
    <xf numFmtId="1" fontId="23" fillId="14" borderId="20" xfId="0" applyNumberFormat="1" applyFont="1" applyFill="1" applyBorder="1"/>
    <xf numFmtId="164" fontId="2" fillId="2" borderId="4" xfId="0" applyNumberFormat="1" applyFont="1" applyFill="1" applyBorder="1" applyAlignment="1" applyProtection="1">
      <alignment horizontal="center"/>
      <protection locked="0"/>
    </xf>
    <xf numFmtId="0" fontId="26" fillId="6" borderId="3" xfId="0" applyFont="1" applyFill="1" applyBorder="1" applyAlignment="1">
      <alignment horizontal="right"/>
    </xf>
    <xf numFmtId="1" fontId="28" fillId="10" borderId="3" xfId="0" applyNumberFormat="1" applyFont="1" applyFill="1" applyBorder="1" applyAlignment="1">
      <alignment horizontal="center"/>
    </xf>
    <xf numFmtId="164" fontId="29" fillId="2" borderId="4" xfId="0" applyNumberFormat="1" applyFont="1" applyFill="1" applyBorder="1" applyAlignment="1" applyProtection="1">
      <alignment horizontal="center"/>
      <protection locked="0"/>
    </xf>
    <xf numFmtId="0" fontId="25" fillId="0" borderId="0" xfId="0" applyFont="1"/>
    <xf numFmtId="167" fontId="4" fillId="2" borderId="21" xfId="0" applyNumberFormat="1" applyFont="1" applyFill="1" applyBorder="1" applyAlignment="1" applyProtection="1">
      <alignment horizontal="center"/>
      <protection locked="0"/>
    </xf>
    <xf numFmtId="2" fontId="22" fillId="13" borderId="4" xfId="0" applyNumberFormat="1" applyFont="1" applyFill="1" applyBorder="1" applyAlignment="1">
      <alignment horizontal="center"/>
    </xf>
    <xf numFmtId="1" fontId="1" fillId="4" borderId="19" xfId="2" applyNumberFormat="1" applyBorder="1" applyAlignment="1" applyProtection="1">
      <alignment horizontal="center"/>
    </xf>
    <xf numFmtId="1" fontId="17" fillId="10" borderId="0" xfId="0" applyNumberFormat="1" applyFont="1" applyFill="1" applyAlignment="1">
      <alignment horizontal="center"/>
    </xf>
    <xf numFmtId="1" fontId="31" fillId="0" borderId="0" xfId="0" applyNumberFormat="1" applyFont="1"/>
    <xf numFmtId="165" fontId="1" fillId="4" borderId="19" xfId="2" applyNumberFormat="1" applyBorder="1" applyAlignment="1" applyProtection="1">
      <alignment horizontal="center"/>
    </xf>
    <xf numFmtId="1" fontId="14" fillId="17" borderId="22" xfId="0" applyNumberFormat="1" applyFont="1" applyFill="1" applyBorder="1"/>
    <xf numFmtId="167" fontId="16" fillId="18" borderId="0" xfId="0" applyNumberFormat="1" applyFont="1" applyFill="1" applyAlignment="1">
      <alignment horizontal="center"/>
    </xf>
    <xf numFmtId="1" fontId="32" fillId="2" borderId="4" xfId="0" applyNumberFormat="1" applyFont="1" applyFill="1" applyBorder="1" applyAlignment="1" applyProtection="1">
      <alignment horizontal="center"/>
      <protection locked="0"/>
    </xf>
    <xf numFmtId="165" fontId="33" fillId="15" borderId="19" xfId="0" applyNumberFormat="1" applyFont="1" applyFill="1" applyBorder="1" applyAlignment="1">
      <alignment horizontal="center"/>
    </xf>
    <xf numFmtId="165" fontId="3" fillId="15" borderId="19" xfId="0" applyNumberFormat="1" applyFont="1" applyFill="1" applyBorder="1" applyAlignment="1">
      <alignment horizontal="center"/>
    </xf>
    <xf numFmtId="0" fontId="32" fillId="0" borderId="0" xfId="0" applyFont="1" applyAlignment="1">
      <alignment horizontal="center"/>
    </xf>
    <xf numFmtId="2" fontId="32" fillId="0" borderId="0" xfId="1" applyNumberFormat="1" applyFont="1" applyFill="1" applyAlignment="1">
      <alignment horizontal="center"/>
    </xf>
    <xf numFmtId="0" fontId="35" fillId="11" borderId="15" xfId="0" applyFont="1" applyFill="1" applyBorder="1"/>
    <xf numFmtId="2" fontId="0" fillId="0" borderId="0" xfId="0" applyNumberFormat="1"/>
    <xf numFmtId="168" fontId="0" fillId="0" borderId="0" xfId="0" applyNumberFormat="1"/>
    <xf numFmtId="167" fontId="0" fillId="0" borderId="0" xfId="0" applyNumberFormat="1"/>
    <xf numFmtId="2" fontId="37" fillId="0" borderId="0" xfId="0" applyNumberFormat="1" applyFont="1" applyAlignment="1">
      <alignment horizontal="center"/>
    </xf>
    <xf numFmtId="10" fontId="42" fillId="12" borderId="40" xfId="0" applyNumberFormat="1" applyFont="1" applyFill="1" applyBorder="1"/>
    <xf numFmtId="14" fontId="38" fillId="14" borderId="41" xfId="0" applyNumberFormat="1" applyFont="1" applyFill="1" applyBorder="1"/>
    <xf numFmtId="1" fontId="2" fillId="16" borderId="39" xfId="0" applyNumberFormat="1" applyFont="1" applyFill="1" applyBorder="1" applyAlignment="1">
      <alignment horizontal="center"/>
    </xf>
    <xf numFmtId="0" fontId="44" fillId="22" borderId="0" xfId="3" applyFont="1" applyFill="1" applyAlignment="1" applyProtection="1"/>
    <xf numFmtId="1" fontId="35" fillId="16" borderId="42" xfId="3" applyNumberFormat="1" applyFont="1" applyFill="1" applyBorder="1" applyAlignment="1" applyProtection="1"/>
    <xf numFmtId="1" fontId="4" fillId="0" borderId="22" xfId="0" applyNumberFormat="1" applyFont="1" applyBorder="1"/>
    <xf numFmtId="0" fontId="16" fillId="0" borderId="23" xfId="0" applyFont="1" applyBorder="1" applyAlignment="1" applyProtection="1">
      <alignment horizontal="center"/>
      <protection locked="0"/>
    </xf>
    <xf numFmtId="1" fontId="45" fillId="19" borderId="43" xfId="3" applyNumberFormat="1" applyFont="1" applyFill="1" applyBorder="1" applyAlignment="1" applyProtection="1">
      <alignment horizontal="center"/>
    </xf>
    <xf numFmtId="1" fontId="45" fillId="19" borderId="44" xfId="3" applyNumberFormat="1" applyFont="1" applyFill="1" applyBorder="1" applyAlignment="1" applyProtection="1">
      <alignment horizontal="center"/>
    </xf>
    <xf numFmtId="167" fontId="4" fillId="0" borderId="0" xfId="0" applyNumberFormat="1" applyFont="1"/>
    <xf numFmtId="1" fontId="37" fillId="0" borderId="0" xfId="0" applyNumberFormat="1" applyFont="1"/>
    <xf numFmtId="0" fontId="20" fillId="0" borderId="0" xfId="0" applyFont="1"/>
    <xf numFmtId="2" fontId="20" fillId="0" borderId="0" xfId="0" applyNumberFormat="1" applyFont="1"/>
    <xf numFmtId="0" fontId="6" fillId="23" borderId="24" xfId="0" applyFont="1" applyFill="1" applyBorder="1"/>
    <xf numFmtId="0" fontId="6" fillId="23" borderId="41" xfId="0" applyFont="1" applyFill="1" applyBorder="1"/>
    <xf numFmtId="0" fontId="14" fillId="23" borderId="24" xfId="0" applyFont="1" applyFill="1" applyBorder="1" applyAlignment="1">
      <alignment horizontal="center"/>
    </xf>
    <xf numFmtId="167" fontId="3" fillId="15" borderId="45" xfId="0" applyNumberFormat="1" applyFont="1" applyFill="1" applyBorder="1" applyAlignment="1">
      <alignment horizontal="center"/>
    </xf>
    <xf numFmtId="0" fontId="4" fillId="15" borderId="46" xfId="0" applyFont="1" applyFill="1" applyBorder="1"/>
    <xf numFmtId="0" fontId="6" fillId="15" borderId="37" xfId="0" applyFont="1" applyFill="1" applyBorder="1" applyAlignment="1">
      <alignment horizontal="center"/>
    </xf>
    <xf numFmtId="167" fontId="5" fillId="15" borderId="45" xfId="0" applyNumberFormat="1" applyFont="1" applyFill="1" applyBorder="1" applyAlignment="1">
      <alignment horizontal="center"/>
    </xf>
    <xf numFmtId="0" fontId="41" fillId="16" borderId="47" xfId="0" applyFont="1" applyFill="1" applyBorder="1"/>
    <xf numFmtId="167" fontId="3" fillId="15" borderId="48" xfId="0" applyNumberFormat="1" applyFont="1" applyFill="1" applyBorder="1" applyAlignment="1">
      <alignment horizontal="center"/>
    </xf>
    <xf numFmtId="0" fontId="4" fillId="15" borderId="25" xfId="0" applyFont="1" applyFill="1" applyBorder="1"/>
    <xf numFmtId="0" fontId="6" fillId="15" borderId="26" xfId="0" applyFont="1" applyFill="1" applyBorder="1" applyAlignment="1">
      <alignment horizontal="center"/>
    </xf>
    <xf numFmtId="167" fontId="5" fillId="15" borderId="48" xfId="0" applyNumberFormat="1" applyFont="1" applyFill="1" applyBorder="1" applyAlignment="1">
      <alignment horizontal="center"/>
    </xf>
    <xf numFmtId="0" fontId="20" fillId="16" borderId="47" xfId="0" applyFont="1" applyFill="1" applyBorder="1"/>
    <xf numFmtId="1" fontId="4" fillId="15" borderId="25" xfId="0" applyNumberFormat="1" applyFont="1" applyFill="1" applyBorder="1"/>
    <xf numFmtId="1" fontId="23" fillId="15" borderId="26" xfId="0" applyNumberFormat="1" applyFont="1" applyFill="1" applyBorder="1" applyAlignment="1">
      <alignment horizontal="center"/>
    </xf>
    <xf numFmtId="0" fontId="46" fillId="16" borderId="49" xfId="0" applyFont="1" applyFill="1" applyBorder="1"/>
    <xf numFmtId="0" fontId="46" fillId="16" borderId="50" xfId="0" applyFont="1" applyFill="1" applyBorder="1"/>
    <xf numFmtId="167" fontId="3" fillId="15" borderId="51" xfId="0" applyNumberFormat="1" applyFont="1" applyFill="1" applyBorder="1" applyAlignment="1">
      <alignment horizontal="center"/>
    </xf>
    <xf numFmtId="0" fontId="4" fillId="15" borderId="17" xfId="0" applyFont="1" applyFill="1" applyBorder="1"/>
    <xf numFmtId="165" fontId="23" fillId="15" borderId="52" xfId="0" applyNumberFormat="1" applyFont="1" applyFill="1" applyBorder="1" applyAlignment="1">
      <alignment horizontal="center"/>
    </xf>
    <xf numFmtId="167" fontId="5" fillId="15" borderId="51" xfId="0" applyNumberFormat="1" applyFont="1" applyFill="1" applyBorder="1" applyAlignment="1">
      <alignment horizontal="center"/>
    </xf>
    <xf numFmtId="0" fontId="20" fillId="12" borderId="53" xfId="0" applyFont="1" applyFill="1" applyBorder="1"/>
    <xf numFmtId="167" fontId="43" fillId="20" borderId="11" xfId="0" applyNumberFormat="1" applyFont="1" applyFill="1" applyBorder="1" applyAlignment="1">
      <alignment horizontal="center"/>
    </xf>
    <xf numFmtId="0" fontId="40" fillId="20" borderId="11" xfId="0" applyFont="1" applyFill="1" applyBorder="1"/>
    <xf numFmtId="0" fontId="40" fillId="20" borderId="12" xfId="0" applyFont="1" applyFill="1" applyBorder="1"/>
    <xf numFmtId="167" fontId="40" fillId="20" borderId="13" xfId="0" applyNumberFormat="1" applyFont="1" applyFill="1" applyBorder="1" applyAlignment="1">
      <alignment horizontal="center"/>
    </xf>
    <xf numFmtId="1" fontId="47" fillId="20" borderId="3" xfId="0" applyNumberFormat="1" applyFont="1" applyFill="1" applyBorder="1"/>
    <xf numFmtId="167" fontId="6" fillId="20" borderId="0" xfId="0" applyNumberFormat="1" applyFont="1" applyFill="1" applyAlignment="1">
      <alignment horizontal="center"/>
    </xf>
    <xf numFmtId="167" fontId="2" fillId="20" borderId="4" xfId="0" applyNumberFormat="1" applyFont="1" applyFill="1" applyBorder="1" applyAlignment="1">
      <alignment horizontal="center"/>
    </xf>
    <xf numFmtId="0" fontId="48" fillId="12" borderId="11" xfId="0" applyFont="1" applyFill="1" applyBorder="1"/>
    <xf numFmtId="1" fontId="6" fillId="20" borderId="5" xfId="0" applyNumberFormat="1" applyFont="1" applyFill="1" applyBorder="1"/>
    <xf numFmtId="167" fontId="6" fillId="20" borderId="9" xfId="0" applyNumberFormat="1" applyFont="1" applyFill="1" applyBorder="1" applyAlignment="1">
      <alignment horizontal="center"/>
    </xf>
    <xf numFmtId="167" fontId="2" fillId="20" borderId="10" xfId="0" applyNumberFormat="1" applyFont="1" applyFill="1" applyBorder="1" applyAlignment="1">
      <alignment horizontal="center"/>
    </xf>
    <xf numFmtId="1" fontId="36" fillId="7" borderId="54" xfId="0" applyNumberFormat="1" applyFont="1" applyFill="1" applyBorder="1"/>
    <xf numFmtId="167" fontId="5" fillId="14" borderId="55" xfId="0" applyNumberFormat="1" applyFont="1" applyFill="1" applyBorder="1" applyAlignment="1">
      <alignment horizontal="center"/>
    </xf>
    <xf numFmtId="0" fontId="4" fillId="14" borderId="56" xfId="0" applyFont="1" applyFill="1" applyBorder="1"/>
    <xf numFmtId="2" fontId="23" fillId="14" borderId="57" xfId="0" applyNumberFormat="1" applyFont="1" applyFill="1" applyBorder="1" applyAlignment="1">
      <alignment horizontal="center"/>
    </xf>
    <xf numFmtId="1" fontId="13" fillId="7" borderId="5" xfId="0" applyNumberFormat="1" applyFont="1" applyFill="1" applyBorder="1"/>
    <xf numFmtId="167" fontId="13" fillId="24" borderId="4" xfId="3" applyNumberFormat="1" applyFont="1" applyFill="1" applyBorder="1" applyAlignment="1" applyProtection="1"/>
    <xf numFmtId="167" fontId="13" fillId="24" borderId="3" xfId="3" applyNumberFormat="1" applyFont="1" applyFill="1" applyBorder="1" applyAlignment="1" applyProtection="1">
      <alignment horizontal="center"/>
    </xf>
    <xf numFmtId="167" fontId="13" fillId="24" borderId="0" xfId="3" applyNumberFormat="1" applyFont="1" applyFill="1" applyBorder="1" applyAlignment="1" applyProtection="1">
      <alignment horizontal="center"/>
    </xf>
    <xf numFmtId="167" fontId="13" fillId="24" borderId="10" xfId="3" applyNumberFormat="1" applyFont="1" applyFill="1" applyBorder="1" applyAlignment="1" applyProtection="1"/>
    <xf numFmtId="167" fontId="13" fillId="24" borderId="5" xfId="3" applyNumberFormat="1" applyFont="1" applyFill="1" applyBorder="1" applyAlignment="1" applyProtection="1">
      <alignment horizontal="center"/>
    </xf>
    <xf numFmtId="167" fontId="13" fillId="24" borderId="9" xfId="3" applyNumberFormat="1" applyFont="1" applyFill="1" applyBorder="1" applyAlignment="1" applyProtection="1">
      <alignment horizontal="center"/>
    </xf>
    <xf numFmtId="167" fontId="14" fillId="25" borderId="58" xfId="0" applyNumberFormat="1" applyFont="1" applyFill="1" applyBorder="1"/>
    <xf numFmtId="167" fontId="14" fillId="25" borderId="59" xfId="0" applyNumberFormat="1" applyFont="1" applyFill="1" applyBorder="1" applyAlignment="1">
      <alignment horizontal="center"/>
    </xf>
    <xf numFmtId="167" fontId="14" fillId="25" borderId="60" xfId="0" applyNumberFormat="1" applyFont="1" applyFill="1" applyBorder="1" applyAlignment="1">
      <alignment horizontal="center"/>
    </xf>
    <xf numFmtId="167" fontId="14" fillId="25" borderId="0" xfId="0" applyNumberFormat="1" applyFont="1" applyFill="1" applyAlignment="1">
      <alignment horizontal="center"/>
    </xf>
    <xf numFmtId="0" fontId="20" fillId="25" borderId="9" xfId="0" applyFont="1" applyFill="1" applyBorder="1"/>
    <xf numFmtId="9" fontId="20" fillId="25" borderId="9" xfId="0" applyNumberFormat="1" applyFont="1" applyFill="1" applyBorder="1"/>
    <xf numFmtId="1" fontId="6" fillId="20" borderId="0" xfId="0" applyNumberFormat="1" applyFont="1" applyFill="1"/>
    <xf numFmtId="167" fontId="2" fillId="20" borderId="0" xfId="0" applyNumberFormat="1" applyFont="1" applyFill="1" applyAlignment="1">
      <alignment horizontal="center"/>
    </xf>
    <xf numFmtId="0" fontId="4" fillId="0" borderId="0" xfId="0" applyFont="1"/>
    <xf numFmtId="0" fontId="49" fillId="22" borderId="0" xfId="3" applyFont="1" applyFill="1" applyAlignment="1" applyProtection="1"/>
    <xf numFmtId="166" fontId="50" fillId="26" borderId="61" xfId="0" applyNumberFormat="1" applyFont="1" applyFill="1" applyBorder="1" applyAlignment="1">
      <alignment horizontal="center"/>
    </xf>
    <xf numFmtId="2" fontId="51" fillId="11" borderId="13" xfId="0" applyNumberFormat="1" applyFont="1" applyFill="1" applyBorder="1" applyAlignment="1">
      <alignment horizontal="center"/>
    </xf>
    <xf numFmtId="165" fontId="38" fillId="14" borderId="62" xfId="0" applyNumberFormat="1" applyFont="1" applyFill="1" applyBorder="1" applyAlignment="1">
      <alignment horizontal="center"/>
    </xf>
    <xf numFmtId="14" fontId="5" fillId="11" borderId="63" xfId="0" applyNumberFormat="1" applyFont="1" applyFill="1" applyBorder="1" applyAlignment="1">
      <alignment horizontal="center"/>
    </xf>
    <xf numFmtId="167" fontId="4" fillId="14" borderId="28" xfId="0" applyNumberFormat="1" applyFont="1" applyFill="1" applyBorder="1" applyAlignment="1">
      <alignment horizontal="center"/>
    </xf>
    <xf numFmtId="0" fontId="2" fillId="9" borderId="64" xfId="0" applyFont="1" applyFill="1" applyBorder="1" applyAlignment="1">
      <alignment horizontal="center"/>
    </xf>
    <xf numFmtId="167" fontId="3" fillId="16" borderId="0" xfId="0" applyNumberFormat="1" applyFont="1" applyFill="1" applyAlignment="1">
      <alignment horizontal="center"/>
    </xf>
    <xf numFmtId="1" fontId="0" fillId="15" borderId="29" xfId="0" applyNumberFormat="1" applyFill="1" applyBorder="1"/>
    <xf numFmtId="1" fontId="52" fillId="14" borderId="65" xfId="0" applyNumberFormat="1" applyFont="1" applyFill="1" applyBorder="1"/>
    <xf numFmtId="167" fontId="13" fillId="12" borderId="66" xfId="0" applyNumberFormat="1" applyFont="1" applyFill="1" applyBorder="1" applyAlignment="1">
      <alignment horizontal="center"/>
    </xf>
    <xf numFmtId="167" fontId="2" fillId="11" borderId="67" xfId="0" applyNumberFormat="1" applyFont="1" applyFill="1" applyBorder="1" applyAlignment="1">
      <alignment horizontal="center"/>
    </xf>
    <xf numFmtId="1" fontId="0" fillId="15" borderId="32" xfId="0" applyNumberFormat="1" applyFill="1" applyBorder="1"/>
    <xf numFmtId="1" fontId="47" fillId="20" borderId="14" xfId="0" applyNumberFormat="1" applyFont="1" applyFill="1" applyBorder="1"/>
    <xf numFmtId="1" fontId="39" fillId="20" borderId="15" xfId="0" applyNumberFormat="1" applyFont="1" applyFill="1" applyBorder="1"/>
    <xf numFmtId="167" fontId="39" fillId="20" borderId="18" xfId="0" applyNumberFormat="1" applyFont="1" applyFill="1" applyBorder="1" applyAlignment="1">
      <alignment horizontal="center"/>
    </xf>
    <xf numFmtId="1" fontId="0" fillId="15" borderId="34" xfId="0" applyNumberFormat="1" applyFill="1" applyBorder="1"/>
    <xf numFmtId="167" fontId="20" fillId="27" borderId="68" xfId="0" applyNumberFormat="1" applyFont="1" applyFill="1" applyBorder="1" applyAlignment="1">
      <alignment horizontal="center"/>
    </xf>
    <xf numFmtId="9" fontId="0" fillId="0" borderId="0" xfId="0" applyNumberFormat="1" applyAlignment="1">
      <alignment horizontal="center"/>
    </xf>
    <xf numFmtId="167" fontId="20" fillId="27" borderId="38" xfId="0" applyNumberFormat="1" applyFont="1" applyFill="1" applyBorder="1" applyAlignment="1">
      <alignment horizontal="center"/>
    </xf>
    <xf numFmtId="10" fontId="0" fillId="0" borderId="0" xfId="0" applyNumberFormat="1" applyAlignment="1">
      <alignment horizontal="center"/>
    </xf>
    <xf numFmtId="0" fontId="14" fillId="19" borderId="11" xfId="0" applyFont="1" applyFill="1" applyBorder="1"/>
    <xf numFmtId="0" fontId="13" fillId="19" borderId="69" xfId="0" applyFont="1" applyFill="1" applyBorder="1"/>
    <xf numFmtId="0" fontId="14" fillId="7" borderId="12" xfId="0" applyFont="1" applyFill="1" applyBorder="1"/>
    <xf numFmtId="1" fontId="4" fillId="28" borderId="41" xfId="0" applyNumberFormat="1" applyFont="1" applyFill="1" applyBorder="1"/>
    <xf numFmtId="1" fontId="4" fillId="28" borderId="70" xfId="0" applyNumberFormat="1" applyFont="1" applyFill="1" applyBorder="1"/>
    <xf numFmtId="1" fontId="5" fillId="14" borderId="39" xfId="0" applyNumberFormat="1" applyFont="1" applyFill="1" applyBorder="1"/>
    <xf numFmtId="1" fontId="5" fillId="28" borderId="27" xfId="0" applyNumberFormat="1" applyFont="1" applyFill="1" applyBorder="1"/>
    <xf numFmtId="167" fontId="5" fillId="28" borderId="31" xfId="0" applyNumberFormat="1" applyFont="1" applyFill="1" applyBorder="1"/>
    <xf numFmtId="167" fontId="5" fillId="14" borderId="30" xfId="0" applyNumberFormat="1" applyFont="1" applyFill="1" applyBorder="1"/>
    <xf numFmtId="0" fontId="3" fillId="28" borderId="3" xfId="0" applyFont="1" applyFill="1" applyBorder="1"/>
    <xf numFmtId="167" fontId="3" fillId="28" borderId="28" xfId="0" applyNumberFormat="1" applyFont="1" applyFill="1" applyBorder="1"/>
    <xf numFmtId="167" fontId="3" fillId="14" borderId="33" xfId="0" applyNumberFormat="1" applyFont="1" applyFill="1" applyBorder="1"/>
    <xf numFmtId="0" fontId="3" fillId="28" borderId="71" xfId="0" applyFont="1" applyFill="1" applyBorder="1"/>
    <xf numFmtId="167" fontId="3" fillId="28" borderId="35" xfId="0" applyNumberFormat="1" applyFont="1" applyFill="1" applyBorder="1"/>
    <xf numFmtId="167" fontId="3" fillId="14" borderId="36" xfId="0" applyNumberFormat="1" applyFont="1" applyFill="1" applyBorder="1"/>
    <xf numFmtId="1" fontId="0" fillId="0" borderId="27" xfId="0" applyNumberFormat="1" applyBorder="1"/>
    <xf numFmtId="0" fontId="0" fillId="0" borderId="3" xfId="0" applyBorder="1"/>
    <xf numFmtId="167" fontId="0" fillId="0" borderId="72" xfId="0" applyNumberFormat="1" applyBorder="1"/>
    <xf numFmtId="0" fontId="14" fillId="7" borderId="14" xfId="0" applyFont="1" applyFill="1" applyBorder="1"/>
    <xf numFmtId="0" fontId="37" fillId="0" borderId="73" xfId="0" applyFont="1" applyBorder="1"/>
    <xf numFmtId="0" fontId="37" fillId="21" borderId="26" xfId="0" applyFont="1" applyFill="1" applyBorder="1"/>
    <xf numFmtId="167" fontId="37" fillId="0" borderId="73" xfId="0" applyNumberFormat="1" applyFont="1" applyBorder="1"/>
    <xf numFmtId="0" fontId="0" fillId="0" borderId="73" xfId="0" applyBorder="1"/>
    <xf numFmtId="1" fontId="37" fillId="21" borderId="26" xfId="0" applyNumberFormat="1" applyFont="1" applyFill="1" applyBorder="1"/>
    <xf numFmtId="1" fontId="37" fillId="23" borderId="74" xfId="0" applyNumberFormat="1" applyFont="1" applyFill="1" applyBorder="1"/>
    <xf numFmtId="1" fontId="37" fillId="0" borderId="75" xfId="0" applyNumberFormat="1" applyFont="1" applyBorder="1"/>
    <xf numFmtId="167" fontId="37" fillId="0" borderId="76" xfId="0" applyNumberFormat="1" applyFont="1" applyBorder="1"/>
    <xf numFmtId="1" fontId="36" fillId="7" borderId="77" xfId="0" applyNumberFormat="1" applyFont="1" applyFill="1" applyBorder="1"/>
    <xf numFmtId="0" fontId="13" fillId="7" borderId="14" xfId="0" applyFont="1" applyFill="1" applyBorder="1"/>
    <xf numFmtId="1" fontId="13" fillId="7" borderId="15" xfId="0" applyNumberFormat="1" applyFont="1" applyFill="1" applyBorder="1"/>
    <xf numFmtId="1" fontId="13" fillId="7" borderId="77" xfId="0" applyNumberFormat="1" applyFont="1" applyFill="1" applyBorder="1"/>
    <xf numFmtId="0" fontId="34" fillId="0" borderId="0" xfId="0" applyFont="1" applyAlignment="1">
      <alignment horizontal="center"/>
    </xf>
    <xf numFmtId="10" fontId="6" fillId="13" borderId="4" xfId="1" applyNumberFormat="1" applyFont="1" applyFill="1" applyBorder="1" applyAlignment="1" applyProtection="1">
      <alignment horizontal="center"/>
      <protection hidden="1"/>
    </xf>
    <xf numFmtId="0" fontId="34" fillId="6" borderId="0" xfId="0" applyFont="1" applyFill="1" applyAlignment="1"/>
    <xf numFmtId="10" fontId="22" fillId="29" borderId="4" xfId="1" applyNumberFormat="1" applyFont="1" applyFill="1" applyBorder="1" applyAlignment="1" applyProtection="1">
      <alignment horizontal="center"/>
      <protection hidden="1"/>
    </xf>
    <xf numFmtId="2" fontId="22" fillId="29" borderId="4" xfId="0" applyNumberFormat="1" applyFont="1" applyFill="1" applyBorder="1" applyAlignment="1" applyProtection="1">
      <alignment horizontal="center"/>
      <protection hidden="1"/>
    </xf>
    <xf numFmtId="2" fontId="22" fillId="29" borderId="4" xfId="0" applyNumberFormat="1" applyFont="1" applyFill="1" applyBorder="1" applyAlignment="1">
      <alignment horizontal="center"/>
    </xf>
    <xf numFmtId="164" fontId="5" fillId="29" borderId="4" xfId="0" applyNumberFormat="1" applyFont="1" applyFill="1" applyBorder="1" applyAlignment="1" applyProtection="1">
      <alignment horizontal="center"/>
    </xf>
    <xf numFmtId="2" fontId="4" fillId="29" borderId="4" xfId="0" applyNumberFormat="1" applyFont="1" applyFill="1" applyBorder="1" applyAlignment="1" applyProtection="1">
      <alignment horizontal="center"/>
    </xf>
    <xf numFmtId="0" fontId="0" fillId="0" borderId="0" xfId="0" applyAlignment="1"/>
    <xf numFmtId="1" fontId="5" fillId="30" borderId="4" xfId="0" applyNumberFormat="1" applyFont="1" applyFill="1" applyBorder="1" applyAlignment="1" applyProtection="1">
      <alignment horizontal="center"/>
      <protection locked="0"/>
    </xf>
    <xf numFmtId="164" fontId="5" fillId="30" borderId="4" xfId="0" applyNumberFormat="1" applyFont="1" applyFill="1" applyBorder="1" applyAlignment="1" applyProtection="1">
      <alignment horizontal="center"/>
      <protection locked="0"/>
    </xf>
    <xf numFmtId="0" fontId="6" fillId="30" borderId="6" xfId="0" applyFont="1" applyFill="1" applyBorder="1" applyAlignment="1" applyProtection="1">
      <alignment horizontal="center"/>
      <protection locked="0"/>
    </xf>
    <xf numFmtId="164" fontId="5" fillId="30" borderId="4" xfId="0" applyNumberFormat="1" applyFont="1" applyFill="1" applyBorder="1" applyAlignment="1" applyProtection="1">
      <alignment horizontal="center"/>
    </xf>
    <xf numFmtId="0" fontId="100" fillId="0" borderId="0" xfId="0" applyFont="1"/>
    <xf numFmtId="0" fontId="100" fillId="0" borderId="0" xfId="0" applyFont="1" applyProtection="1">
      <protection locked="0"/>
    </xf>
    <xf numFmtId="0" fontId="99" fillId="0" borderId="7" xfId="0" applyFont="1" applyBorder="1" applyAlignment="1">
      <alignment vertical="top" wrapText="1"/>
    </xf>
    <xf numFmtId="0" fontId="99" fillId="0" borderId="8" xfId="0" applyFont="1" applyBorder="1" applyAlignment="1">
      <alignment vertical="top" wrapText="1"/>
    </xf>
    <xf numFmtId="9" fontId="100" fillId="0" borderId="0" xfId="1" applyFont="1"/>
    <xf numFmtId="9" fontId="100" fillId="0" borderId="0" xfId="0" applyNumberFormat="1" applyFont="1"/>
    <xf numFmtId="10" fontId="100" fillId="0" borderId="0" xfId="0" applyNumberFormat="1" applyFont="1"/>
    <xf numFmtId="165" fontId="3" fillId="15" borderId="19" xfId="0" applyNumberFormat="1" applyFont="1" applyFill="1" applyBorder="1" applyAlignment="1" applyProtection="1">
      <alignment horizontal="center"/>
    </xf>
    <xf numFmtId="165" fontId="98" fillId="15" borderId="19" xfId="0" applyNumberFormat="1" applyFont="1" applyFill="1" applyBorder="1" applyAlignment="1" applyProtection="1">
      <alignment horizontal="center"/>
    </xf>
    <xf numFmtId="0" fontId="0" fillId="0" borderId="0" xfId="0" applyAlignment="1" applyProtection="1">
      <alignment horizontal="center"/>
      <protection locked="0"/>
    </xf>
    <xf numFmtId="0" fontId="18" fillId="6" borderId="3" xfId="0" applyFont="1" applyFill="1" applyBorder="1" applyAlignment="1">
      <alignment horizontal="right"/>
    </xf>
    <xf numFmtId="0" fontId="18" fillId="6" borderId="16" xfId="0" applyFont="1" applyFill="1" applyBorder="1" applyAlignment="1">
      <alignment horizontal="right"/>
    </xf>
    <xf numFmtId="0" fontId="19" fillId="6" borderId="3" xfId="0" applyFont="1" applyFill="1" applyBorder="1" applyAlignment="1">
      <alignment horizontal="right"/>
    </xf>
    <xf numFmtId="0" fontId="19" fillId="6" borderId="16" xfId="0" applyFont="1" applyFill="1" applyBorder="1" applyAlignment="1">
      <alignment horizontal="right"/>
    </xf>
    <xf numFmtId="0" fontId="26" fillId="6" borderId="3" xfId="0" applyFont="1" applyFill="1" applyBorder="1" applyAlignment="1">
      <alignment horizontal="right"/>
    </xf>
    <xf numFmtId="0" fontId="26" fillId="6" borderId="16" xfId="0" applyFont="1" applyFill="1" applyBorder="1" applyAlignment="1">
      <alignment horizontal="right"/>
    </xf>
  </cellXfs>
  <cellStyles count="5">
    <cellStyle name="20% - הדגשה1" xfId="2" builtinId="30"/>
    <cellStyle name="Normal" xfId="0" builtinId="0"/>
    <cellStyle name="Normal 2" xfId="4" xr:uid="{A6A89875-C4C8-4B41-889D-73CD8B5C60CE}"/>
    <cellStyle name="Percent" xfId="1" builtinId="5"/>
    <cellStyle name="היפר-קישור" xfId="3" builtinId="8"/>
  </cellStyles>
  <dxfs count="187">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tint="-4.9989318521683403E-2"/>
      </font>
      <fill>
        <patternFill>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b/>
        <i val="0"/>
        <condense val="0"/>
        <extend val="0"/>
        <color indexed="22"/>
      </font>
    </dxf>
    <dxf>
      <font>
        <condense val="0"/>
        <extend val="0"/>
        <color indexed="9"/>
      </font>
      <fill>
        <patternFill patternType="none">
          <bgColor indexed="65"/>
        </patternFill>
      </fill>
      <border>
        <left/>
        <right/>
        <top/>
        <bottom/>
      </border>
    </dxf>
    <dxf>
      <font>
        <b/>
        <i val="0"/>
        <condense val="0"/>
        <extend val="0"/>
        <color indexed="13"/>
      </font>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auto="1"/>
      </font>
      <fill>
        <patternFill>
          <bgColor indexed="47"/>
        </patternFill>
      </fill>
    </dxf>
    <dxf>
      <font>
        <b/>
        <i val="0"/>
        <condense val="0"/>
        <extend val="0"/>
        <color indexed="12"/>
      </font>
      <fill>
        <patternFill>
          <bgColor indexed="47"/>
        </patternFill>
      </fill>
    </dxf>
    <dxf>
      <font>
        <b/>
        <i val="0"/>
        <condense val="0"/>
        <extend val="0"/>
        <color indexed="12"/>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b/>
        <i val="0"/>
        <condense val="0"/>
        <extend val="0"/>
        <color auto="1"/>
      </font>
      <fill>
        <patternFill>
          <bgColor indexed="10"/>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23"/>
      </font>
    </dxf>
    <dxf>
      <font>
        <b/>
        <i val="0"/>
        <condense val="0"/>
        <extend val="0"/>
        <color indexed="13"/>
      </font>
      <fill>
        <patternFill>
          <bgColor indexed="21"/>
        </patternFill>
      </fill>
    </dxf>
    <dxf>
      <font>
        <b/>
        <i val="0"/>
        <condense val="0"/>
        <extend val="0"/>
        <color indexed="23"/>
      </font>
    </dxf>
    <dxf>
      <font>
        <condense val="0"/>
        <extend val="0"/>
        <color indexed="21"/>
      </font>
    </dxf>
    <dxf>
      <font>
        <b/>
        <i val="0"/>
        <condense val="0"/>
        <extend val="0"/>
        <color indexed="34"/>
      </font>
      <fill>
        <patternFill>
          <bgColor indexed="21"/>
        </patternFill>
      </fill>
    </dxf>
    <dxf>
      <font>
        <condense val="0"/>
        <extend val="0"/>
        <color indexed="48"/>
      </font>
      <fill>
        <patternFill>
          <bgColor indexed="31"/>
        </patternFill>
      </fill>
    </dxf>
    <dxf>
      <font>
        <b/>
        <i val="0"/>
        <condense val="0"/>
        <extend val="0"/>
        <color indexed="12"/>
      </font>
    </dxf>
    <dxf>
      <font>
        <b/>
        <i val="0"/>
        <condense val="0"/>
        <extend val="0"/>
        <color indexed="12"/>
      </font>
    </dxf>
    <dxf>
      <font>
        <b/>
        <i val="0"/>
        <condense val="0"/>
        <extend val="0"/>
        <color indexed="13"/>
      </font>
      <fill>
        <patternFill>
          <bgColor indexed="10"/>
        </patternFill>
      </fill>
    </dxf>
    <dxf>
      <font>
        <condense val="0"/>
        <extend val="0"/>
        <color indexed="22"/>
      </font>
    </dxf>
    <dxf>
      <font>
        <condense val="0"/>
        <extend val="0"/>
        <color indexed="22"/>
      </font>
    </dxf>
    <dxf>
      <font>
        <b/>
        <i val="0"/>
        <condense val="0"/>
        <extend val="0"/>
        <color indexed="13"/>
      </font>
      <fill>
        <patternFill>
          <bgColor indexed="22"/>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b/>
        <i val="0"/>
        <condense val="0"/>
        <extend val="0"/>
        <color indexed="21"/>
      </font>
    </dxf>
    <dxf>
      <font>
        <condense val="0"/>
        <extend val="0"/>
        <color indexed="50"/>
      </font>
      <fill>
        <patternFill>
          <bgColor indexed="21"/>
        </patternFill>
      </fill>
    </dxf>
    <dxf>
      <font>
        <b/>
        <i val="0"/>
        <condense val="0"/>
        <extend val="0"/>
        <color indexed="13"/>
      </font>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50"/>
      </font>
      <fill>
        <patternFill>
          <bgColor indexed="21"/>
        </patternFill>
      </fill>
    </dxf>
    <dxf>
      <font>
        <b/>
        <i val="0"/>
        <condense val="0"/>
        <extend val="0"/>
        <color indexed="13"/>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46"/>
      </font>
      <fill>
        <patternFill>
          <bgColor indexed="46"/>
        </patternFill>
      </fill>
    </dxf>
    <dxf>
      <font>
        <condense val="0"/>
        <extend val="0"/>
        <color indexed="31"/>
      </font>
    </dxf>
    <dxf>
      <fill>
        <patternFill>
          <bgColor indexed="9"/>
        </patternFill>
      </fill>
    </dxf>
    <dxf>
      <font>
        <b/>
        <i val="0"/>
        <condense val="0"/>
        <extend val="0"/>
        <color indexed="9"/>
      </font>
      <fill>
        <patternFill>
          <bgColor indexed="50"/>
        </patternFill>
      </fill>
    </dxf>
    <dxf>
      <font>
        <b/>
        <i val="0"/>
        <condense val="0"/>
        <extend val="0"/>
        <color auto="1"/>
      </font>
      <fill>
        <patternFill>
          <bgColor indexed="10"/>
        </patternFill>
      </fill>
    </dxf>
    <dxf>
      <font>
        <condense val="0"/>
        <extend val="0"/>
        <color indexed="26"/>
      </font>
    </dxf>
    <dxf>
      <font>
        <b/>
        <i val="0"/>
        <condense val="0"/>
        <extend val="0"/>
        <color indexed="20"/>
      </font>
    </dxf>
    <dxf>
      <font>
        <b/>
        <i val="0"/>
        <condense val="0"/>
        <extend val="0"/>
        <color indexed="20"/>
      </font>
    </dxf>
    <dxf>
      <font>
        <b/>
        <i val="0"/>
        <condense val="0"/>
        <extend val="0"/>
        <color auto="1"/>
      </font>
      <fill>
        <patternFill>
          <bgColor indexed="42"/>
        </patternFill>
      </fill>
    </dxf>
    <dxf>
      <font>
        <b/>
        <i val="0"/>
        <condense val="0"/>
        <extend val="0"/>
        <color indexed="12"/>
      </font>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tint="-4.9989318521683403E-2"/>
      </font>
      <fill>
        <patternFill>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b/>
        <i val="0"/>
        <condense val="0"/>
        <extend val="0"/>
        <color indexed="22"/>
      </font>
    </dxf>
    <dxf>
      <font>
        <condense val="0"/>
        <extend val="0"/>
        <color indexed="9"/>
      </font>
      <fill>
        <patternFill patternType="none">
          <bgColor indexed="65"/>
        </patternFill>
      </fill>
      <border>
        <left/>
        <right/>
        <top/>
        <bottom/>
      </border>
    </dxf>
    <dxf>
      <font>
        <b/>
        <i val="0"/>
        <condense val="0"/>
        <extend val="0"/>
        <color indexed="13"/>
      </font>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auto="1"/>
      </font>
      <fill>
        <patternFill>
          <bgColor indexed="47"/>
        </patternFill>
      </fill>
    </dxf>
    <dxf>
      <font>
        <b/>
        <i val="0"/>
        <condense val="0"/>
        <extend val="0"/>
        <color indexed="12"/>
      </font>
      <fill>
        <patternFill>
          <bgColor indexed="47"/>
        </patternFill>
      </fill>
    </dxf>
    <dxf>
      <font>
        <b/>
        <i val="0"/>
        <condense val="0"/>
        <extend val="0"/>
        <color indexed="12"/>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b/>
        <i val="0"/>
        <condense val="0"/>
        <extend val="0"/>
        <color auto="1"/>
      </font>
      <fill>
        <patternFill>
          <bgColor indexed="10"/>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23"/>
      </font>
    </dxf>
    <dxf>
      <font>
        <b/>
        <i val="0"/>
        <condense val="0"/>
        <extend val="0"/>
        <color indexed="13"/>
      </font>
      <fill>
        <patternFill>
          <bgColor indexed="21"/>
        </patternFill>
      </fill>
    </dxf>
    <dxf>
      <font>
        <b/>
        <i val="0"/>
        <condense val="0"/>
        <extend val="0"/>
        <color indexed="23"/>
      </font>
    </dxf>
    <dxf>
      <font>
        <condense val="0"/>
        <extend val="0"/>
        <color indexed="21"/>
      </font>
    </dxf>
    <dxf>
      <font>
        <b/>
        <i val="0"/>
        <condense val="0"/>
        <extend val="0"/>
        <color indexed="34"/>
      </font>
      <fill>
        <patternFill>
          <bgColor indexed="21"/>
        </patternFill>
      </fill>
    </dxf>
    <dxf>
      <font>
        <condense val="0"/>
        <extend val="0"/>
        <color indexed="48"/>
      </font>
      <fill>
        <patternFill>
          <bgColor indexed="31"/>
        </patternFill>
      </fill>
    </dxf>
    <dxf>
      <font>
        <b/>
        <i val="0"/>
        <condense val="0"/>
        <extend val="0"/>
        <color indexed="12"/>
      </font>
    </dxf>
    <dxf>
      <font>
        <b/>
        <i val="0"/>
        <condense val="0"/>
        <extend val="0"/>
        <color indexed="12"/>
      </font>
    </dxf>
    <dxf>
      <font>
        <b/>
        <i val="0"/>
        <condense val="0"/>
        <extend val="0"/>
        <color indexed="13"/>
      </font>
      <fill>
        <patternFill>
          <bgColor indexed="10"/>
        </patternFill>
      </fill>
    </dxf>
    <dxf>
      <font>
        <condense val="0"/>
        <extend val="0"/>
        <color indexed="22"/>
      </font>
    </dxf>
    <dxf>
      <font>
        <condense val="0"/>
        <extend val="0"/>
        <color indexed="22"/>
      </font>
    </dxf>
    <dxf>
      <font>
        <b/>
        <i val="0"/>
        <condense val="0"/>
        <extend val="0"/>
        <color indexed="13"/>
      </font>
      <fill>
        <patternFill>
          <bgColor indexed="22"/>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b/>
        <i val="0"/>
        <condense val="0"/>
        <extend val="0"/>
        <color indexed="21"/>
      </font>
    </dxf>
    <dxf>
      <font>
        <condense val="0"/>
        <extend val="0"/>
        <color indexed="50"/>
      </font>
      <fill>
        <patternFill>
          <bgColor indexed="21"/>
        </patternFill>
      </fill>
    </dxf>
    <dxf>
      <font>
        <b/>
        <i val="0"/>
        <condense val="0"/>
        <extend val="0"/>
        <color indexed="13"/>
      </font>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50"/>
      </font>
      <fill>
        <patternFill>
          <bgColor indexed="21"/>
        </patternFill>
      </fill>
    </dxf>
    <dxf>
      <font>
        <b/>
        <i val="0"/>
        <condense val="0"/>
        <extend val="0"/>
        <color indexed="13"/>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46"/>
      </font>
      <fill>
        <patternFill>
          <bgColor indexed="46"/>
        </patternFill>
      </fill>
    </dxf>
    <dxf>
      <font>
        <condense val="0"/>
        <extend val="0"/>
        <color indexed="31"/>
      </font>
    </dxf>
    <dxf>
      <fill>
        <patternFill>
          <bgColor indexed="9"/>
        </patternFill>
      </fill>
    </dxf>
    <dxf>
      <font>
        <b/>
        <i val="0"/>
        <condense val="0"/>
        <extend val="0"/>
        <color indexed="9"/>
      </font>
      <fill>
        <patternFill>
          <bgColor indexed="50"/>
        </patternFill>
      </fill>
    </dxf>
    <dxf>
      <font>
        <b/>
        <i val="0"/>
        <condense val="0"/>
        <extend val="0"/>
        <color auto="1"/>
      </font>
      <fill>
        <patternFill>
          <bgColor indexed="10"/>
        </patternFill>
      </fill>
    </dxf>
    <dxf>
      <font>
        <condense val="0"/>
        <extend val="0"/>
        <color indexed="26"/>
      </font>
    </dxf>
    <dxf>
      <font>
        <b/>
        <i val="0"/>
        <condense val="0"/>
        <extend val="0"/>
        <color indexed="20"/>
      </font>
    </dxf>
    <dxf>
      <font>
        <b/>
        <i val="0"/>
        <condense val="0"/>
        <extend val="0"/>
        <color indexed="20"/>
      </font>
    </dxf>
    <dxf>
      <font>
        <b/>
        <i val="0"/>
        <condense val="0"/>
        <extend val="0"/>
        <color auto="1"/>
      </font>
      <fill>
        <patternFill>
          <bgColor indexed="42"/>
        </patternFill>
      </fill>
    </dxf>
    <dxf>
      <font>
        <b/>
        <i val="0"/>
        <condense val="0"/>
        <extend val="0"/>
        <color indexed="12"/>
      </font>
    </dxf>
    <dxf>
      <font>
        <color theme="0"/>
      </font>
      <fill>
        <patternFill>
          <fgColor theme="0"/>
          <bgColor theme="0"/>
        </patternFill>
      </fill>
      <border>
        <left style="thin">
          <color theme="2" tint="-9.9948118533890809E-2"/>
        </left>
        <right style="thin">
          <color theme="2" tint="-9.9948118533890809E-2"/>
        </right>
        <top style="thin">
          <color theme="2" tint="-9.9948118533890809E-2"/>
        </top>
        <bottom style="thin">
          <color theme="2" tint="-9.9948118533890809E-2"/>
        </bottom>
      </border>
    </dxf>
    <dxf>
      <font>
        <color theme="0"/>
      </font>
      <fill>
        <patternFill>
          <bgColor theme="0"/>
        </patternFill>
      </fill>
      <border>
        <left style="thin">
          <color theme="2" tint="-9.9948118533890809E-2"/>
        </left>
        <right style="thin">
          <color theme="2" tint="-9.9948118533890809E-2"/>
        </right>
        <top style="thin">
          <color theme="2" tint="-9.9948118533890809E-2"/>
        </top>
        <bottom style="thin">
          <color theme="2" tint="-9.9948118533890809E-2"/>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User\Documents\&#1504;&#1497;&#1492;&#1493;&#1500;%20&#1492;&#1489;&#1497;&#1514;\&#1489;&#1497;&#1514;&#1497;\&#1488;&#1493;&#1508;&#1511;%20&#1495;&#1491;&#1513;\&#1502;&#1495;&#1513;&#1489;&#1493;&#1504;&#1497;&#1501;\&#1502;&#1506;&#1493;&#1491;&#1499;&#1503;\&#1495;&#1497;&#1513;&#1493;&#1489;%20&#1492;&#1502;&#1512;&#1492;%20&#1493;&#1495;&#1497;&#1513;&#1493;&#1489;%20&#1513;&#1499;&#1512;%20&#1502;&#1493;&#1513;&#1500;&#1501;%20=%20&#1502;&#1513;&#1493;&#1491;&#1512;&#1490;%20&#1499;&#1493;&#1500;&#1500;%20&#1502;.&#1488;%20=%20&#1499;&#1493;&#1500;&#1500;%20&#1502;&#1504;&#1492;&#1500;&#1497;&#15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מורים אופק חדש"/>
      <sheetName val="סגן ראשון"/>
      <sheetName val="המרה למנהל"/>
      <sheetName val="מנהל וסגן ראשון  אופק חדש "/>
      <sheetName val="מה חדש"/>
      <sheetName val="נתוני מס"/>
      <sheetName val="מקדמים"/>
      <sheetName val="ט.שכר א.חדש"/>
      <sheetName val="הדרכה"/>
    </sheetNames>
    <sheetDataSet>
      <sheetData sheetId="0">
        <row r="2">
          <cell r="AA2">
            <v>0</v>
          </cell>
          <cell r="AB2">
            <v>0</v>
          </cell>
          <cell r="BA2">
            <v>0</v>
          </cell>
          <cell r="BB2">
            <v>0</v>
          </cell>
        </row>
        <row r="3">
          <cell r="AA3">
            <v>1</v>
          </cell>
          <cell r="AB3">
            <v>0.47499999999999998</v>
          </cell>
          <cell r="BA3">
            <v>1</v>
          </cell>
          <cell r="BB3">
            <v>0</v>
          </cell>
        </row>
        <row r="4">
          <cell r="AA4">
            <v>2</v>
          </cell>
          <cell r="AB4">
            <v>0.495</v>
          </cell>
          <cell r="BA4">
            <v>2</v>
          </cell>
          <cell r="BB4">
            <v>2.4E-2</v>
          </cell>
        </row>
        <row r="5">
          <cell r="AA5">
            <v>3</v>
          </cell>
          <cell r="AB5">
            <v>0.51</v>
          </cell>
          <cell r="BA5">
            <v>3</v>
          </cell>
          <cell r="BB5">
            <v>4.8000000000000001E-2</v>
          </cell>
        </row>
        <row r="6">
          <cell r="AA6">
            <v>4</v>
          </cell>
          <cell r="AB6">
            <v>0.53</v>
          </cell>
          <cell r="BA6">
            <v>4</v>
          </cell>
          <cell r="BB6">
            <v>7.1999999999999995E-2</v>
          </cell>
        </row>
        <row r="7">
          <cell r="AA7">
            <v>5</v>
          </cell>
          <cell r="AB7">
            <v>0.54500000000000004</v>
          </cell>
          <cell r="BA7">
            <v>5</v>
          </cell>
          <cell r="BB7">
            <v>9.6000000000000002E-2</v>
          </cell>
        </row>
        <row r="8">
          <cell r="AA8">
            <v>6</v>
          </cell>
          <cell r="AB8">
            <v>0.56499999999999995</v>
          </cell>
          <cell r="BA8">
            <v>6</v>
          </cell>
          <cell r="BB8">
            <v>0.12</v>
          </cell>
        </row>
        <row r="9">
          <cell r="I9">
            <v>178.70110556999998</v>
          </cell>
          <cell r="AA9">
            <v>7</v>
          </cell>
          <cell r="AB9">
            <v>0.58499999999999996</v>
          </cell>
          <cell r="BA9">
            <v>7</v>
          </cell>
          <cell r="BB9">
            <v>0.14399999999999999</v>
          </cell>
        </row>
        <row r="10">
          <cell r="AA10">
            <v>8</v>
          </cell>
          <cell r="AB10">
            <v>0.6</v>
          </cell>
          <cell r="BA10">
            <v>8</v>
          </cell>
          <cell r="BB10">
            <v>0.16800000000000001</v>
          </cell>
        </row>
        <row r="11">
          <cell r="AA11">
            <v>9</v>
          </cell>
          <cell r="AB11">
            <v>0.62</v>
          </cell>
          <cell r="BA11">
            <v>9</v>
          </cell>
          <cell r="BB11">
            <v>0.192</v>
          </cell>
        </row>
        <row r="12">
          <cell r="AA12">
            <v>1</v>
          </cell>
          <cell r="AB12">
            <v>0.63500000000000001</v>
          </cell>
          <cell r="BA12">
            <v>10</v>
          </cell>
          <cell r="BB12">
            <v>0.216</v>
          </cell>
        </row>
        <row r="13">
          <cell r="AA13">
            <v>11</v>
          </cell>
          <cell r="AB13">
            <v>0.66</v>
          </cell>
          <cell r="BA13">
            <v>11</v>
          </cell>
          <cell r="BB13">
            <v>0.24</v>
          </cell>
        </row>
        <row r="14">
          <cell r="AA14">
            <v>12</v>
          </cell>
          <cell r="AB14">
            <v>0.68</v>
          </cell>
          <cell r="BA14">
            <v>12</v>
          </cell>
          <cell r="BB14">
            <v>0.26400000000000001</v>
          </cell>
        </row>
        <row r="15">
          <cell r="AA15">
            <v>13</v>
          </cell>
          <cell r="AB15">
            <v>0.70499999999999996</v>
          </cell>
          <cell r="BA15">
            <v>13</v>
          </cell>
          <cell r="BB15">
            <v>0.28799999999999998</v>
          </cell>
        </row>
        <row r="16">
          <cell r="BA16">
            <v>14</v>
          </cell>
          <cell r="BB16">
            <v>0.312</v>
          </cell>
          <cell r="CB16" t="str">
            <v>ד"ר</v>
          </cell>
          <cell r="CC16" t="str">
            <v>מ"א</v>
          </cell>
          <cell r="CD16" t="str">
            <v>ב"א</v>
          </cell>
          <cell r="CE16" t="str">
            <v>בכיר</v>
          </cell>
          <cell r="CF16" t="str">
            <v>מורה מוסמך</v>
          </cell>
          <cell r="CG16" t="str">
            <v>שלב א"א</v>
          </cell>
          <cell r="CH16" t="str">
            <v>שלב א+</v>
          </cell>
          <cell r="CI16" t="str">
            <v>שלב א</v>
          </cell>
          <cell r="CJ16" t="str">
            <v>שלב ב</v>
          </cell>
          <cell r="CK16" t="str">
            <v>מדריך מקצועי מוסמך</v>
          </cell>
          <cell r="CL16" t="str">
            <v>מדריך מוסמך בפועל</v>
          </cell>
          <cell r="CM16" t="str">
            <v>מדריך בלתי מוסמך</v>
          </cell>
          <cell r="CN16" t="str">
            <v>מדריך ביניים</v>
          </cell>
          <cell r="CO16" t="str">
            <v>סטז'ר</v>
          </cell>
        </row>
        <row r="17">
          <cell r="BA17">
            <v>15</v>
          </cell>
          <cell r="BB17">
            <v>0.33600000000000002</v>
          </cell>
          <cell r="CB17">
            <v>1</v>
          </cell>
          <cell r="CC17">
            <v>2</v>
          </cell>
          <cell r="CD17">
            <v>3</v>
          </cell>
          <cell r="CE17">
            <v>7</v>
          </cell>
          <cell r="CF17">
            <v>8</v>
          </cell>
          <cell r="CG17">
            <v>10</v>
          </cell>
          <cell r="CH17">
            <v>11</v>
          </cell>
          <cell r="CI17">
            <v>12</v>
          </cell>
          <cell r="CJ17">
            <v>13</v>
          </cell>
          <cell r="CK17">
            <v>14</v>
          </cell>
          <cell r="CL17">
            <v>15</v>
          </cell>
          <cell r="CM17">
            <v>16</v>
          </cell>
          <cell r="CN17">
            <v>17</v>
          </cell>
          <cell r="CO17">
            <v>18</v>
          </cell>
        </row>
        <row r="18">
          <cell r="BA18">
            <v>16</v>
          </cell>
          <cell r="BB18">
            <v>0.36</v>
          </cell>
          <cell r="CB18">
            <v>1</v>
          </cell>
          <cell r="CC18">
            <v>2</v>
          </cell>
          <cell r="CD18">
            <v>3</v>
          </cell>
          <cell r="CE18">
            <v>4</v>
          </cell>
          <cell r="CF18">
            <v>5</v>
          </cell>
          <cell r="CG18">
            <v>6</v>
          </cell>
          <cell r="CH18">
            <v>7</v>
          </cell>
          <cell r="CI18">
            <v>8</v>
          </cell>
          <cell r="CJ18">
            <v>9</v>
          </cell>
          <cell r="CK18">
            <v>10</v>
          </cell>
          <cell r="CL18">
            <v>11</v>
          </cell>
          <cell r="CM18">
            <v>12</v>
          </cell>
          <cell r="CN18">
            <v>13</v>
          </cell>
          <cell r="CO18">
            <v>14</v>
          </cell>
        </row>
        <row r="20">
          <cell r="AP20" t="str">
            <v>תאריך לידה</v>
          </cell>
          <cell r="AQ20">
            <v>21262</v>
          </cell>
          <cell r="BZ20" t="str">
            <v>% מול מוסמך</v>
          </cell>
          <cell r="CB20">
            <v>1.302</v>
          </cell>
          <cell r="CC20">
            <v>1.23</v>
          </cell>
          <cell r="CD20">
            <v>1.1479999999999999</v>
          </cell>
          <cell r="CE20">
            <v>1.097</v>
          </cell>
          <cell r="CF20">
            <v>1</v>
          </cell>
          <cell r="CG20">
            <v>0.87</v>
          </cell>
          <cell r="CH20">
            <v>0.81499999999999995</v>
          </cell>
          <cell r="CI20">
            <v>0.79500000000000004</v>
          </cell>
          <cell r="CJ20">
            <v>0.77</v>
          </cell>
          <cell r="CK20">
            <v>1.097</v>
          </cell>
          <cell r="CL20">
            <v>1.02</v>
          </cell>
          <cell r="CM20">
            <v>0.87</v>
          </cell>
          <cell r="CN20">
            <v>1.0740000000000001</v>
          </cell>
          <cell r="CO20">
            <v>1.097</v>
          </cell>
        </row>
        <row r="21">
          <cell r="AP21" t="str">
            <v xml:space="preserve">מין </v>
          </cell>
          <cell r="AQ21" t="str">
            <v>אשה נשואה</v>
          </cell>
        </row>
        <row r="22">
          <cell r="AP22" t="str">
            <v>תחילת עבודה</v>
          </cell>
          <cell r="AQ22">
            <v>28734</v>
          </cell>
          <cell r="BZ22">
            <v>1</v>
          </cell>
          <cell r="CB22">
            <v>3365.57</v>
          </cell>
          <cell r="CC22">
            <v>3179.46</v>
          </cell>
          <cell r="CD22">
            <v>2967.49</v>
          </cell>
          <cell r="CE22">
            <v>2835.66</v>
          </cell>
          <cell r="CF22">
            <v>2584.9299999999998</v>
          </cell>
          <cell r="CG22">
            <v>2248.89</v>
          </cell>
          <cell r="CH22">
            <v>2106.71</v>
          </cell>
          <cell r="CI22">
            <v>2055.0100000000002</v>
          </cell>
          <cell r="CJ22">
            <v>1990.39</v>
          </cell>
          <cell r="CK22">
            <v>2835.66</v>
          </cell>
          <cell r="CL22">
            <v>2636.63</v>
          </cell>
          <cell r="CM22">
            <v>2248.89</v>
          </cell>
          <cell r="CN22">
            <v>2776.21</v>
          </cell>
          <cell r="CO22">
            <v>2835.66</v>
          </cell>
        </row>
        <row r="23">
          <cell r="AP23">
            <v>16</v>
          </cell>
          <cell r="AQ23">
            <v>11</v>
          </cell>
        </row>
        <row r="24">
          <cell r="AP24">
            <v>20</v>
          </cell>
          <cell r="AQ24">
            <v>12</v>
          </cell>
          <cell r="BZ24">
            <v>2</v>
          </cell>
          <cell r="CA24">
            <v>0.05</v>
          </cell>
          <cell r="CB24">
            <v>3533.84</v>
          </cell>
          <cell r="CC24">
            <v>3338.43</v>
          </cell>
          <cell r="CD24">
            <v>3115.86</v>
          </cell>
          <cell r="CE24">
            <v>2977.44</v>
          </cell>
          <cell r="CF24">
            <v>2714.17</v>
          </cell>
          <cell r="CG24">
            <v>2361.33</v>
          </cell>
          <cell r="CH24">
            <v>2212.04</v>
          </cell>
          <cell r="CI24">
            <v>2157.7600000000002</v>
          </cell>
          <cell r="CJ24">
            <v>2089.9</v>
          </cell>
          <cell r="CK24">
            <v>2977.44</v>
          </cell>
          <cell r="CL24">
            <v>2768.46</v>
          </cell>
          <cell r="CM24">
            <v>2361.33</v>
          </cell>
          <cell r="CN24">
            <v>2915.02</v>
          </cell>
          <cell r="CO24">
            <v>2977.44</v>
          </cell>
        </row>
        <row r="25">
          <cell r="AP25">
            <v>25</v>
          </cell>
          <cell r="AQ25">
            <v>13</v>
          </cell>
        </row>
        <row r="26">
          <cell r="BZ26">
            <v>3</v>
          </cell>
          <cell r="CA26">
            <v>0.05</v>
          </cell>
          <cell r="CB26">
            <v>3710.53</v>
          </cell>
          <cell r="CC26">
            <v>3505.35</v>
          </cell>
          <cell r="CD26">
            <v>3271.65</v>
          </cell>
          <cell r="CE26">
            <v>3126.31</v>
          </cell>
          <cell r="CF26">
            <v>2849.87</v>
          </cell>
          <cell r="CG26">
            <v>2479.39</v>
          </cell>
          <cell r="CH26">
            <v>2322.64</v>
          </cell>
          <cell r="CI26">
            <v>2265.64</v>
          </cell>
          <cell r="CJ26">
            <v>2194.39</v>
          </cell>
          <cell r="CK26">
            <v>3126.31</v>
          </cell>
          <cell r="CL26">
            <v>2906.88</v>
          </cell>
          <cell r="CM26">
            <v>2479.39</v>
          </cell>
          <cell r="CN26">
            <v>3060.77</v>
          </cell>
          <cell r="CO26">
            <v>3126.31</v>
          </cell>
        </row>
        <row r="28">
          <cell r="BZ28">
            <v>4</v>
          </cell>
          <cell r="CA28">
            <v>0.05</v>
          </cell>
          <cell r="CB28">
            <v>3896.05</v>
          </cell>
          <cell r="CC28">
            <v>3680.61</v>
          </cell>
          <cell r="CD28">
            <v>3435.23</v>
          </cell>
          <cell r="CE28">
            <v>3282.62</v>
          </cell>
          <cell r="CF28">
            <v>2992.36</v>
          </cell>
          <cell r="CG28">
            <v>2603.35</v>
          </cell>
          <cell r="CH28">
            <v>2438.77</v>
          </cell>
          <cell r="CI28">
            <v>2378.92</v>
          </cell>
          <cell r="CJ28">
            <v>2304.1</v>
          </cell>
          <cell r="CK28">
            <v>3282.62</v>
          </cell>
          <cell r="CL28">
            <v>3052.22</v>
          </cell>
          <cell r="CM28">
            <v>2603.35</v>
          </cell>
          <cell r="CN28">
            <v>3213.8</v>
          </cell>
          <cell r="CO28">
            <v>3282.62</v>
          </cell>
        </row>
        <row r="30">
          <cell r="BZ30">
            <v>5</v>
          </cell>
          <cell r="CA30">
            <v>0.05</v>
          </cell>
          <cell r="CB30">
            <v>4090.85</v>
          </cell>
          <cell r="CC30">
            <v>3864.64</v>
          </cell>
          <cell r="CD30">
            <v>3606.99</v>
          </cell>
          <cell r="CE30">
            <v>3446.75</v>
          </cell>
          <cell r="CF30">
            <v>3141.97</v>
          </cell>
          <cell r="CG30">
            <v>2733.51</v>
          </cell>
          <cell r="CH30">
            <v>2560.6999999999998</v>
          </cell>
          <cell r="CI30">
            <v>2497.86</v>
          </cell>
          <cell r="CJ30">
            <v>2419.3000000000002</v>
          </cell>
          <cell r="CK30">
            <v>3446.75</v>
          </cell>
          <cell r="CL30">
            <v>3204.83</v>
          </cell>
          <cell r="CM30">
            <v>2733.51</v>
          </cell>
          <cell r="CN30">
            <v>3374.49</v>
          </cell>
          <cell r="CO30">
            <v>3446.75</v>
          </cell>
        </row>
        <row r="32">
          <cell r="BZ32">
            <v>6</v>
          </cell>
          <cell r="CA32">
            <v>0.05</v>
          </cell>
          <cell r="CB32">
            <v>4295.3900000000003</v>
          </cell>
          <cell r="CC32">
            <v>4057.87</v>
          </cell>
          <cell r="CD32">
            <v>3787.33</v>
          </cell>
          <cell r="CE32">
            <v>3619.08</v>
          </cell>
          <cell r="CF32">
            <v>3299.06</v>
          </cell>
          <cell r="CG32">
            <v>2870.18</v>
          </cell>
          <cell r="CH32">
            <v>2688.73</v>
          </cell>
          <cell r="CI32">
            <v>2622.75</v>
          </cell>
          <cell r="CJ32">
            <v>2540.2600000000002</v>
          </cell>
          <cell r="CK32">
            <v>3619.08</v>
          </cell>
          <cell r="CL32">
            <v>3365.07</v>
          </cell>
          <cell r="CM32">
            <v>2870.18</v>
          </cell>
          <cell r="CN32">
            <v>3543.21</v>
          </cell>
          <cell r="CO32">
            <v>3619.08</v>
          </cell>
        </row>
        <row r="34">
          <cell r="BZ34">
            <v>7</v>
          </cell>
          <cell r="CA34">
            <v>0.05</v>
          </cell>
          <cell r="CB34">
            <v>4510.1499999999996</v>
          </cell>
          <cell r="CC34">
            <v>4260.76</v>
          </cell>
          <cell r="CD34">
            <v>3976.69</v>
          </cell>
          <cell r="CE34">
            <v>3800.03</v>
          </cell>
          <cell r="CF34">
            <v>3464.01</v>
          </cell>
          <cell r="CG34">
            <v>3013.68</v>
          </cell>
          <cell r="CH34">
            <v>2823.16</v>
          </cell>
          <cell r="CI34">
            <v>2753.88</v>
          </cell>
          <cell r="CJ34">
            <v>2667.27</v>
          </cell>
          <cell r="CK34">
            <v>3800.03</v>
          </cell>
          <cell r="CL34">
            <v>3533.32</v>
          </cell>
          <cell r="CM34">
            <v>3013.68</v>
          </cell>
          <cell r="CN34">
            <v>3720.37</v>
          </cell>
          <cell r="CO34">
            <v>3800.03</v>
          </cell>
        </row>
        <row r="36">
          <cell r="BZ36">
            <v>8</v>
          </cell>
          <cell r="CA36">
            <v>0.02</v>
          </cell>
          <cell r="CB36">
            <v>4600.3500000000004</v>
          </cell>
          <cell r="CC36">
            <v>4345.97</v>
          </cell>
          <cell r="CD36">
            <v>4056.22</v>
          </cell>
          <cell r="CE36">
            <v>3876.03</v>
          </cell>
          <cell r="CF36">
            <v>3533.29</v>
          </cell>
          <cell r="CG36">
            <v>3073.95</v>
          </cell>
          <cell r="CH36">
            <v>2879.62</v>
          </cell>
          <cell r="CI36">
            <v>2808.95</v>
          </cell>
          <cell r="CJ36">
            <v>2720.61</v>
          </cell>
          <cell r="CK36">
            <v>3876.03</v>
          </cell>
          <cell r="CL36">
            <v>3603.98</v>
          </cell>
          <cell r="CM36">
            <v>3073.95</v>
          </cell>
          <cell r="CN36">
            <v>3794.77</v>
          </cell>
          <cell r="CO36">
            <v>3876.03</v>
          </cell>
        </row>
        <row r="38">
          <cell r="BZ38">
            <v>9</v>
          </cell>
          <cell r="CA38">
            <v>0.02</v>
          </cell>
          <cell r="CB38">
            <v>4692.3500000000004</v>
          </cell>
          <cell r="CC38">
            <v>4432.88</v>
          </cell>
          <cell r="CD38">
            <v>4137.34</v>
          </cell>
          <cell r="CE38">
            <v>3953.55</v>
          </cell>
          <cell r="CF38">
            <v>3603.95</v>
          </cell>
          <cell r="CG38">
            <v>3135.42</v>
          </cell>
          <cell r="CH38">
            <v>2937.21</v>
          </cell>
          <cell r="CI38">
            <v>2865.12</v>
          </cell>
          <cell r="CJ38">
            <v>2775.02</v>
          </cell>
          <cell r="CK38">
            <v>3953.55</v>
          </cell>
          <cell r="CL38">
            <v>3676.05</v>
          </cell>
          <cell r="CM38">
            <v>3135.42</v>
          </cell>
          <cell r="CN38">
            <v>3870.66</v>
          </cell>
          <cell r="CO38">
            <v>3953.55</v>
          </cell>
        </row>
        <row r="40">
          <cell r="BZ40">
            <v>10</v>
          </cell>
          <cell r="CA40">
            <v>0.02</v>
          </cell>
          <cell r="CB40">
            <v>4786.1899999999996</v>
          </cell>
          <cell r="CC40">
            <v>4521.53</v>
          </cell>
          <cell r="CD40">
            <v>4220.08</v>
          </cell>
          <cell r="CE40">
            <v>4032.62</v>
          </cell>
          <cell r="CF40">
            <v>3676.02</v>
          </cell>
          <cell r="CG40">
            <v>3198.12</v>
          </cell>
          <cell r="CH40">
            <v>2995.95</v>
          </cell>
          <cell r="CI40">
            <v>2922.42</v>
          </cell>
          <cell r="CJ40">
            <v>2830.52</v>
          </cell>
          <cell r="CK40">
            <v>4032.62</v>
          </cell>
          <cell r="CL40">
            <v>3749.57</v>
          </cell>
          <cell r="CM40">
            <v>3198.12</v>
          </cell>
          <cell r="CN40">
            <v>3948.07</v>
          </cell>
          <cell r="CO40">
            <v>4032.62</v>
          </cell>
        </row>
        <row r="42">
          <cell r="BZ42">
            <v>11</v>
          </cell>
          <cell r="CA42">
            <v>0.02</v>
          </cell>
          <cell r="CB42">
            <v>4881.91</v>
          </cell>
          <cell r="CC42">
            <v>4611.96</v>
          </cell>
          <cell r="CD42">
            <v>4304.4799999999996</v>
          </cell>
          <cell r="CE42">
            <v>4113.2700000000004</v>
          </cell>
          <cell r="CF42">
            <v>3749.54</v>
          </cell>
          <cell r="CG42">
            <v>3262.08</v>
          </cell>
          <cell r="CH42">
            <v>3055.86</v>
          </cell>
          <cell r="CI42">
            <v>2980.86</v>
          </cell>
          <cell r="CJ42">
            <v>2887.13</v>
          </cell>
          <cell r="CK42">
            <v>4113.2700000000004</v>
          </cell>
          <cell r="CL42">
            <v>3824.56</v>
          </cell>
          <cell r="CM42">
            <v>3262.08</v>
          </cell>
          <cell r="CN42">
            <v>4027.03</v>
          </cell>
          <cell r="CO42">
            <v>4113.2700000000004</v>
          </cell>
        </row>
        <row r="44">
          <cell r="BZ44">
            <v>12</v>
          </cell>
          <cell r="CA44">
            <v>0.02</v>
          </cell>
          <cell r="CB44">
            <v>4979.54</v>
          </cell>
          <cell r="CC44">
            <v>4704.1899999999996</v>
          </cell>
          <cell r="CD44">
            <v>4390.5600000000004</v>
          </cell>
          <cell r="CE44">
            <v>4195.53</v>
          </cell>
          <cell r="CF44">
            <v>3824.53</v>
          </cell>
          <cell r="CG44">
            <v>3327.32</v>
          </cell>
          <cell r="CH44">
            <v>3116.97</v>
          </cell>
          <cell r="CI44">
            <v>3040.47</v>
          </cell>
          <cell r="CJ44">
            <v>2944.87</v>
          </cell>
          <cell r="CK44">
            <v>4195.53</v>
          </cell>
          <cell r="CL44">
            <v>3901.05</v>
          </cell>
          <cell r="CM44">
            <v>3327.32</v>
          </cell>
          <cell r="CN44">
            <v>4107.57</v>
          </cell>
          <cell r="CO44">
            <v>4195.53</v>
          </cell>
        </row>
        <row r="46">
          <cell r="BZ46">
            <v>13</v>
          </cell>
          <cell r="CA46">
            <v>0.02</v>
          </cell>
          <cell r="CB46">
            <v>5079.13</v>
          </cell>
          <cell r="CC46">
            <v>4798.2700000000004</v>
          </cell>
          <cell r="CD46">
            <v>4478.37</v>
          </cell>
          <cell r="CE46">
            <v>4279.4399999999996</v>
          </cell>
          <cell r="CF46">
            <v>3901.02</v>
          </cell>
          <cell r="CG46">
            <v>3393.86</v>
          </cell>
          <cell r="CH46">
            <v>3179.3</v>
          </cell>
          <cell r="CI46">
            <v>3101.27</v>
          </cell>
          <cell r="CJ46">
            <v>3003.76</v>
          </cell>
          <cell r="CK46">
            <v>4279.4399999999996</v>
          </cell>
          <cell r="CL46">
            <v>3979.07</v>
          </cell>
          <cell r="CM46">
            <v>3393.86</v>
          </cell>
          <cell r="CN46">
            <v>4189.72</v>
          </cell>
          <cell r="CO46">
            <v>4279.4399999999996</v>
          </cell>
        </row>
        <row r="48">
          <cell r="M48">
            <v>1</v>
          </cell>
          <cell r="N48">
            <v>6819.3263288605513</v>
          </cell>
          <cell r="BZ48">
            <v>14</v>
          </cell>
          <cell r="CA48">
            <v>0.02</v>
          </cell>
          <cell r="CB48">
            <v>5180.71</v>
          </cell>
          <cell r="CC48">
            <v>4894.2299999999996</v>
          </cell>
          <cell r="CD48">
            <v>4567.93</v>
          </cell>
          <cell r="CE48">
            <v>4365.0200000000004</v>
          </cell>
          <cell r="CF48">
            <v>3979.04</v>
          </cell>
          <cell r="CG48">
            <v>3461.73</v>
          </cell>
          <cell r="CH48">
            <v>3242.88</v>
          </cell>
          <cell r="CI48">
            <v>3163.29</v>
          </cell>
          <cell r="CJ48">
            <v>3063.83</v>
          </cell>
          <cell r="CK48">
            <v>4365.0200000000004</v>
          </cell>
          <cell r="CL48">
            <v>4058.65</v>
          </cell>
          <cell r="CM48">
            <v>3461.73</v>
          </cell>
          <cell r="CN48">
            <v>4273.51</v>
          </cell>
          <cell r="CO48">
            <v>4365.0200000000004</v>
          </cell>
        </row>
        <row r="49">
          <cell r="M49">
            <v>1.5</v>
          </cell>
          <cell r="N49">
            <v>7075.0510661928229</v>
          </cell>
        </row>
        <row r="50">
          <cell r="M50">
            <v>2</v>
          </cell>
          <cell r="N50">
            <v>7330.7758035250927</v>
          </cell>
          <cell r="BZ50">
            <v>15</v>
          </cell>
          <cell r="CA50">
            <v>0.02</v>
          </cell>
          <cell r="CB50">
            <v>5284.32</v>
          </cell>
          <cell r="CC50">
            <v>4992.1099999999997</v>
          </cell>
          <cell r="CD50">
            <v>4659.28</v>
          </cell>
          <cell r="CE50">
            <v>4452.32</v>
          </cell>
          <cell r="CF50">
            <v>4058.62</v>
          </cell>
          <cell r="CG50">
            <v>3530.96</v>
          </cell>
          <cell r="CH50">
            <v>3307.73</v>
          </cell>
          <cell r="CI50">
            <v>3226.55</v>
          </cell>
          <cell r="CJ50">
            <v>3125.1</v>
          </cell>
          <cell r="CK50">
            <v>4452.32</v>
          </cell>
          <cell r="CL50">
            <v>4139.82</v>
          </cell>
          <cell r="CM50">
            <v>3530.96</v>
          </cell>
          <cell r="CN50">
            <v>4358.9799999999996</v>
          </cell>
          <cell r="CO50">
            <v>4452.32</v>
          </cell>
        </row>
        <row r="51">
          <cell r="M51">
            <v>2.5</v>
          </cell>
          <cell r="N51">
            <v>7605.679896157284</v>
          </cell>
        </row>
        <row r="52">
          <cell r="M52">
            <v>3</v>
          </cell>
          <cell r="N52">
            <v>7880.5839887894745</v>
          </cell>
          <cell r="BZ52">
            <v>16</v>
          </cell>
          <cell r="CA52">
            <v>0.02</v>
          </cell>
          <cell r="CB52">
            <v>5390</v>
          </cell>
          <cell r="CC52">
            <v>5091.95</v>
          </cell>
          <cell r="CD52">
            <v>4752.46</v>
          </cell>
          <cell r="CE52">
            <v>4541.3599999999997</v>
          </cell>
          <cell r="CF52">
            <v>4139.79</v>
          </cell>
          <cell r="CG52">
            <v>3601.57</v>
          </cell>
          <cell r="CH52">
            <v>3373.88</v>
          </cell>
          <cell r="CI52">
            <v>3291.08</v>
          </cell>
          <cell r="CJ52">
            <v>3187.6</v>
          </cell>
          <cell r="CK52">
            <v>4541.3599999999997</v>
          </cell>
          <cell r="CL52">
            <v>4222.6099999999997</v>
          </cell>
          <cell r="CM52">
            <v>3601.57</v>
          </cell>
          <cell r="CN52">
            <v>4446.1499999999996</v>
          </cell>
          <cell r="CO52">
            <v>4541.3599999999997</v>
          </cell>
        </row>
        <row r="53">
          <cell r="M53">
            <v>3.5</v>
          </cell>
          <cell r="N53">
            <v>8176.1058883690803</v>
          </cell>
        </row>
        <row r="54">
          <cell r="M54">
            <v>4</v>
          </cell>
          <cell r="N54">
            <v>8471.6277879486843</v>
          </cell>
          <cell r="BZ54">
            <v>17</v>
          </cell>
          <cell r="CA54">
            <v>0.02</v>
          </cell>
          <cell r="CB54">
            <v>5497.8</v>
          </cell>
          <cell r="CC54">
            <v>5193.78</v>
          </cell>
          <cell r="CD54">
            <v>4847.5</v>
          </cell>
          <cell r="CE54">
            <v>4632.18</v>
          </cell>
          <cell r="CF54">
            <v>4222.58</v>
          </cell>
          <cell r="CG54">
            <v>3673.6</v>
          </cell>
          <cell r="CH54">
            <v>3441.35</v>
          </cell>
          <cell r="CI54">
            <v>3356.9</v>
          </cell>
          <cell r="CJ54">
            <v>3251.35</v>
          </cell>
          <cell r="CK54">
            <v>4632.18</v>
          </cell>
          <cell r="CL54">
            <v>4307.0600000000004</v>
          </cell>
          <cell r="CM54">
            <v>3673.6</v>
          </cell>
          <cell r="CN54">
            <v>4535.07</v>
          </cell>
          <cell r="CO54">
            <v>4632.18</v>
          </cell>
        </row>
        <row r="55">
          <cell r="M55">
            <v>4.5</v>
          </cell>
          <cell r="N55">
            <v>8789.3138299967613</v>
          </cell>
        </row>
        <row r="56">
          <cell r="M56">
            <v>5</v>
          </cell>
          <cell r="N56">
            <v>9106.9998720448348</v>
          </cell>
          <cell r="BZ56">
            <v>18</v>
          </cell>
          <cell r="CA56">
            <v>0.02</v>
          </cell>
          <cell r="CB56">
            <v>5607.75</v>
          </cell>
          <cell r="CC56">
            <v>5297.65</v>
          </cell>
          <cell r="CD56">
            <v>4944.45</v>
          </cell>
          <cell r="CE56">
            <v>4724.82</v>
          </cell>
          <cell r="CF56">
            <v>4307.03</v>
          </cell>
          <cell r="CG56">
            <v>3747.07</v>
          </cell>
          <cell r="CH56">
            <v>3510.17</v>
          </cell>
          <cell r="CI56">
            <v>3424.03</v>
          </cell>
          <cell r="CJ56">
            <v>3316.37</v>
          </cell>
          <cell r="CK56">
            <v>4724.82</v>
          </cell>
          <cell r="CL56">
            <v>4393.2</v>
          </cell>
          <cell r="CM56">
            <v>3747.07</v>
          </cell>
          <cell r="CN56">
            <v>4625.7700000000004</v>
          </cell>
          <cell r="CO56">
            <v>4724.82</v>
          </cell>
        </row>
        <row r="57">
          <cell r="M57">
            <v>5.5</v>
          </cell>
          <cell r="N57">
            <v>9448.5123672465161</v>
          </cell>
        </row>
        <row r="58">
          <cell r="M58">
            <v>6</v>
          </cell>
          <cell r="N58">
            <v>9790.0248624481974</v>
          </cell>
          <cell r="BZ58">
            <v>19</v>
          </cell>
          <cell r="CA58">
            <v>0.02</v>
          </cell>
          <cell r="CB58">
            <v>5719.9</v>
          </cell>
          <cell r="CC58">
            <v>5403.6</v>
          </cell>
          <cell r="CD58">
            <v>5043.33</v>
          </cell>
          <cell r="CE58">
            <v>4819.3100000000004</v>
          </cell>
          <cell r="CF58">
            <v>4393.17</v>
          </cell>
          <cell r="CG58">
            <v>3822.01</v>
          </cell>
          <cell r="CH58">
            <v>3580.37</v>
          </cell>
          <cell r="CI58">
            <v>3492.51</v>
          </cell>
          <cell r="CJ58">
            <v>3382.69</v>
          </cell>
          <cell r="CK58">
            <v>4819.3100000000004</v>
          </cell>
          <cell r="CL58">
            <v>4481.0600000000004</v>
          </cell>
          <cell r="CM58">
            <v>3822.01</v>
          </cell>
          <cell r="CN58">
            <v>4718.28</v>
          </cell>
          <cell r="CO58">
            <v>4819.3100000000004</v>
          </cell>
        </row>
        <row r="59">
          <cell r="M59">
            <v>6.5</v>
          </cell>
          <cell r="N59">
            <v>10206.100919102246</v>
          </cell>
        </row>
        <row r="60">
          <cell r="M60">
            <v>7</v>
          </cell>
          <cell r="N60">
            <v>10622.176975756294</v>
          </cell>
          <cell r="BZ60">
            <v>20</v>
          </cell>
          <cell r="CA60">
            <v>0.02</v>
          </cell>
          <cell r="CB60">
            <v>5834.29</v>
          </cell>
          <cell r="CC60">
            <v>5511.67</v>
          </cell>
          <cell r="CD60">
            <v>5144.1899999999996</v>
          </cell>
          <cell r="CE60">
            <v>4915.6899999999996</v>
          </cell>
          <cell r="CF60">
            <v>4481.03</v>
          </cell>
          <cell r="CG60">
            <v>3898.45</v>
          </cell>
          <cell r="CH60">
            <v>3651.97</v>
          </cell>
          <cell r="CI60">
            <v>3562.36</v>
          </cell>
          <cell r="CJ60">
            <v>3450.34</v>
          </cell>
          <cell r="CK60">
            <v>4915.6899999999996</v>
          </cell>
          <cell r="CL60">
            <v>4570.68</v>
          </cell>
          <cell r="CM60">
            <v>3898.45</v>
          </cell>
          <cell r="CN60">
            <v>4812.6400000000003</v>
          </cell>
          <cell r="CO60">
            <v>4915.6899999999996</v>
          </cell>
        </row>
        <row r="61">
          <cell r="M61">
            <v>7.5</v>
          </cell>
          <cell r="N61">
            <v>11073.619497225936</v>
          </cell>
        </row>
        <row r="62">
          <cell r="M62">
            <v>8</v>
          </cell>
          <cell r="N62">
            <v>11525.062018695578</v>
          </cell>
          <cell r="BZ62">
            <v>21</v>
          </cell>
          <cell r="CA62">
            <v>0.02</v>
          </cell>
          <cell r="CB62">
            <v>5950.97</v>
          </cell>
          <cell r="CC62">
            <v>5621.9</v>
          </cell>
          <cell r="CD62">
            <v>5247.07</v>
          </cell>
          <cell r="CE62">
            <v>5014</v>
          </cell>
          <cell r="CF62">
            <v>4570.6499999999996</v>
          </cell>
          <cell r="CG62">
            <v>3976.41</v>
          </cell>
          <cell r="CH62">
            <v>3725</v>
          </cell>
          <cell r="CI62">
            <v>3633.6</v>
          </cell>
          <cell r="CJ62">
            <v>3519.34</v>
          </cell>
          <cell r="CK62">
            <v>5014</v>
          </cell>
          <cell r="CL62">
            <v>4662.09</v>
          </cell>
          <cell r="CM62">
            <v>3976.41</v>
          </cell>
          <cell r="CN62">
            <v>4908.8900000000003</v>
          </cell>
          <cell r="CO62">
            <v>5014</v>
          </cell>
        </row>
        <row r="63">
          <cell r="M63">
            <v>8.5</v>
          </cell>
          <cell r="N63">
            <v>12014.877154490141</v>
          </cell>
        </row>
        <row r="64">
          <cell r="M64">
            <v>9</v>
          </cell>
          <cell r="N64">
            <v>12504.692290284702</v>
          </cell>
          <cell r="BZ64">
            <v>22</v>
          </cell>
          <cell r="CA64">
            <v>0.02</v>
          </cell>
          <cell r="CB64">
            <v>6069.98</v>
          </cell>
          <cell r="CC64">
            <v>5734.33</v>
          </cell>
          <cell r="CD64">
            <v>5352.01</v>
          </cell>
          <cell r="CE64">
            <v>5114.28</v>
          </cell>
          <cell r="CF64">
            <v>4662.0600000000004</v>
          </cell>
          <cell r="CG64">
            <v>4055.93</v>
          </cell>
          <cell r="CH64">
            <v>3799.5</v>
          </cell>
          <cell r="CI64">
            <v>3706.27</v>
          </cell>
          <cell r="CJ64">
            <v>3589.72</v>
          </cell>
          <cell r="CK64">
            <v>5114.28</v>
          </cell>
          <cell r="CL64">
            <v>4755.33</v>
          </cell>
          <cell r="CM64">
            <v>4055.93</v>
          </cell>
          <cell r="CN64">
            <v>5007.0600000000004</v>
          </cell>
          <cell r="CO64">
            <v>5114.28</v>
          </cell>
        </row>
        <row r="66">
          <cell r="BZ66">
            <v>23</v>
          </cell>
          <cell r="CA66">
            <v>0.02</v>
          </cell>
          <cell r="CB66">
            <v>6191.37</v>
          </cell>
          <cell r="CC66">
            <v>5849.01</v>
          </cell>
          <cell r="CD66">
            <v>5459.05</v>
          </cell>
          <cell r="CE66">
            <v>5216.5600000000004</v>
          </cell>
          <cell r="CF66">
            <v>4755.3</v>
          </cell>
          <cell r="CG66">
            <v>4137.04</v>
          </cell>
          <cell r="CH66">
            <v>3875.49</v>
          </cell>
          <cell r="CI66">
            <v>3780.39</v>
          </cell>
          <cell r="CJ66">
            <v>3661.51</v>
          </cell>
          <cell r="CK66">
            <v>5216.5600000000004</v>
          </cell>
          <cell r="CL66">
            <v>4850.43</v>
          </cell>
          <cell r="CM66">
            <v>4137.04</v>
          </cell>
          <cell r="CN66">
            <v>5107.2</v>
          </cell>
          <cell r="CO66">
            <v>5216.5600000000004</v>
          </cell>
        </row>
        <row r="68">
          <cell r="BZ68">
            <v>24</v>
          </cell>
          <cell r="CA68">
            <v>0.02</v>
          </cell>
          <cell r="CB68">
            <v>6315.19</v>
          </cell>
          <cell r="CC68">
            <v>5965.99</v>
          </cell>
          <cell r="CD68">
            <v>5568.23</v>
          </cell>
          <cell r="CE68">
            <v>5320.89</v>
          </cell>
          <cell r="CF68">
            <v>4850.3999999999996</v>
          </cell>
          <cell r="CG68">
            <v>4219.78</v>
          </cell>
          <cell r="CH68">
            <v>3952.99</v>
          </cell>
          <cell r="CI68">
            <v>3855.99</v>
          </cell>
          <cell r="CJ68">
            <v>3734.74</v>
          </cell>
          <cell r="CK68">
            <v>5320.89</v>
          </cell>
          <cell r="CL68">
            <v>4947.43</v>
          </cell>
          <cell r="CM68">
            <v>4219.78</v>
          </cell>
          <cell r="CN68">
            <v>5209.34</v>
          </cell>
          <cell r="CO68">
            <v>5320.89</v>
          </cell>
        </row>
        <row r="70">
          <cell r="BZ70">
            <v>25</v>
          </cell>
          <cell r="CA70">
            <v>0.02</v>
          </cell>
          <cell r="CB70">
            <v>6441.49</v>
          </cell>
          <cell r="CC70">
            <v>6085.3</v>
          </cell>
          <cell r="CD70">
            <v>5679.59</v>
          </cell>
          <cell r="CE70">
            <v>5427.3</v>
          </cell>
          <cell r="CF70">
            <v>4947.3999999999996</v>
          </cell>
          <cell r="CG70">
            <v>4304.17</v>
          </cell>
          <cell r="CH70">
            <v>4032.04</v>
          </cell>
          <cell r="CI70">
            <v>3933.1</v>
          </cell>
          <cell r="CJ70">
            <v>3809.43</v>
          </cell>
          <cell r="CK70">
            <v>5427.3</v>
          </cell>
          <cell r="CL70">
            <v>5046.37</v>
          </cell>
          <cell r="CM70">
            <v>4304.17</v>
          </cell>
          <cell r="CN70">
            <v>5313.52</v>
          </cell>
          <cell r="CO70">
            <v>5427.3</v>
          </cell>
        </row>
        <row r="72">
          <cell r="BZ72">
            <v>26</v>
          </cell>
          <cell r="CA72">
            <v>0.01</v>
          </cell>
          <cell r="CB72">
            <v>6505.9</v>
          </cell>
          <cell r="CC72">
            <v>6146.15</v>
          </cell>
          <cell r="CD72">
            <v>5736.38</v>
          </cell>
          <cell r="CE72">
            <v>5481.57</v>
          </cell>
          <cell r="CF72">
            <v>4996.87</v>
          </cell>
          <cell r="CG72">
            <v>4347.21</v>
          </cell>
          <cell r="CH72">
            <v>4072.36</v>
          </cell>
          <cell r="CI72">
            <v>3972.43</v>
          </cell>
          <cell r="CJ72">
            <v>3847.52</v>
          </cell>
          <cell r="CK72">
            <v>5481.57</v>
          </cell>
          <cell r="CL72">
            <v>5096.83</v>
          </cell>
          <cell r="CM72">
            <v>4347.21</v>
          </cell>
          <cell r="CN72">
            <v>5366.65</v>
          </cell>
          <cell r="CO72">
            <v>5481.57</v>
          </cell>
        </row>
        <row r="74">
          <cell r="BZ74">
            <v>27</v>
          </cell>
          <cell r="CA74">
            <v>0.01</v>
          </cell>
          <cell r="CB74">
            <v>6570.95</v>
          </cell>
          <cell r="CC74">
            <v>6207.61</v>
          </cell>
          <cell r="CD74">
            <v>5793.74</v>
          </cell>
          <cell r="CE74">
            <v>5536.38</v>
          </cell>
          <cell r="CF74">
            <v>5046.83</v>
          </cell>
          <cell r="CG74">
            <v>4390.68</v>
          </cell>
          <cell r="CH74">
            <v>4113.08</v>
          </cell>
          <cell r="CI74">
            <v>4012.15</v>
          </cell>
          <cell r="CJ74">
            <v>3885.99</v>
          </cell>
          <cell r="CK74">
            <v>5536.38</v>
          </cell>
          <cell r="CL74">
            <v>5147.79</v>
          </cell>
          <cell r="CM74">
            <v>4390.68</v>
          </cell>
          <cell r="CN74">
            <v>5420.31</v>
          </cell>
          <cell r="CO74">
            <v>5536.38</v>
          </cell>
        </row>
        <row r="76">
          <cell r="BZ76">
            <v>28</v>
          </cell>
          <cell r="CA76">
            <v>0.01</v>
          </cell>
          <cell r="CB76">
            <v>6636.65</v>
          </cell>
          <cell r="CC76">
            <v>6269.68</v>
          </cell>
          <cell r="CD76">
            <v>5851.67</v>
          </cell>
          <cell r="CE76">
            <v>5591.74</v>
          </cell>
          <cell r="CF76">
            <v>5097.29</v>
          </cell>
          <cell r="CG76">
            <v>4434.58</v>
          </cell>
          <cell r="CH76">
            <v>4154.21</v>
          </cell>
          <cell r="CI76">
            <v>4052.27</v>
          </cell>
          <cell r="CJ76">
            <v>3924.84</v>
          </cell>
          <cell r="CK76">
            <v>5591.74</v>
          </cell>
          <cell r="CL76">
            <v>5199.26</v>
          </cell>
          <cell r="CM76">
            <v>4434.58</v>
          </cell>
          <cell r="CN76">
            <v>5474.51</v>
          </cell>
          <cell r="CO76">
            <v>5591.74</v>
          </cell>
        </row>
        <row r="78">
          <cell r="BZ78">
            <v>29</v>
          </cell>
          <cell r="CA78">
            <v>0.01</v>
          </cell>
          <cell r="CB78">
            <v>6703.01</v>
          </cell>
          <cell r="CC78">
            <v>6332.37</v>
          </cell>
          <cell r="CD78">
            <v>5910.18</v>
          </cell>
          <cell r="CE78">
            <v>5647.65</v>
          </cell>
          <cell r="CF78">
            <v>5148.26</v>
          </cell>
          <cell r="CG78">
            <v>4478.92</v>
          </cell>
          <cell r="CH78">
            <v>4195.75</v>
          </cell>
          <cell r="CI78">
            <v>4092.79</v>
          </cell>
          <cell r="CJ78">
            <v>3964.08</v>
          </cell>
          <cell r="CK78">
            <v>5647.65</v>
          </cell>
          <cell r="CL78">
            <v>5251.25</v>
          </cell>
          <cell r="CM78">
            <v>4478.92</v>
          </cell>
          <cell r="CN78">
            <v>5529.25</v>
          </cell>
          <cell r="CO78">
            <v>5647.65</v>
          </cell>
        </row>
        <row r="80">
          <cell r="BZ80">
            <v>30</v>
          </cell>
          <cell r="CA80">
            <v>0.01</v>
          </cell>
          <cell r="CB80">
            <v>6770.04</v>
          </cell>
          <cell r="CC80">
            <v>6395.69</v>
          </cell>
          <cell r="CD80">
            <v>5969.28</v>
          </cell>
          <cell r="CE80">
            <v>5704.12</v>
          </cell>
          <cell r="CF80">
            <v>5199.74</v>
          </cell>
          <cell r="CG80">
            <v>4523.7</v>
          </cell>
          <cell r="CH80">
            <v>4237.7</v>
          </cell>
          <cell r="CI80">
            <v>4133.71</v>
          </cell>
          <cell r="CJ80">
            <v>4003.72</v>
          </cell>
          <cell r="CK80">
            <v>5704.12</v>
          </cell>
          <cell r="CL80">
            <v>5303.76</v>
          </cell>
          <cell r="CM80">
            <v>4523.7</v>
          </cell>
          <cell r="CN80">
            <v>5584.54</v>
          </cell>
          <cell r="CO80">
            <v>5704.12</v>
          </cell>
        </row>
        <row r="82">
          <cell r="BZ82">
            <v>31</v>
          </cell>
          <cell r="CA82">
            <v>0.01</v>
          </cell>
          <cell r="CB82">
            <v>6837.74</v>
          </cell>
          <cell r="CC82">
            <v>6459.64</v>
          </cell>
          <cell r="CD82">
            <v>6028.97</v>
          </cell>
          <cell r="CE82">
            <v>5761.16</v>
          </cell>
          <cell r="CF82">
            <v>5251.73</v>
          </cell>
          <cell r="CG82">
            <v>4568.93</v>
          </cell>
          <cell r="CH82">
            <v>4280.07</v>
          </cell>
          <cell r="CI82">
            <v>4175.04</v>
          </cell>
          <cell r="CJ82">
            <v>4043.75</v>
          </cell>
          <cell r="CK82">
            <v>5761.16</v>
          </cell>
          <cell r="CL82">
            <v>5356.79</v>
          </cell>
          <cell r="CM82">
            <v>4568.93</v>
          </cell>
          <cell r="CN82">
            <v>5640.38</v>
          </cell>
          <cell r="CO82">
            <v>5761.16</v>
          </cell>
        </row>
        <row r="84">
          <cell r="BZ84">
            <v>32</v>
          </cell>
          <cell r="CA84">
            <v>0.01</v>
          </cell>
          <cell r="CB84">
            <v>6906.11</v>
          </cell>
          <cell r="CC84">
            <v>6524.23</v>
          </cell>
          <cell r="CD84">
            <v>6089.25</v>
          </cell>
          <cell r="CE84">
            <v>5818.77</v>
          </cell>
          <cell r="CF84">
            <v>5304.24</v>
          </cell>
          <cell r="CG84">
            <v>4614.6099999999997</v>
          </cell>
          <cell r="CH84">
            <v>4322.87</v>
          </cell>
          <cell r="CI84">
            <v>4216.79</v>
          </cell>
          <cell r="CJ84">
            <v>4084.18</v>
          </cell>
          <cell r="CK84">
            <v>5818.77</v>
          </cell>
          <cell r="CL84">
            <v>5410.35</v>
          </cell>
          <cell r="CM84">
            <v>4614.6099999999997</v>
          </cell>
          <cell r="CN84">
            <v>5696.78</v>
          </cell>
          <cell r="CO84">
            <v>5818.77</v>
          </cell>
        </row>
        <row r="86">
          <cell r="BZ86">
            <v>33</v>
          </cell>
          <cell r="CA86">
            <v>0.01</v>
          </cell>
          <cell r="CB86">
            <v>6975.17</v>
          </cell>
          <cell r="CC86">
            <v>6589.47</v>
          </cell>
          <cell r="CD86">
            <v>6150.14</v>
          </cell>
          <cell r="CE86">
            <v>5876.95</v>
          </cell>
          <cell r="CF86">
            <v>5357.28</v>
          </cell>
          <cell r="CG86">
            <v>4660.75</v>
          </cell>
          <cell r="CH86">
            <v>4366.09</v>
          </cell>
          <cell r="CI86">
            <v>4258.95</v>
          </cell>
          <cell r="CJ86">
            <v>4125.0200000000004</v>
          </cell>
          <cell r="CK86">
            <v>5876.95</v>
          </cell>
          <cell r="CL86">
            <v>5464.45</v>
          </cell>
          <cell r="CM86">
            <v>4660.75</v>
          </cell>
          <cell r="CN86">
            <v>5753.74</v>
          </cell>
          <cell r="CO86">
            <v>5876.95</v>
          </cell>
        </row>
        <row r="88">
          <cell r="BZ88">
            <v>34</v>
          </cell>
          <cell r="CA88">
            <v>0.01</v>
          </cell>
          <cell r="CB88">
            <v>7044.92</v>
          </cell>
          <cell r="CC88">
            <v>6655.36</v>
          </cell>
          <cell r="CD88">
            <v>6211.64</v>
          </cell>
          <cell r="CE88">
            <v>5935.71</v>
          </cell>
          <cell r="CF88">
            <v>5410.85</v>
          </cell>
          <cell r="CG88">
            <v>4707.3500000000004</v>
          </cell>
          <cell r="CH88">
            <v>4409.75</v>
          </cell>
          <cell r="CI88">
            <v>4301.53</v>
          </cell>
          <cell r="CJ88">
            <v>4166.2700000000004</v>
          </cell>
          <cell r="CK88">
            <v>5935.71</v>
          </cell>
          <cell r="CL88">
            <v>5519.09</v>
          </cell>
          <cell r="CM88">
            <v>4707.3500000000004</v>
          </cell>
          <cell r="CN88">
            <v>5811.27</v>
          </cell>
          <cell r="CO88">
            <v>5935.71</v>
          </cell>
        </row>
        <row r="90">
          <cell r="BZ90">
            <v>35</v>
          </cell>
          <cell r="CA90">
            <v>0.01</v>
          </cell>
          <cell r="CB90">
            <v>7115.36</v>
          </cell>
          <cell r="CC90">
            <v>6721.91</v>
          </cell>
          <cell r="CD90">
            <v>6273.75</v>
          </cell>
          <cell r="CE90">
            <v>5995.06</v>
          </cell>
          <cell r="CF90">
            <v>5464.95</v>
          </cell>
          <cell r="CG90">
            <v>4754.42</v>
          </cell>
          <cell r="CH90">
            <v>4453.84</v>
          </cell>
          <cell r="CI90">
            <v>4344.54</v>
          </cell>
          <cell r="CJ90">
            <v>4207.93</v>
          </cell>
          <cell r="CK90">
            <v>5995.06</v>
          </cell>
          <cell r="CL90">
            <v>5574.28</v>
          </cell>
          <cell r="CM90">
            <v>4754.42</v>
          </cell>
          <cell r="CN90">
            <v>5869.38</v>
          </cell>
          <cell r="CO90">
            <v>5995.06</v>
          </cell>
        </row>
        <row r="92">
          <cell r="BZ92">
            <v>36</v>
          </cell>
          <cell r="CA92">
            <v>0.01</v>
          </cell>
          <cell r="CB92">
            <v>7186.51</v>
          </cell>
          <cell r="CC92">
            <v>6789.12</v>
          </cell>
          <cell r="CD92">
            <v>6336.48</v>
          </cell>
          <cell r="CE92">
            <v>6055.01</v>
          </cell>
          <cell r="CF92">
            <v>5519.59</v>
          </cell>
          <cell r="CG92">
            <v>4801.96</v>
          </cell>
          <cell r="CH92">
            <v>4498.37</v>
          </cell>
          <cell r="CI92">
            <v>4387.9799999999996</v>
          </cell>
          <cell r="CJ92">
            <v>4250</v>
          </cell>
          <cell r="CK92">
            <v>6055.01</v>
          </cell>
          <cell r="CL92">
            <v>5630.02</v>
          </cell>
          <cell r="CM92">
            <v>4801.96</v>
          </cell>
          <cell r="CN92">
            <v>5928.07</v>
          </cell>
          <cell r="CO92">
            <v>6055.01</v>
          </cell>
        </row>
      </sheetData>
      <sheetData sheetId="1"/>
      <sheetData sheetId="2">
        <row r="28">
          <cell r="M28" t="str">
            <v>א</v>
          </cell>
          <cell r="N28">
            <v>22286.68</v>
          </cell>
        </row>
        <row r="29">
          <cell r="M29" t="str">
            <v>א+</v>
          </cell>
          <cell r="N29">
            <v>22836.68</v>
          </cell>
        </row>
        <row r="30">
          <cell r="M30" t="str">
            <v>ב</v>
          </cell>
          <cell r="N30">
            <v>23386.68</v>
          </cell>
        </row>
        <row r="31">
          <cell r="M31" t="str">
            <v>ב+</v>
          </cell>
          <cell r="N31">
            <v>23986.68</v>
          </cell>
        </row>
        <row r="32">
          <cell r="M32" t="str">
            <v>ג</v>
          </cell>
          <cell r="N32">
            <v>24586.68</v>
          </cell>
        </row>
        <row r="33">
          <cell r="M33" t="str">
            <v>ג+</v>
          </cell>
          <cell r="N33">
            <v>25236.68</v>
          </cell>
        </row>
        <row r="34">
          <cell r="M34" t="str">
            <v>ד</v>
          </cell>
          <cell r="N34">
            <v>25886.68</v>
          </cell>
        </row>
        <row r="723">
          <cell r="BU723" t="str">
            <v>% מול מוסמך</v>
          </cell>
          <cell r="BW723">
            <v>1.302</v>
          </cell>
          <cell r="BX723">
            <v>1.23</v>
          </cell>
          <cell r="BY723">
            <v>1.1479999999999999</v>
          </cell>
          <cell r="BZ723">
            <v>1.097</v>
          </cell>
          <cell r="CA723">
            <v>1</v>
          </cell>
          <cell r="CB723">
            <v>1</v>
          </cell>
          <cell r="CC723">
            <v>0.87</v>
          </cell>
          <cell r="CD723">
            <v>0.81499999999999995</v>
          </cell>
          <cell r="CE723">
            <v>0.79500000000000004</v>
          </cell>
          <cell r="CF723">
            <v>0.77</v>
          </cell>
          <cell r="CG723">
            <v>1.097</v>
          </cell>
          <cell r="CH723">
            <v>1.02</v>
          </cell>
          <cell r="CI723">
            <v>0.87</v>
          </cell>
          <cell r="CJ723">
            <v>1.0740000000000001</v>
          </cell>
          <cell r="CK723">
            <v>1.097</v>
          </cell>
        </row>
        <row r="732">
          <cell r="BU732">
            <v>1</v>
          </cell>
          <cell r="BW732">
            <v>3365.57</v>
          </cell>
          <cell r="BX732">
            <v>3179.46</v>
          </cell>
          <cell r="BY732">
            <v>2967.49</v>
          </cell>
          <cell r="BZ732">
            <v>2835.66</v>
          </cell>
          <cell r="CA732">
            <v>2584.9299999999998</v>
          </cell>
          <cell r="CB732">
            <v>2584.9299999999998</v>
          </cell>
          <cell r="CC732">
            <v>2248.89</v>
          </cell>
          <cell r="CD732">
            <v>2106.71</v>
          </cell>
          <cell r="CE732">
            <v>2055.0100000000002</v>
          </cell>
          <cell r="CF732">
            <v>1990.39</v>
          </cell>
          <cell r="CG732">
            <v>2835.66</v>
          </cell>
          <cell r="CH732">
            <v>2636.63</v>
          </cell>
          <cell r="CI732">
            <v>2248.89</v>
          </cell>
          <cell r="CJ732">
            <v>2776.21</v>
          </cell>
          <cell r="CK732">
            <v>2835.66</v>
          </cell>
        </row>
        <row r="734">
          <cell r="BU734">
            <v>2</v>
          </cell>
          <cell r="BV734">
            <v>0.05</v>
          </cell>
          <cell r="BW734">
            <v>3533.84</v>
          </cell>
          <cell r="BX734">
            <v>3338.43</v>
          </cell>
          <cell r="BY734">
            <v>3115.86</v>
          </cell>
          <cell r="BZ734">
            <v>2977.44</v>
          </cell>
          <cell r="CA734">
            <v>2714.17</v>
          </cell>
          <cell r="CB734">
            <v>2714.17</v>
          </cell>
          <cell r="CC734">
            <v>2361.33</v>
          </cell>
          <cell r="CD734">
            <v>2212.04</v>
          </cell>
          <cell r="CE734">
            <v>2157.7600000000002</v>
          </cell>
          <cell r="CF734">
            <v>2089.9</v>
          </cell>
          <cell r="CG734">
            <v>2977.44</v>
          </cell>
          <cell r="CH734">
            <v>2768.46</v>
          </cell>
          <cell r="CI734">
            <v>2361.33</v>
          </cell>
          <cell r="CJ734">
            <v>2915.02</v>
          </cell>
          <cell r="CK734">
            <v>2977.44</v>
          </cell>
        </row>
        <row r="736">
          <cell r="BU736">
            <v>3</v>
          </cell>
          <cell r="BV736">
            <v>0.05</v>
          </cell>
          <cell r="BW736">
            <v>3710.53</v>
          </cell>
          <cell r="BX736">
            <v>3505.35</v>
          </cell>
          <cell r="BY736">
            <v>3271.65</v>
          </cell>
          <cell r="BZ736">
            <v>3126.31</v>
          </cell>
          <cell r="CA736">
            <v>2849.87</v>
          </cell>
          <cell r="CB736">
            <v>2849.87</v>
          </cell>
          <cell r="CC736">
            <v>2479.39</v>
          </cell>
          <cell r="CD736">
            <v>2322.64</v>
          </cell>
          <cell r="CE736">
            <v>2265.64</v>
          </cell>
          <cell r="CF736">
            <v>2194.39</v>
          </cell>
          <cell r="CG736">
            <v>3126.31</v>
          </cell>
          <cell r="CH736">
            <v>2906.88</v>
          </cell>
          <cell r="CI736">
            <v>2479.39</v>
          </cell>
          <cell r="CJ736">
            <v>3060.77</v>
          </cell>
          <cell r="CK736">
            <v>3126.31</v>
          </cell>
        </row>
        <row r="738">
          <cell r="BU738">
            <v>4</v>
          </cell>
          <cell r="BV738">
            <v>0.05</v>
          </cell>
          <cell r="BW738">
            <v>3896.05</v>
          </cell>
          <cell r="BX738">
            <v>3680.61</v>
          </cell>
          <cell r="BY738">
            <v>3435.23</v>
          </cell>
          <cell r="BZ738">
            <v>3282.62</v>
          </cell>
          <cell r="CA738">
            <v>2992.36</v>
          </cell>
          <cell r="CB738">
            <v>2992.36</v>
          </cell>
          <cell r="CC738">
            <v>2603.35</v>
          </cell>
          <cell r="CD738">
            <v>2438.77</v>
          </cell>
          <cell r="CE738">
            <v>2378.92</v>
          </cell>
          <cell r="CF738">
            <v>2304.1</v>
          </cell>
          <cell r="CG738">
            <v>3282.62</v>
          </cell>
          <cell r="CH738">
            <v>3052.22</v>
          </cell>
          <cell r="CI738">
            <v>2603.35</v>
          </cell>
          <cell r="CJ738">
            <v>3213.8</v>
          </cell>
          <cell r="CK738">
            <v>3282.62</v>
          </cell>
        </row>
        <row r="740">
          <cell r="BU740">
            <v>5</v>
          </cell>
          <cell r="BV740">
            <v>0.05</v>
          </cell>
          <cell r="BW740">
            <v>4090.85</v>
          </cell>
          <cell r="BX740">
            <v>3864.64</v>
          </cell>
          <cell r="BY740">
            <v>3606.99</v>
          </cell>
          <cell r="BZ740">
            <v>3446.75</v>
          </cell>
          <cell r="CA740">
            <v>3141.97</v>
          </cell>
          <cell r="CB740">
            <v>3141.97</v>
          </cell>
          <cell r="CC740">
            <v>2733.51</v>
          </cell>
          <cell r="CD740">
            <v>2560.6999999999998</v>
          </cell>
          <cell r="CE740">
            <v>2497.86</v>
          </cell>
          <cell r="CF740">
            <v>2419.3000000000002</v>
          </cell>
          <cell r="CG740">
            <v>3446.75</v>
          </cell>
          <cell r="CH740">
            <v>3204.83</v>
          </cell>
          <cell r="CI740">
            <v>2733.51</v>
          </cell>
          <cell r="CJ740">
            <v>3374.49</v>
          </cell>
          <cell r="CK740">
            <v>3446.75</v>
          </cell>
        </row>
        <row r="742">
          <cell r="BU742">
            <v>6</v>
          </cell>
          <cell r="BV742">
            <v>0.05</v>
          </cell>
          <cell r="BW742">
            <v>4295.3900000000003</v>
          </cell>
          <cell r="BX742">
            <v>4057.87</v>
          </cell>
          <cell r="BY742">
            <v>3787.33</v>
          </cell>
          <cell r="BZ742">
            <v>3619.08</v>
          </cell>
          <cell r="CA742">
            <v>3299.06</v>
          </cell>
          <cell r="CB742">
            <v>3299.06</v>
          </cell>
          <cell r="CC742">
            <v>2870.18</v>
          </cell>
          <cell r="CD742">
            <v>2688.73</v>
          </cell>
          <cell r="CE742">
            <v>2622.75</v>
          </cell>
          <cell r="CF742">
            <v>2540.2600000000002</v>
          </cell>
          <cell r="CG742">
            <v>3619.08</v>
          </cell>
          <cell r="CH742">
            <v>3365.07</v>
          </cell>
          <cell r="CI742">
            <v>2870.18</v>
          </cell>
          <cell r="CJ742">
            <v>3543.21</v>
          </cell>
          <cell r="CK742">
            <v>3619.08</v>
          </cell>
        </row>
        <row r="744">
          <cell r="BU744">
            <v>7</v>
          </cell>
          <cell r="BV744">
            <v>0.05</v>
          </cell>
          <cell r="BW744">
            <v>4510.1499999999996</v>
          </cell>
          <cell r="BX744">
            <v>4260.76</v>
          </cell>
          <cell r="BY744">
            <v>3976.69</v>
          </cell>
          <cell r="BZ744">
            <v>3800.03</v>
          </cell>
          <cell r="CA744">
            <v>3464.01</v>
          </cell>
          <cell r="CB744">
            <v>3464.01</v>
          </cell>
          <cell r="CC744">
            <v>3013.68</v>
          </cell>
          <cell r="CD744">
            <v>2823.16</v>
          </cell>
          <cell r="CE744">
            <v>2753.88</v>
          </cell>
          <cell r="CF744">
            <v>2667.27</v>
          </cell>
          <cell r="CG744">
            <v>3800.03</v>
          </cell>
          <cell r="CH744">
            <v>3533.32</v>
          </cell>
          <cell r="CI744">
            <v>3013.68</v>
          </cell>
          <cell r="CJ744">
            <v>3720.37</v>
          </cell>
          <cell r="CK744">
            <v>3800.03</v>
          </cell>
        </row>
        <row r="746">
          <cell r="BU746">
            <v>8</v>
          </cell>
          <cell r="BV746">
            <v>0.02</v>
          </cell>
          <cell r="BW746">
            <v>4600.3500000000004</v>
          </cell>
          <cell r="BX746">
            <v>4345.97</v>
          </cell>
          <cell r="BY746">
            <v>4056.22</v>
          </cell>
          <cell r="BZ746">
            <v>3876.03</v>
          </cell>
          <cell r="CA746">
            <v>3533.29</v>
          </cell>
          <cell r="CB746">
            <v>3533.29</v>
          </cell>
          <cell r="CC746">
            <v>3073.95</v>
          </cell>
          <cell r="CD746">
            <v>2879.62</v>
          </cell>
          <cell r="CE746">
            <v>2808.95</v>
          </cell>
          <cell r="CF746">
            <v>2720.61</v>
          </cell>
          <cell r="CG746">
            <v>3876.03</v>
          </cell>
          <cell r="CH746">
            <v>3603.98</v>
          </cell>
          <cell r="CI746">
            <v>3073.95</v>
          </cell>
          <cell r="CJ746">
            <v>3794.77</v>
          </cell>
          <cell r="CK746">
            <v>3876.03</v>
          </cell>
        </row>
        <row r="748">
          <cell r="BU748">
            <v>9</v>
          </cell>
          <cell r="BV748">
            <v>0.02</v>
          </cell>
          <cell r="BW748">
            <v>4692.3500000000004</v>
          </cell>
          <cell r="BX748">
            <v>4432.88</v>
          </cell>
          <cell r="BY748">
            <v>4137.34</v>
          </cell>
          <cell r="BZ748">
            <v>3953.55</v>
          </cell>
          <cell r="CA748">
            <v>3603.95</v>
          </cell>
          <cell r="CB748">
            <v>3603.95</v>
          </cell>
          <cell r="CC748">
            <v>3135.42</v>
          </cell>
          <cell r="CD748">
            <v>2937.21</v>
          </cell>
          <cell r="CE748">
            <v>2865.12</v>
          </cell>
          <cell r="CF748">
            <v>2775.02</v>
          </cell>
          <cell r="CG748">
            <v>3953.55</v>
          </cell>
          <cell r="CH748">
            <v>3676.05</v>
          </cell>
          <cell r="CI748">
            <v>3135.42</v>
          </cell>
          <cell r="CJ748">
            <v>3870.66</v>
          </cell>
          <cell r="CK748">
            <v>3953.55</v>
          </cell>
        </row>
        <row r="750">
          <cell r="BU750">
            <v>10</v>
          </cell>
          <cell r="BV750">
            <v>0.02</v>
          </cell>
          <cell r="BW750">
            <v>4786.1899999999996</v>
          </cell>
          <cell r="BX750">
            <v>4521.53</v>
          </cell>
          <cell r="BY750">
            <v>4220.08</v>
          </cell>
          <cell r="BZ750">
            <v>4032.62</v>
          </cell>
          <cell r="CA750">
            <v>3676.02</v>
          </cell>
          <cell r="CB750">
            <v>3676.02</v>
          </cell>
          <cell r="CC750">
            <v>3198.12</v>
          </cell>
          <cell r="CD750">
            <v>2995.95</v>
          </cell>
          <cell r="CE750">
            <v>2922.42</v>
          </cell>
          <cell r="CF750">
            <v>2830.52</v>
          </cell>
          <cell r="CG750">
            <v>4032.62</v>
          </cell>
          <cell r="CH750">
            <v>3749.57</v>
          </cell>
          <cell r="CI750">
            <v>3198.12</v>
          </cell>
          <cell r="CJ750">
            <v>3948.07</v>
          </cell>
          <cell r="CK750">
            <v>4032.62</v>
          </cell>
        </row>
        <row r="752">
          <cell r="BU752">
            <v>11</v>
          </cell>
          <cell r="BV752">
            <v>0.02</v>
          </cell>
          <cell r="BW752">
            <v>4881.91</v>
          </cell>
          <cell r="BX752">
            <v>4611.96</v>
          </cell>
          <cell r="BY752">
            <v>4304.4799999999996</v>
          </cell>
          <cell r="BZ752">
            <v>4113.2700000000004</v>
          </cell>
          <cell r="CA752">
            <v>3749.54</v>
          </cell>
          <cell r="CB752">
            <v>3749.54</v>
          </cell>
          <cell r="CC752">
            <v>3262.08</v>
          </cell>
          <cell r="CD752">
            <v>3055.86</v>
          </cell>
          <cell r="CE752">
            <v>2980.86</v>
          </cell>
          <cell r="CF752">
            <v>2887.13</v>
          </cell>
          <cell r="CG752">
            <v>4113.2700000000004</v>
          </cell>
          <cell r="CH752">
            <v>3824.56</v>
          </cell>
          <cell r="CI752">
            <v>3262.08</v>
          </cell>
          <cell r="CJ752">
            <v>4027.03</v>
          </cell>
          <cell r="CK752">
            <v>4113.2700000000004</v>
          </cell>
        </row>
        <row r="754">
          <cell r="BU754">
            <v>12</v>
          </cell>
          <cell r="BV754">
            <v>0.02</v>
          </cell>
          <cell r="BW754">
            <v>4979.54</v>
          </cell>
          <cell r="BX754">
            <v>4704.1899999999996</v>
          </cell>
          <cell r="BY754">
            <v>4390.5600000000004</v>
          </cell>
          <cell r="BZ754">
            <v>4195.53</v>
          </cell>
          <cell r="CA754">
            <v>3824.53</v>
          </cell>
          <cell r="CB754">
            <v>3824.53</v>
          </cell>
          <cell r="CC754">
            <v>3327.32</v>
          </cell>
          <cell r="CD754">
            <v>3116.97</v>
          </cell>
          <cell r="CE754">
            <v>3040.47</v>
          </cell>
          <cell r="CF754">
            <v>2944.87</v>
          </cell>
          <cell r="CG754">
            <v>4195.53</v>
          </cell>
          <cell r="CH754">
            <v>3901.05</v>
          </cell>
          <cell r="CI754">
            <v>3327.32</v>
          </cell>
          <cell r="CJ754">
            <v>4107.57</v>
          </cell>
          <cell r="CK754">
            <v>4195.53</v>
          </cell>
        </row>
        <row r="756">
          <cell r="BU756">
            <v>13</v>
          </cell>
          <cell r="BV756">
            <v>0.02</v>
          </cell>
          <cell r="BW756">
            <v>5079.13</v>
          </cell>
          <cell r="BX756">
            <v>4798.2700000000004</v>
          </cell>
          <cell r="BY756">
            <v>4478.37</v>
          </cell>
          <cell r="BZ756">
            <v>4279.4399999999996</v>
          </cell>
          <cell r="CA756">
            <v>3901.02</v>
          </cell>
          <cell r="CB756">
            <v>3901.02</v>
          </cell>
          <cell r="CC756">
            <v>3393.86</v>
          </cell>
          <cell r="CD756">
            <v>3179.3</v>
          </cell>
          <cell r="CE756">
            <v>3101.27</v>
          </cell>
          <cell r="CF756">
            <v>3003.76</v>
          </cell>
          <cell r="CG756">
            <v>4279.4399999999996</v>
          </cell>
          <cell r="CH756">
            <v>3979.07</v>
          </cell>
          <cell r="CI756">
            <v>3393.86</v>
          </cell>
          <cell r="CJ756">
            <v>4189.72</v>
          </cell>
          <cell r="CK756">
            <v>4279.4399999999996</v>
          </cell>
        </row>
        <row r="758">
          <cell r="BU758">
            <v>14</v>
          </cell>
          <cell r="BV758">
            <v>0.02</v>
          </cell>
          <cell r="BW758">
            <v>5180.71</v>
          </cell>
          <cell r="BX758">
            <v>4894.2299999999996</v>
          </cell>
          <cell r="BY758">
            <v>4567.93</v>
          </cell>
          <cell r="BZ758">
            <v>4365.0200000000004</v>
          </cell>
          <cell r="CA758">
            <v>3979.04</v>
          </cell>
          <cell r="CB758">
            <v>3979.04</v>
          </cell>
          <cell r="CC758">
            <v>3461.73</v>
          </cell>
          <cell r="CD758">
            <v>3242.88</v>
          </cell>
          <cell r="CE758">
            <v>3163.29</v>
          </cell>
          <cell r="CF758">
            <v>3063.83</v>
          </cell>
          <cell r="CG758">
            <v>4365.0200000000004</v>
          </cell>
          <cell r="CH758">
            <v>4058.65</v>
          </cell>
          <cell r="CI758">
            <v>3461.73</v>
          </cell>
          <cell r="CJ758">
            <v>4273.51</v>
          </cell>
          <cell r="CK758">
            <v>4365.0200000000004</v>
          </cell>
        </row>
        <row r="760">
          <cell r="BU760">
            <v>15</v>
          </cell>
          <cell r="BV760">
            <v>0.02</v>
          </cell>
          <cell r="BW760">
            <v>5284.32</v>
          </cell>
          <cell r="BX760">
            <v>4992.1099999999997</v>
          </cell>
          <cell r="BY760">
            <v>4659.28</v>
          </cell>
          <cell r="BZ760">
            <v>4452.32</v>
          </cell>
          <cell r="CA760">
            <v>4058.62</v>
          </cell>
          <cell r="CB760">
            <v>4058.62</v>
          </cell>
          <cell r="CC760">
            <v>3530.96</v>
          </cell>
          <cell r="CD760">
            <v>3307.73</v>
          </cell>
          <cell r="CE760">
            <v>3226.55</v>
          </cell>
          <cell r="CF760">
            <v>3125.1</v>
          </cell>
          <cell r="CG760">
            <v>4452.32</v>
          </cell>
          <cell r="CH760">
            <v>4139.82</v>
          </cell>
          <cell r="CI760">
            <v>3530.96</v>
          </cell>
          <cell r="CJ760">
            <v>4358.9799999999996</v>
          </cell>
          <cell r="CK760">
            <v>4452.32</v>
          </cell>
        </row>
        <row r="762">
          <cell r="BU762">
            <v>16</v>
          </cell>
          <cell r="BV762">
            <v>0.02</v>
          </cell>
          <cell r="BW762">
            <v>5390</v>
          </cell>
          <cell r="BX762">
            <v>5091.95</v>
          </cell>
          <cell r="BY762">
            <v>4752.46</v>
          </cell>
          <cell r="BZ762">
            <v>4541.3599999999997</v>
          </cell>
          <cell r="CA762">
            <v>4139.79</v>
          </cell>
          <cell r="CB762">
            <v>4139.79</v>
          </cell>
          <cell r="CC762">
            <v>3601.57</v>
          </cell>
          <cell r="CD762">
            <v>3373.88</v>
          </cell>
          <cell r="CE762">
            <v>3291.08</v>
          </cell>
          <cell r="CF762">
            <v>3187.6</v>
          </cell>
          <cell r="CG762">
            <v>4541.3599999999997</v>
          </cell>
          <cell r="CH762">
            <v>4222.6099999999997</v>
          </cell>
          <cell r="CI762">
            <v>3601.57</v>
          </cell>
          <cell r="CJ762">
            <v>4446.1499999999996</v>
          </cell>
          <cell r="CK762">
            <v>4541.3599999999997</v>
          </cell>
        </row>
        <row r="764">
          <cell r="BU764">
            <v>17</v>
          </cell>
          <cell r="BV764">
            <v>0.02</v>
          </cell>
          <cell r="BW764">
            <v>5497.8</v>
          </cell>
          <cell r="BX764">
            <v>5193.78</v>
          </cell>
          <cell r="BY764">
            <v>4847.5</v>
          </cell>
          <cell r="BZ764">
            <v>4632.18</v>
          </cell>
          <cell r="CA764">
            <v>4222.58</v>
          </cell>
          <cell r="CB764">
            <v>4222.58</v>
          </cell>
          <cell r="CC764">
            <v>3673.6</v>
          </cell>
          <cell r="CD764">
            <v>3441.35</v>
          </cell>
          <cell r="CE764">
            <v>3356.9</v>
          </cell>
          <cell r="CF764">
            <v>3251.35</v>
          </cell>
          <cell r="CG764">
            <v>4632.18</v>
          </cell>
          <cell r="CH764">
            <v>4307.0600000000004</v>
          </cell>
          <cell r="CI764">
            <v>3673.6</v>
          </cell>
          <cell r="CJ764">
            <v>4535.07</v>
          </cell>
          <cell r="CK764">
            <v>4632.18</v>
          </cell>
        </row>
        <row r="766">
          <cell r="BU766">
            <v>18</v>
          </cell>
          <cell r="BV766">
            <v>0.02</v>
          </cell>
          <cell r="BW766">
            <v>5607.75</v>
          </cell>
          <cell r="BX766">
            <v>5297.65</v>
          </cell>
          <cell r="BY766">
            <v>4944.45</v>
          </cell>
          <cell r="BZ766">
            <v>4724.82</v>
          </cell>
          <cell r="CA766">
            <v>4307.03</v>
          </cell>
          <cell r="CB766">
            <v>4307.03</v>
          </cell>
          <cell r="CC766">
            <v>3747.07</v>
          </cell>
          <cell r="CD766">
            <v>3510.17</v>
          </cell>
          <cell r="CE766">
            <v>3424.03</v>
          </cell>
          <cell r="CF766">
            <v>3316.37</v>
          </cell>
          <cell r="CG766">
            <v>4724.82</v>
          </cell>
          <cell r="CH766">
            <v>4393.2</v>
          </cell>
          <cell r="CI766">
            <v>3747.07</v>
          </cell>
          <cell r="CJ766">
            <v>4625.7700000000004</v>
          </cell>
          <cell r="CK766">
            <v>4724.82</v>
          </cell>
        </row>
        <row r="768">
          <cell r="BU768">
            <v>19</v>
          </cell>
          <cell r="BV768">
            <v>0.02</v>
          </cell>
          <cell r="BW768">
            <v>5719.9</v>
          </cell>
          <cell r="BX768">
            <v>5403.6</v>
          </cell>
          <cell r="BY768">
            <v>5043.33</v>
          </cell>
          <cell r="BZ768">
            <v>4819.3100000000004</v>
          </cell>
          <cell r="CA768">
            <v>4393.17</v>
          </cell>
          <cell r="CB768">
            <v>4393.17</v>
          </cell>
          <cell r="CC768">
            <v>3822.01</v>
          </cell>
          <cell r="CD768">
            <v>3580.37</v>
          </cell>
          <cell r="CE768">
            <v>3492.51</v>
          </cell>
          <cell r="CF768">
            <v>3382.69</v>
          </cell>
          <cell r="CG768">
            <v>4819.3100000000004</v>
          </cell>
          <cell r="CH768">
            <v>4481.0600000000004</v>
          </cell>
          <cell r="CI768">
            <v>3822.01</v>
          </cell>
          <cell r="CJ768">
            <v>4718.28</v>
          </cell>
          <cell r="CK768">
            <v>4819.3100000000004</v>
          </cell>
        </row>
        <row r="770">
          <cell r="BU770">
            <v>20</v>
          </cell>
          <cell r="BV770">
            <v>0.02</v>
          </cell>
          <cell r="BW770">
            <v>5834.29</v>
          </cell>
          <cell r="BX770">
            <v>5511.67</v>
          </cell>
          <cell r="BY770">
            <v>5144.1899999999996</v>
          </cell>
          <cell r="BZ770">
            <v>4915.6899999999996</v>
          </cell>
          <cell r="CA770">
            <v>4481.03</v>
          </cell>
          <cell r="CB770">
            <v>4481.03</v>
          </cell>
          <cell r="CC770">
            <v>3898.45</v>
          </cell>
          <cell r="CD770">
            <v>3651.97</v>
          </cell>
          <cell r="CE770">
            <v>3562.36</v>
          </cell>
          <cell r="CF770">
            <v>3450.34</v>
          </cell>
          <cell r="CG770">
            <v>4915.6899999999996</v>
          </cell>
          <cell r="CH770">
            <v>4570.68</v>
          </cell>
          <cell r="CI770">
            <v>3898.45</v>
          </cell>
          <cell r="CJ770">
            <v>4812.6400000000003</v>
          </cell>
          <cell r="CK770">
            <v>4915.6899999999996</v>
          </cell>
        </row>
        <row r="772">
          <cell r="BU772">
            <v>21</v>
          </cell>
          <cell r="BV772">
            <v>0.02</v>
          </cell>
          <cell r="BW772">
            <v>5950.97</v>
          </cell>
          <cell r="BX772">
            <v>5621.9</v>
          </cell>
          <cell r="BY772">
            <v>5247.07</v>
          </cell>
          <cell r="BZ772">
            <v>5014</v>
          </cell>
          <cell r="CA772">
            <v>4570.6499999999996</v>
          </cell>
          <cell r="CB772">
            <v>4570.6499999999996</v>
          </cell>
          <cell r="CC772">
            <v>3976.41</v>
          </cell>
          <cell r="CD772">
            <v>3725</v>
          </cell>
          <cell r="CE772">
            <v>3633.6</v>
          </cell>
          <cell r="CF772">
            <v>3519.34</v>
          </cell>
          <cell r="CG772">
            <v>5014</v>
          </cell>
          <cell r="CH772">
            <v>4662.09</v>
          </cell>
          <cell r="CI772">
            <v>3976.41</v>
          </cell>
          <cell r="CJ772">
            <v>4908.8900000000003</v>
          </cell>
          <cell r="CK772">
            <v>5014</v>
          </cell>
        </row>
        <row r="774">
          <cell r="BU774">
            <v>22</v>
          </cell>
          <cell r="BV774">
            <v>0.02</v>
          </cell>
          <cell r="BW774">
            <v>6069.98</v>
          </cell>
          <cell r="BX774">
            <v>5734.33</v>
          </cell>
          <cell r="BY774">
            <v>5352.01</v>
          </cell>
          <cell r="BZ774">
            <v>5114.28</v>
          </cell>
          <cell r="CA774">
            <v>4662.0600000000004</v>
          </cell>
          <cell r="CB774">
            <v>4662.0600000000004</v>
          </cell>
          <cell r="CC774">
            <v>4055.93</v>
          </cell>
          <cell r="CD774">
            <v>3799.5</v>
          </cell>
          <cell r="CE774">
            <v>3706.27</v>
          </cell>
          <cell r="CF774">
            <v>3589.72</v>
          </cell>
          <cell r="CG774">
            <v>5114.28</v>
          </cell>
          <cell r="CH774">
            <v>4755.33</v>
          </cell>
          <cell r="CI774">
            <v>4055.93</v>
          </cell>
          <cell r="CJ774">
            <v>5007.0600000000004</v>
          </cell>
          <cell r="CK774">
            <v>5114.28</v>
          </cell>
        </row>
        <row r="776">
          <cell r="BU776">
            <v>23</v>
          </cell>
          <cell r="BV776">
            <v>0.02</v>
          </cell>
          <cell r="BW776">
            <v>6191.37</v>
          </cell>
          <cell r="BX776">
            <v>5849.01</v>
          </cell>
          <cell r="BY776">
            <v>5459.05</v>
          </cell>
          <cell r="BZ776">
            <v>5216.5600000000004</v>
          </cell>
          <cell r="CA776">
            <v>4755.3</v>
          </cell>
          <cell r="CB776">
            <v>4755.3</v>
          </cell>
          <cell r="CC776">
            <v>4137.04</v>
          </cell>
          <cell r="CD776">
            <v>3875.49</v>
          </cell>
          <cell r="CE776">
            <v>3780.39</v>
          </cell>
          <cell r="CF776">
            <v>3661.51</v>
          </cell>
          <cell r="CG776">
            <v>5216.5600000000004</v>
          </cell>
          <cell r="CH776">
            <v>4850.43</v>
          </cell>
          <cell r="CI776">
            <v>4137.04</v>
          </cell>
          <cell r="CJ776">
            <v>5107.2</v>
          </cell>
          <cell r="CK776">
            <v>5216.5600000000004</v>
          </cell>
        </row>
        <row r="778">
          <cell r="BU778">
            <v>24</v>
          </cell>
          <cell r="BV778">
            <v>0.02</v>
          </cell>
          <cell r="BW778">
            <v>6315.19</v>
          </cell>
          <cell r="BX778">
            <v>5965.99</v>
          </cell>
          <cell r="BY778">
            <v>5568.23</v>
          </cell>
          <cell r="BZ778">
            <v>5320.89</v>
          </cell>
          <cell r="CA778">
            <v>4850.3999999999996</v>
          </cell>
          <cell r="CB778">
            <v>4850.3999999999996</v>
          </cell>
          <cell r="CC778">
            <v>4219.78</v>
          </cell>
          <cell r="CD778">
            <v>3952.99</v>
          </cell>
          <cell r="CE778">
            <v>3855.99</v>
          </cell>
          <cell r="CF778">
            <v>3734.74</v>
          </cell>
          <cell r="CG778">
            <v>5320.89</v>
          </cell>
          <cell r="CH778">
            <v>4947.43</v>
          </cell>
          <cell r="CI778">
            <v>4219.78</v>
          </cell>
          <cell r="CJ778">
            <v>5209.34</v>
          </cell>
          <cell r="CK778">
            <v>5320.89</v>
          </cell>
        </row>
        <row r="780">
          <cell r="BU780">
            <v>25</v>
          </cell>
          <cell r="BV780">
            <v>0.02</v>
          </cell>
          <cell r="BW780">
            <v>6441.49</v>
          </cell>
          <cell r="BX780">
            <v>6085.3</v>
          </cell>
          <cell r="BY780">
            <v>5679.59</v>
          </cell>
          <cell r="BZ780">
            <v>5427.3</v>
          </cell>
          <cell r="CA780">
            <v>4947.3999999999996</v>
          </cell>
          <cell r="CB780">
            <v>4947.3999999999996</v>
          </cell>
          <cell r="CC780">
            <v>4304.17</v>
          </cell>
          <cell r="CD780">
            <v>4032.04</v>
          </cell>
          <cell r="CE780">
            <v>3933.1</v>
          </cell>
          <cell r="CF780">
            <v>3809.43</v>
          </cell>
          <cell r="CG780">
            <v>5427.3</v>
          </cell>
          <cell r="CH780">
            <v>5046.37</v>
          </cell>
          <cell r="CI780">
            <v>4304.17</v>
          </cell>
          <cell r="CJ780">
            <v>5313.52</v>
          </cell>
          <cell r="CK780">
            <v>5427.3</v>
          </cell>
        </row>
        <row r="782">
          <cell r="BU782">
            <v>26</v>
          </cell>
          <cell r="BV782">
            <v>0.01</v>
          </cell>
          <cell r="BW782">
            <v>6505.9</v>
          </cell>
          <cell r="BX782">
            <v>6146.15</v>
          </cell>
          <cell r="BY782">
            <v>5736.38</v>
          </cell>
          <cell r="BZ782">
            <v>5481.57</v>
          </cell>
          <cell r="CA782">
            <v>4996.87</v>
          </cell>
          <cell r="CB782">
            <v>4996.87</v>
          </cell>
          <cell r="CC782">
            <v>4347.21</v>
          </cell>
          <cell r="CD782">
            <v>4072.36</v>
          </cell>
          <cell r="CE782">
            <v>3972.43</v>
          </cell>
          <cell r="CF782">
            <v>3847.52</v>
          </cell>
          <cell r="CG782">
            <v>5481.57</v>
          </cell>
          <cell r="CH782">
            <v>5096.83</v>
          </cell>
          <cell r="CI782">
            <v>4347.21</v>
          </cell>
          <cell r="CJ782">
            <v>5366.65</v>
          </cell>
          <cell r="CK782">
            <v>5481.57</v>
          </cell>
        </row>
        <row r="784">
          <cell r="BU784">
            <v>27</v>
          </cell>
          <cell r="BV784">
            <v>0.01</v>
          </cell>
          <cell r="BW784">
            <v>6570.95</v>
          </cell>
          <cell r="BX784">
            <v>6207.61</v>
          </cell>
          <cell r="BY784">
            <v>5793.74</v>
          </cell>
          <cell r="BZ784">
            <v>5536.38</v>
          </cell>
          <cell r="CA784">
            <v>5046.83</v>
          </cell>
          <cell r="CB784">
            <v>5046.83</v>
          </cell>
          <cell r="CC784">
            <v>4390.68</v>
          </cell>
          <cell r="CD784">
            <v>4113.08</v>
          </cell>
          <cell r="CE784">
            <v>4012.15</v>
          </cell>
          <cell r="CF784">
            <v>3885.99</v>
          </cell>
          <cell r="CG784">
            <v>5536.38</v>
          </cell>
          <cell r="CH784">
            <v>5147.79</v>
          </cell>
          <cell r="CI784">
            <v>4390.68</v>
          </cell>
          <cell r="CJ784">
            <v>5420.31</v>
          </cell>
          <cell r="CK784">
            <v>5536.38</v>
          </cell>
        </row>
        <row r="786">
          <cell r="BU786">
            <v>28</v>
          </cell>
          <cell r="BV786">
            <v>0.01</v>
          </cell>
          <cell r="BW786">
            <v>6636.65</v>
          </cell>
          <cell r="BX786">
            <v>6269.68</v>
          </cell>
          <cell r="BY786">
            <v>5851.67</v>
          </cell>
          <cell r="BZ786">
            <v>5591.74</v>
          </cell>
          <cell r="CA786">
            <v>5097.29</v>
          </cell>
          <cell r="CB786">
            <v>5097.29</v>
          </cell>
          <cell r="CC786">
            <v>4434.58</v>
          </cell>
          <cell r="CD786">
            <v>4154.21</v>
          </cell>
          <cell r="CE786">
            <v>4052.27</v>
          </cell>
          <cell r="CF786">
            <v>3924.84</v>
          </cell>
          <cell r="CG786">
            <v>5591.74</v>
          </cell>
          <cell r="CH786">
            <v>5199.26</v>
          </cell>
          <cell r="CI786">
            <v>4434.58</v>
          </cell>
          <cell r="CJ786">
            <v>5474.51</v>
          </cell>
          <cell r="CK786">
            <v>5591.74</v>
          </cell>
        </row>
        <row r="788">
          <cell r="BU788">
            <v>29</v>
          </cell>
          <cell r="BV788">
            <v>0.01</v>
          </cell>
          <cell r="BW788">
            <v>6703.01</v>
          </cell>
          <cell r="BX788">
            <v>6332.37</v>
          </cell>
          <cell r="BY788">
            <v>5910.18</v>
          </cell>
          <cell r="BZ788">
            <v>5647.65</v>
          </cell>
          <cell r="CA788">
            <v>5148.26</v>
          </cell>
          <cell r="CB788">
            <v>5148.26</v>
          </cell>
          <cell r="CC788">
            <v>4478.92</v>
          </cell>
          <cell r="CD788">
            <v>4195.75</v>
          </cell>
          <cell r="CE788">
            <v>4092.79</v>
          </cell>
          <cell r="CF788">
            <v>3964.08</v>
          </cell>
          <cell r="CG788">
            <v>5647.65</v>
          </cell>
          <cell r="CH788">
            <v>5251.25</v>
          </cell>
          <cell r="CI788">
            <v>4478.92</v>
          </cell>
          <cell r="CJ788">
            <v>5529.25</v>
          </cell>
          <cell r="CK788">
            <v>5647.65</v>
          </cell>
        </row>
        <row r="790">
          <cell r="BU790">
            <v>30</v>
          </cell>
          <cell r="BV790">
            <v>0.01</v>
          </cell>
          <cell r="BW790">
            <v>6770.04</v>
          </cell>
          <cell r="BX790">
            <v>6395.69</v>
          </cell>
          <cell r="BY790">
            <v>5969.28</v>
          </cell>
          <cell r="BZ790">
            <v>5704.12</v>
          </cell>
          <cell r="CA790">
            <v>5199.74</v>
          </cell>
          <cell r="CB790">
            <v>5199.74</v>
          </cell>
          <cell r="CC790">
            <v>4523.7</v>
          </cell>
          <cell r="CD790">
            <v>4237.7</v>
          </cell>
          <cell r="CE790">
            <v>4133.71</v>
          </cell>
          <cell r="CF790">
            <v>4003.72</v>
          </cell>
          <cell r="CG790">
            <v>5704.12</v>
          </cell>
          <cell r="CH790">
            <v>5303.76</v>
          </cell>
          <cell r="CI790">
            <v>4523.7</v>
          </cell>
          <cell r="CJ790">
            <v>5584.54</v>
          </cell>
          <cell r="CK790">
            <v>5704.12</v>
          </cell>
        </row>
        <row r="792">
          <cell r="BU792">
            <v>31</v>
          </cell>
          <cell r="BV792">
            <v>0.01</v>
          </cell>
          <cell r="BW792">
            <v>6837.74</v>
          </cell>
          <cell r="BX792">
            <v>6459.64</v>
          </cell>
          <cell r="BY792">
            <v>6028.97</v>
          </cell>
          <cell r="BZ792">
            <v>5761.16</v>
          </cell>
          <cell r="CA792">
            <v>5251.73</v>
          </cell>
          <cell r="CB792">
            <v>5251.73</v>
          </cell>
          <cell r="CC792">
            <v>4568.93</v>
          </cell>
          <cell r="CD792">
            <v>4280.07</v>
          </cell>
          <cell r="CE792">
            <v>4175.04</v>
          </cell>
          <cell r="CF792">
            <v>4043.75</v>
          </cell>
          <cell r="CG792">
            <v>5761.16</v>
          </cell>
          <cell r="CH792">
            <v>5356.79</v>
          </cell>
          <cell r="CI792">
            <v>4568.93</v>
          </cell>
          <cell r="CJ792">
            <v>5640.38</v>
          </cell>
          <cell r="CK792">
            <v>5761.16</v>
          </cell>
        </row>
        <row r="794">
          <cell r="BU794">
            <v>32</v>
          </cell>
          <cell r="BV794">
            <v>0.01</v>
          </cell>
          <cell r="BW794">
            <v>6906.11</v>
          </cell>
          <cell r="BX794">
            <v>6524.23</v>
          </cell>
          <cell r="BY794">
            <v>6089.25</v>
          </cell>
          <cell r="BZ794">
            <v>5818.77</v>
          </cell>
          <cell r="CA794">
            <v>5304.24</v>
          </cell>
          <cell r="CB794">
            <v>5304.24</v>
          </cell>
          <cell r="CC794">
            <v>4614.6099999999997</v>
          </cell>
          <cell r="CD794">
            <v>4322.87</v>
          </cell>
          <cell r="CE794">
            <v>4216.79</v>
          </cell>
          <cell r="CF794">
            <v>4084.18</v>
          </cell>
          <cell r="CG794">
            <v>5818.77</v>
          </cell>
          <cell r="CH794">
            <v>5410.35</v>
          </cell>
          <cell r="CI794">
            <v>4614.6099999999997</v>
          </cell>
          <cell r="CJ794">
            <v>5696.78</v>
          </cell>
          <cell r="CK794">
            <v>5818.77</v>
          </cell>
        </row>
        <row r="796">
          <cell r="BU796">
            <v>33</v>
          </cell>
          <cell r="BV796">
            <v>0.01</v>
          </cell>
          <cell r="BW796">
            <v>6975.17</v>
          </cell>
          <cell r="BX796">
            <v>6589.47</v>
          </cell>
          <cell r="BY796">
            <v>6150.14</v>
          </cell>
          <cell r="BZ796">
            <v>5876.95</v>
          </cell>
          <cell r="CA796">
            <v>5357.28</v>
          </cell>
          <cell r="CB796">
            <v>5357.28</v>
          </cell>
          <cell r="CC796">
            <v>4660.75</v>
          </cell>
          <cell r="CD796">
            <v>4366.09</v>
          </cell>
          <cell r="CE796">
            <v>4258.95</v>
          </cell>
          <cell r="CF796">
            <v>4125.0200000000004</v>
          </cell>
          <cell r="CG796">
            <v>5876.95</v>
          </cell>
          <cell r="CH796">
            <v>5464.45</v>
          </cell>
          <cell r="CI796">
            <v>4660.75</v>
          </cell>
          <cell r="CJ796">
            <v>5753.74</v>
          </cell>
          <cell r="CK796">
            <v>5876.95</v>
          </cell>
        </row>
        <row r="798">
          <cell r="BU798">
            <v>34</v>
          </cell>
          <cell r="BV798">
            <v>0.01</v>
          </cell>
          <cell r="BW798">
            <v>7044.92</v>
          </cell>
          <cell r="BX798">
            <v>6655.36</v>
          </cell>
          <cell r="BY798">
            <v>6211.64</v>
          </cell>
          <cell r="BZ798">
            <v>5935.71</v>
          </cell>
          <cell r="CA798">
            <v>5410.85</v>
          </cell>
          <cell r="CB798">
            <v>5410.85</v>
          </cell>
          <cell r="CC798">
            <v>4707.3500000000004</v>
          </cell>
          <cell r="CD798">
            <v>4409.75</v>
          </cell>
          <cell r="CE798">
            <v>4301.53</v>
          </cell>
          <cell r="CF798">
            <v>4166.2700000000004</v>
          </cell>
          <cell r="CG798">
            <v>5935.71</v>
          </cell>
          <cell r="CH798">
            <v>5519.09</v>
          </cell>
          <cell r="CI798">
            <v>4707.3500000000004</v>
          </cell>
          <cell r="CJ798">
            <v>5811.27</v>
          </cell>
          <cell r="CK798">
            <v>5935.71</v>
          </cell>
        </row>
        <row r="800">
          <cell r="BU800">
            <v>35</v>
          </cell>
          <cell r="BV800">
            <v>0.01</v>
          </cell>
          <cell r="BW800">
            <v>7115.36</v>
          </cell>
          <cell r="BX800">
            <v>6721.91</v>
          </cell>
          <cell r="BY800">
            <v>6273.75</v>
          </cell>
          <cell r="BZ800">
            <v>5995.06</v>
          </cell>
          <cell r="CA800">
            <v>5464.95</v>
          </cell>
          <cell r="CB800">
            <v>5464.95</v>
          </cell>
          <cell r="CC800">
            <v>4754.42</v>
          </cell>
          <cell r="CD800">
            <v>4453.84</v>
          </cell>
          <cell r="CE800">
            <v>4344.54</v>
          </cell>
          <cell r="CF800">
            <v>4207.93</v>
          </cell>
          <cell r="CG800">
            <v>5995.06</v>
          </cell>
          <cell r="CH800">
            <v>5574.28</v>
          </cell>
          <cell r="CI800">
            <v>4754.42</v>
          </cell>
          <cell r="CJ800">
            <v>5869.38</v>
          </cell>
          <cell r="CK800">
            <v>5995.06</v>
          </cell>
        </row>
        <row r="802">
          <cell r="BU802">
            <v>36</v>
          </cell>
          <cell r="BV802">
            <v>0.01</v>
          </cell>
          <cell r="BW802">
            <v>7186.51</v>
          </cell>
          <cell r="BX802">
            <v>6789.12</v>
          </cell>
          <cell r="BY802">
            <v>6336.48</v>
          </cell>
          <cell r="BZ802">
            <v>6055.01</v>
          </cell>
          <cell r="CA802">
            <v>5519.59</v>
          </cell>
          <cell r="CB802">
            <v>5519.59</v>
          </cell>
          <cell r="CC802">
            <v>4801.96</v>
          </cell>
          <cell r="CD802">
            <v>4498.37</v>
          </cell>
          <cell r="CE802">
            <v>4387.9799999999996</v>
          </cell>
          <cell r="CF802">
            <v>4250</v>
          </cell>
          <cell r="CG802">
            <v>6055.01</v>
          </cell>
          <cell r="CH802">
            <v>5630.02</v>
          </cell>
          <cell r="CI802">
            <v>4801.96</v>
          </cell>
          <cell r="CJ802">
            <v>5928.07</v>
          </cell>
          <cell r="CK802">
            <v>6055.01</v>
          </cell>
        </row>
      </sheetData>
      <sheetData sheetId="3"/>
      <sheetData sheetId="4"/>
      <sheetData sheetId="5">
        <row r="6">
          <cell r="L6">
            <v>67</v>
          </cell>
        </row>
        <row r="7">
          <cell r="F7">
            <v>507</v>
          </cell>
          <cell r="H7">
            <v>5070</v>
          </cell>
          <cell r="I7">
            <v>0.1</v>
          </cell>
          <cell r="J7">
            <v>0.1</v>
          </cell>
          <cell r="L7">
            <v>64</v>
          </cell>
        </row>
        <row r="8">
          <cell r="F8">
            <v>502.6</v>
          </cell>
          <cell r="H8">
            <v>8660</v>
          </cell>
          <cell r="I8">
            <v>0.14000000000000001</v>
          </cell>
          <cell r="J8">
            <v>0.14000000000000001</v>
          </cell>
        </row>
        <row r="9">
          <cell r="F9">
            <v>1244.3</v>
          </cell>
          <cell r="H9">
            <v>14070</v>
          </cell>
          <cell r="I9">
            <v>0.23</v>
          </cell>
          <cell r="J9">
            <v>0.23</v>
          </cell>
        </row>
        <row r="10">
          <cell r="F10">
            <v>2151</v>
          </cell>
          <cell r="H10">
            <v>21240</v>
          </cell>
          <cell r="I10">
            <v>0.3</v>
          </cell>
          <cell r="J10">
            <v>0.3</v>
          </cell>
        </row>
        <row r="11">
          <cell r="F11">
            <v>6266.7000000000007</v>
          </cell>
          <cell r="H11">
            <v>40230</v>
          </cell>
          <cell r="I11">
            <v>0.33</v>
          </cell>
          <cell r="J11">
            <v>0.33</v>
          </cell>
        </row>
        <row r="12">
          <cell r="I12">
            <v>0.45</v>
          </cell>
          <cell r="J12">
            <v>0.45</v>
          </cell>
        </row>
        <row r="14">
          <cell r="I14">
            <v>209</v>
          </cell>
        </row>
        <row r="15">
          <cell r="I15">
            <v>11650</v>
          </cell>
        </row>
        <row r="16">
          <cell r="I16">
            <v>0.6</v>
          </cell>
          <cell r="N16">
            <v>7990</v>
          </cell>
        </row>
        <row r="17">
          <cell r="B17">
            <v>0.13</v>
          </cell>
          <cell r="C17">
            <v>227640</v>
          </cell>
        </row>
        <row r="18">
          <cell r="B18">
            <v>0.25</v>
          </cell>
          <cell r="C18">
            <v>227640</v>
          </cell>
          <cell r="I18">
            <v>1444</v>
          </cell>
        </row>
        <row r="19">
          <cell r="B19">
            <v>0.2</v>
          </cell>
          <cell r="C19">
            <v>227640</v>
          </cell>
          <cell r="I19">
            <v>2014</v>
          </cell>
        </row>
        <row r="20">
          <cell r="B20">
            <v>0.16</v>
          </cell>
          <cell r="C20">
            <v>151680</v>
          </cell>
        </row>
        <row r="21">
          <cell r="B21">
            <v>0.25</v>
          </cell>
          <cell r="C21">
            <v>151680</v>
          </cell>
        </row>
        <row r="22">
          <cell r="B22">
            <v>0.2</v>
          </cell>
          <cell r="C22">
            <v>151680</v>
          </cell>
          <cell r="I22">
            <v>395</v>
          </cell>
          <cell r="L22">
            <v>4.7E-2</v>
          </cell>
        </row>
        <row r="23">
          <cell r="L23">
            <v>3.5999999999999997E-2</v>
          </cell>
        </row>
        <row r="24">
          <cell r="C24">
            <v>579600</v>
          </cell>
        </row>
        <row r="26">
          <cell r="C26">
            <v>151680</v>
          </cell>
        </row>
        <row r="27">
          <cell r="L27">
            <v>7.4999999999999997E-2</v>
          </cell>
        </row>
        <row r="28">
          <cell r="L28">
            <v>0.05</v>
          </cell>
          <cell r="M28">
            <v>32800</v>
          </cell>
        </row>
        <row r="31">
          <cell r="L31">
            <v>4984.2</v>
          </cell>
        </row>
        <row r="33">
          <cell r="E33">
            <v>3.8999999999999998E-3</v>
          </cell>
          <cell r="F33">
            <v>19.438379999999999</v>
          </cell>
          <cell r="G33">
            <v>6.7900000000000002E-2</v>
          </cell>
          <cell r="H33">
            <v>5076.59782</v>
          </cell>
          <cell r="K33">
            <v>79750</v>
          </cell>
        </row>
        <row r="34">
          <cell r="E34">
            <v>3.1E-2</v>
          </cell>
          <cell r="F34">
            <v>154.5102</v>
          </cell>
          <cell r="G34">
            <v>0.05</v>
          </cell>
        </row>
        <row r="37">
          <cell r="E37">
            <v>4.0000000000000001E-3</v>
          </cell>
          <cell r="F37">
            <v>19.936799999999998</v>
          </cell>
          <cell r="G37">
            <v>7.0000000000000007E-2</v>
          </cell>
          <cell r="H37">
            <v>5233.6060000000007</v>
          </cell>
        </row>
        <row r="42">
          <cell r="J42">
            <v>184</v>
          </cell>
        </row>
      </sheetData>
      <sheetData sheetId="6"/>
      <sheetData sheetId="7">
        <row r="10">
          <cell r="E10" t="str">
            <v>ותק</v>
          </cell>
          <cell r="F10" t="str">
            <v>דרגה</v>
          </cell>
          <cell r="G10">
            <v>1</v>
          </cell>
          <cell r="H10">
            <v>2</v>
          </cell>
          <cell r="I10">
            <v>3</v>
          </cell>
          <cell r="J10">
            <v>4</v>
          </cell>
          <cell r="K10">
            <v>5</v>
          </cell>
          <cell r="L10">
            <v>6</v>
          </cell>
          <cell r="M10">
            <v>7</v>
          </cell>
          <cell r="N10">
            <v>8</v>
          </cell>
          <cell r="O10">
            <v>9</v>
          </cell>
        </row>
        <row r="12">
          <cell r="E12">
            <v>1</v>
          </cell>
          <cell r="G12">
            <v>6300.0034374999996</v>
          </cell>
          <cell r="H12">
            <v>6772.5036953124991</v>
          </cell>
          <cell r="I12">
            <v>7280.441472460936</v>
          </cell>
          <cell r="J12">
            <v>7826.4745828955056</v>
          </cell>
          <cell r="K12">
            <v>8413.4601766126689</v>
          </cell>
          <cell r="L12">
            <v>9044.4696898586189</v>
          </cell>
          <cell r="M12">
            <v>9813.2496134966004</v>
          </cell>
          <cell r="N12">
            <v>10647.37583064381</v>
          </cell>
          <cell r="O12">
            <v>11552.402776248533</v>
          </cell>
        </row>
        <row r="14">
          <cell r="E14">
            <v>2</v>
          </cell>
          <cell r="F14">
            <v>0.02</v>
          </cell>
          <cell r="G14">
            <v>6426.0035062500001</v>
          </cell>
          <cell r="H14">
            <v>6907.9537692187496</v>
          </cell>
          <cell r="I14">
            <v>7426.0503019101552</v>
          </cell>
          <cell r="J14">
            <v>7983.0040745534161</v>
          </cell>
          <cell r="K14">
            <v>8581.7293801449214</v>
          </cell>
          <cell r="L14">
            <v>9225.3590836557905</v>
          </cell>
          <cell r="M14">
            <v>10009.514605766532</v>
          </cell>
          <cell r="N14">
            <v>10860.323347256686</v>
          </cell>
          <cell r="O14">
            <v>11783.450831773504</v>
          </cell>
        </row>
        <row r="16">
          <cell r="E16">
            <v>3</v>
          </cell>
          <cell r="F16">
            <v>0.02</v>
          </cell>
          <cell r="G16">
            <v>6554.5235763750006</v>
          </cell>
          <cell r="H16">
            <v>7046.1128446031253</v>
          </cell>
          <cell r="I16">
            <v>7574.5713079483594</v>
          </cell>
          <cell r="J16">
            <v>8142.6641560444859</v>
          </cell>
          <cell r="K16">
            <v>8753.3639677478222</v>
          </cell>
          <cell r="L16">
            <v>9409.8662653289084</v>
          </cell>
          <cell r="M16">
            <v>10209.704897881866</v>
          </cell>
          <cell r="N16">
            <v>11077.529814201824</v>
          </cell>
          <cell r="O16">
            <v>12019.119848408978</v>
          </cell>
        </row>
        <row r="18">
          <cell r="E18">
            <v>4</v>
          </cell>
          <cell r="F18">
            <v>0.02</v>
          </cell>
          <cell r="G18">
            <v>6685.6140479025007</v>
          </cell>
          <cell r="H18">
            <v>7187.0351014951875</v>
          </cell>
          <cell r="I18">
            <v>7726.0627341073259</v>
          </cell>
          <cell r="J18">
            <v>8305.5174391653745</v>
          </cell>
          <cell r="K18">
            <v>8928.431247102777</v>
          </cell>
          <cell r="L18">
            <v>9598.0635906354855</v>
          </cell>
          <cell r="M18">
            <v>10413.898995839501</v>
          </cell>
          <cell r="N18">
            <v>11299.080410485858</v>
          </cell>
          <cell r="O18">
            <v>12259.502245377156</v>
          </cell>
        </row>
        <row r="20">
          <cell r="E20">
            <v>5</v>
          </cell>
          <cell r="F20">
            <v>0.02</v>
          </cell>
          <cell r="G20">
            <v>6819.3263288605513</v>
          </cell>
          <cell r="H20">
            <v>7330.7758035250927</v>
          </cell>
          <cell r="I20">
            <v>7880.5839887894745</v>
          </cell>
          <cell r="J20">
            <v>8471.6277879486843</v>
          </cell>
          <cell r="K20">
            <v>9106.9998720448348</v>
          </cell>
          <cell r="L20">
            <v>9790.0248624481974</v>
          </cell>
          <cell r="M20">
            <v>10622.176975756294</v>
          </cell>
          <cell r="N20">
            <v>11525.062018695578</v>
          </cell>
          <cell r="O20">
            <v>12504.692290284702</v>
          </cell>
        </row>
        <row r="22">
          <cell r="E22">
            <v>6</v>
          </cell>
          <cell r="F22">
            <v>0.02</v>
          </cell>
          <cell r="G22">
            <v>6955.7128554377623</v>
          </cell>
          <cell r="H22">
            <v>7477.3913195955938</v>
          </cell>
          <cell r="I22">
            <v>8038.1956685652631</v>
          </cell>
          <cell r="J22">
            <v>8641.060343707657</v>
          </cell>
          <cell r="K22">
            <v>9289.1398694857307</v>
          </cell>
          <cell r="L22">
            <v>9985.8253596971608</v>
          </cell>
          <cell r="M22">
            <v>10834.620515271419</v>
          </cell>
          <cell r="N22">
            <v>11755.56325906949</v>
          </cell>
          <cell r="O22">
            <v>12754.786136090395</v>
          </cell>
        </row>
        <row r="24">
          <cell r="E24">
            <v>7</v>
          </cell>
          <cell r="F24">
            <v>0.02</v>
          </cell>
          <cell r="G24">
            <v>7094.827112546518</v>
          </cell>
          <cell r="H24">
            <v>7626.9391459875069</v>
          </cell>
          <cell r="I24">
            <v>8198.9595819365695</v>
          </cell>
          <cell r="J24">
            <v>8813.8815505818111</v>
          </cell>
          <cell r="K24">
            <v>9474.9226668754472</v>
          </cell>
          <cell r="L24">
            <v>10185.541866891106</v>
          </cell>
          <cell r="M24">
            <v>11051.312925576849</v>
          </cell>
          <cell r="N24">
            <v>11990.67452425088</v>
          </cell>
          <cell r="O24">
            <v>13009.881858812205</v>
          </cell>
        </row>
        <row r="26">
          <cell r="E26">
            <v>8</v>
          </cell>
          <cell r="F26">
            <v>0.01</v>
          </cell>
          <cell r="G26">
            <v>7165.775383671983</v>
          </cell>
          <cell r="H26">
            <v>7703.2085374473818</v>
          </cell>
          <cell r="I26">
            <v>8280.9491777559342</v>
          </cell>
          <cell r="J26">
            <v>8902.0203660876286</v>
          </cell>
          <cell r="K26">
            <v>9569.6718935442004</v>
          </cell>
          <cell r="L26">
            <v>10287.397285560015</v>
          </cell>
          <cell r="M26">
            <v>11161.826054832616</v>
          </cell>
          <cell r="N26">
            <v>12110.581269493388</v>
          </cell>
          <cell r="O26">
            <v>13139.980677400326</v>
          </cell>
        </row>
        <row r="28">
          <cell r="E28">
            <v>9</v>
          </cell>
          <cell r="F28">
            <v>0.01</v>
          </cell>
          <cell r="G28">
            <v>7237.4331375087031</v>
          </cell>
          <cell r="H28">
            <v>7780.2406228218551</v>
          </cell>
          <cell r="I28">
            <v>8363.758669533494</v>
          </cell>
          <cell r="J28">
            <v>8991.0405697485057</v>
          </cell>
          <cell r="K28">
            <v>9665.3686124796441</v>
          </cell>
          <cell r="L28">
            <v>10390.271258415616</v>
          </cell>
          <cell r="M28">
            <v>11273.444315380942</v>
          </cell>
          <cell r="N28">
            <v>12231.687082188322</v>
          </cell>
          <cell r="O28">
            <v>13271.380484174329</v>
          </cell>
        </row>
        <row r="30">
          <cell r="E30">
            <v>10</v>
          </cell>
          <cell r="F30">
            <v>0.01</v>
          </cell>
          <cell r="G30">
            <v>7309.8074688837905</v>
          </cell>
          <cell r="H30">
            <v>7858.0430290500744</v>
          </cell>
          <cell r="I30">
            <v>8447.3962562288289</v>
          </cell>
          <cell r="J30">
            <v>9080.9509754459905</v>
          </cell>
          <cell r="K30">
            <v>9762.0222986044391</v>
          </cell>
          <cell r="L30">
            <v>10494.173970999771</v>
          </cell>
          <cell r="M30">
            <v>11386.178758534752</v>
          </cell>
          <cell r="N30">
            <v>12354.003953010206</v>
          </cell>
          <cell r="O30">
            <v>13404.094289016073</v>
          </cell>
        </row>
        <row r="32">
          <cell r="E32">
            <v>11</v>
          </cell>
          <cell r="F32">
            <v>0.01</v>
          </cell>
          <cell r="G32">
            <v>7382.9055435726286</v>
          </cell>
          <cell r="H32">
            <v>7936.6234593405752</v>
          </cell>
          <cell r="I32">
            <v>8531.8702187911185</v>
          </cell>
          <cell r="J32">
            <v>9171.7604852004515</v>
          </cell>
          <cell r="K32">
            <v>9859.6425215904856</v>
          </cell>
          <cell r="L32">
            <v>10599.115710709772</v>
          </cell>
          <cell r="M32">
            <v>11500.040546120103</v>
          </cell>
          <cell r="N32">
            <v>12477.543992540312</v>
          </cell>
          <cell r="O32">
            <v>13538.135231906237</v>
          </cell>
        </row>
        <row r="34">
          <cell r="E34">
            <v>12</v>
          </cell>
          <cell r="F34">
            <v>0.01</v>
          </cell>
          <cell r="G34">
            <v>7456.734599008355</v>
          </cell>
          <cell r="H34">
            <v>8015.9896939339815</v>
          </cell>
          <cell r="I34">
            <v>8617.1889209790297</v>
          </cell>
          <cell r="J34">
            <v>9263.4780900524565</v>
          </cell>
          <cell r="K34">
            <v>9958.2389468063902</v>
          </cell>
          <cell r="L34">
            <v>10705.106867816869</v>
          </cell>
          <cell r="M34">
            <v>11615.040951581303</v>
          </cell>
          <cell r="N34">
            <v>12602.319432465712</v>
          </cell>
          <cell r="O34">
            <v>13673.516584225297</v>
          </cell>
        </row>
        <row r="36">
          <cell r="E36">
            <v>13</v>
          </cell>
          <cell r="F36">
            <v>0.01</v>
          </cell>
          <cell r="G36">
            <v>7531.3019449984386</v>
          </cell>
          <cell r="H36">
            <v>8096.1495908733214</v>
          </cell>
          <cell r="I36">
            <v>8703.3608101888203</v>
          </cell>
          <cell r="J36">
            <v>9356.1128709529821</v>
          </cell>
          <cell r="K36">
            <v>10057.821336274455</v>
          </cell>
          <cell r="L36">
            <v>10812.157936495039</v>
          </cell>
          <cell r="M36">
            <v>11731.191361097117</v>
          </cell>
          <cell r="N36">
            <v>12728.342626790371</v>
          </cell>
          <cell r="O36">
            <v>13810.251750067551</v>
          </cell>
        </row>
        <row r="38">
          <cell r="E38">
            <v>14</v>
          </cell>
          <cell r="F38">
            <v>0.01</v>
          </cell>
          <cell r="G38">
            <v>7606.6149644484231</v>
          </cell>
          <cell r="H38">
            <v>8177.1110867820544</v>
          </cell>
          <cell r="I38">
            <v>8790.3944182907089</v>
          </cell>
          <cell r="J38">
            <v>9449.6739996625111</v>
          </cell>
          <cell r="K38">
            <v>10158.399549637199</v>
          </cell>
          <cell r="L38">
            <v>10920.279515859989</v>
          </cell>
          <cell r="M38">
            <v>11848.503274708088</v>
          </cell>
          <cell r="N38">
            <v>12855.626053058275</v>
          </cell>
          <cell r="O38">
            <v>13948.354267568227</v>
          </cell>
        </row>
        <row r="40">
          <cell r="E40">
            <v>15</v>
          </cell>
          <cell r="F40">
            <v>0.01</v>
          </cell>
          <cell r="G40">
            <v>7682.6811140929076</v>
          </cell>
          <cell r="H40">
            <v>8258.8821976498748</v>
          </cell>
          <cell r="I40">
            <v>8878.2983624736153</v>
          </cell>
          <cell r="J40">
            <v>9544.1707396591355</v>
          </cell>
          <cell r="K40">
            <v>10259.983545133569</v>
          </cell>
          <cell r="L40">
            <v>11029.482311018586</v>
          </cell>
          <cell r="M40">
            <v>11966.988307455165</v>
          </cell>
          <cell r="N40">
            <v>12984.182313588854</v>
          </cell>
          <cell r="O40">
            <v>14087.837810243906</v>
          </cell>
        </row>
        <row r="42">
          <cell r="E42">
            <v>16</v>
          </cell>
          <cell r="F42">
            <v>0.01</v>
          </cell>
          <cell r="G42">
            <v>7759.5079252338364</v>
          </cell>
          <cell r="H42">
            <v>8341.4710196263732</v>
          </cell>
          <cell r="I42">
            <v>8967.08134609835</v>
          </cell>
          <cell r="J42">
            <v>9639.6124470557261</v>
          </cell>
          <cell r="K42">
            <v>10362.583380584905</v>
          </cell>
          <cell r="L42">
            <v>11139.777134128773</v>
          </cell>
          <cell r="M42">
            <v>12086.658190529719</v>
          </cell>
          <cell r="N42">
            <v>13114.024136724745</v>
          </cell>
          <cell r="O42">
            <v>14228.716188346349</v>
          </cell>
        </row>
        <row r="44">
          <cell r="E44">
            <v>17</v>
          </cell>
          <cell r="F44">
            <v>0.01</v>
          </cell>
          <cell r="G44">
            <v>7837.1030044861745</v>
          </cell>
          <cell r="H44">
            <v>8424.8857298226376</v>
          </cell>
          <cell r="I44">
            <v>9056.7521595593353</v>
          </cell>
          <cell r="J44">
            <v>9736.0085715262849</v>
          </cell>
          <cell r="K44">
            <v>10466.209214390756</v>
          </cell>
          <cell r="L44">
            <v>11251.174905470061</v>
          </cell>
          <cell r="M44">
            <v>12207.524772435016</v>
          </cell>
          <cell r="N44">
            <v>13245.164378091991</v>
          </cell>
          <cell r="O44">
            <v>14371.00335022981</v>
          </cell>
        </row>
        <row r="46">
          <cell r="E46">
            <v>18</v>
          </cell>
          <cell r="F46">
            <v>0.01</v>
          </cell>
          <cell r="G46">
            <v>7915.4740345310365</v>
          </cell>
          <cell r="H46">
            <v>8509.1345871208632</v>
          </cell>
          <cell r="I46">
            <v>9147.3196811549278</v>
          </cell>
          <cell r="J46">
            <v>9833.3686572415463</v>
          </cell>
          <cell r="K46">
            <v>10570.871306534662</v>
          </cell>
          <cell r="L46">
            <v>11363.686654524761</v>
          </cell>
          <cell r="M46">
            <v>12329.600020159365</v>
          </cell>
          <cell r="N46">
            <v>13377.616021872911</v>
          </cell>
          <cell r="O46">
            <v>14514.713383732107</v>
          </cell>
        </row>
        <row r="48">
          <cell r="E48">
            <v>19</v>
          </cell>
          <cell r="F48">
            <v>0.01</v>
          </cell>
          <cell r="G48">
            <v>7994.6287748763471</v>
          </cell>
          <cell r="H48">
            <v>8594.2259329920726</v>
          </cell>
          <cell r="I48">
            <v>9238.792877966478</v>
          </cell>
          <cell r="J48">
            <v>9931.702343813964</v>
          </cell>
          <cell r="K48">
            <v>10676.580019600011</v>
          </cell>
          <cell r="L48">
            <v>11477.323521070011</v>
          </cell>
          <cell r="M48">
            <v>12452.896020360962</v>
          </cell>
          <cell r="N48">
            <v>13511.392182091644</v>
          </cell>
          <cell r="O48">
            <v>14659.860517569434</v>
          </cell>
        </row>
        <row r="50">
          <cell r="E50">
            <v>20</v>
          </cell>
          <cell r="F50">
            <v>0.01</v>
          </cell>
          <cell r="G50">
            <v>8074.5750626251101</v>
          </cell>
          <cell r="H50">
            <v>8680.168192321993</v>
          </cell>
          <cell r="I50">
            <v>9331.1808067461425</v>
          </cell>
          <cell r="J50">
            <v>10031.019367252104</v>
          </cell>
          <cell r="K50">
            <v>10783.345819796012</v>
          </cell>
          <cell r="L50">
            <v>11592.096756280713</v>
          </cell>
          <cell r="M50">
            <v>12577.424980564572</v>
          </cell>
          <cell r="N50">
            <v>13646.506103912561</v>
          </cell>
          <cell r="O50">
            <v>14806.459122745129</v>
          </cell>
        </row>
        <row r="52">
          <cell r="E52">
            <v>21</v>
          </cell>
          <cell r="F52">
            <v>0.01</v>
          </cell>
          <cell r="G52">
            <v>8155.320813251361</v>
          </cell>
          <cell r="H52">
            <v>8766.9698742452128</v>
          </cell>
          <cell r="I52">
            <v>9424.4926148136037</v>
          </cell>
          <cell r="J52">
            <v>10131.329560924623</v>
          </cell>
          <cell r="K52">
            <v>10891.17927799397</v>
          </cell>
          <cell r="L52">
            <v>11708.017723843517</v>
          </cell>
          <cell r="M52">
            <v>12703.199230370215</v>
          </cell>
          <cell r="N52">
            <v>13782.971164951683</v>
          </cell>
          <cell r="O52">
            <v>14954.523713972576</v>
          </cell>
        </row>
        <row r="54">
          <cell r="E54">
            <v>22</v>
          </cell>
          <cell r="F54">
            <v>0.01</v>
          </cell>
          <cell r="G54">
            <v>8236.8740213838755</v>
          </cell>
          <cell r="H54">
            <v>8854.6395729876658</v>
          </cell>
          <cell r="I54">
            <v>9518.7375409617398</v>
          </cell>
          <cell r="J54">
            <v>10232.64285653387</v>
          </cell>
          <cell r="K54">
            <v>11000.091070773909</v>
          </cell>
          <cell r="L54">
            <v>11825.097901081952</v>
          </cell>
          <cell r="M54">
            <v>12830.231222673918</v>
          </cell>
          <cell r="N54">
            <v>13920.800876601201</v>
          </cell>
          <cell r="O54">
            <v>15104.068951112302</v>
          </cell>
        </row>
        <row r="56">
          <cell r="E56">
            <v>23</v>
          </cell>
          <cell r="F56">
            <v>0.01</v>
          </cell>
          <cell r="G56">
            <v>8319.242761597714</v>
          </cell>
          <cell r="H56">
            <v>8943.185968717542</v>
          </cell>
          <cell r="I56">
            <v>9613.9249163713575</v>
          </cell>
          <cell r="J56">
            <v>10334.969285099209</v>
          </cell>
          <cell r="K56">
            <v>11110.09198148165</v>
          </cell>
          <cell r="L56">
            <v>11943.348880092773</v>
          </cell>
          <cell r="M56">
            <v>12958.533534900658</v>
          </cell>
          <cell r="N56">
            <v>14060.008885367213</v>
          </cell>
          <cell r="O56">
            <v>15255.109640623426</v>
          </cell>
        </row>
        <row r="58">
          <cell r="E58">
            <v>24</v>
          </cell>
          <cell r="F58">
            <v>0.01</v>
          </cell>
          <cell r="G58">
            <v>8402.435189213691</v>
          </cell>
          <cell r="H58">
            <v>9032.6178284047182</v>
          </cell>
          <cell r="I58">
            <v>9710.0641655350719</v>
          </cell>
          <cell r="J58">
            <v>10438.318977950203</v>
          </cell>
          <cell r="K58">
            <v>11221.192901296467</v>
          </cell>
          <cell r="L58">
            <v>12062.782368893701</v>
          </cell>
          <cell r="M58">
            <v>13088.118870249664</v>
          </cell>
          <cell r="N58">
            <v>14200.608974220884</v>
          </cell>
          <cell r="O58">
            <v>15407.660737029659</v>
          </cell>
        </row>
        <row r="60">
          <cell r="E60">
            <v>25</v>
          </cell>
          <cell r="F60">
            <v>0.01</v>
          </cell>
          <cell r="G60">
            <v>8486.4595411058272</v>
          </cell>
          <cell r="H60">
            <v>9122.9440066887637</v>
          </cell>
          <cell r="I60">
            <v>9807.1648071904201</v>
          </cell>
          <cell r="J60">
            <v>10542.702167729702</v>
          </cell>
          <cell r="K60">
            <v>11333.40483030943</v>
          </cell>
          <cell r="L60">
            <v>12183.410192582636</v>
          </cell>
          <cell r="M60">
            <v>13219.000058952161</v>
          </cell>
          <cell r="N60">
            <v>14342.615063963094</v>
          </cell>
          <cell r="O60">
            <v>15561.737344399957</v>
          </cell>
        </row>
        <row r="62">
          <cell r="E62">
            <v>26</v>
          </cell>
          <cell r="F62">
            <v>0.01</v>
          </cell>
          <cell r="G62">
            <v>8571.3241365168851</v>
          </cell>
          <cell r="H62">
            <v>9214.1734467556507</v>
          </cell>
          <cell r="I62">
            <v>9905.2364552623239</v>
          </cell>
          <cell r="J62">
            <v>10648.129189406998</v>
          </cell>
          <cell r="K62">
            <v>11446.738878612523</v>
          </cell>
          <cell r="L62">
            <v>12305.244294508462</v>
          </cell>
          <cell r="M62">
            <v>13351.190059541681</v>
          </cell>
          <cell r="N62">
            <v>14486.041214602723</v>
          </cell>
          <cell r="O62">
            <v>15717.354717843953</v>
          </cell>
        </row>
        <row r="64">
          <cell r="E64">
            <v>27</v>
          </cell>
          <cell r="F64">
            <v>0.01</v>
          </cell>
          <cell r="G64">
            <v>8657.037377882054</v>
          </cell>
          <cell r="H64">
            <v>9306.3151812232081</v>
          </cell>
          <cell r="I64">
            <v>10004.288819814949</v>
          </cell>
          <cell r="J64">
            <v>10754.61048130107</v>
          </cell>
          <cell r="K64">
            <v>11561.206267398649</v>
          </cell>
          <cell r="L64">
            <v>12428.296737453547</v>
          </cell>
          <cell r="M64">
            <v>13484.701960137099</v>
          </cell>
          <cell r="N64">
            <v>14630.901626748753</v>
          </cell>
          <cell r="O64">
            <v>15874.528265022396</v>
          </cell>
        </row>
        <row r="66">
          <cell r="E66">
            <v>28</v>
          </cell>
          <cell r="F66">
            <v>0.01</v>
          </cell>
          <cell r="G66">
            <v>8743.6077516608748</v>
          </cell>
          <cell r="H66">
            <v>9399.3783330354399</v>
          </cell>
          <cell r="I66">
            <v>10104.331708013098</v>
          </cell>
          <cell r="J66">
            <v>10862.156586114081</v>
          </cell>
          <cell r="K66">
            <v>11676.818330072636</v>
          </cell>
          <cell r="L66">
            <v>12552.579704828084</v>
          </cell>
          <cell r="M66">
            <v>13619.548979738471</v>
          </cell>
          <cell r="N66">
            <v>14777.21064301624</v>
          </cell>
          <cell r="O66">
            <v>16033.273547672619</v>
          </cell>
        </row>
        <row r="68">
          <cell r="E68">
            <v>29</v>
          </cell>
          <cell r="F68">
            <v>0.01</v>
          </cell>
          <cell r="G68">
            <v>8831.0438291774844</v>
          </cell>
          <cell r="H68">
            <v>9493.3721163657956</v>
          </cell>
          <cell r="I68">
            <v>10205.37502509323</v>
          </cell>
          <cell r="J68">
            <v>10970.778151975222</v>
          </cell>
          <cell r="K68">
            <v>11793.586513373364</v>
          </cell>
          <cell r="L68">
            <v>12678.105501876365</v>
          </cell>
          <cell r="M68">
            <v>13755.744469535855</v>
          </cell>
          <cell r="N68">
            <v>14924.982749446403</v>
          </cell>
          <cell r="O68">
            <v>16193.606283149345</v>
          </cell>
        </row>
        <row r="70">
          <cell r="E70">
            <v>30</v>
          </cell>
          <cell r="F70">
            <v>0.01</v>
          </cell>
          <cell r="G70">
            <v>8919.3542674692599</v>
          </cell>
          <cell r="H70">
            <v>9588.3058375294531</v>
          </cell>
          <cell r="I70">
            <v>10307.428775344162</v>
          </cell>
          <cell r="J70">
            <v>11080.485933494974</v>
          </cell>
          <cell r="K70">
            <v>11911.522378507098</v>
          </cell>
          <cell r="L70">
            <v>12804.88655689513</v>
          </cell>
          <cell r="M70">
            <v>13893.301914231215</v>
          </cell>
          <cell r="N70">
            <v>15074.232576940867</v>
          </cell>
          <cell r="O70">
            <v>16355.542345980841</v>
          </cell>
        </row>
        <row r="72">
          <cell r="E72">
            <v>31</v>
          </cell>
          <cell r="F72">
            <v>0.01</v>
          </cell>
          <cell r="G72">
            <v>9008.547810143953</v>
          </cell>
          <cell r="H72">
            <v>9684.1888959047483</v>
          </cell>
          <cell r="I72">
            <v>10410.503063097603</v>
          </cell>
          <cell r="J72">
            <v>11191.290792829923</v>
          </cell>
          <cell r="K72">
            <v>12030.637602292167</v>
          </cell>
          <cell r="L72">
            <v>12932.935422464079</v>
          </cell>
          <cell r="M72">
            <v>14032.234933373526</v>
          </cell>
          <cell r="N72">
            <v>15224.974902710275</v>
          </cell>
          <cell r="O72">
            <v>16519.097769440647</v>
          </cell>
        </row>
        <row r="74">
          <cell r="E74">
            <v>32</v>
          </cell>
          <cell r="F74">
            <v>0.01</v>
          </cell>
          <cell r="G74">
            <v>9098.6332882453935</v>
          </cell>
          <cell r="H74">
            <v>9781.0307848637967</v>
          </cell>
          <cell r="I74">
            <v>10514.608093728581</v>
          </cell>
          <cell r="J74">
            <v>11303.203700758224</v>
          </cell>
          <cell r="K74">
            <v>12150.94397831509</v>
          </cell>
          <cell r="L74">
            <v>13062.264776688722</v>
          </cell>
          <cell r="M74">
            <v>14172.557282707263</v>
          </cell>
          <cell r="N74">
            <v>15377.224651737381</v>
          </cell>
          <cell r="O74">
            <v>16684.288747135059</v>
          </cell>
        </row>
        <row r="76">
          <cell r="E76">
            <v>33</v>
          </cell>
          <cell r="F76">
            <v>0.01</v>
          </cell>
          <cell r="G76">
            <v>9189.6196211278475</v>
          </cell>
          <cell r="H76">
            <v>9878.8410927124351</v>
          </cell>
          <cell r="I76">
            <v>10619.754174665868</v>
          </cell>
          <cell r="J76">
            <v>11416.235737765808</v>
          </cell>
          <cell r="K76">
            <v>12272.453418098243</v>
          </cell>
          <cell r="L76">
            <v>13192.88742445561</v>
          </cell>
          <cell r="M76">
            <v>14314.282855534337</v>
          </cell>
          <cell r="N76">
            <v>15530.996898254754</v>
          </cell>
          <cell r="O76">
            <v>16851.131634606409</v>
          </cell>
        </row>
        <row r="78">
          <cell r="E78">
            <v>34</v>
          </cell>
          <cell r="F78">
            <v>0.01</v>
          </cell>
          <cell r="G78">
            <v>9281.5158173391264</v>
          </cell>
          <cell r="H78">
            <v>9977.6295036395604</v>
          </cell>
          <cell r="I78">
            <v>10725.951716412526</v>
          </cell>
          <cell r="J78">
            <v>11530.398095143466</v>
          </cell>
          <cell r="K78">
            <v>12395.177952279226</v>
          </cell>
          <cell r="L78">
            <v>13324.816298700167</v>
          </cell>
          <cell r="M78">
            <v>14457.425684089681</v>
          </cell>
          <cell r="N78">
            <v>15686.306867237305</v>
          </cell>
          <cell r="O78">
            <v>17019.642950952475</v>
          </cell>
        </row>
        <row r="80">
          <cell r="E80">
            <v>35</v>
          </cell>
          <cell r="F80">
            <v>0.01</v>
          </cell>
          <cell r="G80">
            <v>9374.3309755125174</v>
          </cell>
          <cell r="H80">
            <v>10077.405798675956</v>
          </cell>
          <cell r="I80">
            <v>10833.211233576652</v>
          </cell>
          <cell r="J80">
            <v>11645.702076094902</v>
          </cell>
          <cell r="K80">
            <v>12519.129731802019</v>
          </cell>
          <cell r="L80">
            <v>13458.06446168717</v>
          </cell>
          <cell r="M80">
            <v>14601.99994093058</v>
          </cell>
          <cell r="N80">
            <v>15843.169935909678</v>
          </cell>
          <cell r="O80">
            <v>17189.839380461999</v>
          </cell>
        </row>
        <row r="82">
          <cell r="E82">
            <v>36</v>
          </cell>
          <cell r="F82">
            <v>0.01</v>
          </cell>
          <cell r="G82">
            <v>9468.0742852676431</v>
          </cell>
          <cell r="H82">
            <v>10178.179856662717</v>
          </cell>
          <cell r="I82">
            <v>10941.54334591242</v>
          </cell>
          <cell r="J82">
            <v>11762.15909685585</v>
          </cell>
          <cell r="K82">
            <v>12644.321029120039</v>
          </cell>
          <cell r="L82">
            <v>13592.645106304042</v>
          </cell>
          <cell r="M82">
            <v>14748.019940339886</v>
          </cell>
          <cell r="N82">
            <v>16001.601635268775</v>
          </cell>
          <cell r="O82">
            <v>17361.737774266621</v>
          </cell>
        </row>
        <row r="84">
          <cell r="E84">
            <v>36</v>
          </cell>
          <cell r="F84">
            <v>0.01</v>
          </cell>
          <cell r="G84">
            <v>9562.7550281203203</v>
          </cell>
          <cell r="H84">
            <v>10279.961655229345</v>
          </cell>
          <cell r="I84">
            <v>11050.958779371545</v>
          </cell>
          <cell r="J84">
            <v>11879.78068782441</v>
          </cell>
          <cell r="K84">
            <v>12770.764239411241</v>
          </cell>
          <cell r="L84">
            <v>13728.571557367084</v>
          </cell>
          <cell r="M84">
            <v>14895.500139743286</v>
          </cell>
          <cell r="N84">
            <v>16161.617651621465</v>
          </cell>
          <cell r="O84">
            <v>17535.355152009288</v>
          </cell>
        </row>
      </sheetData>
      <sheetData sheetId="8"/>
    </sheetDataSet>
  </externalBook>
</externalLink>
</file>

<file path=xl/theme/theme1.xml><?xml version="1.0" encoding="utf-8"?>
<a:theme xmlns:a="http://schemas.openxmlformats.org/drawingml/2006/main" name="ערכת נושא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ozar.mof.gov.il/itc/tfasim/PRINT/116c.pdf" TargetMode="External"/><Relationship Id="rId3" Type="http://schemas.openxmlformats.org/officeDocument/2006/relationships/hyperlink" Target="http://ozar.mof.gov.il/itc/tfasim/PRINT/116c.pdf" TargetMode="External"/><Relationship Id="rId7" Type="http://schemas.openxmlformats.org/officeDocument/2006/relationships/hyperlink" Target="http://ozar.mof.gov.il/itc/tfasim/PRINT/161aNew.pdf" TargetMode="External"/><Relationship Id="rId2" Type="http://schemas.openxmlformats.org/officeDocument/2006/relationships/hyperlink" Target="http://ozar.mof.gov.il/itc/tfasim/PRINT/161aNew.pdf" TargetMode="External"/><Relationship Id="rId1" Type="http://schemas.openxmlformats.org/officeDocument/2006/relationships/hyperlink" Target="http://www.simulator.022.co.il/BRPortal/br/P100.jsp" TargetMode="External"/><Relationship Id="rId6" Type="http://schemas.openxmlformats.org/officeDocument/2006/relationships/hyperlink" Target="http://www.simulator.022.co.il/BRPortal/br/P100.jsp" TargetMode="External"/><Relationship Id="rId11" Type="http://schemas.openxmlformats.org/officeDocument/2006/relationships/comments" Target="../comments1.xml"/><Relationship Id="rId5" Type="http://schemas.openxmlformats.org/officeDocument/2006/relationships/hyperlink" Target="http://www.gmulim.co.il/_Uploads/57ofek_hadash.doc" TargetMode="External"/><Relationship Id="rId10" Type="http://schemas.openxmlformats.org/officeDocument/2006/relationships/vmlDrawing" Target="../drawings/vmlDrawing1.vml"/><Relationship Id="rId4" Type="http://schemas.openxmlformats.org/officeDocument/2006/relationships/hyperlink" Target="mailto:ezranf@013.net?subject=&#1505;&#1497;&#1502;&#1493;&#1500;&#1496;&#1493;&#1512;%20&#1508;&#1504;&#1505;&#1497;&#1492;%20%20" TargetMode="External"/><Relationship Id="rId9"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hyperlink" Target="http://ozar.mof.gov.il/itc/tfasim/PRINT/116c.pdf" TargetMode="External"/><Relationship Id="rId3" Type="http://schemas.openxmlformats.org/officeDocument/2006/relationships/hyperlink" Target="http://ozar.mof.gov.il/itc/tfasim/PRINT/116c.pdf" TargetMode="External"/><Relationship Id="rId7" Type="http://schemas.openxmlformats.org/officeDocument/2006/relationships/hyperlink" Target="http://ozar.mof.gov.il/itc/tfasim/PRINT/161aNew.pdf" TargetMode="External"/><Relationship Id="rId2" Type="http://schemas.openxmlformats.org/officeDocument/2006/relationships/hyperlink" Target="http://ozar.mof.gov.il/itc/tfasim/PRINT/161aNew.pdf" TargetMode="External"/><Relationship Id="rId1" Type="http://schemas.openxmlformats.org/officeDocument/2006/relationships/hyperlink" Target="http://www.simulator.022.co.il/BRPortal/br/P100.jsp" TargetMode="External"/><Relationship Id="rId6" Type="http://schemas.openxmlformats.org/officeDocument/2006/relationships/hyperlink" Target="http://www.simulator.022.co.il/BRPortal/br/P100.jsp" TargetMode="External"/><Relationship Id="rId5" Type="http://schemas.openxmlformats.org/officeDocument/2006/relationships/hyperlink" Target="http://www.gmulim.co.il/_Uploads/57ofek_hadash.doc" TargetMode="External"/><Relationship Id="rId10" Type="http://schemas.openxmlformats.org/officeDocument/2006/relationships/comments" Target="../comments2.xml"/><Relationship Id="rId4" Type="http://schemas.openxmlformats.org/officeDocument/2006/relationships/hyperlink" Target="mailto:ezranf@013.net?subject=&#1505;&#1497;&#1502;&#1493;&#1500;&#1496;&#1493;&#1512;%20&#1508;&#1504;&#1505;&#1497;&#1492;%20%20" TargetMode="External"/><Relationship Id="rId9"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1A916A-A594-4872-A5FE-DB44C4F28814}">
  <dimension ref="A1:BQ68"/>
  <sheetViews>
    <sheetView rightToLeft="1" tabSelected="1" zoomScaleNormal="100" workbookViewId="0">
      <selection activeCell="B8" sqref="B8"/>
    </sheetView>
  </sheetViews>
  <sheetFormatPr defaultRowHeight="14.25" x14ac:dyDescent="0.2"/>
  <cols>
    <col min="1" max="1" width="31.375" customWidth="1"/>
    <col min="3" max="3" width="29.25" customWidth="1"/>
    <col min="4" max="4" width="29.375" customWidth="1"/>
    <col min="5" max="5" width="18.25" customWidth="1"/>
    <col min="7" max="7" width="34.125" customWidth="1"/>
  </cols>
  <sheetData>
    <row r="1" spans="1:7" ht="16.5" thickTop="1" thickBot="1" x14ac:dyDescent="0.3">
      <c r="A1" s="8" t="s">
        <v>35</v>
      </c>
      <c r="B1" s="9"/>
      <c r="C1" s="34" t="s">
        <v>74</v>
      </c>
      <c r="D1" s="34"/>
      <c r="E1" s="34"/>
      <c r="F1" s="27"/>
    </row>
    <row r="2" spans="1:7" ht="15" thickTop="1" x14ac:dyDescent="0.2">
      <c r="A2" s="1" t="s">
        <v>0</v>
      </c>
      <c r="B2" s="2" t="s">
        <v>1</v>
      </c>
      <c r="C2" t="s">
        <v>24</v>
      </c>
    </row>
    <row r="3" spans="1:7" x14ac:dyDescent="0.2">
      <c r="A3" s="1" t="s">
        <v>2</v>
      </c>
      <c r="B3" s="3">
        <v>25</v>
      </c>
      <c r="C3" t="s">
        <v>47</v>
      </c>
    </row>
    <row r="4" spans="1:7" x14ac:dyDescent="0.2">
      <c r="A4" s="1" t="s">
        <v>3</v>
      </c>
      <c r="B4" s="192">
        <f>IF(B9&gt;0%,0,6%)</f>
        <v>0.06</v>
      </c>
      <c r="C4" s="22" t="s">
        <v>36</v>
      </c>
      <c r="D4" s="22" t="s">
        <v>22</v>
      </c>
    </row>
    <row r="5" spans="1:7" x14ac:dyDescent="0.2">
      <c r="A5" s="1" t="s">
        <v>4</v>
      </c>
      <c r="B5" s="193">
        <f>IF(B2=B33,8.75,IF(B2=C33,8.75,0))</f>
        <v>8.75</v>
      </c>
      <c r="C5" s="22" t="s">
        <v>36</v>
      </c>
      <c r="D5" s="22" t="s">
        <v>23</v>
      </c>
    </row>
    <row r="6" spans="1:7" x14ac:dyDescent="0.2">
      <c r="A6" s="1" t="s">
        <v>38</v>
      </c>
      <c r="B6" s="5">
        <v>16</v>
      </c>
      <c r="C6" t="s">
        <v>24</v>
      </c>
    </row>
    <row r="7" spans="1:7" x14ac:dyDescent="0.2">
      <c r="A7" s="1" t="s">
        <v>5</v>
      </c>
      <c r="B7" s="4">
        <v>0.05</v>
      </c>
      <c r="C7" t="s">
        <v>45</v>
      </c>
    </row>
    <row r="8" spans="1:7" x14ac:dyDescent="0.2">
      <c r="A8" s="1" t="s">
        <v>37</v>
      </c>
      <c r="B8" s="4">
        <v>1.1379999999999999</v>
      </c>
      <c r="C8" t="s">
        <v>44</v>
      </c>
    </row>
    <row r="9" spans="1:7" x14ac:dyDescent="0.2">
      <c r="A9" s="6" t="s">
        <v>6</v>
      </c>
      <c r="B9" s="4">
        <v>0</v>
      </c>
      <c r="C9" t="s">
        <v>46</v>
      </c>
    </row>
    <row r="10" spans="1:7" x14ac:dyDescent="0.2">
      <c r="A10" s="6" t="s">
        <v>7</v>
      </c>
      <c r="B10" s="4" t="s">
        <v>8</v>
      </c>
      <c r="C10" t="s">
        <v>25</v>
      </c>
      <c r="E10" s="10"/>
    </row>
    <row r="11" spans="1:7" ht="15" thickBot="1" x14ac:dyDescent="0.25">
      <c r="A11" s="17" t="s">
        <v>42</v>
      </c>
      <c r="B11" s="18" t="s">
        <v>26</v>
      </c>
      <c r="C11" t="s">
        <v>43</v>
      </c>
      <c r="E11" s="10"/>
    </row>
    <row r="12" spans="1:7" ht="15.75" thickTop="1" x14ac:dyDescent="0.25">
      <c r="A12" s="14" t="s">
        <v>42</v>
      </c>
      <c r="B12" s="15">
        <v>1</v>
      </c>
      <c r="C12" t="s">
        <v>51</v>
      </c>
    </row>
    <row r="13" spans="1:7" ht="15" x14ac:dyDescent="0.25">
      <c r="A13" s="14" t="s">
        <v>30</v>
      </c>
      <c r="B13" s="15">
        <v>0.60599999999999998</v>
      </c>
      <c r="C13" t="s">
        <v>50</v>
      </c>
    </row>
    <row r="14" spans="1:7" ht="15" x14ac:dyDescent="0.25">
      <c r="A14" s="14" t="s">
        <v>31</v>
      </c>
      <c r="B14" s="15">
        <v>0.33600000000000002</v>
      </c>
      <c r="C14" t="s">
        <v>49</v>
      </c>
      <c r="D14" s="194" t="s">
        <v>608</v>
      </c>
      <c r="E14" s="194"/>
      <c r="F14" s="194"/>
      <c r="G14" s="194"/>
    </row>
    <row r="15" spans="1:7" ht="15.75" thickBot="1" x14ac:dyDescent="0.3">
      <c r="A15" s="16"/>
      <c r="B15" s="16"/>
      <c r="C15" s="16"/>
      <c r="D15" s="13" t="s">
        <v>40</v>
      </c>
      <c r="E15" s="197">
        <v>13</v>
      </c>
      <c r="F15" s="198">
        <f>($E$15/24)+AX44</f>
        <v>0.60602310231023093</v>
      </c>
      <c r="G15" s="11" t="s">
        <v>30</v>
      </c>
    </row>
    <row r="16" spans="1:7" ht="15.75" thickBot="1" x14ac:dyDescent="0.3">
      <c r="D16" s="13" t="s">
        <v>41</v>
      </c>
      <c r="E16" s="197">
        <v>9</v>
      </c>
      <c r="F16" s="198">
        <f>$E$16/30+AX45</f>
        <v>0.33564356435643561</v>
      </c>
      <c r="G16" s="11" t="s">
        <v>31</v>
      </c>
    </row>
    <row r="17" spans="1:69" x14ac:dyDescent="0.2">
      <c r="A17" s="6" t="s">
        <v>39</v>
      </c>
      <c r="C17" s="208"/>
      <c r="D17" s="208"/>
      <c r="E17" s="208"/>
    </row>
    <row r="18" spans="1:69" x14ac:dyDescent="0.2">
      <c r="C18" s="19"/>
      <c r="D18" s="19"/>
      <c r="E18" s="19"/>
      <c r="F18" s="6"/>
      <c r="H18" s="10"/>
    </row>
    <row r="19" spans="1:69" x14ac:dyDescent="0.2">
      <c r="A19" t="s">
        <v>48</v>
      </c>
      <c r="C19" s="19"/>
      <c r="D19" s="19"/>
      <c r="E19" s="19"/>
      <c r="F19" s="6"/>
      <c r="H19" s="10"/>
    </row>
    <row r="20" spans="1:69" ht="15" thickBot="1" x14ac:dyDescent="0.25">
      <c r="A20" s="7" t="s">
        <v>33</v>
      </c>
      <c r="B20" s="195">
        <v>1</v>
      </c>
      <c r="C20" s="19" t="s">
        <v>34</v>
      </c>
      <c r="D20" s="19"/>
      <c r="E20" s="19"/>
    </row>
    <row r="21" spans="1:69" ht="15" thickTop="1" x14ac:dyDescent="0.2">
      <c r="A21" s="6" t="s">
        <v>32</v>
      </c>
      <c r="B21" s="196">
        <v>0</v>
      </c>
      <c r="C21" s="19"/>
      <c r="D21" s="20"/>
      <c r="E21" s="19"/>
    </row>
    <row r="22" spans="1:69" x14ac:dyDescent="0.2">
      <c r="C22" s="19"/>
      <c r="D22" s="19"/>
      <c r="E22" s="19"/>
    </row>
    <row r="23" spans="1:69" x14ac:dyDescent="0.2">
      <c r="C23" s="19"/>
      <c r="D23" s="21"/>
      <c r="E23" s="21"/>
      <c r="F23" s="12"/>
    </row>
    <row r="24" spans="1:69" x14ac:dyDescent="0.2">
      <c r="B24" s="12"/>
      <c r="C24" s="19"/>
      <c r="D24" s="21"/>
      <c r="E24" s="21"/>
      <c r="F24" s="12"/>
    </row>
    <row r="25" spans="1:69" x14ac:dyDescent="0.2">
      <c r="A25" s="12"/>
      <c r="B25" s="12"/>
      <c r="C25" s="21"/>
      <c r="D25" s="21"/>
      <c r="E25" s="21"/>
      <c r="F25" s="12"/>
    </row>
    <row r="26" spans="1:69" x14ac:dyDescent="0.2">
      <c r="C26" s="21"/>
      <c r="D26" s="19"/>
      <c r="E26" s="19"/>
      <c r="J26" s="199"/>
      <c r="K26" s="199"/>
      <c r="L26" s="199"/>
      <c r="M26" s="199"/>
      <c r="N26" s="199"/>
      <c r="O26" s="199"/>
      <c r="P26" s="199"/>
      <c r="Q26" s="199"/>
      <c r="R26" s="199"/>
      <c r="S26" s="199"/>
      <c r="T26" s="199"/>
      <c r="U26" s="199"/>
      <c r="V26" s="199"/>
      <c r="W26" s="199"/>
      <c r="X26" s="199"/>
      <c r="Y26" s="199"/>
      <c r="Z26" s="199"/>
      <c r="AA26" s="199"/>
      <c r="AB26" s="199"/>
      <c r="AC26" s="199"/>
      <c r="AD26" s="199"/>
      <c r="AE26" s="199"/>
      <c r="AF26" s="199"/>
      <c r="AG26" s="199"/>
      <c r="AH26" s="199"/>
      <c r="AI26" s="199"/>
      <c r="AJ26" s="199"/>
      <c r="AK26" s="199"/>
      <c r="AL26" s="199"/>
      <c r="AM26" s="199"/>
      <c r="AN26" s="199"/>
      <c r="AO26" s="199"/>
      <c r="AP26" s="199"/>
      <c r="AQ26" s="199"/>
      <c r="AR26" s="199"/>
      <c r="AS26" s="199"/>
      <c r="AT26" s="199"/>
      <c r="AU26" s="199"/>
      <c r="AV26" s="199"/>
      <c r="AW26" s="199"/>
      <c r="AX26" s="199"/>
      <c r="AY26" s="199"/>
      <c r="AZ26" s="199"/>
      <c r="BA26" s="199"/>
      <c r="BB26" s="199"/>
      <c r="BC26" s="199"/>
      <c r="BD26" s="199"/>
      <c r="BE26" s="199"/>
      <c r="BF26" s="199"/>
      <c r="BG26" s="199"/>
      <c r="BH26" s="199"/>
      <c r="BI26" s="199"/>
      <c r="BJ26" s="199"/>
      <c r="BK26" s="199"/>
      <c r="BL26" s="199"/>
      <c r="BM26" s="199"/>
      <c r="BN26" s="199"/>
      <c r="BO26" s="199"/>
      <c r="BP26" s="199"/>
      <c r="BQ26" s="199"/>
    </row>
    <row r="27" spans="1:69" x14ac:dyDescent="0.2">
      <c r="A27" s="199"/>
      <c r="B27" s="199"/>
      <c r="C27" s="200"/>
      <c r="D27" s="200"/>
      <c r="E27" s="200"/>
      <c r="F27" s="199"/>
      <c r="G27" s="199"/>
      <c r="H27" s="199"/>
      <c r="I27" s="199"/>
      <c r="J27" s="199"/>
      <c r="K27" s="199"/>
      <c r="L27" s="199"/>
      <c r="M27" s="199"/>
      <c r="N27" s="199"/>
      <c r="O27" s="199"/>
      <c r="P27" s="199"/>
      <c r="Q27" s="199"/>
      <c r="R27" s="199"/>
      <c r="S27" s="199"/>
      <c r="T27" s="199"/>
      <c r="U27" s="199"/>
      <c r="V27" s="199"/>
      <c r="W27" s="199"/>
      <c r="X27" s="199"/>
      <c r="Y27" s="199"/>
      <c r="Z27" s="199"/>
      <c r="AA27" s="199"/>
      <c r="AB27" s="199"/>
      <c r="AC27" s="199"/>
      <c r="AD27" s="199"/>
      <c r="AE27" s="199"/>
      <c r="AF27" s="199"/>
      <c r="AG27" s="199"/>
      <c r="AH27" s="199"/>
      <c r="AI27" s="199"/>
      <c r="AJ27" s="199"/>
      <c r="AK27" s="199"/>
      <c r="AL27" s="199"/>
      <c r="AM27" s="199"/>
      <c r="AN27" s="199"/>
      <c r="AO27" s="199"/>
      <c r="AP27" s="199"/>
      <c r="AQ27" s="199"/>
      <c r="AR27" s="199"/>
      <c r="AS27" s="199"/>
      <c r="AT27" s="199"/>
      <c r="AU27" s="199"/>
      <c r="AV27" s="199"/>
      <c r="AW27" s="199"/>
      <c r="AX27" s="199"/>
      <c r="AY27" s="199"/>
      <c r="AZ27" s="199"/>
      <c r="BA27" s="199"/>
      <c r="BB27" s="199"/>
      <c r="BC27" s="199"/>
      <c r="BD27" s="199"/>
      <c r="BE27" s="199"/>
      <c r="BF27" s="199"/>
      <c r="BG27" s="199"/>
      <c r="BH27" s="199"/>
      <c r="BI27" s="199"/>
      <c r="BJ27" s="199"/>
      <c r="BK27" s="199"/>
      <c r="BL27" s="199"/>
      <c r="BM27" s="199"/>
      <c r="BN27" s="199"/>
      <c r="BO27" s="199"/>
      <c r="BP27" s="199"/>
      <c r="BQ27" s="199"/>
    </row>
    <row r="28" spans="1:69" x14ac:dyDescent="0.2">
      <c r="A28" s="199"/>
      <c r="B28" s="199"/>
      <c r="C28" s="199"/>
      <c r="D28" s="199"/>
      <c r="E28" s="199"/>
      <c r="F28" s="199"/>
      <c r="G28" s="199"/>
      <c r="H28" s="199"/>
      <c r="I28" s="199"/>
      <c r="J28" s="199"/>
      <c r="K28" s="199"/>
      <c r="L28" s="199"/>
      <c r="M28" s="199"/>
      <c r="N28" s="199"/>
      <c r="O28" s="199"/>
      <c r="P28" s="199"/>
      <c r="Q28" s="199"/>
      <c r="R28" s="199"/>
      <c r="S28" s="199"/>
      <c r="T28" s="199"/>
      <c r="U28" s="199"/>
      <c r="V28" s="199"/>
      <c r="W28" s="199"/>
      <c r="X28" s="199"/>
      <c r="Y28" s="199"/>
      <c r="Z28" s="199"/>
      <c r="AA28" s="199"/>
      <c r="AB28" s="199"/>
      <c r="AC28" s="199"/>
      <c r="AD28" s="199"/>
      <c r="AE28" s="199"/>
      <c r="AF28" s="199"/>
      <c r="AG28" s="199"/>
      <c r="AH28" s="199"/>
      <c r="AI28" s="199"/>
      <c r="AJ28" s="199"/>
      <c r="AK28" s="199"/>
      <c r="AL28" s="199"/>
      <c r="AM28" s="199"/>
      <c r="AN28" s="199"/>
      <c r="AO28" s="199"/>
      <c r="AP28" s="199"/>
      <c r="AQ28" s="199"/>
      <c r="AR28" s="199"/>
      <c r="AS28" s="199"/>
      <c r="AT28" s="199"/>
      <c r="AU28" s="199"/>
      <c r="AV28" s="199"/>
      <c r="AW28" s="199"/>
      <c r="AX28" s="199"/>
      <c r="AY28" s="199"/>
      <c r="AZ28" s="199"/>
      <c r="BA28" s="199"/>
      <c r="BB28" s="199"/>
      <c r="BC28" s="199"/>
      <c r="BD28" s="199"/>
      <c r="BE28" s="199"/>
      <c r="BF28" s="199"/>
      <c r="BG28" s="199"/>
      <c r="BH28" s="199"/>
      <c r="BI28" s="199"/>
      <c r="BJ28" s="199"/>
      <c r="BK28" s="199"/>
      <c r="BL28" s="199"/>
      <c r="BM28" s="199"/>
      <c r="BN28" s="199"/>
      <c r="BO28" s="199"/>
      <c r="BP28" s="199"/>
      <c r="BQ28" s="199"/>
    </row>
    <row r="29" spans="1:69" x14ac:dyDescent="0.2">
      <c r="A29" s="199"/>
      <c r="B29" s="199"/>
      <c r="C29" s="199"/>
      <c r="D29" s="199"/>
      <c r="E29" s="199"/>
      <c r="F29" s="199"/>
      <c r="G29" s="199"/>
      <c r="H29" s="199"/>
      <c r="I29" s="199"/>
      <c r="J29" s="199"/>
      <c r="K29" s="199"/>
      <c r="L29" s="199"/>
      <c r="M29" s="199"/>
      <c r="N29" s="199"/>
      <c r="O29" s="199"/>
      <c r="P29" s="199"/>
      <c r="Q29" s="199"/>
      <c r="R29" s="199"/>
      <c r="S29" s="199"/>
      <c r="T29" s="199"/>
      <c r="U29" s="199"/>
      <c r="V29" s="199"/>
      <c r="W29" s="199"/>
      <c r="X29" s="199"/>
      <c r="Y29" s="199"/>
      <c r="Z29" s="199"/>
      <c r="AA29" s="199"/>
      <c r="AB29" s="199"/>
      <c r="AC29" s="199"/>
      <c r="AD29" s="199"/>
      <c r="AE29" s="199"/>
      <c r="AF29" s="199"/>
      <c r="AG29" s="199"/>
      <c r="AH29" s="199"/>
      <c r="AI29" s="199"/>
      <c r="AJ29" s="199"/>
      <c r="AK29" s="199"/>
      <c r="AL29" s="199"/>
      <c r="AM29" s="199"/>
      <c r="AN29" s="199"/>
      <c r="AO29" s="199"/>
      <c r="AP29" s="199"/>
      <c r="AQ29" s="199"/>
      <c r="AR29" s="199"/>
      <c r="AS29" s="199"/>
      <c r="AT29" s="199"/>
      <c r="AU29" s="199"/>
      <c r="AV29" s="199"/>
      <c r="AW29" s="199"/>
      <c r="AX29" s="199"/>
      <c r="AY29" s="199"/>
      <c r="AZ29" s="199"/>
      <c r="BA29" s="199"/>
      <c r="BB29" s="199"/>
      <c r="BC29" s="199"/>
      <c r="BD29" s="199"/>
      <c r="BE29" s="199"/>
      <c r="BF29" s="199"/>
      <c r="BG29" s="199"/>
      <c r="BH29" s="199"/>
      <c r="BI29" s="199"/>
      <c r="BJ29" s="199"/>
      <c r="BK29" s="199"/>
      <c r="BL29" s="199"/>
      <c r="BM29" s="199"/>
      <c r="BN29" s="199"/>
      <c r="BO29" s="199"/>
      <c r="BP29" s="199"/>
      <c r="BQ29" s="199"/>
    </row>
    <row r="30" spans="1:69" x14ac:dyDescent="0.2">
      <c r="A30" s="199"/>
      <c r="B30" s="199"/>
      <c r="C30" s="199"/>
      <c r="D30" s="199"/>
      <c r="E30" s="199"/>
      <c r="F30" s="199"/>
      <c r="G30" s="199"/>
      <c r="H30" s="199"/>
      <c r="I30" s="199"/>
      <c r="J30" s="199"/>
      <c r="K30" s="199"/>
      <c r="L30" s="199"/>
      <c r="M30" s="199"/>
      <c r="N30" s="199"/>
      <c r="O30" s="199"/>
      <c r="P30" s="199"/>
      <c r="Q30" s="199"/>
      <c r="R30" s="199"/>
      <c r="S30" s="199"/>
      <c r="T30" s="199"/>
      <c r="U30" s="199"/>
      <c r="V30" s="199"/>
      <c r="W30" s="199"/>
      <c r="X30" s="199"/>
      <c r="Y30" s="199"/>
      <c r="Z30" s="199"/>
      <c r="AA30" s="199"/>
      <c r="AB30" s="199"/>
      <c r="AC30" s="199"/>
      <c r="AD30" s="199"/>
      <c r="AE30" s="199"/>
      <c r="AF30" s="199"/>
      <c r="AG30" s="199"/>
      <c r="AH30" s="199"/>
      <c r="AI30" s="199"/>
      <c r="AJ30" s="199"/>
      <c r="AK30" s="199"/>
      <c r="AL30" s="199"/>
      <c r="AM30" s="199"/>
      <c r="AN30" s="199"/>
      <c r="AO30" s="199"/>
      <c r="AP30" s="199"/>
      <c r="AQ30" s="199"/>
      <c r="AR30" s="199"/>
      <c r="AS30" s="199"/>
      <c r="AT30" s="199"/>
      <c r="AU30" s="199"/>
      <c r="AV30" s="199"/>
      <c r="AW30" s="199"/>
      <c r="AX30" s="199"/>
      <c r="AY30" s="199"/>
      <c r="AZ30" s="199"/>
      <c r="BA30" s="199"/>
      <c r="BB30" s="199"/>
      <c r="BC30" s="199"/>
      <c r="BD30" s="199"/>
      <c r="BE30" s="199"/>
      <c r="BF30" s="199"/>
      <c r="BG30" s="199"/>
      <c r="BH30" s="199"/>
      <c r="BI30" s="199"/>
      <c r="BJ30" s="199"/>
      <c r="BK30" s="199"/>
      <c r="BL30" s="199"/>
      <c r="BM30" s="199"/>
      <c r="BN30" s="199"/>
      <c r="BO30" s="199"/>
      <c r="BP30" s="199"/>
      <c r="BQ30" s="199"/>
    </row>
    <row r="31" spans="1:69" x14ac:dyDescent="0.2">
      <c r="A31" s="199"/>
      <c r="B31" s="199"/>
      <c r="C31" s="199"/>
      <c r="D31" s="199"/>
      <c r="E31" s="199"/>
      <c r="F31" s="199"/>
      <c r="G31" s="199"/>
      <c r="H31" s="199"/>
      <c r="I31" s="199"/>
      <c r="J31" s="199"/>
      <c r="K31" s="199"/>
      <c r="L31" s="199"/>
      <c r="M31" s="199"/>
      <c r="N31" s="199"/>
      <c r="O31" s="199"/>
      <c r="P31" s="199"/>
      <c r="Q31" s="199"/>
      <c r="R31" s="199"/>
      <c r="S31" s="199"/>
      <c r="T31" s="199"/>
      <c r="U31" s="199"/>
      <c r="V31" s="199"/>
      <c r="W31" s="199"/>
      <c r="X31" s="199"/>
      <c r="Y31" s="199"/>
      <c r="Z31" s="199"/>
      <c r="AA31" s="199"/>
      <c r="AB31" s="199"/>
      <c r="AC31" s="199"/>
      <c r="AD31" s="199"/>
      <c r="AE31" s="199"/>
      <c r="AF31" s="199"/>
      <c r="AG31" s="199"/>
      <c r="AH31" s="199"/>
      <c r="AI31" s="199"/>
      <c r="AJ31" s="199"/>
      <c r="AK31" s="199"/>
      <c r="AL31" s="199"/>
      <c r="AM31" s="199"/>
      <c r="AN31" s="199"/>
      <c r="AO31" s="199"/>
      <c r="AP31" s="199"/>
      <c r="AQ31" s="199"/>
      <c r="AR31" s="199"/>
      <c r="AS31" s="199"/>
      <c r="AT31" s="199"/>
      <c r="AU31" s="199"/>
      <c r="AV31" s="199"/>
      <c r="AW31" s="199"/>
      <c r="AX31" s="199"/>
      <c r="AY31" s="199"/>
      <c r="AZ31" s="199"/>
      <c r="BA31" s="199"/>
      <c r="BB31" s="199"/>
      <c r="BC31" s="199"/>
      <c r="BD31" s="199"/>
      <c r="BE31" s="199"/>
      <c r="BF31" s="199"/>
      <c r="BG31" s="199"/>
      <c r="BH31" s="199"/>
      <c r="BI31" s="199"/>
      <c r="BJ31" s="199"/>
      <c r="BK31" s="199"/>
      <c r="BL31" s="199"/>
      <c r="BM31" s="199"/>
      <c r="BN31" s="199"/>
      <c r="BO31" s="199"/>
      <c r="BP31" s="199"/>
      <c r="BQ31" s="199"/>
    </row>
    <row r="32" spans="1:69" x14ac:dyDescent="0.2">
      <c r="A32" s="199"/>
      <c r="B32" s="199"/>
      <c r="C32" s="199"/>
      <c r="D32" s="199"/>
      <c r="E32" s="199"/>
      <c r="F32" s="199"/>
      <c r="G32" s="199"/>
      <c r="H32" s="199"/>
      <c r="I32" s="199"/>
      <c r="J32" s="199"/>
      <c r="K32" s="199"/>
      <c r="L32" s="199"/>
      <c r="M32" s="199"/>
      <c r="N32" s="199"/>
      <c r="O32" s="199"/>
      <c r="P32" s="199"/>
      <c r="Q32" s="199"/>
      <c r="R32" s="199"/>
      <c r="S32" s="199"/>
      <c r="T32" s="199"/>
      <c r="U32" s="199"/>
      <c r="V32" s="199"/>
      <c r="W32" s="199"/>
      <c r="X32" s="199"/>
      <c r="Y32" s="199"/>
      <c r="Z32" s="199"/>
      <c r="AA32" s="199"/>
      <c r="AB32" s="199"/>
      <c r="AC32" s="199"/>
      <c r="AD32" s="199"/>
      <c r="AE32" s="199"/>
      <c r="AF32" s="199"/>
      <c r="AG32" s="199"/>
      <c r="AH32" s="199"/>
      <c r="AI32" s="199"/>
      <c r="AJ32" s="199"/>
      <c r="AK32" s="199"/>
      <c r="AL32" s="199"/>
      <c r="AM32" s="199"/>
      <c r="AN32" s="199"/>
      <c r="AO32" s="199"/>
      <c r="AP32" s="199"/>
      <c r="AQ32" s="199"/>
      <c r="AR32" s="199"/>
      <c r="AS32" s="199"/>
      <c r="AT32" s="199"/>
      <c r="AU32" s="199"/>
      <c r="AV32" s="199"/>
      <c r="AW32" s="199"/>
      <c r="AX32" s="199"/>
      <c r="AY32" s="199"/>
      <c r="AZ32" s="199"/>
      <c r="BA32" s="199"/>
      <c r="BB32" s="199"/>
      <c r="BC32" s="199"/>
      <c r="BD32" s="199"/>
      <c r="BE32" s="199"/>
      <c r="BF32" s="199"/>
      <c r="BG32" s="199"/>
      <c r="BH32" s="199"/>
      <c r="BI32" s="199"/>
      <c r="BJ32" s="199"/>
      <c r="BK32" s="199"/>
      <c r="BL32" s="199"/>
      <c r="BM32" s="199"/>
      <c r="BN32" s="199"/>
      <c r="BO32" s="199"/>
      <c r="BP32" s="199"/>
      <c r="BQ32" s="199"/>
    </row>
    <row r="33" spans="1:69" ht="38.25" x14ac:dyDescent="0.2">
      <c r="A33" s="201" t="s">
        <v>10</v>
      </c>
      <c r="B33" s="201" t="s">
        <v>11</v>
      </c>
      <c r="C33" s="201" t="s">
        <v>1</v>
      </c>
      <c r="D33" s="201" t="s">
        <v>9</v>
      </c>
      <c r="E33" s="201" t="s">
        <v>12</v>
      </c>
      <c r="F33" s="201" t="s">
        <v>13</v>
      </c>
      <c r="G33" s="201" t="s">
        <v>14</v>
      </c>
      <c r="H33" s="201" t="s">
        <v>15</v>
      </c>
      <c r="I33" s="201" t="s">
        <v>16</v>
      </c>
      <c r="J33" s="201" t="s">
        <v>17</v>
      </c>
      <c r="K33" s="201" t="s">
        <v>18</v>
      </c>
      <c r="L33" s="201" t="s">
        <v>19</v>
      </c>
      <c r="M33" s="201" t="s">
        <v>20</v>
      </c>
      <c r="N33" s="202" t="s">
        <v>21</v>
      </c>
      <c r="O33" s="199"/>
      <c r="P33" s="199"/>
      <c r="Q33" s="199"/>
      <c r="R33" s="199"/>
      <c r="S33" s="199"/>
      <c r="T33" s="199"/>
      <c r="U33" s="199"/>
      <c r="V33" s="199"/>
      <c r="W33" s="199"/>
      <c r="X33" s="199"/>
      <c r="Y33" s="199"/>
      <c r="Z33" s="199"/>
      <c r="AA33" s="199"/>
      <c r="AB33" s="199"/>
      <c r="AC33" s="199"/>
      <c r="AD33" s="199"/>
      <c r="AE33" s="199"/>
      <c r="AF33" s="199"/>
      <c r="AG33" s="199"/>
      <c r="AH33" s="199"/>
      <c r="AI33" s="199"/>
      <c r="AJ33" s="199"/>
      <c r="AK33" s="199"/>
      <c r="AL33" s="199"/>
      <c r="AM33" s="199"/>
      <c r="AN33" s="199"/>
      <c r="AO33" s="199"/>
      <c r="AP33" s="199"/>
      <c r="AQ33" s="199"/>
      <c r="AR33" s="199"/>
      <c r="AS33" s="199"/>
      <c r="AT33" s="199"/>
      <c r="AU33" s="199"/>
      <c r="AV33" s="199"/>
      <c r="AW33" s="199"/>
      <c r="AX33" s="199"/>
      <c r="AY33" s="199"/>
      <c r="AZ33" s="199"/>
      <c r="BA33" s="199"/>
      <c r="BB33" s="199"/>
      <c r="BC33" s="199"/>
      <c r="BD33" s="199"/>
      <c r="BE33" s="199"/>
      <c r="BF33" s="199"/>
      <c r="BG33" s="199"/>
      <c r="BH33" s="199"/>
      <c r="BI33" s="199"/>
      <c r="BJ33" s="199"/>
      <c r="BK33" s="199"/>
      <c r="BL33" s="199"/>
      <c r="BM33" s="199"/>
      <c r="BN33" s="199"/>
      <c r="BO33" s="199"/>
      <c r="BP33" s="199"/>
      <c r="BQ33" s="199"/>
    </row>
    <row r="34" spans="1:69" x14ac:dyDescent="0.2">
      <c r="A34" s="199" t="s">
        <v>28</v>
      </c>
      <c r="B34" s="199"/>
      <c r="C34" s="199"/>
      <c r="D34" s="199"/>
      <c r="E34" s="199"/>
      <c r="F34" s="199"/>
      <c r="G34" s="199"/>
      <c r="H34" s="199"/>
      <c r="I34" s="199"/>
      <c r="J34" s="199"/>
      <c r="K34" s="199"/>
      <c r="L34" s="199"/>
      <c r="M34" s="199"/>
      <c r="N34" s="199"/>
      <c r="O34" s="199"/>
      <c r="P34" s="199"/>
      <c r="Q34" s="199"/>
      <c r="R34" s="199"/>
      <c r="S34" s="199"/>
      <c r="T34" s="199"/>
      <c r="U34" s="199"/>
      <c r="V34" s="199"/>
      <c r="W34" s="199"/>
      <c r="X34" s="199"/>
      <c r="Y34" s="199"/>
      <c r="Z34" s="199"/>
      <c r="AA34" s="199"/>
      <c r="AB34" s="199"/>
      <c r="AC34" s="199"/>
      <c r="AD34" s="199"/>
      <c r="AE34" s="199"/>
      <c r="AF34" s="199"/>
      <c r="AG34" s="199"/>
      <c r="AH34" s="199"/>
      <c r="AI34" s="199"/>
      <c r="AJ34" s="199"/>
      <c r="AK34" s="199"/>
      <c r="AL34" s="199"/>
      <c r="AM34" s="199"/>
      <c r="AN34" s="199"/>
      <c r="AO34" s="199"/>
      <c r="AP34" s="199"/>
      <c r="AQ34" s="199"/>
      <c r="AR34" s="199"/>
      <c r="AS34" s="199"/>
      <c r="AT34" s="199"/>
      <c r="AU34" s="199"/>
      <c r="AV34" s="199"/>
      <c r="AW34" s="199"/>
      <c r="AX34" s="199"/>
      <c r="AY34" s="199"/>
      <c r="AZ34" s="199"/>
      <c r="BA34" s="199"/>
      <c r="BB34" s="199"/>
      <c r="BC34" s="199"/>
      <c r="BD34" s="199"/>
      <c r="BE34" s="199"/>
      <c r="BF34" s="199"/>
      <c r="BG34" s="199"/>
      <c r="BH34" s="199"/>
      <c r="BI34" s="199"/>
      <c r="BJ34" s="199"/>
      <c r="BK34" s="199"/>
      <c r="BL34" s="199"/>
      <c r="BM34" s="199"/>
      <c r="BN34" s="199"/>
      <c r="BO34" s="199"/>
      <c r="BP34" s="199"/>
      <c r="BQ34" s="199"/>
    </row>
    <row r="35" spans="1:69" x14ac:dyDescent="0.2">
      <c r="A35" s="199" t="s">
        <v>29</v>
      </c>
      <c r="B35" s="199"/>
      <c r="C35" s="199"/>
      <c r="D35" s="199"/>
      <c r="E35" s="199"/>
      <c r="F35" s="199"/>
      <c r="G35" s="199"/>
      <c r="H35" s="199"/>
      <c r="I35" s="199"/>
      <c r="J35" s="199"/>
      <c r="K35" s="199"/>
      <c r="L35" s="199"/>
      <c r="M35" s="199"/>
      <c r="N35" s="199"/>
      <c r="O35" s="199"/>
      <c r="P35" s="199"/>
      <c r="Q35" s="199"/>
      <c r="R35" s="199"/>
      <c r="S35" s="199"/>
      <c r="T35" s="199"/>
      <c r="U35" s="199"/>
      <c r="V35" s="199"/>
      <c r="W35" s="199"/>
      <c r="X35" s="199"/>
      <c r="Y35" s="199"/>
      <c r="Z35" s="199"/>
      <c r="AA35" s="199"/>
      <c r="AB35" s="199"/>
      <c r="AC35" s="199"/>
      <c r="AD35" s="199"/>
      <c r="AE35" s="199"/>
      <c r="AF35" s="199"/>
      <c r="AG35" s="199"/>
      <c r="AH35" s="199"/>
      <c r="AI35" s="199"/>
      <c r="AJ35" s="199"/>
      <c r="AK35" s="199"/>
      <c r="AL35" s="199"/>
      <c r="AM35" s="199"/>
      <c r="AN35" s="199"/>
      <c r="AO35" s="199"/>
      <c r="AP35" s="199"/>
      <c r="AQ35" s="199"/>
      <c r="AR35" s="199"/>
      <c r="AS35" s="199"/>
      <c r="AT35" s="199"/>
      <c r="AU35" s="199"/>
      <c r="AV35" s="199"/>
      <c r="AW35" s="199"/>
      <c r="AX35" s="199"/>
      <c r="AY35" s="199"/>
      <c r="AZ35" s="199"/>
      <c r="BA35" s="199"/>
      <c r="BB35" s="199"/>
      <c r="BC35" s="199"/>
      <c r="BD35" s="199"/>
      <c r="BE35" s="199"/>
      <c r="BF35" s="199"/>
      <c r="BG35" s="199"/>
      <c r="BH35" s="199"/>
      <c r="BI35" s="199"/>
      <c r="BJ35" s="199"/>
      <c r="BK35" s="199"/>
      <c r="BL35" s="199"/>
      <c r="BM35" s="199"/>
      <c r="BN35" s="199"/>
      <c r="BO35" s="199"/>
      <c r="BP35" s="199"/>
      <c r="BQ35" s="199"/>
    </row>
    <row r="36" spans="1:69" x14ac:dyDescent="0.2">
      <c r="A36" s="199" t="s">
        <v>26</v>
      </c>
      <c r="B36" s="199" t="s">
        <v>26</v>
      </c>
      <c r="C36" s="199">
        <v>0</v>
      </c>
      <c r="D36" s="199"/>
      <c r="E36" s="199"/>
      <c r="F36" s="199"/>
      <c r="G36" s="199"/>
      <c r="H36" s="199"/>
      <c r="I36" s="199"/>
      <c r="J36" s="199"/>
      <c r="K36" s="199"/>
      <c r="L36" s="199"/>
      <c r="M36" s="199"/>
      <c r="N36" s="199"/>
      <c r="O36" s="199"/>
      <c r="P36" s="199"/>
      <c r="Q36" s="199"/>
      <c r="R36" s="199"/>
      <c r="S36" s="199"/>
      <c r="T36" s="199"/>
      <c r="U36" s="199"/>
      <c r="V36" s="199"/>
      <c r="W36" s="199"/>
      <c r="X36" s="199"/>
      <c r="Y36" s="199"/>
      <c r="Z36" s="199"/>
      <c r="AA36" s="199"/>
      <c r="AB36" s="199"/>
      <c r="AC36" s="199"/>
      <c r="AD36" s="199"/>
      <c r="AE36" s="199"/>
      <c r="AF36" s="199"/>
      <c r="AG36" s="199"/>
      <c r="AH36" s="199"/>
      <c r="AI36" s="199"/>
      <c r="AJ36" s="199"/>
      <c r="AK36" s="199"/>
      <c r="AL36" s="199"/>
      <c r="AM36" s="199"/>
      <c r="AN36" s="199"/>
      <c r="AO36" s="199"/>
      <c r="AP36" s="199"/>
      <c r="AQ36" s="199"/>
      <c r="AR36" s="199"/>
      <c r="AS36" s="199"/>
      <c r="AT36" s="199"/>
      <c r="AU36" s="199"/>
      <c r="AV36" s="199"/>
      <c r="AW36" s="199"/>
      <c r="AX36" s="199"/>
      <c r="AY36" s="199"/>
      <c r="AZ36" s="199"/>
      <c r="BA36" s="199"/>
      <c r="BB36" s="199"/>
      <c r="BC36" s="199"/>
      <c r="BD36" s="199"/>
      <c r="BE36" s="199"/>
      <c r="BF36" s="199"/>
      <c r="BG36" s="199"/>
      <c r="BH36" s="199"/>
      <c r="BI36" s="199"/>
      <c r="BJ36" s="199"/>
      <c r="BK36" s="199"/>
      <c r="BL36" s="199"/>
      <c r="BM36" s="199"/>
      <c r="BN36" s="199"/>
      <c r="BO36" s="199"/>
      <c r="BP36" s="199"/>
      <c r="BQ36" s="199"/>
    </row>
    <row r="37" spans="1:69" x14ac:dyDescent="0.2">
      <c r="A37" s="199" t="s">
        <v>8</v>
      </c>
      <c r="B37" s="199" t="s">
        <v>27</v>
      </c>
      <c r="C37" s="199">
        <v>1</v>
      </c>
      <c r="D37" s="199"/>
      <c r="E37" s="199"/>
      <c r="F37" s="199"/>
      <c r="G37" s="199"/>
      <c r="H37" s="199"/>
      <c r="I37" s="199"/>
      <c r="J37" s="199"/>
      <c r="K37" s="199"/>
      <c r="L37" s="199"/>
      <c r="M37" s="199"/>
      <c r="N37" s="199"/>
      <c r="O37" s="199"/>
      <c r="P37" s="199"/>
      <c r="Q37" s="199"/>
      <c r="R37" s="199"/>
      <c r="S37" s="199"/>
      <c r="T37" s="199"/>
      <c r="U37" s="199"/>
      <c r="V37" s="199"/>
      <c r="W37" s="199"/>
      <c r="X37" s="199"/>
      <c r="Y37" s="199"/>
      <c r="Z37" s="199"/>
      <c r="AA37" s="199"/>
      <c r="AB37" s="199"/>
      <c r="AC37" s="199"/>
      <c r="AD37" s="199"/>
      <c r="AE37" s="199"/>
      <c r="AF37" s="199"/>
      <c r="AG37" s="199"/>
      <c r="AH37" s="199"/>
      <c r="AI37" s="199"/>
      <c r="AJ37" s="199"/>
      <c r="AK37" s="199"/>
      <c r="AL37" s="199"/>
      <c r="AM37" s="199"/>
      <c r="AN37" s="199"/>
      <c r="AO37" s="199"/>
      <c r="AP37" s="199"/>
      <c r="AQ37" s="199"/>
      <c r="AR37" s="199"/>
      <c r="AS37" s="199"/>
      <c r="AT37" s="199"/>
      <c r="AU37" s="199"/>
      <c r="AV37" s="199"/>
      <c r="AW37" s="199"/>
      <c r="AX37" s="199"/>
      <c r="AY37" s="199"/>
      <c r="AZ37" s="199"/>
      <c r="BA37" s="199"/>
      <c r="BB37" s="199"/>
      <c r="BC37" s="199"/>
      <c r="BD37" s="199"/>
      <c r="BE37" s="199"/>
      <c r="BF37" s="199"/>
      <c r="BG37" s="199"/>
      <c r="BH37" s="199"/>
      <c r="BI37" s="199"/>
      <c r="BJ37" s="199"/>
      <c r="BK37" s="199"/>
      <c r="BL37" s="199"/>
      <c r="BM37" s="199"/>
      <c r="BN37" s="199"/>
      <c r="BO37" s="199"/>
      <c r="BP37" s="199"/>
      <c r="BQ37" s="199"/>
    </row>
    <row r="38" spans="1:69" x14ac:dyDescent="0.2">
      <c r="A38" s="199" t="s">
        <v>27</v>
      </c>
      <c r="B38" s="199"/>
      <c r="C38" s="199">
        <v>2</v>
      </c>
      <c r="D38" s="199"/>
      <c r="E38" s="199"/>
      <c r="F38" s="199"/>
      <c r="G38" s="199"/>
      <c r="H38" s="199"/>
      <c r="I38" s="199"/>
      <c r="J38" s="199"/>
      <c r="K38" s="199"/>
      <c r="L38" s="199"/>
      <c r="M38" s="199"/>
      <c r="N38" s="199"/>
      <c r="O38" s="199"/>
      <c r="P38" s="199"/>
      <c r="Q38" s="199"/>
      <c r="R38" s="199"/>
      <c r="S38" s="199"/>
      <c r="T38" s="199"/>
      <c r="U38" s="199"/>
      <c r="V38" s="199"/>
      <c r="W38" s="199"/>
      <c r="X38" s="199"/>
      <c r="Y38" s="199"/>
      <c r="Z38" s="199"/>
      <c r="AA38" s="199"/>
      <c r="AB38" s="199"/>
      <c r="AC38" s="199"/>
      <c r="AD38" s="199"/>
      <c r="AE38" s="199"/>
      <c r="AF38" s="199"/>
      <c r="AG38" s="199"/>
      <c r="AH38" s="199"/>
      <c r="AI38" s="199"/>
      <c r="AJ38" s="199"/>
      <c r="AK38" s="199"/>
      <c r="AL38" s="199"/>
      <c r="AM38" s="199"/>
      <c r="AN38" s="199"/>
      <c r="AO38" s="199"/>
      <c r="AP38" s="199"/>
      <c r="AQ38" s="199"/>
      <c r="AR38" s="199"/>
      <c r="AS38" s="199"/>
      <c r="AT38" s="199"/>
      <c r="AU38" s="199"/>
      <c r="AV38" s="199"/>
      <c r="AW38" s="199"/>
      <c r="AX38" s="199"/>
      <c r="AY38" s="199"/>
      <c r="AZ38" s="199"/>
      <c r="BA38" s="199"/>
      <c r="BB38" s="199"/>
      <c r="BC38" s="199"/>
      <c r="BD38" s="199"/>
      <c r="BE38" s="199"/>
      <c r="BF38" s="199"/>
      <c r="BG38" s="199"/>
      <c r="BH38" s="199"/>
      <c r="BI38" s="199"/>
      <c r="BJ38" s="199"/>
      <c r="BK38" s="199"/>
      <c r="BL38" s="199"/>
      <c r="BM38" s="199"/>
      <c r="BN38" s="199"/>
      <c r="BO38" s="199"/>
      <c r="BP38" s="199"/>
      <c r="BQ38" s="199"/>
    </row>
    <row r="39" spans="1:69" x14ac:dyDescent="0.2">
      <c r="A39" s="199">
        <v>0</v>
      </c>
      <c r="B39" s="199"/>
      <c r="C39" s="203">
        <f>IF(B10="כן",7%,0)</f>
        <v>7.0000000000000007E-2</v>
      </c>
      <c r="D39" s="199"/>
      <c r="E39" s="199"/>
      <c r="F39" s="199"/>
      <c r="G39" s="199"/>
      <c r="H39" s="199"/>
      <c r="I39" s="199"/>
      <c r="J39" s="199"/>
      <c r="K39" s="199"/>
      <c r="L39" s="199"/>
      <c r="M39" s="199"/>
      <c r="N39" s="199"/>
      <c r="O39" s="199"/>
      <c r="P39" s="199"/>
      <c r="Q39" s="199"/>
      <c r="R39" s="199"/>
      <c r="S39" s="199"/>
      <c r="T39" s="199"/>
      <c r="U39" s="199"/>
      <c r="V39" s="199"/>
      <c r="W39" s="199"/>
      <c r="X39" s="199"/>
      <c r="Y39" s="199"/>
      <c r="Z39" s="199"/>
      <c r="AA39" s="199"/>
      <c r="AB39" s="199"/>
      <c r="AC39" s="199"/>
      <c r="AD39" s="199"/>
      <c r="AE39" s="199"/>
      <c r="AF39" s="199"/>
      <c r="AG39" s="199"/>
      <c r="AH39" s="199"/>
      <c r="AI39" s="199"/>
      <c r="AJ39" s="199"/>
      <c r="AK39" s="199"/>
      <c r="AL39" s="199"/>
      <c r="AM39" s="199"/>
      <c r="AN39" s="199"/>
      <c r="AO39" s="199"/>
      <c r="AP39" s="199"/>
      <c r="AQ39" s="199"/>
      <c r="AR39" s="199"/>
      <c r="AS39" s="199"/>
      <c r="AT39" s="199"/>
      <c r="AU39" s="199">
        <f>B13/B12*(C39+C40+17%+12.5%)</f>
        <v>0.22119</v>
      </c>
      <c r="AV39" s="199"/>
      <c r="AW39" s="199"/>
      <c r="AX39" s="199"/>
      <c r="AY39" s="199"/>
      <c r="AZ39" s="199"/>
      <c r="BA39" s="199"/>
      <c r="BB39" s="199"/>
      <c r="BC39" s="199"/>
      <c r="BD39" s="199"/>
      <c r="BE39" s="199"/>
      <c r="BF39" s="199"/>
      <c r="BG39" s="199"/>
      <c r="BH39" s="199"/>
      <c r="BI39" s="199"/>
      <c r="BJ39" s="199"/>
      <c r="BK39" s="199"/>
      <c r="BL39" s="199"/>
      <c r="BM39" s="199"/>
      <c r="BN39" s="199"/>
      <c r="BO39" s="199"/>
      <c r="BP39" s="199"/>
      <c r="BQ39" s="199"/>
    </row>
    <row r="40" spans="1:69" x14ac:dyDescent="0.2">
      <c r="A40" s="204">
        <v>0.1</v>
      </c>
      <c r="B40" s="199"/>
      <c r="C40" s="203">
        <f>IF(B9=0,0,3%)</f>
        <v>0</v>
      </c>
      <c r="D40" s="199"/>
      <c r="E40" s="199"/>
      <c r="F40" s="199"/>
      <c r="G40" s="199"/>
      <c r="H40" s="199"/>
      <c r="I40" s="199"/>
      <c r="J40" s="199"/>
      <c r="K40" s="199"/>
      <c r="L40" s="199"/>
      <c r="M40" s="199"/>
      <c r="N40" s="199"/>
      <c r="O40" s="199"/>
      <c r="P40" s="199"/>
      <c r="Q40" s="199"/>
      <c r="R40" s="199"/>
      <c r="S40" s="199"/>
      <c r="T40" s="199"/>
      <c r="U40" s="199"/>
      <c r="V40" s="199"/>
      <c r="W40" s="199"/>
      <c r="X40" s="199"/>
      <c r="Y40" s="199"/>
      <c r="Z40" s="199"/>
      <c r="AA40" s="199"/>
      <c r="AB40" s="199"/>
      <c r="AC40" s="199"/>
      <c r="AD40" s="199"/>
      <c r="AE40" s="199"/>
      <c r="AF40" s="199"/>
      <c r="AG40" s="199"/>
      <c r="AH40" s="199"/>
      <c r="AI40" s="199"/>
      <c r="AJ40" s="199"/>
      <c r="AK40" s="199"/>
      <c r="AL40" s="199"/>
      <c r="AM40" s="199"/>
      <c r="AN40" s="199"/>
      <c r="AO40" s="199"/>
      <c r="AP40" s="199"/>
      <c r="AQ40" s="199"/>
      <c r="AR40" s="199"/>
      <c r="AS40" s="199"/>
      <c r="AT40" s="199"/>
      <c r="AU40" s="199">
        <f>B14/B12*(C39+C40+17%)</f>
        <v>8.0640000000000017E-2</v>
      </c>
      <c r="AV40" s="199"/>
      <c r="AW40" s="199"/>
      <c r="AX40" s="199"/>
      <c r="AY40" s="199"/>
      <c r="AZ40" s="199"/>
      <c r="BA40" s="199"/>
      <c r="BB40" s="199"/>
      <c r="BC40" s="199"/>
      <c r="BD40" s="199"/>
      <c r="BE40" s="199"/>
      <c r="BF40" s="199"/>
      <c r="BG40" s="199"/>
      <c r="BH40" s="199"/>
      <c r="BI40" s="199"/>
      <c r="BJ40" s="199"/>
      <c r="BK40" s="199"/>
      <c r="BL40" s="199"/>
      <c r="BM40" s="199"/>
      <c r="BN40" s="199"/>
      <c r="BO40" s="199"/>
      <c r="BP40" s="199"/>
      <c r="BQ40" s="199"/>
    </row>
    <row r="41" spans="1:69" x14ac:dyDescent="0.2">
      <c r="A41" s="205">
        <v>0.115</v>
      </c>
      <c r="B41" s="199"/>
      <c r="C41" s="199"/>
      <c r="D41" s="199"/>
      <c r="E41" s="199"/>
      <c r="F41" s="199"/>
      <c r="G41" s="199"/>
      <c r="H41" s="199"/>
      <c r="I41" s="199"/>
      <c r="J41" s="199"/>
      <c r="K41" s="199"/>
      <c r="L41" s="199"/>
      <c r="M41" s="199"/>
      <c r="N41" s="199"/>
      <c r="O41" s="199"/>
      <c r="P41" s="199"/>
      <c r="Q41" s="199"/>
      <c r="R41" s="199"/>
      <c r="S41" s="199"/>
      <c r="T41" s="199"/>
      <c r="U41" s="199"/>
      <c r="V41" s="199"/>
      <c r="W41" s="199"/>
      <c r="X41" s="199"/>
      <c r="Y41" s="199"/>
      <c r="Z41" s="199"/>
      <c r="AA41" s="199"/>
      <c r="AB41" s="199"/>
      <c r="AC41" s="199"/>
      <c r="AD41" s="199"/>
      <c r="AE41" s="199"/>
      <c r="AF41" s="199"/>
      <c r="AG41" s="199"/>
      <c r="AH41" s="199"/>
      <c r="AI41" s="199"/>
      <c r="AJ41" s="199"/>
      <c r="AK41" s="199"/>
      <c r="AL41" s="199"/>
      <c r="AM41" s="199"/>
      <c r="AN41" s="199"/>
      <c r="AO41" s="199"/>
      <c r="AP41" s="199"/>
      <c r="AQ41" s="199"/>
      <c r="AR41" s="199"/>
      <c r="AS41" s="199"/>
      <c r="AT41" s="199"/>
      <c r="AU41" s="199">
        <f>(AU40+AU39)</f>
        <v>0.30183000000000004</v>
      </c>
      <c r="AV41" s="199"/>
      <c r="AW41" s="199"/>
      <c r="AX41" s="199"/>
      <c r="AY41" s="199"/>
      <c r="AZ41" s="199"/>
      <c r="BA41" s="199"/>
      <c r="BB41" s="199"/>
      <c r="BC41" s="199"/>
      <c r="BD41" s="199"/>
      <c r="BE41" s="199"/>
      <c r="BF41" s="199"/>
      <c r="BG41" s="199"/>
      <c r="BH41" s="199"/>
      <c r="BI41" s="199"/>
      <c r="BJ41" s="199"/>
      <c r="BK41" s="199"/>
      <c r="BL41" s="199"/>
      <c r="BM41" s="199"/>
      <c r="BN41" s="199"/>
      <c r="BO41" s="199"/>
      <c r="BP41" s="199"/>
      <c r="BQ41" s="199"/>
    </row>
    <row r="42" spans="1:69" x14ac:dyDescent="0.2">
      <c r="A42" s="199"/>
      <c r="B42" s="199"/>
      <c r="C42" s="199"/>
      <c r="D42" s="199"/>
      <c r="E42" s="199"/>
      <c r="F42" s="199"/>
      <c r="G42" s="199"/>
      <c r="H42" s="199"/>
      <c r="I42" s="199"/>
      <c r="J42" s="199"/>
      <c r="K42" s="199"/>
      <c r="L42" s="199"/>
      <c r="M42" s="199"/>
      <c r="N42" s="199"/>
      <c r="O42" s="199"/>
      <c r="P42" s="199"/>
      <c r="Q42" s="199"/>
      <c r="R42" s="199"/>
      <c r="S42" s="199"/>
      <c r="T42" s="199"/>
      <c r="U42" s="199"/>
      <c r="V42" s="199"/>
      <c r="W42" s="199"/>
      <c r="X42" s="199"/>
      <c r="Y42" s="199"/>
      <c r="Z42" s="199"/>
      <c r="AA42" s="199"/>
      <c r="AB42" s="199"/>
      <c r="AC42" s="199"/>
      <c r="AD42" s="199"/>
      <c r="AE42" s="199"/>
      <c r="AF42" s="199"/>
      <c r="AG42" s="199"/>
      <c r="AH42" s="199"/>
      <c r="AI42" s="199"/>
      <c r="AJ42" s="199"/>
      <c r="AK42" s="199"/>
      <c r="AL42" s="199"/>
      <c r="AM42" s="199"/>
      <c r="AN42" s="199"/>
      <c r="AO42" s="199"/>
      <c r="AP42" s="199"/>
      <c r="AQ42" s="199"/>
      <c r="AR42" s="199"/>
      <c r="AS42" s="199"/>
      <c r="AT42" s="199"/>
      <c r="AU42" s="199"/>
      <c r="AV42" s="199"/>
      <c r="AW42" s="199"/>
      <c r="AX42" s="199"/>
      <c r="AY42" s="199"/>
      <c r="AZ42" s="199"/>
      <c r="BA42" s="199"/>
      <c r="BB42" s="199"/>
      <c r="BC42" s="199"/>
      <c r="BD42" s="199"/>
      <c r="BE42" s="199"/>
      <c r="BF42" s="199"/>
      <c r="BG42" s="199"/>
      <c r="BH42" s="199"/>
      <c r="BI42" s="199"/>
      <c r="BJ42" s="199"/>
      <c r="BK42" s="199"/>
      <c r="BL42" s="199"/>
      <c r="BM42" s="199"/>
      <c r="BN42" s="199"/>
      <c r="BO42" s="199"/>
      <c r="BP42" s="199"/>
      <c r="BQ42" s="199"/>
    </row>
    <row r="43" spans="1:69" x14ac:dyDescent="0.2">
      <c r="A43" s="199"/>
      <c r="B43" s="199"/>
      <c r="C43" s="199"/>
      <c r="D43" s="199"/>
      <c r="E43" s="199"/>
      <c r="F43" s="199"/>
      <c r="G43" s="199"/>
      <c r="H43" s="199"/>
      <c r="I43" s="199"/>
      <c r="J43" s="199"/>
      <c r="K43" s="199"/>
      <c r="L43" s="199"/>
      <c r="M43" s="199"/>
      <c r="N43" s="199"/>
      <c r="O43" s="199"/>
      <c r="P43" s="199"/>
      <c r="Q43" s="199"/>
      <c r="R43" s="199"/>
      <c r="S43" s="199"/>
      <c r="T43" s="199"/>
      <c r="U43" s="199"/>
      <c r="V43" s="199"/>
      <c r="W43" s="199"/>
      <c r="X43" s="199"/>
      <c r="Y43" s="199"/>
      <c r="Z43" s="199"/>
      <c r="AA43" s="199"/>
      <c r="AB43" s="199"/>
      <c r="AC43" s="199"/>
      <c r="AD43" s="199"/>
      <c r="AE43" s="199"/>
      <c r="AF43" s="199"/>
      <c r="AG43" s="199"/>
      <c r="AH43" s="199"/>
      <c r="AI43" s="199"/>
      <c r="AJ43" s="199"/>
      <c r="AK43" s="199"/>
      <c r="AL43" s="199"/>
      <c r="AM43" s="199"/>
      <c r="AN43" s="199"/>
      <c r="AO43" s="199"/>
      <c r="AP43" s="199"/>
      <c r="AQ43" s="199"/>
      <c r="AR43" s="199"/>
      <c r="AS43" s="199"/>
      <c r="AT43" s="199"/>
      <c r="AU43" s="199"/>
      <c r="AV43" s="199"/>
      <c r="AW43" s="199"/>
      <c r="AX43" s="199"/>
      <c r="AY43" s="199"/>
      <c r="AZ43" s="199"/>
      <c r="BA43" s="199"/>
      <c r="BB43" s="199"/>
      <c r="BC43" s="199"/>
      <c r="BD43" s="199"/>
      <c r="BE43" s="199"/>
      <c r="BF43" s="199"/>
      <c r="BG43" s="199"/>
      <c r="BH43" s="199"/>
      <c r="BI43" s="199"/>
      <c r="BJ43" s="199"/>
      <c r="BK43" s="199"/>
      <c r="BL43" s="199"/>
      <c r="BM43" s="199"/>
      <c r="BN43" s="199"/>
      <c r="BO43" s="199"/>
      <c r="BP43" s="199"/>
      <c r="BQ43" s="199"/>
    </row>
    <row r="44" spans="1:69" x14ac:dyDescent="0.2">
      <c r="A44" s="199"/>
      <c r="B44" s="199"/>
      <c r="C44" s="199"/>
      <c r="D44" s="199"/>
      <c r="E44" s="199"/>
      <c r="F44" s="199"/>
      <c r="G44" s="199"/>
      <c r="H44" s="199"/>
      <c r="I44" s="199"/>
      <c r="J44" s="199"/>
      <c r="K44" s="199"/>
      <c r="L44" s="199"/>
      <c r="M44" s="199"/>
      <c r="N44" s="199"/>
      <c r="O44" s="199"/>
      <c r="P44" s="199"/>
      <c r="Q44" s="199"/>
      <c r="R44" s="199"/>
      <c r="S44" s="199"/>
      <c r="T44" s="199"/>
      <c r="U44" s="199"/>
      <c r="V44" s="199"/>
      <c r="W44" s="199"/>
      <c r="X44" s="199"/>
      <c r="Y44" s="199"/>
      <c r="Z44" s="199"/>
      <c r="AA44" s="199"/>
      <c r="AB44" s="199"/>
      <c r="AC44" s="199"/>
      <c r="AD44" s="199"/>
      <c r="AE44" s="199"/>
      <c r="AF44" s="199"/>
      <c r="AG44" s="199"/>
      <c r="AH44" s="199"/>
      <c r="AI44" s="199"/>
      <c r="AJ44" s="199"/>
      <c r="AK44" s="199"/>
      <c r="AL44" s="199"/>
      <c r="AM44" s="199"/>
      <c r="AN44" s="199"/>
      <c r="AO44" s="199"/>
      <c r="AP44" s="199"/>
      <c r="AQ44" s="199"/>
      <c r="AR44" s="199"/>
      <c r="AS44" s="199"/>
      <c r="AT44" s="199"/>
      <c r="AU44" s="199">
        <f>IF(B10="כן",10%,0)</f>
        <v>0.1</v>
      </c>
      <c r="AV44" s="199">
        <f>($E$15/24)</f>
        <v>0.54166666666666663</v>
      </c>
      <c r="AW44" s="199">
        <f>AV44/(AV45+AV44)</f>
        <v>0.64356435643564358</v>
      </c>
      <c r="AX44" s="199">
        <f>AU44*AW44</f>
        <v>6.4356435643564358E-2</v>
      </c>
      <c r="AY44" s="199"/>
      <c r="AZ44" s="199"/>
      <c r="BA44" s="199"/>
      <c r="BB44" s="199"/>
      <c r="BC44" s="199"/>
      <c r="BD44" s="199"/>
      <c r="BE44" s="199"/>
      <c r="BF44" s="199"/>
      <c r="BG44" s="199"/>
      <c r="BH44" s="199"/>
      <c r="BI44" s="199"/>
      <c r="BJ44" s="199"/>
      <c r="BK44" s="199"/>
      <c r="BL44" s="199"/>
      <c r="BM44" s="199"/>
      <c r="BN44" s="199"/>
      <c r="BO44" s="199"/>
      <c r="BP44" s="199"/>
      <c r="BQ44" s="199"/>
    </row>
    <row r="45" spans="1:69" x14ac:dyDescent="0.2">
      <c r="A45" s="199"/>
      <c r="B45" s="199"/>
      <c r="C45" s="199"/>
      <c r="D45" s="199"/>
      <c r="E45" s="199"/>
      <c r="F45" s="199"/>
      <c r="G45" s="199"/>
      <c r="H45" s="199"/>
      <c r="I45" s="199"/>
      <c r="J45" s="199"/>
      <c r="K45" s="199"/>
      <c r="L45" s="199"/>
      <c r="M45" s="199"/>
      <c r="N45" s="199"/>
      <c r="O45" s="199"/>
      <c r="P45" s="199"/>
      <c r="Q45" s="199"/>
      <c r="R45" s="199"/>
      <c r="S45" s="199"/>
      <c r="T45" s="199"/>
      <c r="U45" s="199"/>
      <c r="V45" s="199"/>
      <c r="W45" s="199"/>
      <c r="X45" s="199"/>
      <c r="Y45" s="199"/>
      <c r="Z45" s="199"/>
      <c r="AA45" s="199"/>
      <c r="AB45" s="199"/>
      <c r="AC45" s="199"/>
      <c r="AD45" s="199"/>
      <c r="AE45" s="199"/>
      <c r="AF45" s="199"/>
      <c r="AG45" s="199"/>
      <c r="AH45" s="199"/>
      <c r="AI45" s="199"/>
      <c r="AJ45" s="199"/>
      <c r="AK45" s="199"/>
      <c r="AL45" s="199"/>
      <c r="AM45" s="199"/>
      <c r="AN45" s="199"/>
      <c r="AO45" s="199"/>
      <c r="AP45" s="199"/>
      <c r="AQ45" s="199"/>
      <c r="AR45" s="199"/>
      <c r="AS45" s="199"/>
      <c r="AT45" s="199"/>
      <c r="AU45" s="199"/>
      <c r="AV45" s="199">
        <f>$E$16/30</f>
        <v>0.3</v>
      </c>
      <c r="AW45" s="199">
        <f>AV45/(AV44+AV45)</f>
        <v>0.35643564356435647</v>
      </c>
      <c r="AX45" s="199">
        <f>AW45*AU44</f>
        <v>3.5643564356435647E-2</v>
      </c>
      <c r="AY45" s="199"/>
      <c r="AZ45" s="199"/>
      <c r="BA45" s="199"/>
      <c r="BB45" s="199"/>
      <c r="BC45" s="199"/>
      <c r="BD45" s="199"/>
      <c r="BE45" s="199"/>
      <c r="BF45" s="199"/>
      <c r="BG45" s="199"/>
      <c r="BH45" s="199"/>
      <c r="BI45" s="199"/>
      <c r="BJ45" s="199"/>
      <c r="BK45" s="199"/>
      <c r="BL45" s="199"/>
      <c r="BM45" s="199"/>
      <c r="BN45" s="199"/>
      <c r="BO45" s="199"/>
      <c r="BP45" s="199"/>
      <c r="BQ45" s="199"/>
    </row>
    <row r="46" spans="1:69" x14ac:dyDescent="0.2">
      <c r="A46" s="199"/>
      <c r="B46" s="199"/>
      <c r="C46" s="199"/>
      <c r="D46" s="199"/>
      <c r="E46" s="199"/>
      <c r="F46" s="199"/>
      <c r="G46" s="199"/>
      <c r="H46" s="199"/>
      <c r="I46" s="199"/>
      <c r="J46" s="199"/>
      <c r="K46" s="199"/>
      <c r="L46" s="199"/>
      <c r="M46" s="199"/>
      <c r="N46" s="199"/>
      <c r="O46" s="199"/>
      <c r="P46" s="199"/>
      <c r="Q46" s="199"/>
      <c r="R46" s="199"/>
      <c r="S46" s="199"/>
      <c r="T46" s="199"/>
      <c r="U46" s="199"/>
      <c r="V46" s="199"/>
      <c r="W46" s="199"/>
      <c r="X46" s="199"/>
      <c r="Y46" s="199"/>
      <c r="Z46" s="199"/>
      <c r="AA46" s="199"/>
      <c r="AB46" s="199"/>
      <c r="AC46" s="199"/>
      <c r="AD46" s="199"/>
      <c r="AE46" s="199"/>
      <c r="AF46" s="199"/>
      <c r="AG46" s="199"/>
      <c r="AH46" s="199"/>
      <c r="AI46" s="199"/>
      <c r="AJ46" s="199"/>
      <c r="AK46" s="199"/>
      <c r="AL46" s="199"/>
      <c r="AM46" s="199"/>
      <c r="AN46" s="199"/>
      <c r="AO46" s="199"/>
      <c r="AP46" s="199"/>
      <c r="AQ46" s="199"/>
      <c r="AR46" s="199"/>
      <c r="AS46" s="199"/>
      <c r="AT46" s="199"/>
      <c r="AU46" s="199"/>
      <c r="AV46" s="199"/>
      <c r="AW46" s="199"/>
      <c r="AX46" s="199"/>
      <c r="AY46" s="199"/>
      <c r="AZ46" s="199"/>
      <c r="BA46" s="199"/>
      <c r="BB46" s="199"/>
      <c r="BC46" s="199"/>
      <c r="BD46" s="199"/>
      <c r="BE46" s="199"/>
      <c r="BF46" s="199"/>
      <c r="BG46" s="199"/>
      <c r="BH46" s="199"/>
      <c r="BI46" s="199"/>
      <c r="BJ46" s="199"/>
      <c r="BK46" s="199"/>
      <c r="BL46" s="199"/>
      <c r="BM46" s="199"/>
      <c r="BN46" s="199"/>
      <c r="BO46" s="199"/>
      <c r="BP46" s="199"/>
      <c r="BQ46" s="199"/>
    </row>
    <row r="47" spans="1:69" x14ac:dyDescent="0.2">
      <c r="A47" s="199"/>
      <c r="B47" s="199"/>
      <c r="C47" s="199"/>
      <c r="D47" s="199"/>
      <c r="E47" s="199"/>
      <c r="F47" s="199"/>
      <c r="G47" s="199"/>
      <c r="H47" s="199"/>
      <c r="I47" s="199"/>
      <c r="J47" s="199"/>
      <c r="K47" s="199"/>
      <c r="L47" s="199"/>
      <c r="M47" s="199"/>
      <c r="N47" s="199"/>
      <c r="O47" s="199"/>
      <c r="P47" s="199"/>
      <c r="Q47" s="199"/>
      <c r="R47" s="199"/>
      <c r="S47" s="199"/>
      <c r="T47" s="199"/>
      <c r="U47" s="199"/>
      <c r="V47" s="199"/>
      <c r="W47" s="199"/>
      <c r="X47" s="199"/>
      <c r="Y47" s="199"/>
      <c r="Z47" s="199"/>
      <c r="AA47" s="199"/>
      <c r="AB47" s="199"/>
      <c r="AC47" s="199"/>
      <c r="AD47" s="199"/>
      <c r="AE47" s="199"/>
      <c r="AF47" s="199"/>
      <c r="AG47" s="199"/>
      <c r="AH47" s="199"/>
      <c r="AI47" s="199"/>
      <c r="AJ47" s="199"/>
      <c r="AK47" s="199"/>
      <c r="AL47" s="199"/>
      <c r="AM47" s="199"/>
      <c r="AN47" s="199"/>
      <c r="AO47" s="199"/>
      <c r="AP47" s="199"/>
      <c r="AQ47" s="199"/>
      <c r="AR47" s="199"/>
      <c r="AS47" s="199"/>
      <c r="AT47" s="199"/>
      <c r="AU47" s="199"/>
      <c r="AV47" s="199"/>
      <c r="AW47" s="199"/>
      <c r="AX47" s="199"/>
      <c r="AY47" s="199"/>
      <c r="AZ47" s="199"/>
      <c r="BA47" s="199"/>
      <c r="BB47" s="199"/>
      <c r="BC47" s="199"/>
      <c r="BD47" s="199"/>
      <c r="BE47" s="199"/>
      <c r="BF47" s="199"/>
      <c r="BG47" s="199"/>
      <c r="BH47" s="199"/>
      <c r="BI47" s="199"/>
      <c r="BJ47" s="199"/>
      <c r="BK47" s="199"/>
      <c r="BL47" s="199"/>
      <c r="BM47" s="199"/>
      <c r="BN47" s="199"/>
      <c r="BO47" s="199"/>
      <c r="BP47" s="199"/>
      <c r="BQ47" s="199"/>
    </row>
    <row r="48" spans="1:69" x14ac:dyDescent="0.2">
      <c r="A48" s="199"/>
      <c r="B48" s="199"/>
      <c r="C48" s="199"/>
      <c r="D48" s="199"/>
      <c r="E48" s="199"/>
      <c r="F48" s="199"/>
      <c r="G48" s="199"/>
      <c r="H48" s="199"/>
      <c r="I48" s="199"/>
      <c r="J48" s="199"/>
      <c r="K48" s="199"/>
      <c r="L48" s="199"/>
      <c r="M48" s="199"/>
      <c r="N48" s="199"/>
      <c r="O48" s="199"/>
      <c r="P48" s="199"/>
      <c r="Q48" s="199"/>
      <c r="R48" s="199"/>
      <c r="S48" s="199"/>
      <c r="T48" s="199"/>
      <c r="U48" s="199"/>
      <c r="V48" s="199"/>
      <c r="W48" s="199"/>
      <c r="X48" s="199"/>
      <c r="Y48" s="199"/>
      <c r="Z48" s="199"/>
      <c r="AA48" s="199"/>
      <c r="AB48" s="199"/>
      <c r="AC48" s="199"/>
      <c r="AD48" s="199"/>
      <c r="AE48" s="199"/>
      <c r="AF48" s="199"/>
      <c r="AG48" s="199"/>
      <c r="AH48" s="199"/>
      <c r="AI48" s="199"/>
      <c r="AJ48" s="199"/>
      <c r="AK48" s="199"/>
      <c r="AL48" s="199"/>
      <c r="AM48" s="199"/>
      <c r="AN48" s="199"/>
      <c r="AO48" s="199"/>
      <c r="AP48" s="199"/>
      <c r="AQ48" s="199"/>
      <c r="AR48" s="199"/>
      <c r="AS48" s="199"/>
      <c r="AT48" s="199"/>
      <c r="AU48" s="199"/>
      <c r="AV48" s="199"/>
      <c r="AW48" s="199"/>
      <c r="AX48" s="199"/>
      <c r="AY48" s="199"/>
      <c r="AZ48" s="199"/>
      <c r="BA48" s="199"/>
      <c r="BB48" s="199"/>
      <c r="BC48" s="199"/>
      <c r="BD48" s="199"/>
      <c r="BE48" s="199"/>
      <c r="BF48" s="199"/>
      <c r="BG48" s="199"/>
      <c r="BH48" s="199"/>
      <c r="BI48" s="199"/>
      <c r="BJ48" s="199"/>
      <c r="BK48" s="199"/>
      <c r="BL48" s="199"/>
      <c r="BM48" s="199"/>
      <c r="BN48" s="199"/>
      <c r="BO48" s="199"/>
      <c r="BP48" s="199"/>
      <c r="BQ48" s="199"/>
    </row>
    <row r="49" spans="1:69" x14ac:dyDescent="0.2">
      <c r="A49" s="199"/>
      <c r="B49" s="199"/>
      <c r="C49" s="199"/>
      <c r="D49" s="199"/>
      <c r="E49" s="199"/>
      <c r="F49" s="199"/>
      <c r="G49" s="199"/>
      <c r="H49" s="199"/>
      <c r="I49" s="199"/>
      <c r="J49" s="199"/>
      <c r="K49" s="199"/>
      <c r="L49" s="199"/>
      <c r="M49" s="199"/>
      <c r="N49" s="199"/>
      <c r="O49" s="199"/>
      <c r="P49" s="199"/>
      <c r="Q49" s="199"/>
      <c r="R49" s="199"/>
      <c r="S49" s="199"/>
      <c r="T49" s="199"/>
      <c r="U49" s="199"/>
      <c r="V49" s="199"/>
      <c r="W49" s="199"/>
      <c r="X49" s="199"/>
      <c r="Y49" s="199"/>
      <c r="Z49" s="199"/>
      <c r="AA49" s="199"/>
      <c r="AB49" s="199"/>
      <c r="AC49" s="199"/>
      <c r="AD49" s="199"/>
      <c r="AE49" s="199"/>
      <c r="AF49" s="199"/>
      <c r="AG49" s="199"/>
      <c r="AH49" s="199"/>
      <c r="AI49" s="199"/>
      <c r="AJ49" s="199"/>
      <c r="AK49" s="199"/>
      <c r="AL49" s="199"/>
      <c r="AM49" s="199"/>
      <c r="AN49" s="199"/>
      <c r="AO49" s="199"/>
      <c r="AP49" s="199"/>
      <c r="AQ49" s="199"/>
      <c r="AR49" s="199"/>
      <c r="AS49" s="199"/>
      <c r="AT49" s="199"/>
      <c r="AU49" s="199"/>
      <c r="AV49" s="199"/>
      <c r="AW49" s="199"/>
      <c r="AX49" s="199"/>
      <c r="AY49" s="199"/>
      <c r="AZ49" s="199"/>
      <c r="BA49" s="199"/>
      <c r="BB49" s="199"/>
      <c r="BC49" s="199"/>
      <c r="BD49" s="199"/>
      <c r="BE49" s="199"/>
      <c r="BF49" s="199"/>
      <c r="BG49" s="199"/>
      <c r="BH49" s="199"/>
      <c r="BI49" s="199"/>
      <c r="BJ49" s="199"/>
      <c r="BK49" s="199"/>
      <c r="BL49" s="199"/>
      <c r="BM49" s="199"/>
      <c r="BN49" s="199"/>
      <c r="BO49" s="199"/>
      <c r="BP49" s="199"/>
      <c r="BQ49" s="199"/>
    </row>
    <row r="50" spans="1:69" x14ac:dyDescent="0.2">
      <c r="A50" s="199"/>
      <c r="B50" s="199"/>
      <c r="C50" s="199"/>
      <c r="D50" s="199"/>
      <c r="E50" s="199"/>
      <c r="F50" s="199"/>
      <c r="G50" s="199"/>
      <c r="H50" s="199"/>
      <c r="I50" s="199"/>
      <c r="J50" s="199"/>
      <c r="K50" s="199"/>
      <c r="L50" s="199"/>
      <c r="M50" s="199"/>
      <c r="N50" s="199"/>
      <c r="O50" s="199"/>
      <c r="P50" s="199"/>
      <c r="Q50" s="199"/>
      <c r="R50" s="199"/>
      <c r="S50" s="199"/>
      <c r="T50" s="199"/>
      <c r="U50" s="199"/>
      <c r="V50" s="199"/>
      <c r="W50" s="199"/>
      <c r="X50" s="199"/>
      <c r="Y50" s="199"/>
      <c r="Z50" s="199"/>
      <c r="AA50" s="199"/>
      <c r="AB50" s="199"/>
      <c r="AC50" s="199"/>
      <c r="AD50" s="199"/>
      <c r="AE50" s="199"/>
      <c r="AF50" s="199"/>
      <c r="AG50" s="199"/>
      <c r="AH50" s="199"/>
      <c r="AI50" s="199"/>
      <c r="AJ50" s="199"/>
      <c r="AK50" s="199"/>
      <c r="AL50" s="199"/>
      <c r="AM50" s="199"/>
      <c r="AN50" s="199"/>
      <c r="AO50" s="199"/>
      <c r="AP50" s="199"/>
      <c r="AQ50" s="199"/>
      <c r="AR50" s="199"/>
      <c r="AS50" s="199"/>
      <c r="AT50" s="199"/>
      <c r="AU50" s="199"/>
      <c r="AV50" s="199"/>
      <c r="AW50" s="199"/>
      <c r="AX50" s="199"/>
      <c r="AY50" s="199"/>
      <c r="AZ50" s="199"/>
      <c r="BA50" s="199"/>
      <c r="BB50" s="199"/>
      <c r="BC50" s="199"/>
      <c r="BD50" s="199"/>
      <c r="BE50" s="199"/>
      <c r="BF50" s="199"/>
      <c r="BG50" s="199"/>
      <c r="BH50" s="199"/>
      <c r="BI50" s="199"/>
      <c r="BJ50" s="199"/>
      <c r="BK50" s="199"/>
      <c r="BL50" s="199"/>
      <c r="BM50" s="199"/>
      <c r="BN50" s="199"/>
      <c r="BO50" s="199"/>
      <c r="BP50" s="199"/>
      <c r="BQ50" s="199"/>
    </row>
    <row r="51" spans="1:69" x14ac:dyDescent="0.2">
      <c r="A51" s="199"/>
      <c r="B51" s="199"/>
      <c r="C51" s="199"/>
      <c r="D51" s="199"/>
      <c r="E51" s="199"/>
      <c r="F51" s="199"/>
      <c r="G51" s="199"/>
      <c r="H51" s="199"/>
      <c r="I51" s="199"/>
      <c r="J51" s="199"/>
      <c r="K51" s="199"/>
      <c r="L51" s="199"/>
      <c r="M51" s="199"/>
      <c r="N51" s="199"/>
      <c r="O51" s="199"/>
      <c r="P51" s="199"/>
      <c r="Q51" s="199"/>
      <c r="R51" s="199"/>
      <c r="S51" s="199"/>
      <c r="T51" s="199"/>
      <c r="U51" s="199"/>
      <c r="V51" s="199"/>
      <c r="W51" s="199"/>
      <c r="X51" s="199"/>
      <c r="Y51" s="199"/>
      <c r="Z51" s="199"/>
      <c r="AA51" s="199"/>
      <c r="AB51" s="199"/>
      <c r="AC51" s="199"/>
      <c r="AD51" s="199"/>
      <c r="AE51" s="199"/>
      <c r="AF51" s="199"/>
      <c r="AG51" s="199"/>
      <c r="AH51" s="199"/>
      <c r="AI51" s="199"/>
      <c r="AJ51" s="199"/>
      <c r="AK51" s="199"/>
      <c r="AL51" s="199"/>
      <c r="AM51" s="199"/>
      <c r="AN51" s="199"/>
      <c r="AO51" s="199"/>
      <c r="AP51" s="199"/>
      <c r="AQ51" s="199"/>
      <c r="AR51" s="199"/>
      <c r="AS51" s="199"/>
      <c r="AT51" s="199"/>
      <c r="AU51" s="199"/>
      <c r="AV51" s="199"/>
      <c r="AW51" s="199"/>
      <c r="AX51" s="199"/>
      <c r="AY51" s="199"/>
      <c r="AZ51" s="199"/>
      <c r="BA51" s="199"/>
      <c r="BB51" s="199"/>
      <c r="BC51" s="199"/>
      <c r="BD51" s="199"/>
      <c r="BE51" s="199"/>
      <c r="BF51" s="199"/>
      <c r="BG51" s="199"/>
      <c r="BH51" s="199"/>
      <c r="BI51" s="199"/>
      <c r="BJ51" s="199"/>
      <c r="BK51" s="199"/>
      <c r="BL51" s="199"/>
      <c r="BM51" s="199"/>
      <c r="BN51" s="199"/>
      <c r="BO51" s="199"/>
      <c r="BP51" s="199"/>
      <c r="BQ51" s="199"/>
    </row>
    <row r="52" spans="1:69" x14ac:dyDescent="0.2">
      <c r="A52" s="199"/>
      <c r="B52" s="199"/>
      <c r="C52" s="199"/>
      <c r="D52" s="199"/>
      <c r="E52" s="199"/>
      <c r="F52" s="199"/>
      <c r="G52" s="199"/>
      <c r="H52" s="199"/>
      <c r="I52" s="199"/>
      <c r="J52" s="199"/>
      <c r="K52" s="199"/>
      <c r="L52" s="199"/>
      <c r="M52" s="199"/>
      <c r="N52" s="199"/>
      <c r="O52" s="199"/>
      <c r="P52" s="199"/>
      <c r="Q52" s="199"/>
      <c r="R52" s="199"/>
      <c r="S52" s="199"/>
      <c r="T52" s="199"/>
      <c r="U52" s="199"/>
      <c r="V52" s="199"/>
      <c r="W52" s="199"/>
      <c r="X52" s="199"/>
      <c r="Y52" s="199"/>
      <c r="Z52" s="199"/>
      <c r="AA52" s="199"/>
      <c r="AB52" s="199"/>
      <c r="AC52" s="199"/>
      <c r="AD52" s="199"/>
      <c r="AE52" s="199"/>
      <c r="AF52" s="199"/>
      <c r="AG52" s="199"/>
      <c r="AH52" s="199"/>
      <c r="AI52" s="199"/>
      <c r="AJ52" s="199"/>
      <c r="AK52" s="199"/>
      <c r="AL52" s="199"/>
      <c r="AM52" s="199"/>
      <c r="AN52" s="199"/>
      <c r="AO52" s="199"/>
      <c r="AP52" s="199"/>
      <c r="AQ52" s="199"/>
      <c r="AR52" s="199"/>
      <c r="AS52" s="199"/>
      <c r="AT52" s="199"/>
      <c r="AU52" s="199"/>
      <c r="AV52" s="199"/>
      <c r="AW52" s="199"/>
      <c r="AX52" s="199"/>
      <c r="AY52" s="199"/>
      <c r="AZ52" s="199"/>
      <c r="BA52" s="199"/>
      <c r="BB52" s="199"/>
      <c r="BC52" s="199"/>
      <c r="BD52" s="199"/>
      <c r="BE52" s="199"/>
      <c r="BF52" s="199"/>
      <c r="BG52" s="199"/>
      <c r="BH52" s="199"/>
      <c r="BI52" s="199"/>
      <c r="BJ52" s="199"/>
      <c r="BK52" s="199"/>
      <c r="BL52" s="199"/>
      <c r="BM52" s="199"/>
      <c r="BN52" s="199"/>
      <c r="BO52" s="199"/>
      <c r="BP52" s="199"/>
      <c r="BQ52" s="199"/>
    </row>
    <row r="53" spans="1:69" x14ac:dyDescent="0.2">
      <c r="A53" s="199"/>
      <c r="B53" s="199"/>
      <c r="C53" s="199"/>
      <c r="D53" s="199"/>
      <c r="E53" s="199"/>
      <c r="F53" s="199"/>
      <c r="G53" s="199"/>
      <c r="H53" s="199"/>
      <c r="I53" s="199"/>
      <c r="J53" s="199"/>
      <c r="K53" s="199"/>
      <c r="L53" s="199"/>
      <c r="M53" s="199"/>
      <c r="N53" s="199"/>
      <c r="O53" s="199"/>
      <c r="P53" s="199"/>
      <c r="Q53" s="199"/>
      <c r="R53" s="199"/>
      <c r="S53" s="199"/>
      <c r="T53" s="199"/>
      <c r="U53" s="199"/>
      <c r="V53" s="199"/>
      <c r="W53" s="199"/>
      <c r="X53" s="199"/>
      <c r="Y53" s="199"/>
      <c r="Z53" s="199"/>
      <c r="AA53" s="199"/>
      <c r="AB53" s="199"/>
      <c r="AC53" s="199"/>
      <c r="AD53" s="199"/>
      <c r="AE53" s="199"/>
      <c r="AF53" s="199"/>
      <c r="AG53" s="199"/>
      <c r="AH53" s="199"/>
      <c r="AI53" s="199"/>
      <c r="AJ53" s="199"/>
      <c r="AK53" s="199"/>
      <c r="AL53" s="199"/>
      <c r="AM53" s="199"/>
      <c r="AN53" s="199"/>
      <c r="AO53" s="199"/>
      <c r="AP53" s="199"/>
      <c r="AQ53" s="199"/>
      <c r="AR53" s="199"/>
      <c r="AS53" s="199"/>
      <c r="AT53" s="199"/>
      <c r="AU53" s="199"/>
      <c r="AV53" s="199"/>
      <c r="AW53" s="199"/>
      <c r="AX53" s="199"/>
      <c r="AY53" s="199"/>
      <c r="AZ53" s="199"/>
      <c r="BA53" s="199"/>
      <c r="BB53" s="199"/>
      <c r="BC53" s="199"/>
      <c r="BD53" s="199"/>
      <c r="BE53" s="199"/>
      <c r="BF53" s="199"/>
      <c r="BG53" s="199"/>
      <c r="BH53" s="199"/>
      <c r="BI53" s="199"/>
      <c r="BJ53" s="199"/>
      <c r="BK53" s="199"/>
      <c r="BL53" s="199"/>
      <c r="BM53" s="199"/>
      <c r="BN53" s="199"/>
      <c r="BO53" s="199"/>
      <c r="BP53" s="199"/>
      <c r="BQ53" s="199"/>
    </row>
    <row r="54" spans="1:69" x14ac:dyDescent="0.2">
      <c r="A54" s="199"/>
      <c r="B54" s="199"/>
      <c r="C54" s="199"/>
      <c r="D54" s="199"/>
      <c r="E54" s="199"/>
      <c r="F54" s="199"/>
      <c r="G54" s="199"/>
      <c r="H54" s="199"/>
      <c r="I54" s="199"/>
      <c r="J54" s="199"/>
      <c r="K54" s="199"/>
      <c r="L54" s="199"/>
      <c r="M54" s="199"/>
      <c r="N54" s="199"/>
      <c r="O54" s="199"/>
      <c r="P54" s="199"/>
      <c r="Q54" s="199"/>
      <c r="R54" s="199"/>
      <c r="S54" s="199"/>
      <c r="T54" s="199"/>
      <c r="U54" s="199"/>
      <c r="V54" s="199"/>
      <c r="W54" s="199"/>
      <c r="X54" s="199"/>
      <c r="Y54" s="199"/>
      <c r="Z54" s="199"/>
      <c r="AA54" s="199"/>
      <c r="AB54" s="199"/>
      <c r="AC54" s="199"/>
      <c r="AD54" s="199"/>
      <c r="AE54" s="199"/>
      <c r="AF54" s="199"/>
      <c r="AG54" s="199"/>
      <c r="AH54" s="199"/>
      <c r="AI54" s="199"/>
      <c r="AJ54" s="199"/>
      <c r="AK54" s="199"/>
      <c r="AL54" s="199"/>
      <c r="AM54" s="199"/>
      <c r="AN54" s="199"/>
      <c r="AO54" s="199"/>
      <c r="AP54" s="199"/>
      <c r="AQ54" s="199"/>
      <c r="AR54" s="199"/>
      <c r="AS54" s="199"/>
      <c r="AT54" s="199"/>
      <c r="AU54" s="199"/>
      <c r="AV54" s="199"/>
      <c r="AW54" s="199"/>
      <c r="AX54" s="199"/>
      <c r="AY54" s="199"/>
      <c r="AZ54" s="199"/>
      <c r="BA54" s="199"/>
      <c r="BB54" s="199"/>
      <c r="BC54" s="199"/>
      <c r="BD54" s="199"/>
      <c r="BE54" s="199"/>
      <c r="BF54" s="199"/>
      <c r="BG54" s="199"/>
      <c r="BH54" s="199"/>
      <c r="BI54" s="199"/>
      <c r="BJ54" s="199"/>
      <c r="BK54" s="199"/>
      <c r="BL54" s="199"/>
      <c r="BM54" s="199"/>
      <c r="BN54" s="199"/>
      <c r="BO54" s="199"/>
      <c r="BP54" s="199"/>
      <c r="BQ54" s="199"/>
    </row>
    <row r="55" spans="1:69" x14ac:dyDescent="0.2">
      <c r="A55" s="199"/>
      <c r="B55" s="199"/>
      <c r="C55" s="199"/>
      <c r="D55" s="199"/>
      <c r="E55" s="199"/>
      <c r="F55" s="199"/>
      <c r="G55" s="199"/>
      <c r="H55" s="199"/>
      <c r="I55" s="199"/>
      <c r="J55" s="199"/>
      <c r="K55" s="199"/>
      <c r="L55" s="199"/>
      <c r="M55" s="199"/>
      <c r="N55" s="199"/>
      <c r="O55" s="199"/>
      <c r="P55" s="199"/>
      <c r="Q55" s="199"/>
      <c r="R55" s="199"/>
      <c r="S55" s="199"/>
      <c r="T55" s="199"/>
      <c r="U55" s="199"/>
      <c r="V55" s="199"/>
      <c r="W55" s="199"/>
      <c r="X55" s="199"/>
      <c r="Y55" s="199"/>
      <c r="Z55" s="199"/>
      <c r="AA55" s="199"/>
      <c r="AB55" s="199"/>
      <c r="AC55" s="199"/>
      <c r="AD55" s="199"/>
      <c r="AE55" s="199"/>
      <c r="AF55" s="199"/>
      <c r="AG55" s="199"/>
      <c r="AH55" s="199"/>
      <c r="AI55" s="199"/>
      <c r="AJ55" s="199"/>
      <c r="AK55" s="199"/>
      <c r="AL55" s="199"/>
      <c r="AM55" s="199"/>
      <c r="AN55" s="199"/>
      <c r="AO55" s="199"/>
      <c r="AP55" s="199"/>
      <c r="AQ55" s="199"/>
      <c r="AR55" s="199"/>
      <c r="AS55" s="199"/>
      <c r="AT55" s="199"/>
      <c r="AU55" s="199"/>
      <c r="AV55" s="199"/>
      <c r="AW55" s="199"/>
      <c r="AX55" s="199"/>
      <c r="AY55" s="199"/>
      <c r="AZ55" s="199"/>
      <c r="BA55" s="199"/>
      <c r="BB55" s="199"/>
      <c r="BC55" s="199"/>
      <c r="BD55" s="199"/>
      <c r="BE55" s="199"/>
      <c r="BF55" s="199"/>
      <c r="BG55" s="199"/>
      <c r="BH55" s="199"/>
      <c r="BI55" s="199"/>
      <c r="BJ55" s="199"/>
      <c r="BK55" s="199"/>
      <c r="BL55" s="199"/>
      <c r="BM55" s="199"/>
      <c r="BN55" s="199"/>
      <c r="BO55" s="199"/>
      <c r="BP55" s="199"/>
      <c r="BQ55" s="199"/>
    </row>
    <row r="56" spans="1:69" x14ac:dyDescent="0.2">
      <c r="A56" s="199"/>
      <c r="B56" s="199"/>
      <c r="C56" s="199"/>
      <c r="D56" s="199"/>
      <c r="E56" s="199"/>
      <c r="F56" s="199"/>
      <c r="G56" s="199"/>
      <c r="H56" s="199"/>
      <c r="I56" s="199"/>
      <c r="J56" s="199"/>
      <c r="K56" s="199"/>
      <c r="L56" s="199"/>
      <c r="M56" s="199"/>
      <c r="N56" s="199"/>
      <c r="O56" s="199"/>
      <c r="P56" s="199"/>
      <c r="Q56" s="199"/>
      <c r="R56" s="199"/>
      <c r="S56" s="199"/>
      <c r="T56" s="199"/>
      <c r="U56" s="199"/>
      <c r="V56" s="199"/>
      <c r="W56" s="199"/>
      <c r="X56" s="199"/>
      <c r="Y56" s="199"/>
      <c r="Z56" s="199"/>
      <c r="AA56" s="199"/>
      <c r="AB56" s="199"/>
      <c r="AC56" s="199"/>
      <c r="AD56" s="199"/>
      <c r="AE56" s="199"/>
      <c r="AF56" s="199"/>
      <c r="AG56" s="199"/>
      <c r="AH56" s="199"/>
      <c r="AI56" s="199"/>
      <c r="AJ56" s="199"/>
      <c r="AK56" s="199"/>
      <c r="AL56" s="199"/>
      <c r="AM56" s="199"/>
      <c r="AN56" s="199"/>
      <c r="AO56" s="199"/>
      <c r="AP56" s="199"/>
      <c r="AQ56" s="199"/>
      <c r="AR56" s="199"/>
      <c r="AS56" s="199"/>
      <c r="AT56" s="199"/>
      <c r="AU56" s="199"/>
      <c r="AV56" s="199"/>
      <c r="AW56" s="199"/>
      <c r="AX56" s="199"/>
      <c r="AY56" s="199"/>
      <c r="AZ56" s="199"/>
      <c r="BA56" s="199"/>
      <c r="BB56" s="199"/>
      <c r="BC56" s="199"/>
      <c r="BD56" s="199"/>
      <c r="BE56" s="199"/>
      <c r="BF56" s="199"/>
      <c r="BG56" s="199"/>
      <c r="BH56" s="199"/>
      <c r="BI56" s="199"/>
      <c r="BJ56" s="199"/>
      <c r="BK56" s="199"/>
      <c r="BL56" s="199"/>
      <c r="BM56" s="199"/>
      <c r="BN56" s="199"/>
      <c r="BO56" s="199"/>
      <c r="BP56" s="199"/>
      <c r="BQ56" s="199"/>
    </row>
    <row r="57" spans="1:69" x14ac:dyDescent="0.2">
      <c r="A57" s="199"/>
      <c r="B57" s="199"/>
      <c r="C57" s="199"/>
      <c r="D57" s="199"/>
      <c r="E57" s="199"/>
      <c r="F57" s="199"/>
      <c r="G57" s="199"/>
      <c r="H57" s="199"/>
      <c r="I57" s="199"/>
      <c r="J57" s="199"/>
      <c r="K57" s="199"/>
      <c r="L57" s="199"/>
      <c r="M57" s="199"/>
      <c r="N57" s="199"/>
      <c r="O57" s="199"/>
      <c r="P57" s="199"/>
      <c r="Q57" s="199"/>
      <c r="R57" s="199"/>
      <c r="S57" s="199"/>
      <c r="T57" s="199"/>
      <c r="U57" s="199"/>
      <c r="V57" s="199"/>
      <c r="W57" s="199"/>
      <c r="X57" s="199"/>
      <c r="Y57" s="199"/>
      <c r="Z57" s="199"/>
      <c r="AA57" s="199"/>
      <c r="AB57" s="199"/>
      <c r="AC57" s="199"/>
      <c r="AD57" s="199"/>
      <c r="AE57" s="199"/>
      <c r="AF57" s="199"/>
      <c r="AG57" s="199"/>
      <c r="AH57" s="199"/>
      <c r="AI57" s="199"/>
      <c r="AJ57" s="199"/>
      <c r="AK57" s="199"/>
      <c r="AL57" s="199"/>
      <c r="AM57" s="199"/>
      <c r="AN57" s="199"/>
      <c r="AO57" s="199"/>
      <c r="AP57" s="199"/>
      <c r="AQ57" s="199"/>
      <c r="AR57" s="199"/>
      <c r="AS57" s="199"/>
      <c r="AT57" s="199"/>
      <c r="AU57" s="199"/>
      <c r="AV57" s="199"/>
      <c r="AW57" s="199"/>
      <c r="AX57" s="199"/>
      <c r="AY57" s="199"/>
      <c r="AZ57" s="199"/>
      <c r="BA57" s="199"/>
      <c r="BB57" s="199"/>
      <c r="BC57" s="199"/>
      <c r="BD57" s="199"/>
      <c r="BE57" s="199"/>
      <c r="BF57" s="199"/>
      <c r="BG57" s="199"/>
      <c r="BH57" s="199"/>
      <c r="BI57" s="199"/>
      <c r="BJ57" s="199"/>
      <c r="BK57" s="199"/>
      <c r="BL57" s="199"/>
      <c r="BM57" s="199"/>
      <c r="BN57" s="199"/>
      <c r="BO57" s="199"/>
      <c r="BP57" s="199"/>
      <c r="BQ57" s="199"/>
    </row>
    <row r="58" spans="1:69" x14ac:dyDescent="0.2">
      <c r="A58" s="199"/>
      <c r="B58" s="199"/>
      <c r="C58" s="199"/>
      <c r="D58" s="199"/>
      <c r="E58" s="199"/>
      <c r="F58" s="199"/>
      <c r="G58" s="199"/>
      <c r="H58" s="199"/>
      <c r="I58" s="199"/>
      <c r="J58" s="199"/>
      <c r="K58" s="199"/>
      <c r="L58" s="199"/>
      <c r="M58" s="199"/>
      <c r="N58" s="199"/>
      <c r="O58" s="199"/>
      <c r="P58" s="199"/>
      <c r="Q58" s="199"/>
      <c r="R58" s="199"/>
      <c r="S58" s="199"/>
      <c r="T58" s="199"/>
      <c r="U58" s="199"/>
      <c r="V58" s="199"/>
      <c r="W58" s="199"/>
      <c r="X58" s="199"/>
      <c r="Y58" s="199"/>
      <c r="Z58" s="199"/>
      <c r="AA58" s="199"/>
      <c r="AB58" s="199"/>
      <c r="AC58" s="199"/>
      <c r="AD58" s="199"/>
      <c r="AE58" s="199"/>
      <c r="AF58" s="199"/>
      <c r="AG58" s="199"/>
      <c r="AH58" s="199"/>
      <c r="AI58" s="199"/>
      <c r="AJ58" s="199"/>
      <c r="AK58" s="199"/>
      <c r="AL58" s="199"/>
      <c r="AM58" s="199"/>
      <c r="AN58" s="199"/>
      <c r="AO58" s="199"/>
      <c r="AP58" s="199"/>
      <c r="AQ58" s="199"/>
      <c r="AR58" s="199"/>
      <c r="AS58" s="199"/>
      <c r="AT58" s="199"/>
      <c r="AU58" s="199"/>
      <c r="AV58" s="199"/>
      <c r="AW58" s="199"/>
      <c r="AX58" s="199"/>
      <c r="AY58" s="199"/>
      <c r="AZ58" s="199"/>
      <c r="BA58" s="199"/>
      <c r="BB58" s="199"/>
      <c r="BC58" s="199"/>
      <c r="BD58" s="199"/>
      <c r="BE58" s="199"/>
      <c r="BF58" s="199"/>
      <c r="BG58" s="199"/>
      <c r="BH58" s="199"/>
      <c r="BI58" s="199"/>
      <c r="BJ58" s="199"/>
      <c r="BK58" s="199"/>
      <c r="BL58" s="199"/>
      <c r="BM58" s="199"/>
      <c r="BN58" s="199"/>
      <c r="BO58" s="199"/>
      <c r="BP58" s="199"/>
      <c r="BQ58" s="199"/>
    </row>
    <row r="59" spans="1:69" x14ac:dyDescent="0.2">
      <c r="A59" s="199"/>
      <c r="B59" s="199"/>
      <c r="C59" s="199"/>
      <c r="D59" s="199"/>
      <c r="E59" s="199"/>
      <c r="F59" s="199"/>
      <c r="G59" s="199"/>
      <c r="H59" s="199"/>
      <c r="I59" s="199"/>
      <c r="J59" s="199"/>
      <c r="K59" s="199"/>
      <c r="L59" s="199"/>
      <c r="M59" s="199"/>
      <c r="N59" s="199"/>
      <c r="O59" s="199"/>
      <c r="P59" s="199"/>
      <c r="Q59" s="199"/>
      <c r="R59" s="199"/>
      <c r="S59" s="199"/>
      <c r="T59" s="199"/>
      <c r="U59" s="199"/>
      <c r="V59" s="199"/>
      <c r="W59" s="199"/>
      <c r="X59" s="199"/>
      <c r="Y59" s="199"/>
      <c r="Z59" s="199"/>
      <c r="AA59" s="199"/>
      <c r="AB59" s="199"/>
      <c r="AC59" s="199"/>
      <c r="AD59" s="199"/>
      <c r="AE59" s="199"/>
      <c r="AF59" s="199"/>
      <c r="AG59" s="199"/>
      <c r="AH59" s="199"/>
      <c r="AI59" s="199"/>
      <c r="AJ59" s="199"/>
      <c r="AK59" s="199"/>
      <c r="AL59" s="199"/>
      <c r="AM59" s="199"/>
      <c r="AN59" s="199"/>
      <c r="AO59" s="199"/>
      <c r="AP59" s="199"/>
      <c r="AQ59" s="199"/>
      <c r="AR59" s="199"/>
      <c r="AS59" s="199"/>
      <c r="AT59" s="199"/>
      <c r="AU59" s="199"/>
      <c r="AV59" s="199"/>
      <c r="AW59" s="199"/>
      <c r="AX59" s="199"/>
      <c r="AY59" s="199"/>
      <c r="AZ59" s="199"/>
      <c r="BA59" s="199"/>
      <c r="BB59" s="199"/>
      <c r="BC59" s="199"/>
      <c r="BD59" s="199"/>
      <c r="BE59" s="199"/>
      <c r="BF59" s="199"/>
      <c r="BG59" s="199"/>
      <c r="BH59" s="199"/>
      <c r="BI59" s="199"/>
      <c r="BJ59" s="199"/>
      <c r="BK59" s="199"/>
      <c r="BL59" s="199"/>
      <c r="BM59" s="199"/>
      <c r="BN59" s="199"/>
      <c r="BO59" s="199"/>
      <c r="BP59" s="199"/>
      <c r="BQ59" s="199"/>
    </row>
    <row r="60" spans="1:69" x14ac:dyDescent="0.2">
      <c r="J60" s="199"/>
      <c r="K60" s="199"/>
      <c r="L60" s="199"/>
      <c r="M60" s="199"/>
      <c r="N60" s="199"/>
      <c r="O60" s="199"/>
      <c r="P60" s="199"/>
      <c r="Q60" s="199"/>
      <c r="R60" s="199"/>
      <c r="S60" s="199"/>
      <c r="T60" s="199"/>
      <c r="U60" s="199"/>
      <c r="V60" s="199"/>
      <c r="W60" s="199"/>
      <c r="X60" s="199"/>
      <c r="Y60" s="199"/>
      <c r="Z60" s="199"/>
      <c r="AA60" s="199"/>
      <c r="AB60" s="199"/>
      <c r="AC60" s="199"/>
      <c r="AD60" s="199"/>
      <c r="AE60" s="199"/>
      <c r="AF60" s="199"/>
      <c r="AG60" s="199"/>
      <c r="AH60" s="199"/>
      <c r="AI60" s="199"/>
      <c r="AJ60" s="199"/>
      <c r="AK60" s="199"/>
      <c r="AL60" s="199"/>
      <c r="AM60" s="199"/>
      <c r="AN60" s="199"/>
      <c r="AO60" s="199"/>
      <c r="AP60" s="199"/>
      <c r="AQ60" s="199"/>
      <c r="AR60" s="199"/>
      <c r="AS60" s="199"/>
      <c r="AT60" s="199"/>
      <c r="AU60" s="199"/>
      <c r="AV60" s="199"/>
      <c r="AW60" s="199"/>
      <c r="AX60" s="199"/>
      <c r="AY60" s="199"/>
      <c r="AZ60" s="199"/>
      <c r="BA60" s="199"/>
      <c r="BB60" s="199"/>
      <c r="BC60" s="199"/>
      <c r="BD60" s="199"/>
      <c r="BE60" s="199"/>
      <c r="BF60" s="199"/>
      <c r="BG60" s="199"/>
      <c r="BH60" s="199"/>
      <c r="BI60" s="199"/>
      <c r="BJ60" s="199"/>
      <c r="BK60" s="199"/>
      <c r="BL60" s="199"/>
      <c r="BM60" s="199"/>
      <c r="BN60" s="199"/>
      <c r="BO60" s="199"/>
      <c r="BP60" s="199"/>
      <c r="BQ60" s="199"/>
    </row>
    <row r="61" spans="1:69" x14ac:dyDescent="0.2">
      <c r="J61" s="199"/>
      <c r="K61" s="199"/>
      <c r="L61" s="199"/>
      <c r="M61" s="199"/>
      <c r="N61" s="199"/>
      <c r="O61" s="199"/>
      <c r="P61" s="199"/>
      <c r="Q61" s="199"/>
      <c r="R61" s="199"/>
      <c r="S61" s="199"/>
      <c r="T61" s="199"/>
      <c r="U61" s="199"/>
      <c r="V61" s="199"/>
      <c r="W61" s="199"/>
      <c r="X61" s="199"/>
      <c r="Y61" s="199"/>
      <c r="Z61" s="199"/>
      <c r="AA61" s="199"/>
      <c r="AB61" s="199"/>
      <c r="AC61" s="199"/>
      <c r="AD61" s="199"/>
      <c r="AE61" s="199"/>
      <c r="AF61" s="199"/>
      <c r="AG61" s="199"/>
      <c r="AH61" s="199"/>
      <c r="AI61" s="199"/>
      <c r="AJ61" s="199"/>
      <c r="AK61" s="199"/>
      <c r="AL61" s="199"/>
      <c r="AM61" s="199"/>
      <c r="AN61" s="199"/>
      <c r="AO61" s="199"/>
      <c r="AP61" s="199"/>
      <c r="AQ61" s="199"/>
      <c r="AR61" s="199"/>
      <c r="AS61" s="199"/>
      <c r="AT61" s="199"/>
      <c r="AU61" s="199"/>
      <c r="AV61" s="199"/>
      <c r="AW61" s="199"/>
      <c r="AX61" s="199"/>
      <c r="AY61" s="199"/>
      <c r="AZ61" s="199"/>
      <c r="BA61" s="199"/>
      <c r="BB61" s="199"/>
      <c r="BC61" s="199"/>
      <c r="BD61" s="199"/>
      <c r="BE61" s="199"/>
      <c r="BF61" s="199"/>
      <c r="BG61" s="199"/>
      <c r="BH61" s="199"/>
      <c r="BI61" s="199"/>
      <c r="BJ61" s="199"/>
      <c r="BK61" s="199"/>
      <c r="BL61" s="199"/>
      <c r="BM61" s="199"/>
      <c r="BN61" s="199"/>
      <c r="BO61" s="199"/>
      <c r="BP61" s="199"/>
      <c r="BQ61" s="199"/>
    </row>
    <row r="62" spans="1:69" x14ac:dyDescent="0.2">
      <c r="J62" s="199"/>
      <c r="K62" s="199"/>
      <c r="L62" s="199"/>
      <c r="M62" s="199"/>
      <c r="N62" s="199"/>
      <c r="O62" s="199"/>
      <c r="P62" s="199"/>
      <c r="Q62" s="199"/>
      <c r="R62" s="199"/>
      <c r="S62" s="199"/>
      <c r="T62" s="199"/>
      <c r="U62" s="199"/>
      <c r="V62" s="199"/>
      <c r="W62" s="199"/>
      <c r="X62" s="199"/>
      <c r="Y62" s="199"/>
      <c r="Z62" s="199"/>
      <c r="AA62" s="199"/>
      <c r="AB62" s="199"/>
      <c r="AC62" s="199"/>
      <c r="AD62" s="199"/>
      <c r="AE62" s="199"/>
      <c r="AF62" s="199"/>
      <c r="AG62" s="199"/>
      <c r="AH62" s="199"/>
      <c r="AI62" s="199"/>
      <c r="AJ62" s="199"/>
      <c r="AK62" s="199"/>
      <c r="AL62" s="199"/>
      <c r="AM62" s="199"/>
      <c r="AN62" s="199"/>
      <c r="AO62" s="199"/>
      <c r="AP62" s="199"/>
      <c r="AQ62" s="199"/>
      <c r="AR62" s="199"/>
      <c r="AS62" s="199"/>
      <c r="AT62" s="199"/>
      <c r="AU62" s="199"/>
      <c r="AV62" s="199"/>
      <c r="AW62" s="199"/>
      <c r="AX62" s="199"/>
      <c r="AY62" s="199"/>
      <c r="AZ62" s="199"/>
      <c r="BA62" s="199"/>
      <c r="BB62" s="199"/>
      <c r="BC62" s="199"/>
      <c r="BD62" s="199"/>
      <c r="BE62" s="199"/>
      <c r="BF62" s="199"/>
      <c r="BG62" s="199"/>
      <c r="BH62" s="199"/>
      <c r="BI62" s="199"/>
      <c r="BJ62" s="199"/>
      <c r="BK62" s="199"/>
      <c r="BL62" s="199"/>
      <c r="BM62" s="199"/>
      <c r="BN62" s="199"/>
      <c r="BO62" s="199"/>
      <c r="BP62" s="199"/>
      <c r="BQ62" s="199"/>
    </row>
    <row r="63" spans="1:69" x14ac:dyDescent="0.2">
      <c r="J63" s="199"/>
      <c r="K63" s="199"/>
      <c r="L63" s="199"/>
      <c r="M63" s="199"/>
      <c r="N63" s="199"/>
      <c r="O63" s="199"/>
      <c r="P63" s="199"/>
      <c r="Q63" s="199"/>
      <c r="R63" s="199"/>
      <c r="S63" s="199"/>
      <c r="T63" s="199"/>
      <c r="U63" s="199"/>
      <c r="V63" s="199"/>
      <c r="W63" s="199"/>
      <c r="X63" s="199"/>
      <c r="Y63" s="199"/>
      <c r="Z63" s="199"/>
      <c r="AA63" s="199"/>
      <c r="AB63" s="199"/>
      <c r="AC63" s="199"/>
      <c r="AD63" s="199"/>
      <c r="AE63" s="199"/>
      <c r="AF63" s="199"/>
      <c r="AG63" s="199"/>
      <c r="AH63" s="199"/>
      <c r="AI63" s="199"/>
      <c r="AJ63" s="199"/>
      <c r="AK63" s="199"/>
      <c r="AL63" s="199"/>
      <c r="AM63" s="199"/>
      <c r="AN63" s="199"/>
      <c r="AO63" s="199"/>
      <c r="AP63" s="199"/>
      <c r="AQ63" s="199"/>
      <c r="AR63" s="199"/>
      <c r="AS63" s="199"/>
      <c r="AT63" s="199"/>
      <c r="AU63" s="199"/>
      <c r="AV63" s="199"/>
      <c r="AW63" s="199"/>
      <c r="AX63" s="199"/>
      <c r="AY63" s="199"/>
      <c r="AZ63" s="199"/>
      <c r="BA63" s="199"/>
      <c r="BB63" s="199"/>
      <c r="BC63" s="199"/>
      <c r="BD63" s="199"/>
      <c r="BE63" s="199"/>
      <c r="BF63" s="199"/>
      <c r="BG63" s="199"/>
      <c r="BH63" s="199"/>
      <c r="BI63" s="199"/>
      <c r="BJ63" s="199"/>
      <c r="BK63" s="199"/>
      <c r="BL63" s="199"/>
      <c r="BM63" s="199"/>
      <c r="BN63" s="199"/>
      <c r="BO63" s="199"/>
      <c r="BP63" s="199"/>
      <c r="BQ63" s="199"/>
    </row>
    <row r="64" spans="1:69" x14ac:dyDescent="0.2">
      <c r="J64" s="199"/>
      <c r="K64" s="199"/>
      <c r="L64" s="199"/>
      <c r="M64" s="199"/>
      <c r="N64" s="199"/>
      <c r="O64" s="199"/>
      <c r="P64" s="199"/>
      <c r="Q64" s="199"/>
      <c r="R64" s="199"/>
      <c r="S64" s="199"/>
      <c r="T64" s="199"/>
      <c r="U64" s="199"/>
      <c r="V64" s="199"/>
      <c r="W64" s="199"/>
      <c r="X64" s="199"/>
      <c r="Y64" s="199"/>
      <c r="Z64" s="199"/>
      <c r="AA64" s="199"/>
      <c r="AB64" s="199"/>
      <c r="AC64" s="199"/>
      <c r="AD64" s="199"/>
      <c r="AE64" s="199"/>
      <c r="AF64" s="199"/>
      <c r="AG64" s="199"/>
      <c r="AH64" s="199"/>
      <c r="AI64" s="199"/>
      <c r="AJ64" s="199"/>
      <c r="AK64" s="199"/>
      <c r="AL64" s="199"/>
      <c r="AM64" s="199"/>
      <c r="AN64" s="199"/>
      <c r="AO64" s="199"/>
      <c r="AP64" s="199"/>
      <c r="AQ64" s="199"/>
      <c r="AR64" s="199"/>
      <c r="AS64" s="199"/>
      <c r="AT64" s="199"/>
      <c r="AU64" s="199"/>
      <c r="AV64" s="199"/>
      <c r="AW64" s="199"/>
      <c r="AX64" s="199"/>
      <c r="AY64" s="199"/>
      <c r="AZ64" s="199"/>
      <c r="BA64" s="199"/>
      <c r="BB64" s="199"/>
      <c r="BC64" s="199"/>
      <c r="BD64" s="199"/>
      <c r="BE64" s="199"/>
      <c r="BF64" s="199"/>
      <c r="BG64" s="199"/>
      <c r="BH64" s="199"/>
      <c r="BI64" s="199"/>
      <c r="BJ64" s="199"/>
      <c r="BK64" s="199"/>
      <c r="BL64" s="199"/>
      <c r="BM64" s="199"/>
      <c r="BN64" s="199"/>
      <c r="BO64" s="199"/>
      <c r="BP64" s="199"/>
      <c r="BQ64" s="199"/>
    </row>
    <row r="65" spans="10:69" x14ac:dyDescent="0.2">
      <c r="J65" s="199"/>
      <c r="K65" s="199"/>
      <c r="L65" s="199"/>
      <c r="M65" s="199"/>
      <c r="N65" s="199"/>
      <c r="O65" s="199"/>
      <c r="P65" s="199"/>
      <c r="Q65" s="199"/>
      <c r="R65" s="199"/>
      <c r="S65" s="199"/>
      <c r="T65" s="199"/>
      <c r="U65" s="199"/>
      <c r="V65" s="199"/>
      <c r="W65" s="199"/>
      <c r="X65" s="199"/>
      <c r="Y65" s="199"/>
      <c r="Z65" s="199"/>
      <c r="AA65" s="199"/>
      <c r="AB65" s="199"/>
      <c r="AC65" s="199"/>
      <c r="AD65" s="199"/>
      <c r="AE65" s="199"/>
      <c r="AF65" s="199"/>
      <c r="AG65" s="199"/>
      <c r="AH65" s="199"/>
      <c r="AI65" s="199"/>
      <c r="AJ65" s="199"/>
      <c r="AK65" s="199"/>
      <c r="AL65" s="199"/>
      <c r="AM65" s="199"/>
      <c r="AN65" s="199"/>
      <c r="AO65" s="199"/>
      <c r="AP65" s="199"/>
      <c r="AQ65" s="199"/>
      <c r="AR65" s="199"/>
      <c r="AS65" s="199"/>
      <c r="AT65" s="199"/>
      <c r="AU65" s="199"/>
      <c r="AV65" s="199"/>
      <c r="AW65" s="199"/>
      <c r="AX65" s="199"/>
      <c r="AY65" s="199"/>
      <c r="AZ65" s="199"/>
      <c r="BA65" s="199"/>
      <c r="BB65" s="199"/>
      <c r="BC65" s="199"/>
      <c r="BD65" s="199"/>
      <c r="BE65" s="199"/>
      <c r="BF65" s="199"/>
      <c r="BG65" s="199"/>
      <c r="BH65" s="199"/>
      <c r="BI65" s="199"/>
      <c r="BJ65" s="199"/>
      <c r="BK65" s="199"/>
      <c r="BL65" s="199"/>
      <c r="BM65" s="199"/>
      <c r="BN65" s="199"/>
      <c r="BO65" s="199"/>
      <c r="BP65" s="199"/>
      <c r="BQ65" s="199"/>
    </row>
    <row r="66" spans="10:69" x14ac:dyDescent="0.2">
      <c r="J66" s="199"/>
      <c r="K66" s="199"/>
      <c r="L66" s="199"/>
      <c r="M66" s="199"/>
      <c r="N66" s="199"/>
      <c r="O66" s="199"/>
      <c r="P66" s="199"/>
      <c r="Q66" s="199"/>
      <c r="R66" s="199"/>
      <c r="S66" s="199"/>
      <c r="T66" s="199"/>
      <c r="U66" s="199"/>
      <c r="V66" s="199"/>
      <c r="W66" s="199"/>
      <c r="X66" s="199"/>
      <c r="Y66" s="199"/>
      <c r="Z66" s="199"/>
      <c r="AA66" s="199"/>
      <c r="AB66" s="199"/>
      <c r="AC66" s="199"/>
      <c r="AD66" s="199"/>
      <c r="AE66" s="199"/>
      <c r="AF66" s="199"/>
      <c r="AG66" s="199"/>
      <c r="AH66" s="199"/>
      <c r="AI66" s="199"/>
      <c r="AJ66" s="199"/>
      <c r="AK66" s="199"/>
      <c r="AL66" s="199"/>
      <c r="AM66" s="199"/>
      <c r="AN66" s="199"/>
      <c r="AO66" s="199"/>
      <c r="AP66" s="199"/>
      <c r="AQ66" s="199"/>
      <c r="AR66" s="199"/>
      <c r="AS66" s="199"/>
      <c r="AT66" s="199"/>
      <c r="AU66" s="199"/>
      <c r="AV66" s="199"/>
      <c r="AW66" s="199"/>
      <c r="AX66" s="199"/>
      <c r="AY66" s="199"/>
      <c r="AZ66" s="199"/>
      <c r="BA66" s="199"/>
      <c r="BB66" s="199"/>
      <c r="BC66" s="199"/>
      <c r="BD66" s="199"/>
      <c r="BE66" s="199"/>
      <c r="BF66" s="199"/>
      <c r="BG66" s="199"/>
      <c r="BH66" s="199"/>
      <c r="BI66" s="199"/>
      <c r="BJ66" s="199"/>
      <c r="BK66" s="199"/>
      <c r="BL66" s="199"/>
      <c r="BM66" s="199"/>
      <c r="BN66" s="199"/>
      <c r="BO66" s="199"/>
      <c r="BP66" s="199"/>
      <c r="BQ66" s="199"/>
    </row>
    <row r="67" spans="10:69" x14ac:dyDescent="0.2">
      <c r="J67" s="199"/>
      <c r="K67" s="199"/>
      <c r="L67" s="199"/>
      <c r="M67" s="199"/>
      <c r="N67" s="199"/>
      <c r="O67" s="199"/>
      <c r="P67" s="199"/>
      <c r="Q67" s="199"/>
      <c r="R67" s="199"/>
      <c r="S67" s="199"/>
      <c r="T67" s="199"/>
      <c r="U67" s="199"/>
      <c r="V67" s="199"/>
      <c r="W67" s="199"/>
      <c r="X67" s="199"/>
      <c r="Y67" s="199"/>
      <c r="Z67" s="199"/>
      <c r="AA67" s="199"/>
      <c r="AB67" s="199"/>
      <c r="AC67" s="199"/>
      <c r="AD67" s="199"/>
      <c r="AE67" s="199"/>
      <c r="AF67" s="199"/>
      <c r="AG67" s="199"/>
      <c r="AH67" s="199"/>
      <c r="AI67" s="199"/>
      <c r="AJ67" s="199"/>
      <c r="AK67" s="199"/>
      <c r="AL67" s="199"/>
      <c r="AM67" s="199"/>
      <c r="AN67" s="199"/>
      <c r="AO67" s="199"/>
      <c r="AP67" s="199"/>
      <c r="AQ67" s="199"/>
      <c r="AR67" s="199"/>
      <c r="AS67" s="199"/>
      <c r="AT67" s="199"/>
      <c r="AU67" s="199"/>
      <c r="AV67" s="199"/>
      <c r="AW67" s="199"/>
      <c r="AX67" s="199"/>
      <c r="AY67" s="199"/>
      <c r="AZ67" s="199"/>
      <c r="BA67" s="199"/>
      <c r="BB67" s="199"/>
      <c r="BC67" s="199"/>
      <c r="BD67" s="199"/>
      <c r="BE67" s="199"/>
      <c r="BF67" s="199"/>
      <c r="BG67" s="199"/>
      <c r="BH67" s="199"/>
      <c r="BI67" s="199"/>
      <c r="BJ67" s="199"/>
      <c r="BK67" s="199"/>
      <c r="BL67" s="199"/>
      <c r="BM67" s="199"/>
      <c r="BN67" s="199"/>
      <c r="BO67" s="199"/>
      <c r="BP67" s="199"/>
      <c r="BQ67" s="199"/>
    </row>
    <row r="68" spans="10:69" x14ac:dyDescent="0.2">
      <c r="J68" s="199"/>
      <c r="K68" s="199"/>
      <c r="L68" s="199"/>
      <c r="M68" s="199"/>
      <c r="N68" s="199"/>
      <c r="O68" s="199"/>
      <c r="P68" s="199"/>
      <c r="Q68" s="199"/>
      <c r="R68" s="199"/>
      <c r="S68" s="199"/>
      <c r="T68" s="199"/>
      <c r="U68" s="199"/>
      <c r="V68" s="199"/>
      <c r="W68" s="199"/>
      <c r="X68" s="199"/>
      <c r="Y68" s="199"/>
      <c r="Z68" s="199"/>
      <c r="AA68" s="199"/>
      <c r="AB68" s="199"/>
      <c r="AC68" s="199"/>
      <c r="AD68" s="199"/>
      <c r="AE68" s="199"/>
      <c r="AF68" s="199"/>
      <c r="AG68" s="199"/>
      <c r="AH68" s="199"/>
      <c r="AI68" s="199"/>
      <c r="AJ68" s="199"/>
      <c r="AK68" s="199"/>
      <c r="AL68" s="199"/>
      <c r="AM68" s="199"/>
      <c r="AN68" s="199"/>
      <c r="AO68" s="199"/>
      <c r="AP68" s="199"/>
      <c r="AQ68" s="199"/>
      <c r="AR68" s="199"/>
      <c r="AS68" s="199"/>
      <c r="AT68" s="199"/>
      <c r="AU68" s="199"/>
      <c r="AV68" s="199"/>
      <c r="AW68" s="199"/>
      <c r="AX68" s="199"/>
      <c r="AY68" s="199"/>
      <c r="AZ68" s="199"/>
      <c r="BA68" s="199"/>
      <c r="BB68" s="199"/>
      <c r="BC68" s="199"/>
      <c r="BD68" s="199"/>
      <c r="BE68" s="199"/>
      <c r="BF68" s="199"/>
      <c r="BG68" s="199"/>
      <c r="BH68" s="199"/>
      <c r="BI68" s="199"/>
      <c r="BJ68" s="199"/>
      <c r="BK68" s="199"/>
      <c r="BL68" s="199"/>
      <c r="BM68" s="199"/>
      <c r="BN68" s="199"/>
      <c r="BO68" s="199"/>
      <c r="BP68" s="199"/>
      <c r="BQ68" s="199"/>
    </row>
  </sheetData>
  <sheetProtection sheet="1" objects="1" scenarios="1"/>
  <mergeCells count="1">
    <mergeCell ref="C17:E17"/>
  </mergeCells>
  <conditionalFormatting sqref="A12:C14">
    <cfRule type="expression" dxfId="186" priority="1">
      <formula>$B$11=$A$35</formula>
    </cfRule>
    <cfRule type="expression" dxfId="185" priority="2">
      <formula>$B$11=$A$34</formula>
    </cfRule>
  </conditionalFormatting>
  <dataValidations count="6">
    <dataValidation type="list" allowBlank="1" showInputMessage="1" showErrorMessage="1" sqref="B10" xr:uid="{781C7F6E-C91A-40AF-8AA0-58BA901BBD59}">
      <formula1>$A$37:$A$38</formula1>
    </dataValidation>
    <dataValidation type="list" allowBlank="1" showInputMessage="1" showErrorMessage="1" sqref="B11" xr:uid="{6CC888DA-0A2B-47CB-866D-196CA5D210A5}">
      <formula1>$A$34:$A$36</formula1>
    </dataValidation>
    <dataValidation type="list" allowBlank="1" showInputMessage="1" showErrorMessage="1" sqref="D2" xr:uid="{E9ED4B4C-7280-4E66-99CC-804FE3B38992}">
      <formula1>$BW$16:$CJ$16</formula1>
    </dataValidation>
    <dataValidation type="list" allowBlank="1" showInputMessage="1" showErrorMessage="1" sqref="B2" xr:uid="{A6CDACBB-DFD1-456C-AD40-C89E69A3859D}">
      <formula1>$A$33:$N$33</formula1>
    </dataValidation>
    <dataValidation type="list" allowBlank="1" showInputMessage="1" showErrorMessage="1" sqref="B9" xr:uid="{7327ED78-7CFA-43F7-9396-1A05F0D131A1}">
      <formula1>$A$39:$A$41</formula1>
    </dataValidation>
    <dataValidation type="list" allowBlank="1" showInputMessage="1" showErrorMessage="1" sqref="B20" xr:uid="{94CACC68-4EE4-40E1-8FB3-A59172D6E63C}">
      <formula1>$C$36:$C$38</formula1>
    </dataValidation>
  </dataValidations>
  <pageMargins left="0.7" right="0.7" top="0.75" bottom="0.75" header="0.3" footer="0.3"/>
  <pageSetup paperSize="9" orientation="portrait" horizontalDpi="1200" verticalDpi="120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325B09-B08B-4AC4-B76E-7B1EAB58EEEC}">
  <dimension ref="A1:DT984"/>
  <sheetViews>
    <sheetView rightToLeft="1" topLeftCell="A6" zoomScaleNormal="100" workbookViewId="0">
      <selection activeCell="C25" sqref="C25"/>
    </sheetView>
  </sheetViews>
  <sheetFormatPr defaultRowHeight="14.25" x14ac:dyDescent="0.2"/>
  <cols>
    <col min="1" max="1" width="0.375" customWidth="1"/>
    <col min="2" max="2" width="17.25" customWidth="1"/>
    <col min="3" max="3" width="13.375" customWidth="1"/>
    <col min="4" max="4" width="9.625" style="10" customWidth="1"/>
    <col min="5" max="5" width="13.375" style="10" customWidth="1"/>
    <col min="6" max="6" width="8.625" style="10" customWidth="1"/>
    <col min="7" max="7" width="15.625" style="10" customWidth="1"/>
    <col min="8" max="8" width="16.125" style="10" customWidth="1"/>
    <col min="9" max="9" width="12.5" style="10" customWidth="1"/>
    <col min="10" max="10" width="12.125" style="10" customWidth="1"/>
    <col min="11" max="11" width="18.125" customWidth="1"/>
    <col min="12" max="12" width="16.25" customWidth="1"/>
    <col min="13" max="14" width="12.875" customWidth="1"/>
    <col min="15" max="15" width="11.375" customWidth="1"/>
    <col min="16" max="16" width="11.75" customWidth="1"/>
    <col min="17" max="17" width="10.875" customWidth="1"/>
    <col min="18" max="18" width="16" customWidth="1"/>
    <col min="19" max="19" width="14.125" customWidth="1"/>
    <col min="20" max="20" width="11.75" customWidth="1"/>
    <col min="21" max="21" width="13.375" customWidth="1"/>
    <col min="22" max="22" width="21.625" customWidth="1"/>
    <col min="23" max="23" width="16.125" customWidth="1"/>
    <col min="24" max="25" width="14" customWidth="1"/>
    <col min="26" max="26" width="9.625" customWidth="1"/>
    <col min="27" max="27" width="10.75" customWidth="1"/>
    <col min="28" max="28" width="9.625" customWidth="1"/>
    <col min="29" max="29" width="9.25" customWidth="1"/>
    <col min="30" max="30" width="9.375" customWidth="1"/>
    <col min="31" max="32" width="13.25" customWidth="1"/>
    <col min="33" max="33" width="8.25" bestFit="1" customWidth="1"/>
    <col min="34" max="34" width="10" style="65" customWidth="1"/>
    <col min="36" max="36" width="9.75" customWidth="1"/>
    <col min="37" max="37" width="9.375" customWidth="1"/>
    <col min="38" max="38" width="10.5" bestFit="1" customWidth="1"/>
    <col min="45" max="45" width="9.625" customWidth="1"/>
    <col min="46" max="46" width="14.75" customWidth="1"/>
    <col min="47" max="47" width="11.375" customWidth="1"/>
    <col min="48" max="48" width="9.875" customWidth="1"/>
    <col min="49" max="49" width="10.75" customWidth="1"/>
    <col min="50" max="50" width="10.125" bestFit="1" customWidth="1"/>
    <col min="51" max="51" width="12.5" customWidth="1"/>
    <col min="52" max="52" width="10.625" customWidth="1"/>
    <col min="55" max="55" width="15.75" customWidth="1"/>
    <col min="56" max="56" width="10" customWidth="1"/>
    <col min="59" max="59" width="8.875" customWidth="1"/>
    <col min="60" max="60" width="9.625" bestFit="1" customWidth="1"/>
    <col min="61" max="61" width="9.375" customWidth="1"/>
    <col min="63" max="63" width="7.25" customWidth="1"/>
    <col min="64" max="64" width="0" hidden="1" customWidth="1"/>
    <col min="66" max="66" width="9.375" customWidth="1"/>
    <col min="67" max="67" width="10.375" customWidth="1"/>
    <col min="68" max="68" width="15.875" customWidth="1"/>
    <col min="70" max="70" width="6.75" customWidth="1"/>
    <col min="257" max="257" width="0.375" customWidth="1"/>
    <col min="258" max="258" width="17.25" customWidth="1"/>
    <col min="259" max="259" width="13.375" customWidth="1"/>
    <col min="260" max="260" width="9.625" customWidth="1"/>
    <col min="261" max="261" width="13.375" customWidth="1"/>
    <col min="262" max="262" width="8.625" customWidth="1"/>
    <col min="263" max="263" width="15.625" customWidth="1"/>
    <col min="264" max="264" width="16.125" customWidth="1"/>
    <col min="265" max="265" width="12.5" customWidth="1"/>
    <col min="266" max="266" width="12.125" customWidth="1"/>
    <col min="267" max="267" width="18.125" customWidth="1"/>
    <col min="268" max="268" width="16.25" customWidth="1"/>
    <col min="269" max="270" width="12.875" customWidth="1"/>
    <col min="271" max="271" width="11.375" customWidth="1"/>
    <col min="272" max="272" width="11.75" customWidth="1"/>
    <col min="273" max="273" width="10.875" customWidth="1"/>
    <col min="274" max="274" width="16" customWidth="1"/>
    <col min="275" max="275" width="14.125" customWidth="1"/>
    <col min="276" max="276" width="11.75" customWidth="1"/>
    <col min="277" max="277" width="13.375" customWidth="1"/>
    <col min="278" max="278" width="21.625" customWidth="1"/>
    <col min="279" max="279" width="16.125" customWidth="1"/>
    <col min="280" max="281" width="14" customWidth="1"/>
    <col min="282" max="282" width="9.625" customWidth="1"/>
    <col min="283" max="283" width="10.75" customWidth="1"/>
    <col min="284" max="284" width="9.625" customWidth="1"/>
    <col min="285" max="285" width="9.25" customWidth="1"/>
    <col min="286" max="286" width="9.375" customWidth="1"/>
    <col min="287" max="288" width="13.25" customWidth="1"/>
    <col min="289" max="289" width="8.25" bestFit="1" customWidth="1"/>
    <col min="290" max="290" width="10" customWidth="1"/>
    <col min="292" max="292" width="9.75" customWidth="1"/>
    <col min="293" max="293" width="9.375" customWidth="1"/>
    <col min="294" max="294" width="10.5" bestFit="1" customWidth="1"/>
    <col min="301" max="301" width="9.625" customWidth="1"/>
    <col min="302" max="302" width="14.75" customWidth="1"/>
    <col min="303" max="303" width="11.375" customWidth="1"/>
    <col min="304" max="304" width="9.875" customWidth="1"/>
    <col min="305" max="305" width="10.75" customWidth="1"/>
    <col min="306" max="306" width="10.125" bestFit="1" customWidth="1"/>
    <col min="307" max="307" width="12.5" customWidth="1"/>
    <col min="308" max="308" width="10.625" customWidth="1"/>
    <col min="311" max="311" width="15.75" customWidth="1"/>
    <col min="312" max="312" width="10" customWidth="1"/>
    <col min="315" max="315" width="8.875" customWidth="1"/>
    <col min="316" max="316" width="9.625" bestFit="1" customWidth="1"/>
    <col min="317" max="317" width="9.375" customWidth="1"/>
    <col min="319" max="319" width="7.25" customWidth="1"/>
    <col min="320" max="320" width="0" hidden="1" customWidth="1"/>
    <col min="322" max="322" width="9.375" customWidth="1"/>
    <col min="323" max="323" width="10.375" customWidth="1"/>
    <col min="324" max="324" width="15.875" customWidth="1"/>
    <col min="326" max="326" width="6.75" customWidth="1"/>
    <col min="513" max="513" width="0.375" customWidth="1"/>
    <col min="514" max="514" width="17.25" customWidth="1"/>
    <col min="515" max="515" width="13.375" customWidth="1"/>
    <col min="516" max="516" width="9.625" customWidth="1"/>
    <col min="517" max="517" width="13.375" customWidth="1"/>
    <col min="518" max="518" width="8.625" customWidth="1"/>
    <col min="519" max="519" width="15.625" customWidth="1"/>
    <col min="520" max="520" width="16.125" customWidth="1"/>
    <col min="521" max="521" width="12.5" customWidth="1"/>
    <col min="522" max="522" width="12.125" customWidth="1"/>
    <col min="523" max="523" width="18.125" customWidth="1"/>
    <col min="524" max="524" width="16.25" customWidth="1"/>
    <col min="525" max="526" width="12.875" customWidth="1"/>
    <col min="527" max="527" width="11.375" customWidth="1"/>
    <col min="528" max="528" width="11.75" customWidth="1"/>
    <col min="529" max="529" width="10.875" customWidth="1"/>
    <col min="530" max="530" width="16" customWidth="1"/>
    <col min="531" max="531" width="14.125" customWidth="1"/>
    <col min="532" max="532" width="11.75" customWidth="1"/>
    <col min="533" max="533" width="13.375" customWidth="1"/>
    <col min="534" max="534" width="21.625" customWidth="1"/>
    <col min="535" max="535" width="16.125" customWidth="1"/>
    <col min="536" max="537" width="14" customWidth="1"/>
    <col min="538" max="538" width="9.625" customWidth="1"/>
    <col min="539" max="539" width="10.75" customWidth="1"/>
    <col min="540" max="540" width="9.625" customWidth="1"/>
    <col min="541" max="541" width="9.25" customWidth="1"/>
    <col min="542" max="542" width="9.375" customWidth="1"/>
    <col min="543" max="544" width="13.25" customWidth="1"/>
    <col min="545" max="545" width="8.25" bestFit="1" customWidth="1"/>
    <col min="546" max="546" width="10" customWidth="1"/>
    <col min="548" max="548" width="9.75" customWidth="1"/>
    <col min="549" max="549" width="9.375" customWidth="1"/>
    <col min="550" max="550" width="10.5" bestFit="1" customWidth="1"/>
    <col min="557" max="557" width="9.625" customWidth="1"/>
    <col min="558" max="558" width="14.75" customWidth="1"/>
    <col min="559" max="559" width="11.375" customWidth="1"/>
    <col min="560" max="560" width="9.875" customWidth="1"/>
    <col min="561" max="561" width="10.75" customWidth="1"/>
    <col min="562" max="562" width="10.125" bestFit="1" customWidth="1"/>
    <col min="563" max="563" width="12.5" customWidth="1"/>
    <col min="564" max="564" width="10.625" customWidth="1"/>
    <col min="567" max="567" width="15.75" customWidth="1"/>
    <col min="568" max="568" width="10" customWidth="1"/>
    <col min="571" max="571" width="8.875" customWidth="1"/>
    <col min="572" max="572" width="9.625" bestFit="1" customWidth="1"/>
    <col min="573" max="573" width="9.375" customWidth="1"/>
    <col min="575" max="575" width="7.25" customWidth="1"/>
    <col min="576" max="576" width="0" hidden="1" customWidth="1"/>
    <col min="578" max="578" width="9.375" customWidth="1"/>
    <col min="579" max="579" width="10.375" customWidth="1"/>
    <col min="580" max="580" width="15.875" customWidth="1"/>
    <col min="582" max="582" width="6.75" customWidth="1"/>
    <col min="769" max="769" width="0.375" customWidth="1"/>
    <col min="770" max="770" width="17.25" customWidth="1"/>
    <col min="771" max="771" width="13.375" customWidth="1"/>
    <col min="772" max="772" width="9.625" customWidth="1"/>
    <col min="773" max="773" width="13.375" customWidth="1"/>
    <col min="774" max="774" width="8.625" customWidth="1"/>
    <col min="775" max="775" width="15.625" customWidth="1"/>
    <col min="776" max="776" width="16.125" customWidth="1"/>
    <col min="777" max="777" width="12.5" customWidth="1"/>
    <col min="778" max="778" width="12.125" customWidth="1"/>
    <col min="779" max="779" width="18.125" customWidth="1"/>
    <col min="780" max="780" width="16.25" customWidth="1"/>
    <col min="781" max="782" width="12.875" customWidth="1"/>
    <col min="783" max="783" width="11.375" customWidth="1"/>
    <col min="784" max="784" width="11.75" customWidth="1"/>
    <col min="785" max="785" width="10.875" customWidth="1"/>
    <col min="786" max="786" width="16" customWidth="1"/>
    <col min="787" max="787" width="14.125" customWidth="1"/>
    <col min="788" max="788" width="11.75" customWidth="1"/>
    <col min="789" max="789" width="13.375" customWidth="1"/>
    <col min="790" max="790" width="21.625" customWidth="1"/>
    <col min="791" max="791" width="16.125" customWidth="1"/>
    <col min="792" max="793" width="14" customWidth="1"/>
    <col min="794" max="794" width="9.625" customWidth="1"/>
    <col min="795" max="795" width="10.75" customWidth="1"/>
    <col min="796" max="796" width="9.625" customWidth="1"/>
    <col min="797" max="797" width="9.25" customWidth="1"/>
    <col min="798" max="798" width="9.375" customWidth="1"/>
    <col min="799" max="800" width="13.25" customWidth="1"/>
    <col min="801" max="801" width="8.25" bestFit="1" customWidth="1"/>
    <col min="802" max="802" width="10" customWidth="1"/>
    <col min="804" max="804" width="9.75" customWidth="1"/>
    <col min="805" max="805" width="9.375" customWidth="1"/>
    <col min="806" max="806" width="10.5" bestFit="1" customWidth="1"/>
    <col min="813" max="813" width="9.625" customWidth="1"/>
    <col min="814" max="814" width="14.75" customWidth="1"/>
    <col min="815" max="815" width="11.375" customWidth="1"/>
    <col min="816" max="816" width="9.875" customWidth="1"/>
    <col min="817" max="817" width="10.75" customWidth="1"/>
    <col min="818" max="818" width="10.125" bestFit="1" customWidth="1"/>
    <col min="819" max="819" width="12.5" customWidth="1"/>
    <col min="820" max="820" width="10.625" customWidth="1"/>
    <col min="823" max="823" width="15.75" customWidth="1"/>
    <col min="824" max="824" width="10" customWidth="1"/>
    <col min="827" max="827" width="8.875" customWidth="1"/>
    <col min="828" max="828" width="9.625" bestFit="1" customWidth="1"/>
    <col min="829" max="829" width="9.375" customWidth="1"/>
    <col min="831" max="831" width="7.25" customWidth="1"/>
    <col min="832" max="832" width="0" hidden="1" customWidth="1"/>
    <col min="834" max="834" width="9.375" customWidth="1"/>
    <col min="835" max="835" width="10.375" customWidth="1"/>
    <col min="836" max="836" width="15.875" customWidth="1"/>
    <col min="838" max="838" width="6.75" customWidth="1"/>
    <col min="1025" max="1025" width="0.375" customWidth="1"/>
    <col min="1026" max="1026" width="17.25" customWidth="1"/>
    <col min="1027" max="1027" width="13.375" customWidth="1"/>
    <col min="1028" max="1028" width="9.625" customWidth="1"/>
    <col min="1029" max="1029" width="13.375" customWidth="1"/>
    <col min="1030" max="1030" width="8.625" customWidth="1"/>
    <col min="1031" max="1031" width="15.625" customWidth="1"/>
    <col min="1032" max="1032" width="16.125" customWidth="1"/>
    <col min="1033" max="1033" width="12.5" customWidth="1"/>
    <col min="1034" max="1034" width="12.125" customWidth="1"/>
    <col min="1035" max="1035" width="18.125" customWidth="1"/>
    <col min="1036" max="1036" width="16.25" customWidth="1"/>
    <col min="1037" max="1038" width="12.875" customWidth="1"/>
    <col min="1039" max="1039" width="11.375" customWidth="1"/>
    <col min="1040" max="1040" width="11.75" customWidth="1"/>
    <col min="1041" max="1041" width="10.875" customWidth="1"/>
    <col min="1042" max="1042" width="16" customWidth="1"/>
    <col min="1043" max="1043" width="14.125" customWidth="1"/>
    <col min="1044" max="1044" width="11.75" customWidth="1"/>
    <col min="1045" max="1045" width="13.375" customWidth="1"/>
    <col min="1046" max="1046" width="21.625" customWidth="1"/>
    <col min="1047" max="1047" width="16.125" customWidth="1"/>
    <col min="1048" max="1049" width="14" customWidth="1"/>
    <col min="1050" max="1050" width="9.625" customWidth="1"/>
    <col min="1051" max="1051" width="10.75" customWidth="1"/>
    <col min="1052" max="1052" width="9.625" customWidth="1"/>
    <col min="1053" max="1053" width="9.25" customWidth="1"/>
    <col min="1054" max="1054" width="9.375" customWidth="1"/>
    <col min="1055" max="1056" width="13.25" customWidth="1"/>
    <col min="1057" max="1057" width="8.25" bestFit="1" customWidth="1"/>
    <col min="1058" max="1058" width="10" customWidth="1"/>
    <col min="1060" max="1060" width="9.75" customWidth="1"/>
    <col min="1061" max="1061" width="9.375" customWidth="1"/>
    <col min="1062" max="1062" width="10.5" bestFit="1" customWidth="1"/>
    <col min="1069" max="1069" width="9.625" customWidth="1"/>
    <col min="1070" max="1070" width="14.75" customWidth="1"/>
    <col min="1071" max="1071" width="11.375" customWidth="1"/>
    <col min="1072" max="1072" width="9.875" customWidth="1"/>
    <col min="1073" max="1073" width="10.75" customWidth="1"/>
    <col min="1074" max="1074" width="10.125" bestFit="1" customWidth="1"/>
    <col min="1075" max="1075" width="12.5" customWidth="1"/>
    <col min="1076" max="1076" width="10.625" customWidth="1"/>
    <col min="1079" max="1079" width="15.75" customWidth="1"/>
    <col min="1080" max="1080" width="10" customWidth="1"/>
    <col min="1083" max="1083" width="8.875" customWidth="1"/>
    <col min="1084" max="1084" width="9.625" bestFit="1" customWidth="1"/>
    <col min="1085" max="1085" width="9.375" customWidth="1"/>
    <col min="1087" max="1087" width="7.25" customWidth="1"/>
    <col min="1088" max="1088" width="0" hidden="1" customWidth="1"/>
    <col min="1090" max="1090" width="9.375" customWidth="1"/>
    <col min="1091" max="1091" width="10.375" customWidth="1"/>
    <col min="1092" max="1092" width="15.875" customWidth="1"/>
    <col min="1094" max="1094" width="6.75" customWidth="1"/>
    <col min="1281" max="1281" width="0.375" customWidth="1"/>
    <col min="1282" max="1282" width="17.25" customWidth="1"/>
    <col min="1283" max="1283" width="13.375" customWidth="1"/>
    <col min="1284" max="1284" width="9.625" customWidth="1"/>
    <col min="1285" max="1285" width="13.375" customWidth="1"/>
    <col min="1286" max="1286" width="8.625" customWidth="1"/>
    <col min="1287" max="1287" width="15.625" customWidth="1"/>
    <col min="1288" max="1288" width="16.125" customWidth="1"/>
    <col min="1289" max="1289" width="12.5" customWidth="1"/>
    <col min="1290" max="1290" width="12.125" customWidth="1"/>
    <col min="1291" max="1291" width="18.125" customWidth="1"/>
    <col min="1292" max="1292" width="16.25" customWidth="1"/>
    <col min="1293" max="1294" width="12.875" customWidth="1"/>
    <col min="1295" max="1295" width="11.375" customWidth="1"/>
    <col min="1296" max="1296" width="11.75" customWidth="1"/>
    <col min="1297" max="1297" width="10.875" customWidth="1"/>
    <col min="1298" max="1298" width="16" customWidth="1"/>
    <col min="1299" max="1299" width="14.125" customWidth="1"/>
    <col min="1300" max="1300" width="11.75" customWidth="1"/>
    <col min="1301" max="1301" width="13.375" customWidth="1"/>
    <col min="1302" max="1302" width="21.625" customWidth="1"/>
    <col min="1303" max="1303" width="16.125" customWidth="1"/>
    <col min="1304" max="1305" width="14" customWidth="1"/>
    <col min="1306" max="1306" width="9.625" customWidth="1"/>
    <col min="1307" max="1307" width="10.75" customWidth="1"/>
    <col min="1308" max="1308" width="9.625" customWidth="1"/>
    <col min="1309" max="1309" width="9.25" customWidth="1"/>
    <col min="1310" max="1310" width="9.375" customWidth="1"/>
    <col min="1311" max="1312" width="13.25" customWidth="1"/>
    <col min="1313" max="1313" width="8.25" bestFit="1" customWidth="1"/>
    <col min="1314" max="1314" width="10" customWidth="1"/>
    <col min="1316" max="1316" width="9.75" customWidth="1"/>
    <col min="1317" max="1317" width="9.375" customWidth="1"/>
    <col min="1318" max="1318" width="10.5" bestFit="1" customWidth="1"/>
    <col min="1325" max="1325" width="9.625" customWidth="1"/>
    <col min="1326" max="1326" width="14.75" customWidth="1"/>
    <col min="1327" max="1327" width="11.375" customWidth="1"/>
    <col min="1328" max="1328" width="9.875" customWidth="1"/>
    <col min="1329" max="1329" width="10.75" customWidth="1"/>
    <col min="1330" max="1330" width="10.125" bestFit="1" customWidth="1"/>
    <col min="1331" max="1331" width="12.5" customWidth="1"/>
    <col min="1332" max="1332" width="10.625" customWidth="1"/>
    <col min="1335" max="1335" width="15.75" customWidth="1"/>
    <col min="1336" max="1336" width="10" customWidth="1"/>
    <col min="1339" max="1339" width="8.875" customWidth="1"/>
    <col min="1340" max="1340" width="9.625" bestFit="1" customWidth="1"/>
    <col min="1341" max="1341" width="9.375" customWidth="1"/>
    <col min="1343" max="1343" width="7.25" customWidth="1"/>
    <col min="1344" max="1344" width="0" hidden="1" customWidth="1"/>
    <col min="1346" max="1346" width="9.375" customWidth="1"/>
    <col min="1347" max="1347" width="10.375" customWidth="1"/>
    <col min="1348" max="1348" width="15.875" customWidth="1"/>
    <col min="1350" max="1350" width="6.75" customWidth="1"/>
    <col min="1537" max="1537" width="0.375" customWidth="1"/>
    <col min="1538" max="1538" width="17.25" customWidth="1"/>
    <col min="1539" max="1539" width="13.375" customWidth="1"/>
    <col min="1540" max="1540" width="9.625" customWidth="1"/>
    <col min="1541" max="1541" width="13.375" customWidth="1"/>
    <col min="1542" max="1542" width="8.625" customWidth="1"/>
    <col min="1543" max="1543" width="15.625" customWidth="1"/>
    <col min="1544" max="1544" width="16.125" customWidth="1"/>
    <col min="1545" max="1545" width="12.5" customWidth="1"/>
    <col min="1546" max="1546" width="12.125" customWidth="1"/>
    <col min="1547" max="1547" width="18.125" customWidth="1"/>
    <col min="1548" max="1548" width="16.25" customWidth="1"/>
    <col min="1549" max="1550" width="12.875" customWidth="1"/>
    <col min="1551" max="1551" width="11.375" customWidth="1"/>
    <col min="1552" max="1552" width="11.75" customWidth="1"/>
    <col min="1553" max="1553" width="10.875" customWidth="1"/>
    <col min="1554" max="1554" width="16" customWidth="1"/>
    <col min="1555" max="1555" width="14.125" customWidth="1"/>
    <col min="1556" max="1556" width="11.75" customWidth="1"/>
    <col min="1557" max="1557" width="13.375" customWidth="1"/>
    <col min="1558" max="1558" width="21.625" customWidth="1"/>
    <col min="1559" max="1559" width="16.125" customWidth="1"/>
    <col min="1560" max="1561" width="14" customWidth="1"/>
    <col min="1562" max="1562" width="9.625" customWidth="1"/>
    <col min="1563" max="1563" width="10.75" customWidth="1"/>
    <col min="1564" max="1564" width="9.625" customWidth="1"/>
    <col min="1565" max="1565" width="9.25" customWidth="1"/>
    <col min="1566" max="1566" width="9.375" customWidth="1"/>
    <col min="1567" max="1568" width="13.25" customWidth="1"/>
    <col min="1569" max="1569" width="8.25" bestFit="1" customWidth="1"/>
    <col min="1570" max="1570" width="10" customWidth="1"/>
    <col min="1572" max="1572" width="9.75" customWidth="1"/>
    <col min="1573" max="1573" width="9.375" customWidth="1"/>
    <col min="1574" max="1574" width="10.5" bestFit="1" customWidth="1"/>
    <col min="1581" max="1581" width="9.625" customWidth="1"/>
    <col min="1582" max="1582" width="14.75" customWidth="1"/>
    <col min="1583" max="1583" width="11.375" customWidth="1"/>
    <col min="1584" max="1584" width="9.875" customWidth="1"/>
    <col min="1585" max="1585" width="10.75" customWidth="1"/>
    <col min="1586" max="1586" width="10.125" bestFit="1" customWidth="1"/>
    <col min="1587" max="1587" width="12.5" customWidth="1"/>
    <col min="1588" max="1588" width="10.625" customWidth="1"/>
    <col min="1591" max="1591" width="15.75" customWidth="1"/>
    <col min="1592" max="1592" width="10" customWidth="1"/>
    <col min="1595" max="1595" width="8.875" customWidth="1"/>
    <col min="1596" max="1596" width="9.625" bestFit="1" customWidth="1"/>
    <col min="1597" max="1597" width="9.375" customWidth="1"/>
    <col min="1599" max="1599" width="7.25" customWidth="1"/>
    <col min="1600" max="1600" width="0" hidden="1" customWidth="1"/>
    <col min="1602" max="1602" width="9.375" customWidth="1"/>
    <col min="1603" max="1603" width="10.375" customWidth="1"/>
    <col min="1604" max="1604" width="15.875" customWidth="1"/>
    <col min="1606" max="1606" width="6.75" customWidth="1"/>
    <col min="1793" max="1793" width="0.375" customWidth="1"/>
    <col min="1794" max="1794" width="17.25" customWidth="1"/>
    <col min="1795" max="1795" width="13.375" customWidth="1"/>
    <col min="1796" max="1796" width="9.625" customWidth="1"/>
    <col min="1797" max="1797" width="13.375" customWidth="1"/>
    <col min="1798" max="1798" width="8.625" customWidth="1"/>
    <col min="1799" max="1799" width="15.625" customWidth="1"/>
    <col min="1800" max="1800" width="16.125" customWidth="1"/>
    <col min="1801" max="1801" width="12.5" customWidth="1"/>
    <col min="1802" max="1802" width="12.125" customWidth="1"/>
    <col min="1803" max="1803" width="18.125" customWidth="1"/>
    <col min="1804" max="1804" width="16.25" customWidth="1"/>
    <col min="1805" max="1806" width="12.875" customWidth="1"/>
    <col min="1807" max="1807" width="11.375" customWidth="1"/>
    <col min="1808" max="1808" width="11.75" customWidth="1"/>
    <col min="1809" max="1809" width="10.875" customWidth="1"/>
    <col min="1810" max="1810" width="16" customWidth="1"/>
    <col min="1811" max="1811" width="14.125" customWidth="1"/>
    <col min="1812" max="1812" width="11.75" customWidth="1"/>
    <col min="1813" max="1813" width="13.375" customWidth="1"/>
    <col min="1814" max="1814" width="21.625" customWidth="1"/>
    <col min="1815" max="1815" width="16.125" customWidth="1"/>
    <col min="1816" max="1817" width="14" customWidth="1"/>
    <col min="1818" max="1818" width="9.625" customWidth="1"/>
    <col min="1819" max="1819" width="10.75" customWidth="1"/>
    <col min="1820" max="1820" width="9.625" customWidth="1"/>
    <col min="1821" max="1821" width="9.25" customWidth="1"/>
    <col min="1822" max="1822" width="9.375" customWidth="1"/>
    <col min="1823" max="1824" width="13.25" customWidth="1"/>
    <col min="1825" max="1825" width="8.25" bestFit="1" customWidth="1"/>
    <col min="1826" max="1826" width="10" customWidth="1"/>
    <col min="1828" max="1828" width="9.75" customWidth="1"/>
    <col min="1829" max="1829" width="9.375" customWidth="1"/>
    <col min="1830" max="1830" width="10.5" bestFit="1" customWidth="1"/>
    <col min="1837" max="1837" width="9.625" customWidth="1"/>
    <col min="1838" max="1838" width="14.75" customWidth="1"/>
    <col min="1839" max="1839" width="11.375" customWidth="1"/>
    <col min="1840" max="1840" width="9.875" customWidth="1"/>
    <col min="1841" max="1841" width="10.75" customWidth="1"/>
    <col min="1842" max="1842" width="10.125" bestFit="1" customWidth="1"/>
    <col min="1843" max="1843" width="12.5" customWidth="1"/>
    <col min="1844" max="1844" width="10.625" customWidth="1"/>
    <col min="1847" max="1847" width="15.75" customWidth="1"/>
    <col min="1848" max="1848" width="10" customWidth="1"/>
    <col min="1851" max="1851" width="8.875" customWidth="1"/>
    <col min="1852" max="1852" width="9.625" bestFit="1" customWidth="1"/>
    <col min="1853" max="1853" width="9.375" customWidth="1"/>
    <col min="1855" max="1855" width="7.25" customWidth="1"/>
    <col min="1856" max="1856" width="0" hidden="1" customWidth="1"/>
    <col min="1858" max="1858" width="9.375" customWidth="1"/>
    <col min="1859" max="1859" width="10.375" customWidth="1"/>
    <col min="1860" max="1860" width="15.875" customWidth="1"/>
    <col min="1862" max="1862" width="6.75" customWidth="1"/>
    <col min="2049" max="2049" width="0.375" customWidth="1"/>
    <col min="2050" max="2050" width="17.25" customWidth="1"/>
    <col min="2051" max="2051" width="13.375" customWidth="1"/>
    <col min="2052" max="2052" width="9.625" customWidth="1"/>
    <col min="2053" max="2053" width="13.375" customWidth="1"/>
    <col min="2054" max="2054" width="8.625" customWidth="1"/>
    <col min="2055" max="2055" width="15.625" customWidth="1"/>
    <col min="2056" max="2056" width="16.125" customWidth="1"/>
    <col min="2057" max="2057" width="12.5" customWidth="1"/>
    <col min="2058" max="2058" width="12.125" customWidth="1"/>
    <col min="2059" max="2059" width="18.125" customWidth="1"/>
    <col min="2060" max="2060" width="16.25" customWidth="1"/>
    <col min="2061" max="2062" width="12.875" customWidth="1"/>
    <col min="2063" max="2063" width="11.375" customWidth="1"/>
    <col min="2064" max="2064" width="11.75" customWidth="1"/>
    <col min="2065" max="2065" width="10.875" customWidth="1"/>
    <col min="2066" max="2066" width="16" customWidth="1"/>
    <col min="2067" max="2067" width="14.125" customWidth="1"/>
    <col min="2068" max="2068" width="11.75" customWidth="1"/>
    <col min="2069" max="2069" width="13.375" customWidth="1"/>
    <col min="2070" max="2070" width="21.625" customWidth="1"/>
    <col min="2071" max="2071" width="16.125" customWidth="1"/>
    <col min="2072" max="2073" width="14" customWidth="1"/>
    <col min="2074" max="2074" width="9.625" customWidth="1"/>
    <col min="2075" max="2075" width="10.75" customWidth="1"/>
    <col min="2076" max="2076" width="9.625" customWidth="1"/>
    <col min="2077" max="2077" width="9.25" customWidth="1"/>
    <col min="2078" max="2078" width="9.375" customWidth="1"/>
    <col min="2079" max="2080" width="13.25" customWidth="1"/>
    <col min="2081" max="2081" width="8.25" bestFit="1" customWidth="1"/>
    <col min="2082" max="2082" width="10" customWidth="1"/>
    <col min="2084" max="2084" width="9.75" customWidth="1"/>
    <col min="2085" max="2085" width="9.375" customWidth="1"/>
    <col min="2086" max="2086" width="10.5" bestFit="1" customWidth="1"/>
    <col min="2093" max="2093" width="9.625" customWidth="1"/>
    <col min="2094" max="2094" width="14.75" customWidth="1"/>
    <col min="2095" max="2095" width="11.375" customWidth="1"/>
    <col min="2096" max="2096" width="9.875" customWidth="1"/>
    <col min="2097" max="2097" width="10.75" customWidth="1"/>
    <col min="2098" max="2098" width="10.125" bestFit="1" customWidth="1"/>
    <col min="2099" max="2099" width="12.5" customWidth="1"/>
    <col min="2100" max="2100" width="10.625" customWidth="1"/>
    <col min="2103" max="2103" width="15.75" customWidth="1"/>
    <col min="2104" max="2104" width="10" customWidth="1"/>
    <col min="2107" max="2107" width="8.875" customWidth="1"/>
    <col min="2108" max="2108" width="9.625" bestFit="1" customWidth="1"/>
    <col min="2109" max="2109" width="9.375" customWidth="1"/>
    <col min="2111" max="2111" width="7.25" customWidth="1"/>
    <col min="2112" max="2112" width="0" hidden="1" customWidth="1"/>
    <col min="2114" max="2114" width="9.375" customWidth="1"/>
    <col min="2115" max="2115" width="10.375" customWidth="1"/>
    <col min="2116" max="2116" width="15.875" customWidth="1"/>
    <col min="2118" max="2118" width="6.75" customWidth="1"/>
    <col min="2305" max="2305" width="0.375" customWidth="1"/>
    <col min="2306" max="2306" width="17.25" customWidth="1"/>
    <col min="2307" max="2307" width="13.375" customWidth="1"/>
    <col min="2308" max="2308" width="9.625" customWidth="1"/>
    <col min="2309" max="2309" width="13.375" customWidth="1"/>
    <col min="2310" max="2310" width="8.625" customWidth="1"/>
    <col min="2311" max="2311" width="15.625" customWidth="1"/>
    <col min="2312" max="2312" width="16.125" customWidth="1"/>
    <col min="2313" max="2313" width="12.5" customWidth="1"/>
    <col min="2314" max="2314" width="12.125" customWidth="1"/>
    <col min="2315" max="2315" width="18.125" customWidth="1"/>
    <col min="2316" max="2316" width="16.25" customWidth="1"/>
    <col min="2317" max="2318" width="12.875" customWidth="1"/>
    <col min="2319" max="2319" width="11.375" customWidth="1"/>
    <col min="2320" max="2320" width="11.75" customWidth="1"/>
    <col min="2321" max="2321" width="10.875" customWidth="1"/>
    <col min="2322" max="2322" width="16" customWidth="1"/>
    <col min="2323" max="2323" width="14.125" customWidth="1"/>
    <col min="2324" max="2324" width="11.75" customWidth="1"/>
    <col min="2325" max="2325" width="13.375" customWidth="1"/>
    <col min="2326" max="2326" width="21.625" customWidth="1"/>
    <col min="2327" max="2327" width="16.125" customWidth="1"/>
    <col min="2328" max="2329" width="14" customWidth="1"/>
    <col min="2330" max="2330" width="9.625" customWidth="1"/>
    <col min="2331" max="2331" width="10.75" customWidth="1"/>
    <col min="2332" max="2332" width="9.625" customWidth="1"/>
    <col min="2333" max="2333" width="9.25" customWidth="1"/>
    <col min="2334" max="2334" width="9.375" customWidth="1"/>
    <col min="2335" max="2336" width="13.25" customWidth="1"/>
    <col min="2337" max="2337" width="8.25" bestFit="1" customWidth="1"/>
    <col min="2338" max="2338" width="10" customWidth="1"/>
    <col min="2340" max="2340" width="9.75" customWidth="1"/>
    <col min="2341" max="2341" width="9.375" customWidth="1"/>
    <col min="2342" max="2342" width="10.5" bestFit="1" customWidth="1"/>
    <col min="2349" max="2349" width="9.625" customWidth="1"/>
    <col min="2350" max="2350" width="14.75" customWidth="1"/>
    <col min="2351" max="2351" width="11.375" customWidth="1"/>
    <col min="2352" max="2352" width="9.875" customWidth="1"/>
    <col min="2353" max="2353" width="10.75" customWidth="1"/>
    <col min="2354" max="2354" width="10.125" bestFit="1" customWidth="1"/>
    <col min="2355" max="2355" width="12.5" customWidth="1"/>
    <col min="2356" max="2356" width="10.625" customWidth="1"/>
    <col min="2359" max="2359" width="15.75" customWidth="1"/>
    <col min="2360" max="2360" width="10" customWidth="1"/>
    <col min="2363" max="2363" width="8.875" customWidth="1"/>
    <col min="2364" max="2364" width="9.625" bestFit="1" customWidth="1"/>
    <col min="2365" max="2365" width="9.375" customWidth="1"/>
    <col min="2367" max="2367" width="7.25" customWidth="1"/>
    <col min="2368" max="2368" width="0" hidden="1" customWidth="1"/>
    <col min="2370" max="2370" width="9.375" customWidth="1"/>
    <col min="2371" max="2371" width="10.375" customWidth="1"/>
    <col min="2372" max="2372" width="15.875" customWidth="1"/>
    <col min="2374" max="2374" width="6.75" customWidth="1"/>
    <col min="2561" max="2561" width="0.375" customWidth="1"/>
    <col min="2562" max="2562" width="17.25" customWidth="1"/>
    <col min="2563" max="2563" width="13.375" customWidth="1"/>
    <col min="2564" max="2564" width="9.625" customWidth="1"/>
    <col min="2565" max="2565" width="13.375" customWidth="1"/>
    <col min="2566" max="2566" width="8.625" customWidth="1"/>
    <col min="2567" max="2567" width="15.625" customWidth="1"/>
    <col min="2568" max="2568" width="16.125" customWidth="1"/>
    <col min="2569" max="2569" width="12.5" customWidth="1"/>
    <col min="2570" max="2570" width="12.125" customWidth="1"/>
    <col min="2571" max="2571" width="18.125" customWidth="1"/>
    <col min="2572" max="2572" width="16.25" customWidth="1"/>
    <col min="2573" max="2574" width="12.875" customWidth="1"/>
    <col min="2575" max="2575" width="11.375" customWidth="1"/>
    <col min="2576" max="2576" width="11.75" customWidth="1"/>
    <col min="2577" max="2577" width="10.875" customWidth="1"/>
    <col min="2578" max="2578" width="16" customWidth="1"/>
    <col min="2579" max="2579" width="14.125" customWidth="1"/>
    <col min="2580" max="2580" width="11.75" customWidth="1"/>
    <col min="2581" max="2581" width="13.375" customWidth="1"/>
    <col min="2582" max="2582" width="21.625" customWidth="1"/>
    <col min="2583" max="2583" width="16.125" customWidth="1"/>
    <col min="2584" max="2585" width="14" customWidth="1"/>
    <col min="2586" max="2586" width="9.625" customWidth="1"/>
    <col min="2587" max="2587" width="10.75" customWidth="1"/>
    <col min="2588" max="2588" width="9.625" customWidth="1"/>
    <col min="2589" max="2589" width="9.25" customWidth="1"/>
    <col min="2590" max="2590" width="9.375" customWidth="1"/>
    <col min="2591" max="2592" width="13.25" customWidth="1"/>
    <col min="2593" max="2593" width="8.25" bestFit="1" customWidth="1"/>
    <col min="2594" max="2594" width="10" customWidth="1"/>
    <col min="2596" max="2596" width="9.75" customWidth="1"/>
    <col min="2597" max="2597" width="9.375" customWidth="1"/>
    <col min="2598" max="2598" width="10.5" bestFit="1" customWidth="1"/>
    <col min="2605" max="2605" width="9.625" customWidth="1"/>
    <col min="2606" max="2606" width="14.75" customWidth="1"/>
    <col min="2607" max="2607" width="11.375" customWidth="1"/>
    <col min="2608" max="2608" width="9.875" customWidth="1"/>
    <col min="2609" max="2609" width="10.75" customWidth="1"/>
    <col min="2610" max="2610" width="10.125" bestFit="1" customWidth="1"/>
    <col min="2611" max="2611" width="12.5" customWidth="1"/>
    <col min="2612" max="2612" width="10.625" customWidth="1"/>
    <col min="2615" max="2615" width="15.75" customWidth="1"/>
    <col min="2616" max="2616" width="10" customWidth="1"/>
    <col min="2619" max="2619" width="8.875" customWidth="1"/>
    <col min="2620" max="2620" width="9.625" bestFit="1" customWidth="1"/>
    <col min="2621" max="2621" width="9.375" customWidth="1"/>
    <col min="2623" max="2623" width="7.25" customWidth="1"/>
    <col min="2624" max="2624" width="0" hidden="1" customWidth="1"/>
    <col min="2626" max="2626" width="9.375" customWidth="1"/>
    <col min="2627" max="2627" width="10.375" customWidth="1"/>
    <col min="2628" max="2628" width="15.875" customWidth="1"/>
    <col min="2630" max="2630" width="6.75" customWidth="1"/>
    <col min="2817" max="2817" width="0.375" customWidth="1"/>
    <col min="2818" max="2818" width="17.25" customWidth="1"/>
    <col min="2819" max="2819" width="13.375" customWidth="1"/>
    <col min="2820" max="2820" width="9.625" customWidth="1"/>
    <col min="2821" max="2821" width="13.375" customWidth="1"/>
    <col min="2822" max="2822" width="8.625" customWidth="1"/>
    <col min="2823" max="2823" width="15.625" customWidth="1"/>
    <col min="2824" max="2824" width="16.125" customWidth="1"/>
    <col min="2825" max="2825" width="12.5" customWidth="1"/>
    <col min="2826" max="2826" width="12.125" customWidth="1"/>
    <col min="2827" max="2827" width="18.125" customWidth="1"/>
    <col min="2828" max="2828" width="16.25" customWidth="1"/>
    <col min="2829" max="2830" width="12.875" customWidth="1"/>
    <col min="2831" max="2831" width="11.375" customWidth="1"/>
    <col min="2832" max="2832" width="11.75" customWidth="1"/>
    <col min="2833" max="2833" width="10.875" customWidth="1"/>
    <col min="2834" max="2834" width="16" customWidth="1"/>
    <col min="2835" max="2835" width="14.125" customWidth="1"/>
    <col min="2836" max="2836" width="11.75" customWidth="1"/>
    <col min="2837" max="2837" width="13.375" customWidth="1"/>
    <col min="2838" max="2838" width="21.625" customWidth="1"/>
    <col min="2839" max="2839" width="16.125" customWidth="1"/>
    <col min="2840" max="2841" width="14" customWidth="1"/>
    <col min="2842" max="2842" width="9.625" customWidth="1"/>
    <col min="2843" max="2843" width="10.75" customWidth="1"/>
    <col min="2844" max="2844" width="9.625" customWidth="1"/>
    <col min="2845" max="2845" width="9.25" customWidth="1"/>
    <col min="2846" max="2846" width="9.375" customWidth="1"/>
    <col min="2847" max="2848" width="13.25" customWidth="1"/>
    <col min="2849" max="2849" width="8.25" bestFit="1" customWidth="1"/>
    <col min="2850" max="2850" width="10" customWidth="1"/>
    <col min="2852" max="2852" width="9.75" customWidth="1"/>
    <col min="2853" max="2853" width="9.375" customWidth="1"/>
    <col min="2854" max="2854" width="10.5" bestFit="1" customWidth="1"/>
    <col min="2861" max="2861" width="9.625" customWidth="1"/>
    <col min="2862" max="2862" width="14.75" customWidth="1"/>
    <col min="2863" max="2863" width="11.375" customWidth="1"/>
    <col min="2864" max="2864" width="9.875" customWidth="1"/>
    <col min="2865" max="2865" width="10.75" customWidth="1"/>
    <col min="2866" max="2866" width="10.125" bestFit="1" customWidth="1"/>
    <col min="2867" max="2867" width="12.5" customWidth="1"/>
    <col min="2868" max="2868" width="10.625" customWidth="1"/>
    <col min="2871" max="2871" width="15.75" customWidth="1"/>
    <col min="2872" max="2872" width="10" customWidth="1"/>
    <col min="2875" max="2875" width="8.875" customWidth="1"/>
    <col min="2876" max="2876" width="9.625" bestFit="1" customWidth="1"/>
    <col min="2877" max="2877" width="9.375" customWidth="1"/>
    <col min="2879" max="2879" width="7.25" customWidth="1"/>
    <col min="2880" max="2880" width="0" hidden="1" customWidth="1"/>
    <col min="2882" max="2882" width="9.375" customWidth="1"/>
    <col min="2883" max="2883" width="10.375" customWidth="1"/>
    <col min="2884" max="2884" width="15.875" customWidth="1"/>
    <col min="2886" max="2886" width="6.75" customWidth="1"/>
    <col min="3073" max="3073" width="0.375" customWidth="1"/>
    <col min="3074" max="3074" width="17.25" customWidth="1"/>
    <col min="3075" max="3075" width="13.375" customWidth="1"/>
    <col min="3076" max="3076" width="9.625" customWidth="1"/>
    <col min="3077" max="3077" width="13.375" customWidth="1"/>
    <col min="3078" max="3078" width="8.625" customWidth="1"/>
    <col min="3079" max="3079" width="15.625" customWidth="1"/>
    <col min="3080" max="3080" width="16.125" customWidth="1"/>
    <col min="3081" max="3081" width="12.5" customWidth="1"/>
    <col min="3082" max="3082" width="12.125" customWidth="1"/>
    <col min="3083" max="3083" width="18.125" customWidth="1"/>
    <col min="3084" max="3084" width="16.25" customWidth="1"/>
    <col min="3085" max="3086" width="12.875" customWidth="1"/>
    <col min="3087" max="3087" width="11.375" customWidth="1"/>
    <col min="3088" max="3088" width="11.75" customWidth="1"/>
    <col min="3089" max="3089" width="10.875" customWidth="1"/>
    <col min="3090" max="3090" width="16" customWidth="1"/>
    <col min="3091" max="3091" width="14.125" customWidth="1"/>
    <col min="3092" max="3092" width="11.75" customWidth="1"/>
    <col min="3093" max="3093" width="13.375" customWidth="1"/>
    <col min="3094" max="3094" width="21.625" customWidth="1"/>
    <col min="3095" max="3095" width="16.125" customWidth="1"/>
    <col min="3096" max="3097" width="14" customWidth="1"/>
    <col min="3098" max="3098" width="9.625" customWidth="1"/>
    <col min="3099" max="3099" width="10.75" customWidth="1"/>
    <col min="3100" max="3100" width="9.625" customWidth="1"/>
    <col min="3101" max="3101" width="9.25" customWidth="1"/>
    <col min="3102" max="3102" width="9.375" customWidth="1"/>
    <col min="3103" max="3104" width="13.25" customWidth="1"/>
    <col min="3105" max="3105" width="8.25" bestFit="1" customWidth="1"/>
    <col min="3106" max="3106" width="10" customWidth="1"/>
    <col min="3108" max="3108" width="9.75" customWidth="1"/>
    <col min="3109" max="3109" width="9.375" customWidth="1"/>
    <col min="3110" max="3110" width="10.5" bestFit="1" customWidth="1"/>
    <col min="3117" max="3117" width="9.625" customWidth="1"/>
    <col min="3118" max="3118" width="14.75" customWidth="1"/>
    <col min="3119" max="3119" width="11.375" customWidth="1"/>
    <col min="3120" max="3120" width="9.875" customWidth="1"/>
    <col min="3121" max="3121" width="10.75" customWidth="1"/>
    <col min="3122" max="3122" width="10.125" bestFit="1" customWidth="1"/>
    <col min="3123" max="3123" width="12.5" customWidth="1"/>
    <col min="3124" max="3124" width="10.625" customWidth="1"/>
    <col min="3127" max="3127" width="15.75" customWidth="1"/>
    <col min="3128" max="3128" width="10" customWidth="1"/>
    <col min="3131" max="3131" width="8.875" customWidth="1"/>
    <col min="3132" max="3132" width="9.625" bestFit="1" customWidth="1"/>
    <col min="3133" max="3133" width="9.375" customWidth="1"/>
    <col min="3135" max="3135" width="7.25" customWidth="1"/>
    <col min="3136" max="3136" width="0" hidden="1" customWidth="1"/>
    <col min="3138" max="3138" width="9.375" customWidth="1"/>
    <col min="3139" max="3139" width="10.375" customWidth="1"/>
    <col min="3140" max="3140" width="15.875" customWidth="1"/>
    <col min="3142" max="3142" width="6.75" customWidth="1"/>
    <col min="3329" max="3329" width="0.375" customWidth="1"/>
    <col min="3330" max="3330" width="17.25" customWidth="1"/>
    <col min="3331" max="3331" width="13.375" customWidth="1"/>
    <col min="3332" max="3332" width="9.625" customWidth="1"/>
    <col min="3333" max="3333" width="13.375" customWidth="1"/>
    <col min="3334" max="3334" width="8.625" customWidth="1"/>
    <col min="3335" max="3335" width="15.625" customWidth="1"/>
    <col min="3336" max="3336" width="16.125" customWidth="1"/>
    <col min="3337" max="3337" width="12.5" customWidth="1"/>
    <col min="3338" max="3338" width="12.125" customWidth="1"/>
    <col min="3339" max="3339" width="18.125" customWidth="1"/>
    <col min="3340" max="3340" width="16.25" customWidth="1"/>
    <col min="3341" max="3342" width="12.875" customWidth="1"/>
    <col min="3343" max="3343" width="11.375" customWidth="1"/>
    <col min="3344" max="3344" width="11.75" customWidth="1"/>
    <col min="3345" max="3345" width="10.875" customWidth="1"/>
    <col min="3346" max="3346" width="16" customWidth="1"/>
    <col min="3347" max="3347" width="14.125" customWidth="1"/>
    <col min="3348" max="3348" width="11.75" customWidth="1"/>
    <col min="3349" max="3349" width="13.375" customWidth="1"/>
    <col min="3350" max="3350" width="21.625" customWidth="1"/>
    <col min="3351" max="3351" width="16.125" customWidth="1"/>
    <col min="3352" max="3353" width="14" customWidth="1"/>
    <col min="3354" max="3354" width="9.625" customWidth="1"/>
    <col min="3355" max="3355" width="10.75" customWidth="1"/>
    <col min="3356" max="3356" width="9.625" customWidth="1"/>
    <col min="3357" max="3357" width="9.25" customWidth="1"/>
    <col min="3358" max="3358" width="9.375" customWidth="1"/>
    <col min="3359" max="3360" width="13.25" customWidth="1"/>
    <col min="3361" max="3361" width="8.25" bestFit="1" customWidth="1"/>
    <col min="3362" max="3362" width="10" customWidth="1"/>
    <col min="3364" max="3364" width="9.75" customWidth="1"/>
    <col min="3365" max="3365" width="9.375" customWidth="1"/>
    <col min="3366" max="3366" width="10.5" bestFit="1" customWidth="1"/>
    <col min="3373" max="3373" width="9.625" customWidth="1"/>
    <col min="3374" max="3374" width="14.75" customWidth="1"/>
    <col min="3375" max="3375" width="11.375" customWidth="1"/>
    <col min="3376" max="3376" width="9.875" customWidth="1"/>
    <col min="3377" max="3377" width="10.75" customWidth="1"/>
    <col min="3378" max="3378" width="10.125" bestFit="1" customWidth="1"/>
    <col min="3379" max="3379" width="12.5" customWidth="1"/>
    <col min="3380" max="3380" width="10.625" customWidth="1"/>
    <col min="3383" max="3383" width="15.75" customWidth="1"/>
    <col min="3384" max="3384" width="10" customWidth="1"/>
    <col min="3387" max="3387" width="8.875" customWidth="1"/>
    <col min="3388" max="3388" width="9.625" bestFit="1" customWidth="1"/>
    <col min="3389" max="3389" width="9.375" customWidth="1"/>
    <col min="3391" max="3391" width="7.25" customWidth="1"/>
    <col min="3392" max="3392" width="0" hidden="1" customWidth="1"/>
    <col min="3394" max="3394" width="9.375" customWidth="1"/>
    <col min="3395" max="3395" width="10.375" customWidth="1"/>
    <col min="3396" max="3396" width="15.875" customWidth="1"/>
    <col min="3398" max="3398" width="6.75" customWidth="1"/>
    <col min="3585" max="3585" width="0.375" customWidth="1"/>
    <col min="3586" max="3586" width="17.25" customWidth="1"/>
    <col min="3587" max="3587" width="13.375" customWidth="1"/>
    <col min="3588" max="3588" width="9.625" customWidth="1"/>
    <col min="3589" max="3589" width="13.375" customWidth="1"/>
    <col min="3590" max="3590" width="8.625" customWidth="1"/>
    <col min="3591" max="3591" width="15.625" customWidth="1"/>
    <col min="3592" max="3592" width="16.125" customWidth="1"/>
    <col min="3593" max="3593" width="12.5" customWidth="1"/>
    <col min="3594" max="3594" width="12.125" customWidth="1"/>
    <col min="3595" max="3595" width="18.125" customWidth="1"/>
    <col min="3596" max="3596" width="16.25" customWidth="1"/>
    <col min="3597" max="3598" width="12.875" customWidth="1"/>
    <col min="3599" max="3599" width="11.375" customWidth="1"/>
    <col min="3600" max="3600" width="11.75" customWidth="1"/>
    <col min="3601" max="3601" width="10.875" customWidth="1"/>
    <col min="3602" max="3602" width="16" customWidth="1"/>
    <col min="3603" max="3603" width="14.125" customWidth="1"/>
    <col min="3604" max="3604" width="11.75" customWidth="1"/>
    <col min="3605" max="3605" width="13.375" customWidth="1"/>
    <col min="3606" max="3606" width="21.625" customWidth="1"/>
    <col min="3607" max="3607" width="16.125" customWidth="1"/>
    <col min="3608" max="3609" width="14" customWidth="1"/>
    <col min="3610" max="3610" width="9.625" customWidth="1"/>
    <col min="3611" max="3611" width="10.75" customWidth="1"/>
    <col min="3612" max="3612" width="9.625" customWidth="1"/>
    <col min="3613" max="3613" width="9.25" customWidth="1"/>
    <col min="3614" max="3614" width="9.375" customWidth="1"/>
    <col min="3615" max="3616" width="13.25" customWidth="1"/>
    <col min="3617" max="3617" width="8.25" bestFit="1" customWidth="1"/>
    <col min="3618" max="3618" width="10" customWidth="1"/>
    <col min="3620" max="3620" width="9.75" customWidth="1"/>
    <col min="3621" max="3621" width="9.375" customWidth="1"/>
    <col min="3622" max="3622" width="10.5" bestFit="1" customWidth="1"/>
    <col min="3629" max="3629" width="9.625" customWidth="1"/>
    <col min="3630" max="3630" width="14.75" customWidth="1"/>
    <col min="3631" max="3631" width="11.375" customWidth="1"/>
    <col min="3632" max="3632" width="9.875" customWidth="1"/>
    <col min="3633" max="3633" width="10.75" customWidth="1"/>
    <col min="3634" max="3634" width="10.125" bestFit="1" customWidth="1"/>
    <col min="3635" max="3635" width="12.5" customWidth="1"/>
    <col min="3636" max="3636" width="10.625" customWidth="1"/>
    <col min="3639" max="3639" width="15.75" customWidth="1"/>
    <col min="3640" max="3640" width="10" customWidth="1"/>
    <col min="3643" max="3643" width="8.875" customWidth="1"/>
    <col min="3644" max="3644" width="9.625" bestFit="1" customWidth="1"/>
    <col min="3645" max="3645" width="9.375" customWidth="1"/>
    <col min="3647" max="3647" width="7.25" customWidth="1"/>
    <col min="3648" max="3648" width="0" hidden="1" customWidth="1"/>
    <col min="3650" max="3650" width="9.375" customWidth="1"/>
    <col min="3651" max="3651" width="10.375" customWidth="1"/>
    <col min="3652" max="3652" width="15.875" customWidth="1"/>
    <col min="3654" max="3654" width="6.75" customWidth="1"/>
    <col min="3841" max="3841" width="0.375" customWidth="1"/>
    <col min="3842" max="3842" width="17.25" customWidth="1"/>
    <col min="3843" max="3843" width="13.375" customWidth="1"/>
    <col min="3844" max="3844" width="9.625" customWidth="1"/>
    <col min="3845" max="3845" width="13.375" customWidth="1"/>
    <col min="3846" max="3846" width="8.625" customWidth="1"/>
    <col min="3847" max="3847" width="15.625" customWidth="1"/>
    <col min="3848" max="3848" width="16.125" customWidth="1"/>
    <col min="3849" max="3849" width="12.5" customWidth="1"/>
    <col min="3850" max="3850" width="12.125" customWidth="1"/>
    <col min="3851" max="3851" width="18.125" customWidth="1"/>
    <col min="3852" max="3852" width="16.25" customWidth="1"/>
    <col min="3853" max="3854" width="12.875" customWidth="1"/>
    <col min="3855" max="3855" width="11.375" customWidth="1"/>
    <col min="3856" max="3856" width="11.75" customWidth="1"/>
    <col min="3857" max="3857" width="10.875" customWidth="1"/>
    <col min="3858" max="3858" width="16" customWidth="1"/>
    <col min="3859" max="3859" width="14.125" customWidth="1"/>
    <col min="3860" max="3860" width="11.75" customWidth="1"/>
    <col min="3861" max="3861" width="13.375" customWidth="1"/>
    <col min="3862" max="3862" width="21.625" customWidth="1"/>
    <col min="3863" max="3863" width="16.125" customWidth="1"/>
    <col min="3864" max="3865" width="14" customWidth="1"/>
    <col min="3866" max="3866" width="9.625" customWidth="1"/>
    <col min="3867" max="3867" width="10.75" customWidth="1"/>
    <col min="3868" max="3868" width="9.625" customWidth="1"/>
    <col min="3869" max="3869" width="9.25" customWidth="1"/>
    <col min="3870" max="3870" width="9.375" customWidth="1"/>
    <col min="3871" max="3872" width="13.25" customWidth="1"/>
    <col min="3873" max="3873" width="8.25" bestFit="1" customWidth="1"/>
    <col min="3874" max="3874" width="10" customWidth="1"/>
    <col min="3876" max="3876" width="9.75" customWidth="1"/>
    <col min="3877" max="3877" width="9.375" customWidth="1"/>
    <col min="3878" max="3878" width="10.5" bestFit="1" customWidth="1"/>
    <col min="3885" max="3885" width="9.625" customWidth="1"/>
    <col min="3886" max="3886" width="14.75" customWidth="1"/>
    <col min="3887" max="3887" width="11.375" customWidth="1"/>
    <col min="3888" max="3888" width="9.875" customWidth="1"/>
    <col min="3889" max="3889" width="10.75" customWidth="1"/>
    <col min="3890" max="3890" width="10.125" bestFit="1" customWidth="1"/>
    <col min="3891" max="3891" width="12.5" customWidth="1"/>
    <col min="3892" max="3892" width="10.625" customWidth="1"/>
    <col min="3895" max="3895" width="15.75" customWidth="1"/>
    <col min="3896" max="3896" width="10" customWidth="1"/>
    <col min="3899" max="3899" width="8.875" customWidth="1"/>
    <col min="3900" max="3900" width="9.625" bestFit="1" customWidth="1"/>
    <col min="3901" max="3901" width="9.375" customWidth="1"/>
    <col min="3903" max="3903" width="7.25" customWidth="1"/>
    <col min="3904" max="3904" width="0" hidden="1" customWidth="1"/>
    <col min="3906" max="3906" width="9.375" customWidth="1"/>
    <col min="3907" max="3907" width="10.375" customWidth="1"/>
    <col min="3908" max="3908" width="15.875" customWidth="1"/>
    <col min="3910" max="3910" width="6.75" customWidth="1"/>
    <col min="4097" max="4097" width="0.375" customWidth="1"/>
    <col min="4098" max="4098" width="17.25" customWidth="1"/>
    <col min="4099" max="4099" width="13.375" customWidth="1"/>
    <col min="4100" max="4100" width="9.625" customWidth="1"/>
    <col min="4101" max="4101" width="13.375" customWidth="1"/>
    <col min="4102" max="4102" width="8.625" customWidth="1"/>
    <col min="4103" max="4103" width="15.625" customWidth="1"/>
    <col min="4104" max="4104" width="16.125" customWidth="1"/>
    <col min="4105" max="4105" width="12.5" customWidth="1"/>
    <col min="4106" max="4106" width="12.125" customWidth="1"/>
    <col min="4107" max="4107" width="18.125" customWidth="1"/>
    <col min="4108" max="4108" width="16.25" customWidth="1"/>
    <col min="4109" max="4110" width="12.875" customWidth="1"/>
    <col min="4111" max="4111" width="11.375" customWidth="1"/>
    <col min="4112" max="4112" width="11.75" customWidth="1"/>
    <col min="4113" max="4113" width="10.875" customWidth="1"/>
    <col min="4114" max="4114" width="16" customWidth="1"/>
    <col min="4115" max="4115" width="14.125" customWidth="1"/>
    <col min="4116" max="4116" width="11.75" customWidth="1"/>
    <col min="4117" max="4117" width="13.375" customWidth="1"/>
    <col min="4118" max="4118" width="21.625" customWidth="1"/>
    <col min="4119" max="4119" width="16.125" customWidth="1"/>
    <col min="4120" max="4121" width="14" customWidth="1"/>
    <col min="4122" max="4122" width="9.625" customWidth="1"/>
    <col min="4123" max="4123" width="10.75" customWidth="1"/>
    <col min="4124" max="4124" width="9.625" customWidth="1"/>
    <col min="4125" max="4125" width="9.25" customWidth="1"/>
    <col min="4126" max="4126" width="9.375" customWidth="1"/>
    <col min="4127" max="4128" width="13.25" customWidth="1"/>
    <col min="4129" max="4129" width="8.25" bestFit="1" customWidth="1"/>
    <col min="4130" max="4130" width="10" customWidth="1"/>
    <col min="4132" max="4132" width="9.75" customWidth="1"/>
    <col min="4133" max="4133" width="9.375" customWidth="1"/>
    <col min="4134" max="4134" width="10.5" bestFit="1" customWidth="1"/>
    <col min="4141" max="4141" width="9.625" customWidth="1"/>
    <col min="4142" max="4142" width="14.75" customWidth="1"/>
    <col min="4143" max="4143" width="11.375" customWidth="1"/>
    <col min="4144" max="4144" width="9.875" customWidth="1"/>
    <col min="4145" max="4145" width="10.75" customWidth="1"/>
    <col min="4146" max="4146" width="10.125" bestFit="1" customWidth="1"/>
    <col min="4147" max="4147" width="12.5" customWidth="1"/>
    <col min="4148" max="4148" width="10.625" customWidth="1"/>
    <col min="4151" max="4151" width="15.75" customWidth="1"/>
    <col min="4152" max="4152" width="10" customWidth="1"/>
    <col min="4155" max="4155" width="8.875" customWidth="1"/>
    <col min="4156" max="4156" width="9.625" bestFit="1" customWidth="1"/>
    <col min="4157" max="4157" width="9.375" customWidth="1"/>
    <col min="4159" max="4159" width="7.25" customWidth="1"/>
    <col min="4160" max="4160" width="0" hidden="1" customWidth="1"/>
    <col min="4162" max="4162" width="9.375" customWidth="1"/>
    <col min="4163" max="4163" width="10.375" customWidth="1"/>
    <col min="4164" max="4164" width="15.875" customWidth="1"/>
    <col min="4166" max="4166" width="6.75" customWidth="1"/>
    <col min="4353" max="4353" width="0.375" customWidth="1"/>
    <col min="4354" max="4354" width="17.25" customWidth="1"/>
    <col min="4355" max="4355" width="13.375" customWidth="1"/>
    <col min="4356" max="4356" width="9.625" customWidth="1"/>
    <col min="4357" max="4357" width="13.375" customWidth="1"/>
    <col min="4358" max="4358" width="8.625" customWidth="1"/>
    <col min="4359" max="4359" width="15.625" customWidth="1"/>
    <col min="4360" max="4360" width="16.125" customWidth="1"/>
    <col min="4361" max="4361" width="12.5" customWidth="1"/>
    <col min="4362" max="4362" width="12.125" customWidth="1"/>
    <col min="4363" max="4363" width="18.125" customWidth="1"/>
    <col min="4364" max="4364" width="16.25" customWidth="1"/>
    <col min="4365" max="4366" width="12.875" customWidth="1"/>
    <col min="4367" max="4367" width="11.375" customWidth="1"/>
    <col min="4368" max="4368" width="11.75" customWidth="1"/>
    <col min="4369" max="4369" width="10.875" customWidth="1"/>
    <col min="4370" max="4370" width="16" customWidth="1"/>
    <col min="4371" max="4371" width="14.125" customWidth="1"/>
    <col min="4372" max="4372" width="11.75" customWidth="1"/>
    <col min="4373" max="4373" width="13.375" customWidth="1"/>
    <col min="4374" max="4374" width="21.625" customWidth="1"/>
    <col min="4375" max="4375" width="16.125" customWidth="1"/>
    <col min="4376" max="4377" width="14" customWidth="1"/>
    <col min="4378" max="4378" width="9.625" customWidth="1"/>
    <col min="4379" max="4379" width="10.75" customWidth="1"/>
    <col min="4380" max="4380" width="9.625" customWidth="1"/>
    <col min="4381" max="4381" width="9.25" customWidth="1"/>
    <col min="4382" max="4382" width="9.375" customWidth="1"/>
    <col min="4383" max="4384" width="13.25" customWidth="1"/>
    <col min="4385" max="4385" width="8.25" bestFit="1" customWidth="1"/>
    <col min="4386" max="4386" width="10" customWidth="1"/>
    <col min="4388" max="4388" width="9.75" customWidth="1"/>
    <col min="4389" max="4389" width="9.375" customWidth="1"/>
    <col min="4390" max="4390" width="10.5" bestFit="1" customWidth="1"/>
    <col min="4397" max="4397" width="9.625" customWidth="1"/>
    <col min="4398" max="4398" width="14.75" customWidth="1"/>
    <col min="4399" max="4399" width="11.375" customWidth="1"/>
    <col min="4400" max="4400" width="9.875" customWidth="1"/>
    <col min="4401" max="4401" width="10.75" customWidth="1"/>
    <col min="4402" max="4402" width="10.125" bestFit="1" customWidth="1"/>
    <col min="4403" max="4403" width="12.5" customWidth="1"/>
    <col min="4404" max="4404" width="10.625" customWidth="1"/>
    <col min="4407" max="4407" width="15.75" customWidth="1"/>
    <col min="4408" max="4408" width="10" customWidth="1"/>
    <col min="4411" max="4411" width="8.875" customWidth="1"/>
    <col min="4412" max="4412" width="9.625" bestFit="1" customWidth="1"/>
    <col min="4413" max="4413" width="9.375" customWidth="1"/>
    <col min="4415" max="4415" width="7.25" customWidth="1"/>
    <col min="4416" max="4416" width="0" hidden="1" customWidth="1"/>
    <col min="4418" max="4418" width="9.375" customWidth="1"/>
    <col min="4419" max="4419" width="10.375" customWidth="1"/>
    <col min="4420" max="4420" width="15.875" customWidth="1"/>
    <col min="4422" max="4422" width="6.75" customWidth="1"/>
    <col min="4609" max="4609" width="0.375" customWidth="1"/>
    <col min="4610" max="4610" width="17.25" customWidth="1"/>
    <col min="4611" max="4611" width="13.375" customWidth="1"/>
    <col min="4612" max="4612" width="9.625" customWidth="1"/>
    <col min="4613" max="4613" width="13.375" customWidth="1"/>
    <col min="4614" max="4614" width="8.625" customWidth="1"/>
    <col min="4615" max="4615" width="15.625" customWidth="1"/>
    <col min="4616" max="4616" width="16.125" customWidth="1"/>
    <col min="4617" max="4617" width="12.5" customWidth="1"/>
    <col min="4618" max="4618" width="12.125" customWidth="1"/>
    <col min="4619" max="4619" width="18.125" customWidth="1"/>
    <col min="4620" max="4620" width="16.25" customWidth="1"/>
    <col min="4621" max="4622" width="12.875" customWidth="1"/>
    <col min="4623" max="4623" width="11.375" customWidth="1"/>
    <col min="4624" max="4624" width="11.75" customWidth="1"/>
    <col min="4625" max="4625" width="10.875" customWidth="1"/>
    <col min="4626" max="4626" width="16" customWidth="1"/>
    <col min="4627" max="4627" width="14.125" customWidth="1"/>
    <col min="4628" max="4628" width="11.75" customWidth="1"/>
    <col min="4629" max="4629" width="13.375" customWidth="1"/>
    <col min="4630" max="4630" width="21.625" customWidth="1"/>
    <col min="4631" max="4631" width="16.125" customWidth="1"/>
    <col min="4632" max="4633" width="14" customWidth="1"/>
    <col min="4634" max="4634" width="9.625" customWidth="1"/>
    <col min="4635" max="4635" width="10.75" customWidth="1"/>
    <col min="4636" max="4636" width="9.625" customWidth="1"/>
    <col min="4637" max="4637" width="9.25" customWidth="1"/>
    <col min="4638" max="4638" width="9.375" customWidth="1"/>
    <col min="4639" max="4640" width="13.25" customWidth="1"/>
    <col min="4641" max="4641" width="8.25" bestFit="1" customWidth="1"/>
    <col min="4642" max="4642" width="10" customWidth="1"/>
    <col min="4644" max="4644" width="9.75" customWidth="1"/>
    <col min="4645" max="4645" width="9.375" customWidth="1"/>
    <col min="4646" max="4646" width="10.5" bestFit="1" customWidth="1"/>
    <col min="4653" max="4653" width="9.625" customWidth="1"/>
    <col min="4654" max="4654" width="14.75" customWidth="1"/>
    <col min="4655" max="4655" width="11.375" customWidth="1"/>
    <col min="4656" max="4656" width="9.875" customWidth="1"/>
    <col min="4657" max="4657" width="10.75" customWidth="1"/>
    <col min="4658" max="4658" width="10.125" bestFit="1" customWidth="1"/>
    <col min="4659" max="4659" width="12.5" customWidth="1"/>
    <col min="4660" max="4660" width="10.625" customWidth="1"/>
    <col min="4663" max="4663" width="15.75" customWidth="1"/>
    <col min="4664" max="4664" width="10" customWidth="1"/>
    <col min="4667" max="4667" width="8.875" customWidth="1"/>
    <col min="4668" max="4668" width="9.625" bestFit="1" customWidth="1"/>
    <col min="4669" max="4669" width="9.375" customWidth="1"/>
    <col min="4671" max="4671" width="7.25" customWidth="1"/>
    <col min="4672" max="4672" width="0" hidden="1" customWidth="1"/>
    <col min="4674" max="4674" width="9.375" customWidth="1"/>
    <col min="4675" max="4675" width="10.375" customWidth="1"/>
    <col min="4676" max="4676" width="15.875" customWidth="1"/>
    <col min="4678" max="4678" width="6.75" customWidth="1"/>
    <col min="4865" max="4865" width="0.375" customWidth="1"/>
    <col min="4866" max="4866" width="17.25" customWidth="1"/>
    <col min="4867" max="4867" width="13.375" customWidth="1"/>
    <col min="4868" max="4868" width="9.625" customWidth="1"/>
    <col min="4869" max="4869" width="13.375" customWidth="1"/>
    <col min="4870" max="4870" width="8.625" customWidth="1"/>
    <col min="4871" max="4871" width="15.625" customWidth="1"/>
    <col min="4872" max="4872" width="16.125" customWidth="1"/>
    <col min="4873" max="4873" width="12.5" customWidth="1"/>
    <col min="4874" max="4874" width="12.125" customWidth="1"/>
    <col min="4875" max="4875" width="18.125" customWidth="1"/>
    <col min="4876" max="4876" width="16.25" customWidth="1"/>
    <col min="4877" max="4878" width="12.875" customWidth="1"/>
    <col min="4879" max="4879" width="11.375" customWidth="1"/>
    <col min="4880" max="4880" width="11.75" customWidth="1"/>
    <col min="4881" max="4881" width="10.875" customWidth="1"/>
    <col min="4882" max="4882" width="16" customWidth="1"/>
    <col min="4883" max="4883" width="14.125" customWidth="1"/>
    <col min="4884" max="4884" width="11.75" customWidth="1"/>
    <col min="4885" max="4885" width="13.375" customWidth="1"/>
    <col min="4886" max="4886" width="21.625" customWidth="1"/>
    <col min="4887" max="4887" width="16.125" customWidth="1"/>
    <col min="4888" max="4889" width="14" customWidth="1"/>
    <col min="4890" max="4890" width="9.625" customWidth="1"/>
    <col min="4891" max="4891" width="10.75" customWidth="1"/>
    <col min="4892" max="4892" width="9.625" customWidth="1"/>
    <col min="4893" max="4893" width="9.25" customWidth="1"/>
    <col min="4894" max="4894" width="9.375" customWidth="1"/>
    <col min="4895" max="4896" width="13.25" customWidth="1"/>
    <col min="4897" max="4897" width="8.25" bestFit="1" customWidth="1"/>
    <col min="4898" max="4898" width="10" customWidth="1"/>
    <col min="4900" max="4900" width="9.75" customWidth="1"/>
    <col min="4901" max="4901" width="9.375" customWidth="1"/>
    <col min="4902" max="4902" width="10.5" bestFit="1" customWidth="1"/>
    <col min="4909" max="4909" width="9.625" customWidth="1"/>
    <col min="4910" max="4910" width="14.75" customWidth="1"/>
    <col min="4911" max="4911" width="11.375" customWidth="1"/>
    <col min="4912" max="4912" width="9.875" customWidth="1"/>
    <col min="4913" max="4913" width="10.75" customWidth="1"/>
    <col min="4914" max="4914" width="10.125" bestFit="1" customWidth="1"/>
    <col min="4915" max="4915" width="12.5" customWidth="1"/>
    <col min="4916" max="4916" width="10.625" customWidth="1"/>
    <col min="4919" max="4919" width="15.75" customWidth="1"/>
    <col min="4920" max="4920" width="10" customWidth="1"/>
    <col min="4923" max="4923" width="8.875" customWidth="1"/>
    <col min="4924" max="4924" width="9.625" bestFit="1" customWidth="1"/>
    <col min="4925" max="4925" width="9.375" customWidth="1"/>
    <col min="4927" max="4927" width="7.25" customWidth="1"/>
    <col min="4928" max="4928" width="0" hidden="1" customWidth="1"/>
    <col min="4930" max="4930" width="9.375" customWidth="1"/>
    <col min="4931" max="4931" width="10.375" customWidth="1"/>
    <col min="4932" max="4932" width="15.875" customWidth="1"/>
    <col min="4934" max="4934" width="6.75" customWidth="1"/>
    <col min="5121" max="5121" width="0.375" customWidth="1"/>
    <col min="5122" max="5122" width="17.25" customWidth="1"/>
    <col min="5123" max="5123" width="13.375" customWidth="1"/>
    <col min="5124" max="5124" width="9.625" customWidth="1"/>
    <col min="5125" max="5125" width="13.375" customWidth="1"/>
    <col min="5126" max="5126" width="8.625" customWidth="1"/>
    <col min="5127" max="5127" width="15.625" customWidth="1"/>
    <col min="5128" max="5128" width="16.125" customWidth="1"/>
    <col min="5129" max="5129" width="12.5" customWidth="1"/>
    <col min="5130" max="5130" width="12.125" customWidth="1"/>
    <col min="5131" max="5131" width="18.125" customWidth="1"/>
    <col min="5132" max="5132" width="16.25" customWidth="1"/>
    <col min="5133" max="5134" width="12.875" customWidth="1"/>
    <col min="5135" max="5135" width="11.375" customWidth="1"/>
    <col min="5136" max="5136" width="11.75" customWidth="1"/>
    <col min="5137" max="5137" width="10.875" customWidth="1"/>
    <col min="5138" max="5138" width="16" customWidth="1"/>
    <col min="5139" max="5139" width="14.125" customWidth="1"/>
    <col min="5140" max="5140" width="11.75" customWidth="1"/>
    <col min="5141" max="5141" width="13.375" customWidth="1"/>
    <col min="5142" max="5142" width="21.625" customWidth="1"/>
    <col min="5143" max="5143" width="16.125" customWidth="1"/>
    <col min="5144" max="5145" width="14" customWidth="1"/>
    <col min="5146" max="5146" width="9.625" customWidth="1"/>
    <col min="5147" max="5147" width="10.75" customWidth="1"/>
    <col min="5148" max="5148" width="9.625" customWidth="1"/>
    <col min="5149" max="5149" width="9.25" customWidth="1"/>
    <col min="5150" max="5150" width="9.375" customWidth="1"/>
    <col min="5151" max="5152" width="13.25" customWidth="1"/>
    <col min="5153" max="5153" width="8.25" bestFit="1" customWidth="1"/>
    <col min="5154" max="5154" width="10" customWidth="1"/>
    <col min="5156" max="5156" width="9.75" customWidth="1"/>
    <col min="5157" max="5157" width="9.375" customWidth="1"/>
    <col min="5158" max="5158" width="10.5" bestFit="1" customWidth="1"/>
    <col min="5165" max="5165" width="9.625" customWidth="1"/>
    <col min="5166" max="5166" width="14.75" customWidth="1"/>
    <col min="5167" max="5167" width="11.375" customWidth="1"/>
    <col min="5168" max="5168" width="9.875" customWidth="1"/>
    <col min="5169" max="5169" width="10.75" customWidth="1"/>
    <col min="5170" max="5170" width="10.125" bestFit="1" customWidth="1"/>
    <col min="5171" max="5171" width="12.5" customWidth="1"/>
    <col min="5172" max="5172" width="10.625" customWidth="1"/>
    <col min="5175" max="5175" width="15.75" customWidth="1"/>
    <col min="5176" max="5176" width="10" customWidth="1"/>
    <col min="5179" max="5179" width="8.875" customWidth="1"/>
    <col min="5180" max="5180" width="9.625" bestFit="1" customWidth="1"/>
    <col min="5181" max="5181" width="9.375" customWidth="1"/>
    <col min="5183" max="5183" width="7.25" customWidth="1"/>
    <col min="5184" max="5184" width="0" hidden="1" customWidth="1"/>
    <col min="5186" max="5186" width="9.375" customWidth="1"/>
    <col min="5187" max="5187" width="10.375" customWidth="1"/>
    <col min="5188" max="5188" width="15.875" customWidth="1"/>
    <col min="5190" max="5190" width="6.75" customWidth="1"/>
    <col min="5377" max="5377" width="0.375" customWidth="1"/>
    <col min="5378" max="5378" width="17.25" customWidth="1"/>
    <col min="5379" max="5379" width="13.375" customWidth="1"/>
    <col min="5380" max="5380" width="9.625" customWidth="1"/>
    <col min="5381" max="5381" width="13.375" customWidth="1"/>
    <col min="5382" max="5382" width="8.625" customWidth="1"/>
    <col min="5383" max="5383" width="15.625" customWidth="1"/>
    <col min="5384" max="5384" width="16.125" customWidth="1"/>
    <col min="5385" max="5385" width="12.5" customWidth="1"/>
    <col min="5386" max="5386" width="12.125" customWidth="1"/>
    <col min="5387" max="5387" width="18.125" customWidth="1"/>
    <col min="5388" max="5388" width="16.25" customWidth="1"/>
    <col min="5389" max="5390" width="12.875" customWidth="1"/>
    <col min="5391" max="5391" width="11.375" customWidth="1"/>
    <col min="5392" max="5392" width="11.75" customWidth="1"/>
    <col min="5393" max="5393" width="10.875" customWidth="1"/>
    <col min="5394" max="5394" width="16" customWidth="1"/>
    <col min="5395" max="5395" width="14.125" customWidth="1"/>
    <col min="5396" max="5396" width="11.75" customWidth="1"/>
    <col min="5397" max="5397" width="13.375" customWidth="1"/>
    <col min="5398" max="5398" width="21.625" customWidth="1"/>
    <col min="5399" max="5399" width="16.125" customWidth="1"/>
    <col min="5400" max="5401" width="14" customWidth="1"/>
    <col min="5402" max="5402" width="9.625" customWidth="1"/>
    <col min="5403" max="5403" width="10.75" customWidth="1"/>
    <col min="5404" max="5404" width="9.625" customWidth="1"/>
    <col min="5405" max="5405" width="9.25" customWidth="1"/>
    <col min="5406" max="5406" width="9.375" customWidth="1"/>
    <col min="5407" max="5408" width="13.25" customWidth="1"/>
    <col min="5409" max="5409" width="8.25" bestFit="1" customWidth="1"/>
    <col min="5410" max="5410" width="10" customWidth="1"/>
    <col min="5412" max="5412" width="9.75" customWidth="1"/>
    <col min="5413" max="5413" width="9.375" customWidth="1"/>
    <col min="5414" max="5414" width="10.5" bestFit="1" customWidth="1"/>
    <col min="5421" max="5421" width="9.625" customWidth="1"/>
    <col min="5422" max="5422" width="14.75" customWidth="1"/>
    <col min="5423" max="5423" width="11.375" customWidth="1"/>
    <col min="5424" max="5424" width="9.875" customWidth="1"/>
    <col min="5425" max="5425" width="10.75" customWidth="1"/>
    <col min="5426" max="5426" width="10.125" bestFit="1" customWidth="1"/>
    <col min="5427" max="5427" width="12.5" customWidth="1"/>
    <col min="5428" max="5428" width="10.625" customWidth="1"/>
    <col min="5431" max="5431" width="15.75" customWidth="1"/>
    <col min="5432" max="5432" width="10" customWidth="1"/>
    <col min="5435" max="5435" width="8.875" customWidth="1"/>
    <col min="5436" max="5436" width="9.625" bestFit="1" customWidth="1"/>
    <col min="5437" max="5437" width="9.375" customWidth="1"/>
    <col min="5439" max="5439" width="7.25" customWidth="1"/>
    <col min="5440" max="5440" width="0" hidden="1" customWidth="1"/>
    <col min="5442" max="5442" width="9.375" customWidth="1"/>
    <col min="5443" max="5443" width="10.375" customWidth="1"/>
    <col min="5444" max="5444" width="15.875" customWidth="1"/>
    <col min="5446" max="5446" width="6.75" customWidth="1"/>
    <col min="5633" max="5633" width="0.375" customWidth="1"/>
    <col min="5634" max="5634" width="17.25" customWidth="1"/>
    <col min="5635" max="5635" width="13.375" customWidth="1"/>
    <col min="5636" max="5636" width="9.625" customWidth="1"/>
    <col min="5637" max="5637" width="13.375" customWidth="1"/>
    <col min="5638" max="5638" width="8.625" customWidth="1"/>
    <col min="5639" max="5639" width="15.625" customWidth="1"/>
    <col min="5640" max="5640" width="16.125" customWidth="1"/>
    <col min="5641" max="5641" width="12.5" customWidth="1"/>
    <col min="5642" max="5642" width="12.125" customWidth="1"/>
    <col min="5643" max="5643" width="18.125" customWidth="1"/>
    <col min="5644" max="5644" width="16.25" customWidth="1"/>
    <col min="5645" max="5646" width="12.875" customWidth="1"/>
    <col min="5647" max="5647" width="11.375" customWidth="1"/>
    <col min="5648" max="5648" width="11.75" customWidth="1"/>
    <col min="5649" max="5649" width="10.875" customWidth="1"/>
    <col min="5650" max="5650" width="16" customWidth="1"/>
    <col min="5651" max="5651" width="14.125" customWidth="1"/>
    <col min="5652" max="5652" width="11.75" customWidth="1"/>
    <col min="5653" max="5653" width="13.375" customWidth="1"/>
    <col min="5654" max="5654" width="21.625" customWidth="1"/>
    <col min="5655" max="5655" width="16.125" customWidth="1"/>
    <col min="5656" max="5657" width="14" customWidth="1"/>
    <col min="5658" max="5658" width="9.625" customWidth="1"/>
    <col min="5659" max="5659" width="10.75" customWidth="1"/>
    <col min="5660" max="5660" width="9.625" customWidth="1"/>
    <col min="5661" max="5661" width="9.25" customWidth="1"/>
    <col min="5662" max="5662" width="9.375" customWidth="1"/>
    <col min="5663" max="5664" width="13.25" customWidth="1"/>
    <col min="5665" max="5665" width="8.25" bestFit="1" customWidth="1"/>
    <col min="5666" max="5666" width="10" customWidth="1"/>
    <col min="5668" max="5668" width="9.75" customWidth="1"/>
    <col min="5669" max="5669" width="9.375" customWidth="1"/>
    <col min="5670" max="5670" width="10.5" bestFit="1" customWidth="1"/>
    <col min="5677" max="5677" width="9.625" customWidth="1"/>
    <col min="5678" max="5678" width="14.75" customWidth="1"/>
    <col min="5679" max="5679" width="11.375" customWidth="1"/>
    <col min="5680" max="5680" width="9.875" customWidth="1"/>
    <col min="5681" max="5681" width="10.75" customWidth="1"/>
    <col min="5682" max="5682" width="10.125" bestFit="1" customWidth="1"/>
    <col min="5683" max="5683" width="12.5" customWidth="1"/>
    <col min="5684" max="5684" width="10.625" customWidth="1"/>
    <col min="5687" max="5687" width="15.75" customWidth="1"/>
    <col min="5688" max="5688" width="10" customWidth="1"/>
    <col min="5691" max="5691" width="8.875" customWidth="1"/>
    <col min="5692" max="5692" width="9.625" bestFit="1" customWidth="1"/>
    <col min="5693" max="5693" width="9.375" customWidth="1"/>
    <col min="5695" max="5695" width="7.25" customWidth="1"/>
    <col min="5696" max="5696" width="0" hidden="1" customWidth="1"/>
    <col min="5698" max="5698" width="9.375" customWidth="1"/>
    <col min="5699" max="5699" width="10.375" customWidth="1"/>
    <col min="5700" max="5700" width="15.875" customWidth="1"/>
    <col min="5702" max="5702" width="6.75" customWidth="1"/>
    <col min="5889" max="5889" width="0.375" customWidth="1"/>
    <col min="5890" max="5890" width="17.25" customWidth="1"/>
    <col min="5891" max="5891" width="13.375" customWidth="1"/>
    <col min="5892" max="5892" width="9.625" customWidth="1"/>
    <col min="5893" max="5893" width="13.375" customWidth="1"/>
    <col min="5894" max="5894" width="8.625" customWidth="1"/>
    <col min="5895" max="5895" width="15.625" customWidth="1"/>
    <col min="5896" max="5896" width="16.125" customWidth="1"/>
    <col min="5897" max="5897" width="12.5" customWidth="1"/>
    <col min="5898" max="5898" width="12.125" customWidth="1"/>
    <col min="5899" max="5899" width="18.125" customWidth="1"/>
    <col min="5900" max="5900" width="16.25" customWidth="1"/>
    <col min="5901" max="5902" width="12.875" customWidth="1"/>
    <col min="5903" max="5903" width="11.375" customWidth="1"/>
    <col min="5904" max="5904" width="11.75" customWidth="1"/>
    <col min="5905" max="5905" width="10.875" customWidth="1"/>
    <col min="5906" max="5906" width="16" customWidth="1"/>
    <col min="5907" max="5907" width="14.125" customWidth="1"/>
    <col min="5908" max="5908" width="11.75" customWidth="1"/>
    <col min="5909" max="5909" width="13.375" customWidth="1"/>
    <col min="5910" max="5910" width="21.625" customWidth="1"/>
    <col min="5911" max="5911" width="16.125" customWidth="1"/>
    <col min="5912" max="5913" width="14" customWidth="1"/>
    <col min="5914" max="5914" width="9.625" customWidth="1"/>
    <col min="5915" max="5915" width="10.75" customWidth="1"/>
    <col min="5916" max="5916" width="9.625" customWidth="1"/>
    <col min="5917" max="5917" width="9.25" customWidth="1"/>
    <col min="5918" max="5918" width="9.375" customWidth="1"/>
    <col min="5919" max="5920" width="13.25" customWidth="1"/>
    <col min="5921" max="5921" width="8.25" bestFit="1" customWidth="1"/>
    <col min="5922" max="5922" width="10" customWidth="1"/>
    <col min="5924" max="5924" width="9.75" customWidth="1"/>
    <col min="5925" max="5925" width="9.375" customWidth="1"/>
    <col min="5926" max="5926" width="10.5" bestFit="1" customWidth="1"/>
    <col min="5933" max="5933" width="9.625" customWidth="1"/>
    <col min="5934" max="5934" width="14.75" customWidth="1"/>
    <col min="5935" max="5935" width="11.375" customWidth="1"/>
    <col min="5936" max="5936" width="9.875" customWidth="1"/>
    <col min="5937" max="5937" width="10.75" customWidth="1"/>
    <col min="5938" max="5938" width="10.125" bestFit="1" customWidth="1"/>
    <col min="5939" max="5939" width="12.5" customWidth="1"/>
    <col min="5940" max="5940" width="10.625" customWidth="1"/>
    <col min="5943" max="5943" width="15.75" customWidth="1"/>
    <col min="5944" max="5944" width="10" customWidth="1"/>
    <col min="5947" max="5947" width="8.875" customWidth="1"/>
    <col min="5948" max="5948" width="9.625" bestFit="1" customWidth="1"/>
    <col min="5949" max="5949" width="9.375" customWidth="1"/>
    <col min="5951" max="5951" width="7.25" customWidth="1"/>
    <col min="5952" max="5952" width="0" hidden="1" customWidth="1"/>
    <col min="5954" max="5954" width="9.375" customWidth="1"/>
    <col min="5955" max="5955" width="10.375" customWidth="1"/>
    <col min="5956" max="5956" width="15.875" customWidth="1"/>
    <col min="5958" max="5958" width="6.75" customWidth="1"/>
    <col min="6145" max="6145" width="0.375" customWidth="1"/>
    <col min="6146" max="6146" width="17.25" customWidth="1"/>
    <col min="6147" max="6147" width="13.375" customWidth="1"/>
    <col min="6148" max="6148" width="9.625" customWidth="1"/>
    <col min="6149" max="6149" width="13.375" customWidth="1"/>
    <col min="6150" max="6150" width="8.625" customWidth="1"/>
    <col min="6151" max="6151" width="15.625" customWidth="1"/>
    <col min="6152" max="6152" width="16.125" customWidth="1"/>
    <col min="6153" max="6153" width="12.5" customWidth="1"/>
    <col min="6154" max="6154" width="12.125" customWidth="1"/>
    <col min="6155" max="6155" width="18.125" customWidth="1"/>
    <col min="6156" max="6156" width="16.25" customWidth="1"/>
    <col min="6157" max="6158" width="12.875" customWidth="1"/>
    <col min="6159" max="6159" width="11.375" customWidth="1"/>
    <col min="6160" max="6160" width="11.75" customWidth="1"/>
    <col min="6161" max="6161" width="10.875" customWidth="1"/>
    <col min="6162" max="6162" width="16" customWidth="1"/>
    <col min="6163" max="6163" width="14.125" customWidth="1"/>
    <col min="6164" max="6164" width="11.75" customWidth="1"/>
    <col min="6165" max="6165" width="13.375" customWidth="1"/>
    <col min="6166" max="6166" width="21.625" customWidth="1"/>
    <col min="6167" max="6167" width="16.125" customWidth="1"/>
    <col min="6168" max="6169" width="14" customWidth="1"/>
    <col min="6170" max="6170" width="9.625" customWidth="1"/>
    <col min="6171" max="6171" width="10.75" customWidth="1"/>
    <col min="6172" max="6172" width="9.625" customWidth="1"/>
    <col min="6173" max="6173" width="9.25" customWidth="1"/>
    <col min="6174" max="6174" width="9.375" customWidth="1"/>
    <col min="6175" max="6176" width="13.25" customWidth="1"/>
    <col min="6177" max="6177" width="8.25" bestFit="1" customWidth="1"/>
    <col min="6178" max="6178" width="10" customWidth="1"/>
    <col min="6180" max="6180" width="9.75" customWidth="1"/>
    <col min="6181" max="6181" width="9.375" customWidth="1"/>
    <col min="6182" max="6182" width="10.5" bestFit="1" customWidth="1"/>
    <col min="6189" max="6189" width="9.625" customWidth="1"/>
    <col min="6190" max="6190" width="14.75" customWidth="1"/>
    <col min="6191" max="6191" width="11.375" customWidth="1"/>
    <col min="6192" max="6192" width="9.875" customWidth="1"/>
    <col min="6193" max="6193" width="10.75" customWidth="1"/>
    <col min="6194" max="6194" width="10.125" bestFit="1" customWidth="1"/>
    <col min="6195" max="6195" width="12.5" customWidth="1"/>
    <col min="6196" max="6196" width="10.625" customWidth="1"/>
    <col min="6199" max="6199" width="15.75" customWidth="1"/>
    <col min="6200" max="6200" width="10" customWidth="1"/>
    <col min="6203" max="6203" width="8.875" customWidth="1"/>
    <col min="6204" max="6204" width="9.625" bestFit="1" customWidth="1"/>
    <col min="6205" max="6205" width="9.375" customWidth="1"/>
    <col min="6207" max="6207" width="7.25" customWidth="1"/>
    <col min="6208" max="6208" width="0" hidden="1" customWidth="1"/>
    <col min="6210" max="6210" width="9.375" customWidth="1"/>
    <col min="6211" max="6211" width="10.375" customWidth="1"/>
    <col min="6212" max="6212" width="15.875" customWidth="1"/>
    <col min="6214" max="6214" width="6.75" customWidth="1"/>
    <col min="6401" max="6401" width="0.375" customWidth="1"/>
    <col min="6402" max="6402" width="17.25" customWidth="1"/>
    <col min="6403" max="6403" width="13.375" customWidth="1"/>
    <col min="6404" max="6404" width="9.625" customWidth="1"/>
    <col min="6405" max="6405" width="13.375" customWidth="1"/>
    <col min="6406" max="6406" width="8.625" customWidth="1"/>
    <col min="6407" max="6407" width="15.625" customWidth="1"/>
    <col min="6408" max="6408" width="16.125" customWidth="1"/>
    <col min="6409" max="6409" width="12.5" customWidth="1"/>
    <col min="6410" max="6410" width="12.125" customWidth="1"/>
    <col min="6411" max="6411" width="18.125" customWidth="1"/>
    <col min="6412" max="6412" width="16.25" customWidth="1"/>
    <col min="6413" max="6414" width="12.875" customWidth="1"/>
    <col min="6415" max="6415" width="11.375" customWidth="1"/>
    <col min="6416" max="6416" width="11.75" customWidth="1"/>
    <col min="6417" max="6417" width="10.875" customWidth="1"/>
    <col min="6418" max="6418" width="16" customWidth="1"/>
    <col min="6419" max="6419" width="14.125" customWidth="1"/>
    <col min="6420" max="6420" width="11.75" customWidth="1"/>
    <col min="6421" max="6421" width="13.375" customWidth="1"/>
    <col min="6422" max="6422" width="21.625" customWidth="1"/>
    <col min="6423" max="6423" width="16.125" customWidth="1"/>
    <col min="6424" max="6425" width="14" customWidth="1"/>
    <col min="6426" max="6426" width="9.625" customWidth="1"/>
    <col min="6427" max="6427" width="10.75" customWidth="1"/>
    <col min="6428" max="6428" width="9.625" customWidth="1"/>
    <col min="6429" max="6429" width="9.25" customWidth="1"/>
    <col min="6430" max="6430" width="9.375" customWidth="1"/>
    <col min="6431" max="6432" width="13.25" customWidth="1"/>
    <col min="6433" max="6433" width="8.25" bestFit="1" customWidth="1"/>
    <col min="6434" max="6434" width="10" customWidth="1"/>
    <col min="6436" max="6436" width="9.75" customWidth="1"/>
    <col min="6437" max="6437" width="9.375" customWidth="1"/>
    <col min="6438" max="6438" width="10.5" bestFit="1" customWidth="1"/>
    <col min="6445" max="6445" width="9.625" customWidth="1"/>
    <col min="6446" max="6446" width="14.75" customWidth="1"/>
    <col min="6447" max="6447" width="11.375" customWidth="1"/>
    <col min="6448" max="6448" width="9.875" customWidth="1"/>
    <col min="6449" max="6449" width="10.75" customWidth="1"/>
    <col min="6450" max="6450" width="10.125" bestFit="1" customWidth="1"/>
    <col min="6451" max="6451" width="12.5" customWidth="1"/>
    <col min="6452" max="6452" width="10.625" customWidth="1"/>
    <col min="6455" max="6455" width="15.75" customWidth="1"/>
    <col min="6456" max="6456" width="10" customWidth="1"/>
    <col min="6459" max="6459" width="8.875" customWidth="1"/>
    <col min="6460" max="6460" width="9.625" bestFit="1" customWidth="1"/>
    <col min="6461" max="6461" width="9.375" customWidth="1"/>
    <col min="6463" max="6463" width="7.25" customWidth="1"/>
    <col min="6464" max="6464" width="0" hidden="1" customWidth="1"/>
    <col min="6466" max="6466" width="9.375" customWidth="1"/>
    <col min="6467" max="6467" width="10.375" customWidth="1"/>
    <col min="6468" max="6468" width="15.875" customWidth="1"/>
    <col min="6470" max="6470" width="6.75" customWidth="1"/>
    <col min="6657" max="6657" width="0.375" customWidth="1"/>
    <col min="6658" max="6658" width="17.25" customWidth="1"/>
    <col min="6659" max="6659" width="13.375" customWidth="1"/>
    <col min="6660" max="6660" width="9.625" customWidth="1"/>
    <col min="6661" max="6661" width="13.375" customWidth="1"/>
    <col min="6662" max="6662" width="8.625" customWidth="1"/>
    <col min="6663" max="6663" width="15.625" customWidth="1"/>
    <col min="6664" max="6664" width="16.125" customWidth="1"/>
    <col min="6665" max="6665" width="12.5" customWidth="1"/>
    <col min="6666" max="6666" width="12.125" customWidth="1"/>
    <col min="6667" max="6667" width="18.125" customWidth="1"/>
    <col min="6668" max="6668" width="16.25" customWidth="1"/>
    <col min="6669" max="6670" width="12.875" customWidth="1"/>
    <col min="6671" max="6671" width="11.375" customWidth="1"/>
    <col min="6672" max="6672" width="11.75" customWidth="1"/>
    <col min="6673" max="6673" width="10.875" customWidth="1"/>
    <col min="6674" max="6674" width="16" customWidth="1"/>
    <col min="6675" max="6675" width="14.125" customWidth="1"/>
    <col min="6676" max="6676" width="11.75" customWidth="1"/>
    <col min="6677" max="6677" width="13.375" customWidth="1"/>
    <col min="6678" max="6678" width="21.625" customWidth="1"/>
    <col min="6679" max="6679" width="16.125" customWidth="1"/>
    <col min="6680" max="6681" width="14" customWidth="1"/>
    <col min="6682" max="6682" width="9.625" customWidth="1"/>
    <col min="6683" max="6683" width="10.75" customWidth="1"/>
    <col min="6684" max="6684" width="9.625" customWidth="1"/>
    <col min="6685" max="6685" width="9.25" customWidth="1"/>
    <col min="6686" max="6686" width="9.375" customWidth="1"/>
    <col min="6687" max="6688" width="13.25" customWidth="1"/>
    <col min="6689" max="6689" width="8.25" bestFit="1" customWidth="1"/>
    <col min="6690" max="6690" width="10" customWidth="1"/>
    <col min="6692" max="6692" width="9.75" customWidth="1"/>
    <col min="6693" max="6693" width="9.375" customWidth="1"/>
    <col min="6694" max="6694" width="10.5" bestFit="1" customWidth="1"/>
    <col min="6701" max="6701" width="9.625" customWidth="1"/>
    <col min="6702" max="6702" width="14.75" customWidth="1"/>
    <col min="6703" max="6703" width="11.375" customWidth="1"/>
    <col min="6704" max="6704" width="9.875" customWidth="1"/>
    <col min="6705" max="6705" width="10.75" customWidth="1"/>
    <col min="6706" max="6706" width="10.125" bestFit="1" customWidth="1"/>
    <col min="6707" max="6707" width="12.5" customWidth="1"/>
    <col min="6708" max="6708" width="10.625" customWidth="1"/>
    <col min="6711" max="6711" width="15.75" customWidth="1"/>
    <col min="6712" max="6712" width="10" customWidth="1"/>
    <col min="6715" max="6715" width="8.875" customWidth="1"/>
    <col min="6716" max="6716" width="9.625" bestFit="1" customWidth="1"/>
    <col min="6717" max="6717" width="9.375" customWidth="1"/>
    <col min="6719" max="6719" width="7.25" customWidth="1"/>
    <col min="6720" max="6720" width="0" hidden="1" customWidth="1"/>
    <col min="6722" max="6722" width="9.375" customWidth="1"/>
    <col min="6723" max="6723" width="10.375" customWidth="1"/>
    <col min="6724" max="6724" width="15.875" customWidth="1"/>
    <col min="6726" max="6726" width="6.75" customWidth="1"/>
    <col min="6913" max="6913" width="0.375" customWidth="1"/>
    <col min="6914" max="6914" width="17.25" customWidth="1"/>
    <col min="6915" max="6915" width="13.375" customWidth="1"/>
    <col min="6916" max="6916" width="9.625" customWidth="1"/>
    <col min="6917" max="6917" width="13.375" customWidth="1"/>
    <col min="6918" max="6918" width="8.625" customWidth="1"/>
    <col min="6919" max="6919" width="15.625" customWidth="1"/>
    <col min="6920" max="6920" width="16.125" customWidth="1"/>
    <col min="6921" max="6921" width="12.5" customWidth="1"/>
    <col min="6922" max="6922" width="12.125" customWidth="1"/>
    <col min="6923" max="6923" width="18.125" customWidth="1"/>
    <col min="6924" max="6924" width="16.25" customWidth="1"/>
    <col min="6925" max="6926" width="12.875" customWidth="1"/>
    <col min="6927" max="6927" width="11.375" customWidth="1"/>
    <col min="6928" max="6928" width="11.75" customWidth="1"/>
    <col min="6929" max="6929" width="10.875" customWidth="1"/>
    <col min="6930" max="6930" width="16" customWidth="1"/>
    <col min="6931" max="6931" width="14.125" customWidth="1"/>
    <col min="6932" max="6932" width="11.75" customWidth="1"/>
    <col min="6933" max="6933" width="13.375" customWidth="1"/>
    <col min="6934" max="6934" width="21.625" customWidth="1"/>
    <col min="6935" max="6935" width="16.125" customWidth="1"/>
    <col min="6936" max="6937" width="14" customWidth="1"/>
    <col min="6938" max="6938" width="9.625" customWidth="1"/>
    <col min="6939" max="6939" width="10.75" customWidth="1"/>
    <col min="6940" max="6940" width="9.625" customWidth="1"/>
    <col min="6941" max="6941" width="9.25" customWidth="1"/>
    <col min="6942" max="6942" width="9.375" customWidth="1"/>
    <col min="6943" max="6944" width="13.25" customWidth="1"/>
    <col min="6945" max="6945" width="8.25" bestFit="1" customWidth="1"/>
    <col min="6946" max="6946" width="10" customWidth="1"/>
    <col min="6948" max="6948" width="9.75" customWidth="1"/>
    <col min="6949" max="6949" width="9.375" customWidth="1"/>
    <col min="6950" max="6950" width="10.5" bestFit="1" customWidth="1"/>
    <col min="6957" max="6957" width="9.625" customWidth="1"/>
    <col min="6958" max="6958" width="14.75" customWidth="1"/>
    <col min="6959" max="6959" width="11.375" customWidth="1"/>
    <col min="6960" max="6960" width="9.875" customWidth="1"/>
    <col min="6961" max="6961" width="10.75" customWidth="1"/>
    <col min="6962" max="6962" width="10.125" bestFit="1" customWidth="1"/>
    <col min="6963" max="6963" width="12.5" customWidth="1"/>
    <col min="6964" max="6964" width="10.625" customWidth="1"/>
    <col min="6967" max="6967" width="15.75" customWidth="1"/>
    <col min="6968" max="6968" width="10" customWidth="1"/>
    <col min="6971" max="6971" width="8.875" customWidth="1"/>
    <col min="6972" max="6972" width="9.625" bestFit="1" customWidth="1"/>
    <col min="6973" max="6973" width="9.375" customWidth="1"/>
    <col min="6975" max="6975" width="7.25" customWidth="1"/>
    <col min="6976" max="6976" width="0" hidden="1" customWidth="1"/>
    <col min="6978" max="6978" width="9.375" customWidth="1"/>
    <col min="6979" max="6979" width="10.375" customWidth="1"/>
    <col min="6980" max="6980" width="15.875" customWidth="1"/>
    <col min="6982" max="6982" width="6.75" customWidth="1"/>
    <col min="7169" max="7169" width="0.375" customWidth="1"/>
    <col min="7170" max="7170" width="17.25" customWidth="1"/>
    <col min="7171" max="7171" width="13.375" customWidth="1"/>
    <col min="7172" max="7172" width="9.625" customWidth="1"/>
    <col min="7173" max="7173" width="13.375" customWidth="1"/>
    <col min="7174" max="7174" width="8.625" customWidth="1"/>
    <col min="7175" max="7175" width="15.625" customWidth="1"/>
    <col min="7176" max="7176" width="16.125" customWidth="1"/>
    <col min="7177" max="7177" width="12.5" customWidth="1"/>
    <col min="7178" max="7178" width="12.125" customWidth="1"/>
    <col min="7179" max="7179" width="18.125" customWidth="1"/>
    <col min="7180" max="7180" width="16.25" customWidth="1"/>
    <col min="7181" max="7182" width="12.875" customWidth="1"/>
    <col min="7183" max="7183" width="11.375" customWidth="1"/>
    <col min="7184" max="7184" width="11.75" customWidth="1"/>
    <col min="7185" max="7185" width="10.875" customWidth="1"/>
    <col min="7186" max="7186" width="16" customWidth="1"/>
    <col min="7187" max="7187" width="14.125" customWidth="1"/>
    <col min="7188" max="7188" width="11.75" customWidth="1"/>
    <col min="7189" max="7189" width="13.375" customWidth="1"/>
    <col min="7190" max="7190" width="21.625" customWidth="1"/>
    <col min="7191" max="7191" width="16.125" customWidth="1"/>
    <col min="7192" max="7193" width="14" customWidth="1"/>
    <col min="7194" max="7194" width="9.625" customWidth="1"/>
    <col min="7195" max="7195" width="10.75" customWidth="1"/>
    <col min="7196" max="7196" width="9.625" customWidth="1"/>
    <col min="7197" max="7197" width="9.25" customWidth="1"/>
    <col min="7198" max="7198" width="9.375" customWidth="1"/>
    <col min="7199" max="7200" width="13.25" customWidth="1"/>
    <col min="7201" max="7201" width="8.25" bestFit="1" customWidth="1"/>
    <col min="7202" max="7202" width="10" customWidth="1"/>
    <col min="7204" max="7204" width="9.75" customWidth="1"/>
    <col min="7205" max="7205" width="9.375" customWidth="1"/>
    <col min="7206" max="7206" width="10.5" bestFit="1" customWidth="1"/>
    <col min="7213" max="7213" width="9.625" customWidth="1"/>
    <col min="7214" max="7214" width="14.75" customWidth="1"/>
    <col min="7215" max="7215" width="11.375" customWidth="1"/>
    <col min="7216" max="7216" width="9.875" customWidth="1"/>
    <col min="7217" max="7217" width="10.75" customWidth="1"/>
    <col min="7218" max="7218" width="10.125" bestFit="1" customWidth="1"/>
    <col min="7219" max="7219" width="12.5" customWidth="1"/>
    <col min="7220" max="7220" width="10.625" customWidth="1"/>
    <col min="7223" max="7223" width="15.75" customWidth="1"/>
    <col min="7224" max="7224" width="10" customWidth="1"/>
    <col min="7227" max="7227" width="8.875" customWidth="1"/>
    <col min="7228" max="7228" width="9.625" bestFit="1" customWidth="1"/>
    <col min="7229" max="7229" width="9.375" customWidth="1"/>
    <col min="7231" max="7231" width="7.25" customWidth="1"/>
    <col min="7232" max="7232" width="0" hidden="1" customWidth="1"/>
    <col min="7234" max="7234" width="9.375" customWidth="1"/>
    <col min="7235" max="7235" width="10.375" customWidth="1"/>
    <col min="7236" max="7236" width="15.875" customWidth="1"/>
    <col min="7238" max="7238" width="6.75" customWidth="1"/>
    <col min="7425" max="7425" width="0.375" customWidth="1"/>
    <col min="7426" max="7426" width="17.25" customWidth="1"/>
    <col min="7427" max="7427" width="13.375" customWidth="1"/>
    <col min="7428" max="7428" width="9.625" customWidth="1"/>
    <col min="7429" max="7429" width="13.375" customWidth="1"/>
    <col min="7430" max="7430" width="8.625" customWidth="1"/>
    <col min="7431" max="7431" width="15.625" customWidth="1"/>
    <col min="7432" max="7432" width="16.125" customWidth="1"/>
    <col min="7433" max="7433" width="12.5" customWidth="1"/>
    <col min="7434" max="7434" width="12.125" customWidth="1"/>
    <col min="7435" max="7435" width="18.125" customWidth="1"/>
    <col min="7436" max="7436" width="16.25" customWidth="1"/>
    <col min="7437" max="7438" width="12.875" customWidth="1"/>
    <col min="7439" max="7439" width="11.375" customWidth="1"/>
    <col min="7440" max="7440" width="11.75" customWidth="1"/>
    <col min="7441" max="7441" width="10.875" customWidth="1"/>
    <col min="7442" max="7442" width="16" customWidth="1"/>
    <col min="7443" max="7443" width="14.125" customWidth="1"/>
    <col min="7444" max="7444" width="11.75" customWidth="1"/>
    <col min="7445" max="7445" width="13.375" customWidth="1"/>
    <col min="7446" max="7446" width="21.625" customWidth="1"/>
    <col min="7447" max="7447" width="16.125" customWidth="1"/>
    <col min="7448" max="7449" width="14" customWidth="1"/>
    <col min="7450" max="7450" width="9.625" customWidth="1"/>
    <col min="7451" max="7451" width="10.75" customWidth="1"/>
    <col min="7452" max="7452" width="9.625" customWidth="1"/>
    <col min="7453" max="7453" width="9.25" customWidth="1"/>
    <col min="7454" max="7454" width="9.375" customWidth="1"/>
    <col min="7455" max="7456" width="13.25" customWidth="1"/>
    <col min="7457" max="7457" width="8.25" bestFit="1" customWidth="1"/>
    <col min="7458" max="7458" width="10" customWidth="1"/>
    <col min="7460" max="7460" width="9.75" customWidth="1"/>
    <col min="7461" max="7461" width="9.375" customWidth="1"/>
    <col min="7462" max="7462" width="10.5" bestFit="1" customWidth="1"/>
    <col min="7469" max="7469" width="9.625" customWidth="1"/>
    <col min="7470" max="7470" width="14.75" customWidth="1"/>
    <col min="7471" max="7471" width="11.375" customWidth="1"/>
    <col min="7472" max="7472" width="9.875" customWidth="1"/>
    <col min="7473" max="7473" width="10.75" customWidth="1"/>
    <col min="7474" max="7474" width="10.125" bestFit="1" customWidth="1"/>
    <col min="7475" max="7475" width="12.5" customWidth="1"/>
    <col min="7476" max="7476" width="10.625" customWidth="1"/>
    <col min="7479" max="7479" width="15.75" customWidth="1"/>
    <col min="7480" max="7480" width="10" customWidth="1"/>
    <col min="7483" max="7483" width="8.875" customWidth="1"/>
    <col min="7484" max="7484" width="9.625" bestFit="1" customWidth="1"/>
    <col min="7485" max="7485" width="9.375" customWidth="1"/>
    <col min="7487" max="7487" width="7.25" customWidth="1"/>
    <col min="7488" max="7488" width="0" hidden="1" customWidth="1"/>
    <col min="7490" max="7490" width="9.375" customWidth="1"/>
    <col min="7491" max="7491" width="10.375" customWidth="1"/>
    <col min="7492" max="7492" width="15.875" customWidth="1"/>
    <col min="7494" max="7494" width="6.75" customWidth="1"/>
    <col min="7681" max="7681" width="0.375" customWidth="1"/>
    <col min="7682" max="7682" width="17.25" customWidth="1"/>
    <col min="7683" max="7683" width="13.375" customWidth="1"/>
    <col min="7684" max="7684" width="9.625" customWidth="1"/>
    <col min="7685" max="7685" width="13.375" customWidth="1"/>
    <col min="7686" max="7686" width="8.625" customWidth="1"/>
    <col min="7687" max="7687" width="15.625" customWidth="1"/>
    <col min="7688" max="7688" width="16.125" customWidth="1"/>
    <col min="7689" max="7689" width="12.5" customWidth="1"/>
    <col min="7690" max="7690" width="12.125" customWidth="1"/>
    <col min="7691" max="7691" width="18.125" customWidth="1"/>
    <col min="7692" max="7692" width="16.25" customWidth="1"/>
    <col min="7693" max="7694" width="12.875" customWidth="1"/>
    <col min="7695" max="7695" width="11.375" customWidth="1"/>
    <col min="7696" max="7696" width="11.75" customWidth="1"/>
    <col min="7697" max="7697" width="10.875" customWidth="1"/>
    <col min="7698" max="7698" width="16" customWidth="1"/>
    <col min="7699" max="7699" width="14.125" customWidth="1"/>
    <col min="7700" max="7700" width="11.75" customWidth="1"/>
    <col min="7701" max="7701" width="13.375" customWidth="1"/>
    <col min="7702" max="7702" width="21.625" customWidth="1"/>
    <col min="7703" max="7703" width="16.125" customWidth="1"/>
    <col min="7704" max="7705" width="14" customWidth="1"/>
    <col min="7706" max="7706" width="9.625" customWidth="1"/>
    <col min="7707" max="7707" width="10.75" customWidth="1"/>
    <col min="7708" max="7708" width="9.625" customWidth="1"/>
    <col min="7709" max="7709" width="9.25" customWidth="1"/>
    <col min="7710" max="7710" width="9.375" customWidth="1"/>
    <col min="7711" max="7712" width="13.25" customWidth="1"/>
    <col min="7713" max="7713" width="8.25" bestFit="1" customWidth="1"/>
    <col min="7714" max="7714" width="10" customWidth="1"/>
    <col min="7716" max="7716" width="9.75" customWidth="1"/>
    <col min="7717" max="7717" width="9.375" customWidth="1"/>
    <col min="7718" max="7718" width="10.5" bestFit="1" customWidth="1"/>
    <col min="7725" max="7725" width="9.625" customWidth="1"/>
    <col min="7726" max="7726" width="14.75" customWidth="1"/>
    <col min="7727" max="7727" width="11.375" customWidth="1"/>
    <col min="7728" max="7728" width="9.875" customWidth="1"/>
    <col min="7729" max="7729" width="10.75" customWidth="1"/>
    <col min="7730" max="7730" width="10.125" bestFit="1" customWidth="1"/>
    <col min="7731" max="7731" width="12.5" customWidth="1"/>
    <col min="7732" max="7732" width="10.625" customWidth="1"/>
    <col min="7735" max="7735" width="15.75" customWidth="1"/>
    <col min="7736" max="7736" width="10" customWidth="1"/>
    <col min="7739" max="7739" width="8.875" customWidth="1"/>
    <col min="7740" max="7740" width="9.625" bestFit="1" customWidth="1"/>
    <col min="7741" max="7741" width="9.375" customWidth="1"/>
    <col min="7743" max="7743" width="7.25" customWidth="1"/>
    <col min="7744" max="7744" width="0" hidden="1" customWidth="1"/>
    <col min="7746" max="7746" width="9.375" customWidth="1"/>
    <col min="7747" max="7747" width="10.375" customWidth="1"/>
    <col min="7748" max="7748" width="15.875" customWidth="1"/>
    <col min="7750" max="7750" width="6.75" customWidth="1"/>
    <col min="7937" max="7937" width="0.375" customWidth="1"/>
    <col min="7938" max="7938" width="17.25" customWidth="1"/>
    <col min="7939" max="7939" width="13.375" customWidth="1"/>
    <col min="7940" max="7940" width="9.625" customWidth="1"/>
    <col min="7941" max="7941" width="13.375" customWidth="1"/>
    <col min="7942" max="7942" width="8.625" customWidth="1"/>
    <col min="7943" max="7943" width="15.625" customWidth="1"/>
    <col min="7944" max="7944" width="16.125" customWidth="1"/>
    <col min="7945" max="7945" width="12.5" customWidth="1"/>
    <col min="7946" max="7946" width="12.125" customWidth="1"/>
    <col min="7947" max="7947" width="18.125" customWidth="1"/>
    <col min="7948" max="7948" width="16.25" customWidth="1"/>
    <col min="7949" max="7950" width="12.875" customWidth="1"/>
    <col min="7951" max="7951" width="11.375" customWidth="1"/>
    <col min="7952" max="7952" width="11.75" customWidth="1"/>
    <col min="7953" max="7953" width="10.875" customWidth="1"/>
    <col min="7954" max="7954" width="16" customWidth="1"/>
    <col min="7955" max="7955" width="14.125" customWidth="1"/>
    <col min="7956" max="7956" width="11.75" customWidth="1"/>
    <col min="7957" max="7957" width="13.375" customWidth="1"/>
    <col min="7958" max="7958" width="21.625" customWidth="1"/>
    <col min="7959" max="7959" width="16.125" customWidth="1"/>
    <col min="7960" max="7961" width="14" customWidth="1"/>
    <col min="7962" max="7962" width="9.625" customWidth="1"/>
    <col min="7963" max="7963" width="10.75" customWidth="1"/>
    <col min="7964" max="7964" width="9.625" customWidth="1"/>
    <col min="7965" max="7965" width="9.25" customWidth="1"/>
    <col min="7966" max="7966" width="9.375" customWidth="1"/>
    <col min="7967" max="7968" width="13.25" customWidth="1"/>
    <col min="7969" max="7969" width="8.25" bestFit="1" customWidth="1"/>
    <col min="7970" max="7970" width="10" customWidth="1"/>
    <col min="7972" max="7972" width="9.75" customWidth="1"/>
    <col min="7973" max="7973" width="9.375" customWidth="1"/>
    <col min="7974" max="7974" width="10.5" bestFit="1" customWidth="1"/>
    <col min="7981" max="7981" width="9.625" customWidth="1"/>
    <col min="7982" max="7982" width="14.75" customWidth="1"/>
    <col min="7983" max="7983" width="11.375" customWidth="1"/>
    <col min="7984" max="7984" width="9.875" customWidth="1"/>
    <col min="7985" max="7985" width="10.75" customWidth="1"/>
    <col min="7986" max="7986" width="10.125" bestFit="1" customWidth="1"/>
    <col min="7987" max="7987" width="12.5" customWidth="1"/>
    <col min="7988" max="7988" width="10.625" customWidth="1"/>
    <col min="7991" max="7991" width="15.75" customWidth="1"/>
    <col min="7992" max="7992" width="10" customWidth="1"/>
    <col min="7995" max="7995" width="8.875" customWidth="1"/>
    <col min="7996" max="7996" width="9.625" bestFit="1" customWidth="1"/>
    <col min="7997" max="7997" width="9.375" customWidth="1"/>
    <col min="7999" max="7999" width="7.25" customWidth="1"/>
    <col min="8000" max="8000" width="0" hidden="1" customWidth="1"/>
    <col min="8002" max="8002" width="9.375" customWidth="1"/>
    <col min="8003" max="8003" width="10.375" customWidth="1"/>
    <col min="8004" max="8004" width="15.875" customWidth="1"/>
    <col min="8006" max="8006" width="6.75" customWidth="1"/>
    <col min="8193" max="8193" width="0.375" customWidth="1"/>
    <col min="8194" max="8194" width="17.25" customWidth="1"/>
    <col min="8195" max="8195" width="13.375" customWidth="1"/>
    <col min="8196" max="8196" width="9.625" customWidth="1"/>
    <col min="8197" max="8197" width="13.375" customWidth="1"/>
    <col min="8198" max="8198" width="8.625" customWidth="1"/>
    <col min="8199" max="8199" width="15.625" customWidth="1"/>
    <col min="8200" max="8200" width="16.125" customWidth="1"/>
    <col min="8201" max="8201" width="12.5" customWidth="1"/>
    <col min="8202" max="8202" width="12.125" customWidth="1"/>
    <col min="8203" max="8203" width="18.125" customWidth="1"/>
    <col min="8204" max="8204" width="16.25" customWidth="1"/>
    <col min="8205" max="8206" width="12.875" customWidth="1"/>
    <col min="8207" max="8207" width="11.375" customWidth="1"/>
    <col min="8208" max="8208" width="11.75" customWidth="1"/>
    <col min="8209" max="8209" width="10.875" customWidth="1"/>
    <col min="8210" max="8210" width="16" customWidth="1"/>
    <col min="8211" max="8211" width="14.125" customWidth="1"/>
    <col min="8212" max="8212" width="11.75" customWidth="1"/>
    <col min="8213" max="8213" width="13.375" customWidth="1"/>
    <col min="8214" max="8214" width="21.625" customWidth="1"/>
    <col min="8215" max="8215" width="16.125" customWidth="1"/>
    <col min="8216" max="8217" width="14" customWidth="1"/>
    <col min="8218" max="8218" width="9.625" customWidth="1"/>
    <col min="8219" max="8219" width="10.75" customWidth="1"/>
    <col min="8220" max="8220" width="9.625" customWidth="1"/>
    <col min="8221" max="8221" width="9.25" customWidth="1"/>
    <col min="8222" max="8222" width="9.375" customWidth="1"/>
    <col min="8223" max="8224" width="13.25" customWidth="1"/>
    <col min="8225" max="8225" width="8.25" bestFit="1" customWidth="1"/>
    <col min="8226" max="8226" width="10" customWidth="1"/>
    <col min="8228" max="8228" width="9.75" customWidth="1"/>
    <col min="8229" max="8229" width="9.375" customWidth="1"/>
    <col min="8230" max="8230" width="10.5" bestFit="1" customWidth="1"/>
    <col min="8237" max="8237" width="9.625" customWidth="1"/>
    <col min="8238" max="8238" width="14.75" customWidth="1"/>
    <col min="8239" max="8239" width="11.375" customWidth="1"/>
    <col min="8240" max="8240" width="9.875" customWidth="1"/>
    <col min="8241" max="8241" width="10.75" customWidth="1"/>
    <col min="8242" max="8242" width="10.125" bestFit="1" customWidth="1"/>
    <col min="8243" max="8243" width="12.5" customWidth="1"/>
    <col min="8244" max="8244" width="10.625" customWidth="1"/>
    <col min="8247" max="8247" width="15.75" customWidth="1"/>
    <col min="8248" max="8248" width="10" customWidth="1"/>
    <col min="8251" max="8251" width="8.875" customWidth="1"/>
    <col min="8252" max="8252" width="9.625" bestFit="1" customWidth="1"/>
    <col min="8253" max="8253" width="9.375" customWidth="1"/>
    <col min="8255" max="8255" width="7.25" customWidth="1"/>
    <col min="8256" max="8256" width="0" hidden="1" customWidth="1"/>
    <col min="8258" max="8258" width="9.375" customWidth="1"/>
    <col min="8259" max="8259" width="10.375" customWidth="1"/>
    <col min="8260" max="8260" width="15.875" customWidth="1"/>
    <col min="8262" max="8262" width="6.75" customWidth="1"/>
    <col min="8449" max="8449" width="0.375" customWidth="1"/>
    <col min="8450" max="8450" width="17.25" customWidth="1"/>
    <col min="8451" max="8451" width="13.375" customWidth="1"/>
    <col min="8452" max="8452" width="9.625" customWidth="1"/>
    <col min="8453" max="8453" width="13.375" customWidth="1"/>
    <col min="8454" max="8454" width="8.625" customWidth="1"/>
    <col min="8455" max="8455" width="15.625" customWidth="1"/>
    <col min="8456" max="8456" width="16.125" customWidth="1"/>
    <col min="8457" max="8457" width="12.5" customWidth="1"/>
    <col min="8458" max="8458" width="12.125" customWidth="1"/>
    <col min="8459" max="8459" width="18.125" customWidth="1"/>
    <col min="8460" max="8460" width="16.25" customWidth="1"/>
    <col min="8461" max="8462" width="12.875" customWidth="1"/>
    <col min="8463" max="8463" width="11.375" customWidth="1"/>
    <col min="8464" max="8464" width="11.75" customWidth="1"/>
    <col min="8465" max="8465" width="10.875" customWidth="1"/>
    <col min="8466" max="8466" width="16" customWidth="1"/>
    <col min="8467" max="8467" width="14.125" customWidth="1"/>
    <col min="8468" max="8468" width="11.75" customWidth="1"/>
    <col min="8469" max="8469" width="13.375" customWidth="1"/>
    <col min="8470" max="8470" width="21.625" customWidth="1"/>
    <col min="8471" max="8471" width="16.125" customWidth="1"/>
    <col min="8472" max="8473" width="14" customWidth="1"/>
    <col min="8474" max="8474" width="9.625" customWidth="1"/>
    <col min="8475" max="8475" width="10.75" customWidth="1"/>
    <col min="8476" max="8476" width="9.625" customWidth="1"/>
    <col min="8477" max="8477" width="9.25" customWidth="1"/>
    <col min="8478" max="8478" width="9.375" customWidth="1"/>
    <col min="8479" max="8480" width="13.25" customWidth="1"/>
    <col min="8481" max="8481" width="8.25" bestFit="1" customWidth="1"/>
    <col min="8482" max="8482" width="10" customWidth="1"/>
    <col min="8484" max="8484" width="9.75" customWidth="1"/>
    <col min="8485" max="8485" width="9.375" customWidth="1"/>
    <col min="8486" max="8486" width="10.5" bestFit="1" customWidth="1"/>
    <col min="8493" max="8493" width="9.625" customWidth="1"/>
    <col min="8494" max="8494" width="14.75" customWidth="1"/>
    <col min="8495" max="8495" width="11.375" customWidth="1"/>
    <col min="8496" max="8496" width="9.875" customWidth="1"/>
    <col min="8497" max="8497" width="10.75" customWidth="1"/>
    <col min="8498" max="8498" width="10.125" bestFit="1" customWidth="1"/>
    <col min="8499" max="8499" width="12.5" customWidth="1"/>
    <col min="8500" max="8500" width="10.625" customWidth="1"/>
    <col min="8503" max="8503" width="15.75" customWidth="1"/>
    <col min="8504" max="8504" width="10" customWidth="1"/>
    <col min="8507" max="8507" width="8.875" customWidth="1"/>
    <col min="8508" max="8508" width="9.625" bestFit="1" customWidth="1"/>
    <col min="8509" max="8509" width="9.375" customWidth="1"/>
    <col min="8511" max="8511" width="7.25" customWidth="1"/>
    <col min="8512" max="8512" width="0" hidden="1" customWidth="1"/>
    <col min="8514" max="8514" width="9.375" customWidth="1"/>
    <col min="8515" max="8515" width="10.375" customWidth="1"/>
    <col min="8516" max="8516" width="15.875" customWidth="1"/>
    <col min="8518" max="8518" width="6.75" customWidth="1"/>
    <col min="8705" max="8705" width="0.375" customWidth="1"/>
    <col min="8706" max="8706" width="17.25" customWidth="1"/>
    <col min="8707" max="8707" width="13.375" customWidth="1"/>
    <col min="8708" max="8708" width="9.625" customWidth="1"/>
    <col min="8709" max="8709" width="13.375" customWidth="1"/>
    <col min="8710" max="8710" width="8.625" customWidth="1"/>
    <col min="8711" max="8711" width="15.625" customWidth="1"/>
    <col min="8712" max="8712" width="16.125" customWidth="1"/>
    <col min="8713" max="8713" width="12.5" customWidth="1"/>
    <col min="8714" max="8714" width="12.125" customWidth="1"/>
    <col min="8715" max="8715" width="18.125" customWidth="1"/>
    <col min="8716" max="8716" width="16.25" customWidth="1"/>
    <col min="8717" max="8718" width="12.875" customWidth="1"/>
    <col min="8719" max="8719" width="11.375" customWidth="1"/>
    <col min="8720" max="8720" width="11.75" customWidth="1"/>
    <col min="8721" max="8721" width="10.875" customWidth="1"/>
    <col min="8722" max="8722" width="16" customWidth="1"/>
    <col min="8723" max="8723" width="14.125" customWidth="1"/>
    <col min="8724" max="8724" width="11.75" customWidth="1"/>
    <col min="8725" max="8725" width="13.375" customWidth="1"/>
    <col min="8726" max="8726" width="21.625" customWidth="1"/>
    <col min="8727" max="8727" width="16.125" customWidth="1"/>
    <col min="8728" max="8729" width="14" customWidth="1"/>
    <col min="8730" max="8730" width="9.625" customWidth="1"/>
    <col min="8731" max="8731" width="10.75" customWidth="1"/>
    <col min="8732" max="8732" width="9.625" customWidth="1"/>
    <col min="8733" max="8733" width="9.25" customWidth="1"/>
    <col min="8734" max="8734" width="9.375" customWidth="1"/>
    <col min="8735" max="8736" width="13.25" customWidth="1"/>
    <col min="8737" max="8737" width="8.25" bestFit="1" customWidth="1"/>
    <col min="8738" max="8738" width="10" customWidth="1"/>
    <col min="8740" max="8740" width="9.75" customWidth="1"/>
    <col min="8741" max="8741" width="9.375" customWidth="1"/>
    <col min="8742" max="8742" width="10.5" bestFit="1" customWidth="1"/>
    <col min="8749" max="8749" width="9.625" customWidth="1"/>
    <col min="8750" max="8750" width="14.75" customWidth="1"/>
    <col min="8751" max="8751" width="11.375" customWidth="1"/>
    <col min="8752" max="8752" width="9.875" customWidth="1"/>
    <col min="8753" max="8753" width="10.75" customWidth="1"/>
    <col min="8754" max="8754" width="10.125" bestFit="1" customWidth="1"/>
    <col min="8755" max="8755" width="12.5" customWidth="1"/>
    <col min="8756" max="8756" width="10.625" customWidth="1"/>
    <col min="8759" max="8759" width="15.75" customWidth="1"/>
    <col min="8760" max="8760" width="10" customWidth="1"/>
    <col min="8763" max="8763" width="8.875" customWidth="1"/>
    <col min="8764" max="8764" width="9.625" bestFit="1" customWidth="1"/>
    <col min="8765" max="8765" width="9.375" customWidth="1"/>
    <col min="8767" max="8767" width="7.25" customWidth="1"/>
    <col min="8768" max="8768" width="0" hidden="1" customWidth="1"/>
    <col min="8770" max="8770" width="9.375" customWidth="1"/>
    <col min="8771" max="8771" width="10.375" customWidth="1"/>
    <col min="8772" max="8772" width="15.875" customWidth="1"/>
    <col min="8774" max="8774" width="6.75" customWidth="1"/>
    <col min="8961" max="8961" width="0.375" customWidth="1"/>
    <col min="8962" max="8962" width="17.25" customWidth="1"/>
    <col min="8963" max="8963" width="13.375" customWidth="1"/>
    <col min="8964" max="8964" width="9.625" customWidth="1"/>
    <col min="8965" max="8965" width="13.375" customWidth="1"/>
    <col min="8966" max="8966" width="8.625" customWidth="1"/>
    <col min="8967" max="8967" width="15.625" customWidth="1"/>
    <col min="8968" max="8968" width="16.125" customWidth="1"/>
    <col min="8969" max="8969" width="12.5" customWidth="1"/>
    <col min="8970" max="8970" width="12.125" customWidth="1"/>
    <col min="8971" max="8971" width="18.125" customWidth="1"/>
    <col min="8972" max="8972" width="16.25" customWidth="1"/>
    <col min="8973" max="8974" width="12.875" customWidth="1"/>
    <col min="8975" max="8975" width="11.375" customWidth="1"/>
    <col min="8976" max="8976" width="11.75" customWidth="1"/>
    <col min="8977" max="8977" width="10.875" customWidth="1"/>
    <col min="8978" max="8978" width="16" customWidth="1"/>
    <col min="8979" max="8979" width="14.125" customWidth="1"/>
    <col min="8980" max="8980" width="11.75" customWidth="1"/>
    <col min="8981" max="8981" width="13.375" customWidth="1"/>
    <col min="8982" max="8982" width="21.625" customWidth="1"/>
    <col min="8983" max="8983" width="16.125" customWidth="1"/>
    <col min="8984" max="8985" width="14" customWidth="1"/>
    <col min="8986" max="8986" width="9.625" customWidth="1"/>
    <col min="8987" max="8987" width="10.75" customWidth="1"/>
    <col min="8988" max="8988" width="9.625" customWidth="1"/>
    <col min="8989" max="8989" width="9.25" customWidth="1"/>
    <col min="8990" max="8990" width="9.375" customWidth="1"/>
    <col min="8991" max="8992" width="13.25" customWidth="1"/>
    <col min="8993" max="8993" width="8.25" bestFit="1" customWidth="1"/>
    <col min="8994" max="8994" width="10" customWidth="1"/>
    <col min="8996" max="8996" width="9.75" customWidth="1"/>
    <col min="8997" max="8997" width="9.375" customWidth="1"/>
    <col min="8998" max="8998" width="10.5" bestFit="1" customWidth="1"/>
    <col min="9005" max="9005" width="9.625" customWidth="1"/>
    <col min="9006" max="9006" width="14.75" customWidth="1"/>
    <col min="9007" max="9007" width="11.375" customWidth="1"/>
    <col min="9008" max="9008" width="9.875" customWidth="1"/>
    <col min="9009" max="9009" width="10.75" customWidth="1"/>
    <col min="9010" max="9010" width="10.125" bestFit="1" customWidth="1"/>
    <col min="9011" max="9011" width="12.5" customWidth="1"/>
    <col min="9012" max="9012" width="10.625" customWidth="1"/>
    <col min="9015" max="9015" width="15.75" customWidth="1"/>
    <col min="9016" max="9016" width="10" customWidth="1"/>
    <col min="9019" max="9019" width="8.875" customWidth="1"/>
    <col min="9020" max="9020" width="9.625" bestFit="1" customWidth="1"/>
    <col min="9021" max="9021" width="9.375" customWidth="1"/>
    <col min="9023" max="9023" width="7.25" customWidth="1"/>
    <col min="9024" max="9024" width="0" hidden="1" customWidth="1"/>
    <col min="9026" max="9026" width="9.375" customWidth="1"/>
    <col min="9027" max="9027" width="10.375" customWidth="1"/>
    <col min="9028" max="9028" width="15.875" customWidth="1"/>
    <col min="9030" max="9030" width="6.75" customWidth="1"/>
    <col min="9217" max="9217" width="0.375" customWidth="1"/>
    <col min="9218" max="9218" width="17.25" customWidth="1"/>
    <col min="9219" max="9219" width="13.375" customWidth="1"/>
    <col min="9220" max="9220" width="9.625" customWidth="1"/>
    <col min="9221" max="9221" width="13.375" customWidth="1"/>
    <col min="9222" max="9222" width="8.625" customWidth="1"/>
    <col min="9223" max="9223" width="15.625" customWidth="1"/>
    <col min="9224" max="9224" width="16.125" customWidth="1"/>
    <col min="9225" max="9225" width="12.5" customWidth="1"/>
    <col min="9226" max="9226" width="12.125" customWidth="1"/>
    <col min="9227" max="9227" width="18.125" customWidth="1"/>
    <col min="9228" max="9228" width="16.25" customWidth="1"/>
    <col min="9229" max="9230" width="12.875" customWidth="1"/>
    <col min="9231" max="9231" width="11.375" customWidth="1"/>
    <col min="9232" max="9232" width="11.75" customWidth="1"/>
    <col min="9233" max="9233" width="10.875" customWidth="1"/>
    <col min="9234" max="9234" width="16" customWidth="1"/>
    <col min="9235" max="9235" width="14.125" customWidth="1"/>
    <col min="9236" max="9236" width="11.75" customWidth="1"/>
    <col min="9237" max="9237" width="13.375" customWidth="1"/>
    <col min="9238" max="9238" width="21.625" customWidth="1"/>
    <col min="9239" max="9239" width="16.125" customWidth="1"/>
    <col min="9240" max="9241" width="14" customWidth="1"/>
    <col min="9242" max="9242" width="9.625" customWidth="1"/>
    <col min="9243" max="9243" width="10.75" customWidth="1"/>
    <col min="9244" max="9244" width="9.625" customWidth="1"/>
    <col min="9245" max="9245" width="9.25" customWidth="1"/>
    <col min="9246" max="9246" width="9.375" customWidth="1"/>
    <col min="9247" max="9248" width="13.25" customWidth="1"/>
    <col min="9249" max="9249" width="8.25" bestFit="1" customWidth="1"/>
    <col min="9250" max="9250" width="10" customWidth="1"/>
    <col min="9252" max="9252" width="9.75" customWidth="1"/>
    <col min="9253" max="9253" width="9.375" customWidth="1"/>
    <col min="9254" max="9254" width="10.5" bestFit="1" customWidth="1"/>
    <col min="9261" max="9261" width="9.625" customWidth="1"/>
    <col min="9262" max="9262" width="14.75" customWidth="1"/>
    <col min="9263" max="9263" width="11.375" customWidth="1"/>
    <col min="9264" max="9264" width="9.875" customWidth="1"/>
    <col min="9265" max="9265" width="10.75" customWidth="1"/>
    <col min="9266" max="9266" width="10.125" bestFit="1" customWidth="1"/>
    <col min="9267" max="9267" width="12.5" customWidth="1"/>
    <col min="9268" max="9268" width="10.625" customWidth="1"/>
    <col min="9271" max="9271" width="15.75" customWidth="1"/>
    <col min="9272" max="9272" width="10" customWidth="1"/>
    <col min="9275" max="9275" width="8.875" customWidth="1"/>
    <col min="9276" max="9276" width="9.625" bestFit="1" customWidth="1"/>
    <col min="9277" max="9277" width="9.375" customWidth="1"/>
    <col min="9279" max="9279" width="7.25" customWidth="1"/>
    <col min="9280" max="9280" width="0" hidden="1" customWidth="1"/>
    <col min="9282" max="9282" width="9.375" customWidth="1"/>
    <col min="9283" max="9283" width="10.375" customWidth="1"/>
    <col min="9284" max="9284" width="15.875" customWidth="1"/>
    <col min="9286" max="9286" width="6.75" customWidth="1"/>
    <col min="9473" max="9473" width="0.375" customWidth="1"/>
    <col min="9474" max="9474" width="17.25" customWidth="1"/>
    <col min="9475" max="9475" width="13.375" customWidth="1"/>
    <col min="9476" max="9476" width="9.625" customWidth="1"/>
    <col min="9477" max="9477" width="13.375" customWidth="1"/>
    <col min="9478" max="9478" width="8.625" customWidth="1"/>
    <col min="9479" max="9479" width="15.625" customWidth="1"/>
    <col min="9480" max="9480" width="16.125" customWidth="1"/>
    <col min="9481" max="9481" width="12.5" customWidth="1"/>
    <col min="9482" max="9482" width="12.125" customWidth="1"/>
    <col min="9483" max="9483" width="18.125" customWidth="1"/>
    <col min="9484" max="9484" width="16.25" customWidth="1"/>
    <col min="9485" max="9486" width="12.875" customWidth="1"/>
    <col min="9487" max="9487" width="11.375" customWidth="1"/>
    <col min="9488" max="9488" width="11.75" customWidth="1"/>
    <col min="9489" max="9489" width="10.875" customWidth="1"/>
    <col min="9490" max="9490" width="16" customWidth="1"/>
    <col min="9491" max="9491" width="14.125" customWidth="1"/>
    <col min="9492" max="9492" width="11.75" customWidth="1"/>
    <col min="9493" max="9493" width="13.375" customWidth="1"/>
    <col min="9494" max="9494" width="21.625" customWidth="1"/>
    <col min="9495" max="9495" width="16.125" customWidth="1"/>
    <col min="9496" max="9497" width="14" customWidth="1"/>
    <col min="9498" max="9498" width="9.625" customWidth="1"/>
    <col min="9499" max="9499" width="10.75" customWidth="1"/>
    <col min="9500" max="9500" width="9.625" customWidth="1"/>
    <col min="9501" max="9501" width="9.25" customWidth="1"/>
    <col min="9502" max="9502" width="9.375" customWidth="1"/>
    <col min="9503" max="9504" width="13.25" customWidth="1"/>
    <col min="9505" max="9505" width="8.25" bestFit="1" customWidth="1"/>
    <col min="9506" max="9506" width="10" customWidth="1"/>
    <col min="9508" max="9508" width="9.75" customWidth="1"/>
    <col min="9509" max="9509" width="9.375" customWidth="1"/>
    <col min="9510" max="9510" width="10.5" bestFit="1" customWidth="1"/>
    <col min="9517" max="9517" width="9.625" customWidth="1"/>
    <col min="9518" max="9518" width="14.75" customWidth="1"/>
    <col min="9519" max="9519" width="11.375" customWidth="1"/>
    <col min="9520" max="9520" width="9.875" customWidth="1"/>
    <col min="9521" max="9521" width="10.75" customWidth="1"/>
    <col min="9522" max="9522" width="10.125" bestFit="1" customWidth="1"/>
    <col min="9523" max="9523" width="12.5" customWidth="1"/>
    <col min="9524" max="9524" width="10.625" customWidth="1"/>
    <col min="9527" max="9527" width="15.75" customWidth="1"/>
    <col min="9528" max="9528" width="10" customWidth="1"/>
    <col min="9531" max="9531" width="8.875" customWidth="1"/>
    <col min="9532" max="9532" width="9.625" bestFit="1" customWidth="1"/>
    <col min="9533" max="9533" width="9.375" customWidth="1"/>
    <col min="9535" max="9535" width="7.25" customWidth="1"/>
    <col min="9536" max="9536" width="0" hidden="1" customWidth="1"/>
    <col min="9538" max="9538" width="9.375" customWidth="1"/>
    <col min="9539" max="9539" width="10.375" customWidth="1"/>
    <col min="9540" max="9540" width="15.875" customWidth="1"/>
    <col min="9542" max="9542" width="6.75" customWidth="1"/>
    <col min="9729" max="9729" width="0.375" customWidth="1"/>
    <col min="9730" max="9730" width="17.25" customWidth="1"/>
    <col min="9731" max="9731" width="13.375" customWidth="1"/>
    <col min="9732" max="9732" width="9.625" customWidth="1"/>
    <col min="9733" max="9733" width="13.375" customWidth="1"/>
    <col min="9734" max="9734" width="8.625" customWidth="1"/>
    <col min="9735" max="9735" width="15.625" customWidth="1"/>
    <col min="9736" max="9736" width="16.125" customWidth="1"/>
    <col min="9737" max="9737" width="12.5" customWidth="1"/>
    <col min="9738" max="9738" width="12.125" customWidth="1"/>
    <col min="9739" max="9739" width="18.125" customWidth="1"/>
    <col min="9740" max="9740" width="16.25" customWidth="1"/>
    <col min="9741" max="9742" width="12.875" customWidth="1"/>
    <col min="9743" max="9743" width="11.375" customWidth="1"/>
    <col min="9744" max="9744" width="11.75" customWidth="1"/>
    <col min="9745" max="9745" width="10.875" customWidth="1"/>
    <col min="9746" max="9746" width="16" customWidth="1"/>
    <col min="9747" max="9747" width="14.125" customWidth="1"/>
    <col min="9748" max="9748" width="11.75" customWidth="1"/>
    <col min="9749" max="9749" width="13.375" customWidth="1"/>
    <col min="9750" max="9750" width="21.625" customWidth="1"/>
    <col min="9751" max="9751" width="16.125" customWidth="1"/>
    <col min="9752" max="9753" width="14" customWidth="1"/>
    <col min="9754" max="9754" width="9.625" customWidth="1"/>
    <col min="9755" max="9755" width="10.75" customWidth="1"/>
    <col min="9756" max="9756" width="9.625" customWidth="1"/>
    <col min="9757" max="9757" width="9.25" customWidth="1"/>
    <col min="9758" max="9758" width="9.375" customWidth="1"/>
    <col min="9759" max="9760" width="13.25" customWidth="1"/>
    <col min="9761" max="9761" width="8.25" bestFit="1" customWidth="1"/>
    <col min="9762" max="9762" width="10" customWidth="1"/>
    <col min="9764" max="9764" width="9.75" customWidth="1"/>
    <col min="9765" max="9765" width="9.375" customWidth="1"/>
    <col min="9766" max="9766" width="10.5" bestFit="1" customWidth="1"/>
    <col min="9773" max="9773" width="9.625" customWidth="1"/>
    <col min="9774" max="9774" width="14.75" customWidth="1"/>
    <col min="9775" max="9775" width="11.375" customWidth="1"/>
    <col min="9776" max="9776" width="9.875" customWidth="1"/>
    <col min="9777" max="9777" width="10.75" customWidth="1"/>
    <col min="9778" max="9778" width="10.125" bestFit="1" customWidth="1"/>
    <col min="9779" max="9779" width="12.5" customWidth="1"/>
    <col min="9780" max="9780" width="10.625" customWidth="1"/>
    <col min="9783" max="9783" width="15.75" customWidth="1"/>
    <col min="9784" max="9784" width="10" customWidth="1"/>
    <col min="9787" max="9787" width="8.875" customWidth="1"/>
    <col min="9788" max="9788" width="9.625" bestFit="1" customWidth="1"/>
    <col min="9789" max="9789" width="9.375" customWidth="1"/>
    <col min="9791" max="9791" width="7.25" customWidth="1"/>
    <col min="9792" max="9792" width="0" hidden="1" customWidth="1"/>
    <col min="9794" max="9794" width="9.375" customWidth="1"/>
    <col min="9795" max="9795" width="10.375" customWidth="1"/>
    <col min="9796" max="9796" width="15.875" customWidth="1"/>
    <col min="9798" max="9798" width="6.75" customWidth="1"/>
    <col min="9985" max="9985" width="0.375" customWidth="1"/>
    <col min="9986" max="9986" width="17.25" customWidth="1"/>
    <col min="9987" max="9987" width="13.375" customWidth="1"/>
    <col min="9988" max="9988" width="9.625" customWidth="1"/>
    <col min="9989" max="9989" width="13.375" customWidth="1"/>
    <col min="9990" max="9990" width="8.625" customWidth="1"/>
    <col min="9991" max="9991" width="15.625" customWidth="1"/>
    <col min="9992" max="9992" width="16.125" customWidth="1"/>
    <col min="9993" max="9993" width="12.5" customWidth="1"/>
    <col min="9994" max="9994" width="12.125" customWidth="1"/>
    <col min="9995" max="9995" width="18.125" customWidth="1"/>
    <col min="9996" max="9996" width="16.25" customWidth="1"/>
    <col min="9997" max="9998" width="12.875" customWidth="1"/>
    <col min="9999" max="9999" width="11.375" customWidth="1"/>
    <col min="10000" max="10000" width="11.75" customWidth="1"/>
    <col min="10001" max="10001" width="10.875" customWidth="1"/>
    <col min="10002" max="10002" width="16" customWidth="1"/>
    <col min="10003" max="10003" width="14.125" customWidth="1"/>
    <col min="10004" max="10004" width="11.75" customWidth="1"/>
    <col min="10005" max="10005" width="13.375" customWidth="1"/>
    <col min="10006" max="10006" width="21.625" customWidth="1"/>
    <col min="10007" max="10007" width="16.125" customWidth="1"/>
    <col min="10008" max="10009" width="14" customWidth="1"/>
    <col min="10010" max="10010" width="9.625" customWidth="1"/>
    <col min="10011" max="10011" width="10.75" customWidth="1"/>
    <col min="10012" max="10012" width="9.625" customWidth="1"/>
    <col min="10013" max="10013" width="9.25" customWidth="1"/>
    <col min="10014" max="10014" width="9.375" customWidth="1"/>
    <col min="10015" max="10016" width="13.25" customWidth="1"/>
    <col min="10017" max="10017" width="8.25" bestFit="1" customWidth="1"/>
    <col min="10018" max="10018" width="10" customWidth="1"/>
    <col min="10020" max="10020" width="9.75" customWidth="1"/>
    <col min="10021" max="10021" width="9.375" customWidth="1"/>
    <col min="10022" max="10022" width="10.5" bestFit="1" customWidth="1"/>
    <col min="10029" max="10029" width="9.625" customWidth="1"/>
    <col min="10030" max="10030" width="14.75" customWidth="1"/>
    <col min="10031" max="10031" width="11.375" customWidth="1"/>
    <col min="10032" max="10032" width="9.875" customWidth="1"/>
    <col min="10033" max="10033" width="10.75" customWidth="1"/>
    <col min="10034" max="10034" width="10.125" bestFit="1" customWidth="1"/>
    <col min="10035" max="10035" width="12.5" customWidth="1"/>
    <col min="10036" max="10036" width="10.625" customWidth="1"/>
    <col min="10039" max="10039" width="15.75" customWidth="1"/>
    <col min="10040" max="10040" width="10" customWidth="1"/>
    <col min="10043" max="10043" width="8.875" customWidth="1"/>
    <col min="10044" max="10044" width="9.625" bestFit="1" customWidth="1"/>
    <col min="10045" max="10045" width="9.375" customWidth="1"/>
    <col min="10047" max="10047" width="7.25" customWidth="1"/>
    <col min="10048" max="10048" width="0" hidden="1" customWidth="1"/>
    <col min="10050" max="10050" width="9.375" customWidth="1"/>
    <col min="10051" max="10051" width="10.375" customWidth="1"/>
    <col min="10052" max="10052" width="15.875" customWidth="1"/>
    <col min="10054" max="10054" width="6.75" customWidth="1"/>
    <col min="10241" max="10241" width="0.375" customWidth="1"/>
    <col min="10242" max="10242" width="17.25" customWidth="1"/>
    <col min="10243" max="10243" width="13.375" customWidth="1"/>
    <col min="10244" max="10244" width="9.625" customWidth="1"/>
    <col min="10245" max="10245" width="13.375" customWidth="1"/>
    <col min="10246" max="10246" width="8.625" customWidth="1"/>
    <col min="10247" max="10247" width="15.625" customWidth="1"/>
    <col min="10248" max="10248" width="16.125" customWidth="1"/>
    <col min="10249" max="10249" width="12.5" customWidth="1"/>
    <col min="10250" max="10250" width="12.125" customWidth="1"/>
    <col min="10251" max="10251" width="18.125" customWidth="1"/>
    <col min="10252" max="10252" width="16.25" customWidth="1"/>
    <col min="10253" max="10254" width="12.875" customWidth="1"/>
    <col min="10255" max="10255" width="11.375" customWidth="1"/>
    <col min="10256" max="10256" width="11.75" customWidth="1"/>
    <col min="10257" max="10257" width="10.875" customWidth="1"/>
    <col min="10258" max="10258" width="16" customWidth="1"/>
    <col min="10259" max="10259" width="14.125" customWidth="1"/>
    <col min="10260" max="10260" width="11.75" customWidth="1"/>
    <col min="10261" max="10261" width="13.375" customWidth="1"/>
    <col min="10262" max="10262" width="21.625" customWidth="1"/>
    <col min="10263" max="10263" width="16.125" customWidth="1"/>
    <col min="10264" max="10265" width="14" customWidth="1"/>
    <col min="10266" max="10266" width="9.625" customWidth="1"/>
    <col min="10267" max="10267" width="10.75" customWidth="1"/>
    <col min="10268" max="10268" width="9.625" customWidth="1"/>
    <col min="10269" max="10269" width="9.25" customWidth="1"/>
    <col min="10270" max="10270" width="9.375" customWidth="1"/>
    <col min="10271" max="10272" width="13.25" customWidth="1"/>
    <col min="10273" max="10273" width="8.25" bestFit="1" customWidth="1"/>
    <col min="10274" max="10274" width="10" customWidth="1"/>
    <col min="10276" max="10276" width="9.75" customWidth="1"/>
    <col min="10277" max="10277" width="9.375" customWidth="1"/>
    <col min="10278" max="10278" width="10.5" bestFit="1" customWidth="1"/>
    <col min="10285" max="10285" width="9.625" customWidth="1"/>
    <col min="10286" max="10286" width="14.75" customWidth="1"/>
    <col min="10287" max="10287" width="11.375" customWidth="1"/>
    <col min="10288" max="10288" width="9.875" customWidth="1"/>
    <col min="10289" max="10289" width="10.75" customWidth="1"/>
    <col min="10290" max="10290" width="10.125" bestFit="1" customWidth="1"/>
    <col min="10291" max="10291" width="12.5" customWidth="1"/>
    <col min="10292" max="10292" width="10.625" customWidth="1"/>
    <col min="10295" max="10295" width="15.75" customWidth="1"/>
    <col min="10296" max="10296" width="10" customWidth="1"/>
    <col min="10299" max="10299" width="8.875" customWidth="1"/>
    <col min="10300" max="10300" width="9.625" bestFit="1" customWidth="1"/>
    <col min="10301" max="10301" width="9.375" customWidth="1"/>
    <col min="10303" max="10303" width="7.25" customWidth="1"/>
    <col min="10304" max="10304" width="0" hidden="1" customWidth="1"/>
    <col min="10306" max="10306" width="9.375" customWidth="1"/>
    <col min="10307" max="10307" width="10.375" customWidth="1"/>
    <col min="10308" max="10308" width="15.875" customWidth="1"/>
    <col min="10310" max="10310" width="6.75" customWidth="1"/>
    <col min="10497" max="10497" width="0.375" customWidth="1"/>
    <col min="10498" max="10498" width="17.25" customWidth="1"/>
    <col min="10499" max="10499" width="13.375" customWidth="1"/>
    <col min="10500" max="10500" width="9.625" customWidth="1"/>
    <col min="10501" max="10501" width="13.375" customWidth="1"/>
    <col min="10502" max="10502" width="8.625" customWidth="1"/>
    <col min="10503" max="10503" width="15.625" customWidth="1"/>
    <col min="10504" max="10504" width="16.125" customWidth="1"/>
    <col min="10505" max="10505" width="12.5" customWidth="1"/>
    <col min="10506" max="10506" width="12.125" customWidth="1"/>
    <col min="10507" max="10507" width="18.125" customWidth="1"/>
    <col min="10508" max="10508" width="16.25" customWidth="1"/>
    <col min="10509" max="10510" width="12.875" customWidth="1"/>
    <col min="10511" max="10511" width="11.375" customWidth="1"/>
    <col min="10512" max="10512" width="11.75" customWidth="1"/>
    <col min="10513" max="10513" width="10.875" customWidth="1"/>
    <col min="10514" max="10514" width="16" customWidth="1"/>
    <col min="10515" max="10515" width="14.125" customWidth="1"/>
    <col min="10516" max="10516" width="11.75" customWidth="1"/>
    <col min="10517" max="10517" width="13.375" customWidth="1"/>
    <col min="10518" max="10518" width="21.625" customWidth="1"/>
    <col min="10519" max="10519" width="16.125" customWidth="1"/>
    <col min="10520" max="10521" width="14" customWidth="1"/>
    <col min="10522" max="10522" width="9.625" customWidth="1"/>
    <col min="10523" max="10523" width="10.75" customWidth="1"/>
    <col min="10524" max="10524" width="9.625" customWidth="1"/>
    <col min="10525" max="10525" width="9.25" customWidth="1"/>
    <col min="10526" max="10526" width="9.375" customWidth="1"/>
    <col min="10527" max="10528" width="13.25" customWidth="1"/>
    <col min="10529" max="10529" width="8.25" bestFit="1" customWidth="1"/>
    <col min="10530" max="10530" width="10" customWidth="1"/>
    <col min="10532" max="10532" width="9.75" customWidth="1"/>
    <col min="10533" max="10533" width="9.375" customWidth="1"/>
    <col min="10534" max="10534" width="10.5" bestFit="1" customWidth="1"/>
    <col min="10541" max="10541" width="9.625" customWidth="1"/>
    <col min="10542" max="10542" width="14.75" customWidth="1"/>
    <col min="10543" max="10543" width="11.375" customWidth="1"/>
    <col min="10544" max="10544" width="9.875" customWidth="1"/>
    <col min="10545" max="10545" width="10.75" customWidth="1"/>
    <col min="10546" max="10546" width="10.125" bestFit="1" customWidth="1"/>
    <col min="10547" max="10547" width="12.5" customWidth="1"/>
    <col min="10548" max="10548" width="10.625" customWidth="1"/>
    <col min="10551" max="10551" width="15.75" customWidth="1"/>
    <col min="10552" max="10552" width="10" customWidth="1"/>
    <col min="10555" max="10555" width="8.875" customWidth="1"/>
    <col min="10556" max="10556" width="9.625" bestFit="1" customWidth="1"/>
    <col min="10557" max="10557" width="9.375" customWidth="1"/>
    <col min="10559" max="10559" width="7.25" customWidth="1"/>
    <col min="10560" max="10560" width="0" hidden="1" customWidth="1"/>
    <col min="10562" max="10562" width="9.375" customWidth="1"/>
    <col min="10563" max="10563" width="10.375" customWidth="1"/>
    <col min="10564" max="10564" width="15.875" customWidth="1"/>
    <col min="10566" max="10566" width="6.75" customWidth="1"/>
    <col min="10753" max="10753" width="0.375" customWidth="1"/>
    <col min="10754" max="10754" width="17.25" customWidth="1"/>
    <col min="10755" max="10755" width="13.375" customWidth="1"/>
    <col min="10756" max="10756" width="9.625" customWidth="1"/>
    <col min="10757" max="10757" width="13.375" customWidth="1"/>
    <col min="10758" max="10758" width="8.625" customWidth="1"/>
    <col min="10759" max="10759" width="15.625" customWidth="1"/>
    <col min="10760" max="10760" width="16.125" customWidth="1"/>
    <col min="10761" max="10761" width="12.5" customWidth="1"/>
    <col min="10762" max="10762" width="12.125" customWidth="1"/>
    <col min="10763" max="10763" width="18.125" customWidth="1"/>
    <col min="10764" max="10764" width="16.25" customWidth="1"/>
    <col min="10765" max="10766" width="12.875" customWidth="1"/>
    <col min="10767" max="10767" width="11.375" customWidth="1"/>
    <col min="10768" max="10768" width="11.75" customWidth="1"/>
    <col min="10769" max="10769" width="10.875" customWidth="1"/>
    <col min="10770" max="10770" width="16" customWidth="1"/>
    <col min="10771" max="10771" width="14.125" customWidth="1"/>
    <col min="10772" max="10772" width="11.75" customWidth="1"/>
    <col min="10773" max="10773" width="13.375" customWidth="1"/>
    <col min="10774" max="10774" width="21.625" customWidth="1"/>
    <col min="10775" max="10775" width="16.125" customWidth="1"/>
    <col min="10776" max="10777" width="14" customWidth="1"/>
    <col min="10778" max="10778" width="9.625" customWidth="1"/>
    <col min="10779" max="10779" width="10.75" customWidth="1"/>
    <col min="10780" max="10780" width="9.625" customWidth="1"/>
    <col min="10781" max="10781" width="9.25" customWidth="1"/>
    <col min="10782" max="10782" width="9.375" customWidth="1"/>
    <col min="10783" max="10784" width="13.25" customWidth="1"/>
    <col min="10785" max="10785" width="8.25" bestFit="1" customWidth="1"/>
    <col min="10786" max="10786" width="10" customWidth="1"/>
    <col min="10788" max="10788" width="9.75" customWidth="1"/>
    <col min="10789" max="10789" width="9.375" customWidth="1"/>
    <col min="10790" max="10790" width="10.5" bestFit="1" customWidth="1"/>
    <col min="10797" max="10797" width="9.625" customWidth="1"/>
    <col min="10798" max="10798" width="14.75" customWidth="1"/>
    <col min="10799" max="10799" width="11.375" customWidth="1"/>
    <col min="10800" max="10800" width="9.875" customWidth="1"/>
    <col min="10801" max="10801" width="10.75" customWidth="1"/>
    <col min="10802" max="10802" width="10.125" bestFit="1" customWidth="1"/>
    <col min="10803" max="10803" width="12.5" customWidth="1"/>
    <col min="10804" max="10804" width="10.625" customWidth="1"/>
    <col min="10807" max="10807" width="15.75" customWidth="1"/>
    <col min="10808" max="10808" width="10" customWidth="1"/>
    <col min="10811" max="10811" width="8.875" customWidth="1"/>
    <col min="10812" max="10812" width="9.625" bestFit="1" customWidth="1"/>
    <col min="10813" max="10813" width="9.375" customWidth="1"/>
    <col min="10815" max="10815" width="7.25" customWidth="1"/>
    <col min="10816" max="10816" width="0" hidden="1" customWidth="1"/>
    <col min="10818" max="10818" width="9.375" customWidth="1"/>
    <col min="10819" max="10819" width="10.375" customWidth="1"/>
    <col min="10820" max="10820" width="15.875" customWidth="1"/>
    <col min="10822" max="10822" width="6.75" customWidth="1"/>
    <col min="11009" max="11009" width="0.375" customWidth="1"/>
    <col min="11010" max="11010" width="17.25" customWidth="1"/>
    <col min="11011" max="11011" width="13.375" customWidth="1"/>
    <col min="11012" max="11012" width="9.625" customWidth="1"/>
    <col min="11013" max="11013" width="13.375" customWidth="1"/>
    <col min="11014" max="11014" width="8.625" customWidth="1"/>
    <col min="11015" max="11015" width="15.625" customWidth="1"/>
    <col min="11016" max="11016" width="16.125" customWidth="1"/>
    <col min="11017" max="11017" width="12.5" customWidth="1"/>
    <col min="11018" max="11018" width="12.125" customWidth="1"/>
    <col min="11019" max="11019" width="18.125" customWidth="1"/>
    <col min="11020" max="11020" width="16.25" customWidth="1"/>
    <col min="11021" max="11022" width="12.875" customWidth="1"/>
    <col min="11023" max="11023" width="11.375" customWidth="1"/>
    <col min="11024" max="11024" width="11.75" customWidth="1"/>
    <col min="11025" max="11025" width="10.875" customWidth="1"/>
    <col min="11026" max="11026" width="16" customWidth="1"/>
    <col min="11027" max="11027" width="14.125" customWidth="1"/>
    <col min="11028" max="11028" width="11.75" customWidth="1"/>
    <col min="11029" max="11029" width="13.375" customWidth="1"/>
    <col min="11030" max="11030" width="21.625" customWidth="1"/>
    <col min="11031" max="11031" width="16.125" customWidth="1"/>
    <col min="11032" max="11033" width="14" customWidth="1"/>
    <col min="11034" max="11034" width="9.625" customWidth="1"/>
    <col min="11035" max="11035" width="10.75" customWidth="1"/>
    <col min="11036" max="11036" width="9.625" customWidth="1"/>
    <col min="11037" max="11037" width="9.25" customWidth="1"/>
    <col min="11038" max="11038" width="9.375" customWidth="1"/>
    <col min="11039" max="11040" width="13.25" customWidth="1"/>
    <col min="11041" max="11041" width="8.25" bestFit="1" customWidth="1"/>
    <col min="11042" max="11042" width="10" customWidth="1"/>
    <col min="11044" max="11044" width="9.75" customWidth="1"/>
    <col min="11045" max="11045" width="9.375" customWidth="1"/>
    <col min="11046" max="11046" width="10.5" bestFit="1" customWidth="1"/>
    <col min="11053" max="11053" width="9.625" customWidth="1"/>
    <col min="11054" max="11054" width="14.75" customWidth="1"/>
    <col min="11055" max="11055" width="11.375" customWidth="1"/>
    <col min="11056" max="11056" width="9.875" customWidth="1"/>
    <col min="11057" max="11057" width="10.75" customWidth="1"/>
    <col min="11058" max="11058" width="10.125" bestFit="1" customWidth="1"/>
    <col min="11059" max="11059" width="12.5" customWidth="1"/>
    <col min="11060" max="11060" width="10.625" customWidth="1"/>
    <col min="11063" max="11063" width="15.75" customWidth="1"/>
    <col min="11064" max="11064" width="10" customWidth="1"/>
    <col min="11067" max="11067" width="8.875" customWidth="1"/>
    <col min="11068" max="11068" width="9.625" bestFit="1" customWidth="1"/>
    <col min="11069" max="11069" width="9.375" customWidth="1"/>
    <col min="11071" max="11071" width="7.25" customWidth="1"/>
    <col min="11072" max="11072" width="0" hidden="1" customWidth="1"/>
    <col min="11074" max="11074" width="9.375" customWidth="1"/>
    <col min="11075" max="11075" width="10.375" customWidth="1"/>
    <col min="11076" max="11076" width="15.875" customWidth="1"/>
    <col min="11078" max="11078" width="6.75" customWidth="1"/>
    <col min="11265" max="11265" width="0.375" customWidth="1"/>
    <col min="11266" max="11266" width="17.25" customWidth="1"/>
    <col min="11267" max="11267" width="13.375" customWidth="1"/>
    <col min="11268" max="11268" width="9.625" customWidth="1"/>
    <col min="11269" max="11269" width="13.375" customWidth="1"/>
    <col min="11270" max="11270" width="8.625" customWidth="1"/>
    <col min="11271" max="11271" width="15.625" customWidth="1"/>
    <col min="11272" max="11272" width="16.125" customWidth="1"/>
    <col min="11273" max="11273" width="12.5" customWidth="1"/>
    <col min="11274" max="11274" width="12.125" customWidth="1"/>
    <col min="11275" max="11275" width="18.125" customWidth="1"/>
    <col min="11276" max="11276" width="16.25" customWidth="1"/>
    <col min="11277" max="11278" width="12.875" customWidth="1"/>
    <col min="11279" max="11279" width="11.375" customWidth="1"/>
    <col min="11280" max="11280" width="11.75" customWidth="1"/>
    <col min="11281" max="11281" width="10.875" customWidth="1"/>
    <col min="11282" max="11282" width="16" customWidth="1"/>
    <col min="11283" max="11283" width="14.125" customWidth="1"/>
    <col min="11284" max="11284" width="11.75" customWidth="1"/>
    <col min="11285" max="11285" width="13.375" customWidth="1"/>
    <col min="11286" max="11286" width="21.625" customWidth="1"/>
    <col min="11287" max="11287" width="16.125" customWidth="1"/>
    <col min="11288" max="11289" width="14" customWidth="1"/>
    <col min="11290" max="11290" width="9.625" customWidth="1"/>
    <col min="11291" max="11291" width="10.75" customWidth="1"/>
    <col min="11292" max="11292" width="9.625" customWidth="1"/>
    <col min="11293" max="11293" width="9.25" customWidth="1"/>
    <col min="11294" max="11294" width="9.375" customWidth="1"/>
    <col min="11295" max="11296" width="13.25" customWidth="1"/>
    <col min="11297" max="11297" width="8.25" bestFit="1" customWidth="1"/>
    <col min="11298" max="11298" width="10" customWidth="1"/>
    <col min="11300" max="11300" width="9.75" customWidth="1"/>
    <col min="11301" max="11301" width="9.375" customWidth="1"/>
    <col min="11302" max="11302" width="10.5" bestFit="1" customWidth="1"/>
    <col min="11309" max="11309" width="9.625" customWidth="1"/>
    <col min="11310" max="11310" width="14.75" customWidth="1"/>
    <col min="11311" max="11311" width="11.375" customWidth="1"/>
    <col min="11312" max="11312" width="9.875" customWidth="1"/>
    <col min="11313" max="11313" width="10.75" customWidth="1"/>
    <col min="11314" max="11314" width="10.125" bestFit="1" customWidth="1"/>
    <col min="11315" max="11315" width="12.5" customWidth="1"/>
    <col min="11316" max="11316" width="10.625" customWidth="1"/>
    <col min="11319" max="11319" width="15.75" customWidth="1"/>
    <col min="11320" max="11320" width="10" customWidth="1"/>
    <col min="11323" max="11323" width="8.875" customWidth="1"/>
    <col min="11324" max="11324" width="9.625" bestFit="1" customWidth="1"/>
    <col min="11325" max="11325" width="9.375" customWidth="1"/>
    <col min="11327" max="11327" width="7.25" customWidth="1"/>
    <col min="11328" max="11328" width="0" hidden="1" customWidth="1"/>
    <col min="11330" max="11330" width="9.375" customWidth="1"/>
    <col min="11331" max="11331" width="10.375" customWidth="1"/>
    <col min="11332" max="11332" width="15.875" customWidth="1"/>
    <col min="11334" max="11334" width="6.75" customWidth="1"/>
    <col min="11521" max="11521" width="0.375" customWidth="1"/>
    <col min="11522" max="11522" width="17.25" customWidth="1"/>
    <col min="11523" max="11523" width="13.375" customWidth="1"/>
    <col min="11524" max="11524" width="9.625" customWidth="1"/>
    <col min="11525" max="11525" width="13.375" customWidth="1"/>
    <col min="11526" max="11526" width="8.625" customWidth="1"/>
    <col min="11527" max="11527" width="15.625" customWidth="1"/>
    <col min="11528" max="11528" width="16.125" customWidth="1"/>
    <col min="11529" max="11529" width="12.5" customWidth="1"/>
    <col min="11530" max="11530" width="12.125" customWidth="1"/>
    <col min="11531" max="11531" width="18.125" customWidth="1"/>
    <col min="11532" max="11532" width="16.25" customWidth="1"/>
    <col min="11533" max="11534" width="12.875" customWidth="1"/>
    <col min="11535" max="11535" width="11.375" customWidth="1"/>
    <col min="11536" max="11536" width="11.75" customWidth="1"/>
    <col min="11537" max="11537" width="10.875" customWidth="1"/>
    <col min="11538" max="11538" width="16" customWidth="1"/>
    <col min="11539" max="11539" width="14.125" customWidth="1"/>
    <col min="11540" max="11540" width="11.75" customWidth="1"/>
    <col min="11541" max="11541" width="13.375" customWidth="1"/>
    <col min="11542" max="11542" width="21.625" customWidth="1"/>
    <col min="11543" max="11543" width="16.125" customWidth="1"/>
    <col min="11544" max="11545" width="14" customWidth="1"/>
    <col min="11546" max="11546" width="9.625" customWidth="1"/>
    <col min="11547" max="11547" width="10.75" customWidth="1"/>
    <col min="11548" max="11548" width="9.625" customWidth="1"/>
    <col min="11549" max="11549" width="9.25" customWidth="1"/>
    <col min="11550" max="11550" width="9.375" customWidth="1"/>
    <col min="11551" max="11552" width="13.25" customWidth="1"/>
    <col min="11553" max="11553" width="8.25" bestFit="1" customWidth="1"/>
    <col min="11554" max="11554" width="10" customWidth="1"/>
    <col min="11556" max="11556" width="9.75" customWidth="1"/>
    <col min="11557" max="11557" width="9.375" customWidth="1"/>
    <col min="11558" max="11558" width="10.5" bestFit="1" customWidth="1"/>
    <col min="11565" max="11565" width="9.625" customWidth="1"/>
    <col min="11566" max="11566" width="14.75" customWidth="1"/>
    <col min="11567" max="11567" width="11.375" customWidth="1"/>
    <col min="11568" max="11568" width="9.875" customWidth="1"/>
    <col min="11569" max="11569" width="10.75" customWidth="1"/>
    <col min="11570" max="11570" width="10.125" bestFit="1" customWidth="1"/>
    <col min="11571" max="11571" width="12.5" customWidth="1"/>
    <col min="11572" max="11572" width="10.625" customWidth="1"/>
    <col min="11575" max="11575" width="15.75" customWidth="1"/>
    <col min="11576" max="11576" width="10" customWidth="1"/>
    <col min="11579" max="11579" width="8.875" customWidth="1"/>
    <col min="11580" max="11580" width="9.625" bestFit="1" customWidth="1"/>
    <col min="11581" max="11581" width="9.375" customWidth="1"/>
    <col min="11583" max="11583" width="7.25" customWidth="1"/>
    <col min="11584" max="11584" width="0" hidden="1" customWidth="1"/>
    <col min="11586" max="11586" width="9.375" customWidth="1"/>
    <col min="11587" max="11587" width="10.375" customWidth="1"/>
    <col min="11588" max="11588" width="15.875" customWidth="1"/>
    <col min="11590" max="11590" width="6.75" customWidth="1"/>
    <col min="11777" max="11777" width="0.375" customWidth="1"/>
    <col min="11778" max="11778" width="17.25" customWidth="1"/>
    <col min="11779" max="11779" width="13.375" customWidth="1"/>
    <col min="11780" max="11780" width="9.625" customWidth="1"/>
    <col min="11781" max="11781" width="13.375" customWidth="1"/>
    <col min="11782" max="11782" width="8.625" customWidth="1"/>
    <col min="11783" max="11783" width="15.625" customWidth="1"/>
    <col min="11784" max="11784" width="16.125" customWidth="1"/>
    <col min="11785" max="11785" width="12.5" customWidth="1"/>
    <col min="11786" max="11786" width="12.125" customWidth="1"/>
    <col min="11787" max="11787" width="18.125" customWidth="1"/>
    <col min="11788" max="11788" width="16.25" customWidth="1"/>
    <col min="11789" max="11790" width="12.875" customWidth="1"/>
    <col min="11791" max="11791" width="11.375" customWidth="1"/>
    <col min="11792" max="11792" width="11.75" customWidth="1"/>
    <col min="11793" max="11793" width="10.875" customWidth="1"/>
    <col min="11794" max="11794" width="16" customWidth="1"/>
    <col min="11795" max="11795" width="14.125" customWidth="1"/>
    <col min="11796" max="11796" width="11.75" customWidth="1"/>
    <col min="11797" max="11797" width="13.375" customWidth="1"/>
    <col min="11798" max="11798" width="21.625" customWidth="1"/>
    <col min="11799" max="11799" width="16.125" customWidth="1"/>
    <col min="11800" max="11801" width="14" customWidth="1"/>
    <col min="11802" max="11802" width="9.625" customWidth="1"/>
    <col min="11803" max="11803" width="10.75" customWidth="1"/>
    <col min="11804" max="11804" width="9.625" customWidth="1"/>
    <col min="11805" max="11805" width="9.25" customWidth="1"/>
    <col min="11806" max="11806" width="9.375" customWidth="1"/>
    <col min="11807" max="11808" width="13.25" customWidth="1"/>
    <col min="11809" max="11809" width="8.25" bestFit="1" customWidth="1"/>
    <col min="11810" max="11810" width="10" customWidth="1"/>
    <col min="11812" max="11812" width="9.75" customWidth="1"/>
    <col min="11813" max="11813" width="9.375" customWidth="1"/>
    <col min="11814" max="11814" width="10.5" bestFit="1" customWidth="1"/>
    <col min="11821" max="11821" width="9.625" customWidth="1"/>
    <col min="11822" max="11822" width="14.75" customWidth="1"/>
    <col min="11823" max="11823" width="11.375" customWidth="1"/>
    <col min="11824" max="11824" width="9.875" customWidth="1"/>
    <col min="11825" max="11825" width="10.75" customWidth="1"/>
    <col min="11826" max="11826" width="10.125" bestFit="1" customWidth="1"/>
    <col min="11827" max="11827" width="12.5" customWidth="1"/>
    <col min="11828" max="11828" width="10.625" customWidth="1"/>
    <col min="11831" max="11831" width="15.75" customWidth="1"/>
    <col min="11832" max="11832" width="10" customWidth="1"/>
    <col min="11835" max="11835" width="8.875" customWidth="1"/>
    <col min="11836" max="11836" width="9.625" bestFit="1" customWidth="1"/>
    <col min="11837" max="11837" width="9.375" customWidth="1"/>
    <col min="11839" max="11839" width="7.25" customWidth="1"/>
    <col min="11840" max="11840" width="0" hidden="1" customWidth="1"/>
    <col min="11842" max="11842" width="9.375" customWidth="1"/>
    <col min="11843" max="11843" width="10.375" customWidth="1"/>
    <col min="11844" max="11844" width="15.875" customWidth="1"/>
    <col min="11846" max="11846" width="6.75" customWidth="1"/>
    <col min="12033" max="12033" width="0.375" customWidth="1"/>
    <col min="12034" max="12034" width="17.25" customWidth="1"/>
    <col min="12035" max="12035" width="13.375" customWidth="1"/>
    <col min="12036" max="12036" width="9.625" customWidth="1"/>
    <col min="12037" max="12037" width="13.375" customWidth="1"/>
    <col min="12038" max="12038" width="8.625" customWidth="1"/>
    <col min="12039" max="12039" width="15.625" customWidth="1"/>
    <col min="12040" max="12040" width="16.125" customWidth="1"/>
    <col min="12041" max="12041" width="12.5" customWidth="1"/>
    <col min="12042" max="12042" width="12.125" customWidth="1"/>
    <col min="12043" max="12043" width="18.125" customWidth="1"/>
    <col min="12044" max="12044" width="16.25" customWidth="1"/>
    <col min="12045" max="12046" width="12.875" customWidth="1"/>
    <col min="12047" max="12047" width="11.375" customWidth="1"/>
    <col min="12048" max="12048" width="11.75" customWidth="1"/>
    <col min="12049" max="12049" width="10.875" customWidth="1"/>
    <col min="12050" max="12050" width="16" customWidth="1"/>
    <col min="12051" max="12051" width="14.125" customWidth="1"/>
    <col min="12052" max="12052" width="11.75" customWidth="1"/>
    <col min="12053" max="12053" width="13.375" customWidth="1"/>
    <col min="12054" max="12054" width="21.625" customWidth="1"/>
    <col min="12055" max="12055" width="16.125" customWidth="1"/>
    <col min="12056" max="12057" width="14" customWidth="1"/>
    <col min="12058" max="12058" width="9.625" customWidth="1"/>
    <col min="12059" max="12059" width="10.75" customWidth="1"/>
    <col min="12060" max="12060" width="9.625" customWidth="1"/>
    <col min="12061" max="12061" width="9.25" customWidth="1"/>
    <col min="12062" max="12062" width="9.375" customWidth="1"/>
    <col min="12063" max="12064" width="13.25" customWidth="1"/>
    <col min="12065" max="12065" width="8.25" bestFit="1" customWidth="1"/>
    <col min="12066" max="12066" width="10" customWidth="1"/>
    <col min="12068" max="12068" width="9.75" customWidth="1"/>
    <col min="12069" max="12069" width="9.375" customWidth="1"/>
    <col min="12070" max="12070" width="10.5" bestFit="1" customWidth="1"/>
    <col min="12077" max="12077" width="9.625" customWidth="1"/>
    <col min="12078" max="12078" width="14.75" customWidth="1"/>
    <col min="12079" max="12079" width="11.375" customWidth="1"/>
    <col min="12080" max="12080" width="9.875" customWidth="1"/>
    <col min="12081" max="12081" width="10.75" customWidth="1"/>
    <col min="12082" max="12082" width="10.125" bestFit="1" customWidth="1"/>
    <col min="12083" max="12083" width="12.5" customWidth="1"/>
    <col min="12084" max="12084" width="10.625" customWidth="1"/>
    <col min="12087" max="12087" width="15.75" customWidth="1"/>
    <col min="12088" max="12088" width="10" customWidth="1"/>
    <col min="12091" max="12091" width="8.875" customWidth="1"/>
    <col min="12092" max="12092" width="9.625" bestFit="1" customWidth="1"/>
    <col min="12093" max="12093" width="9.375" customWidth="1"/>
    <col min="12095" max="12095" width="7.25" customWidth="1"/>
    <col min="12096" max="12096" width="0" hidden="1" customWidth="1"/>
    <col min="12098" max="12098" width="9.375" customWidth="1"/>
    <col min="12099" max="12099" width="10.375" customWidth="1"/>
    <col min="12100" max="12100" width="15.875" customWidth="1"/>
    <col min="12102" max="12102" width="6.75" customWidth="1"/>
    <col min="12289" max="12289" width="0.375" customWidth="1"/>
    <col min="12290" max="12290" width="17.25" customWidth="1"/>
    <col min="12291" max="12291" width="13.375" customWidth="1"/>
    <col min="12292" max="12292" width="9.625" customWidth="1"/>
    <col min="12293" max="12293" width="13.375" customWidth="1"/>
    <col min="12294" max="12294" width="8.625" customWidth="1"/>
    <col min="12295" max="12295" width="15.625" customWidth="1"/>
    <col min="12296" max="12296" width="16.125" customWidth="1"/>
    <col min="12297" max="12297" width="12.5" customWidth="1"/>
    <col min="12298" max="12298" width="12.125" customWidth="1"/>
    <col min="12299" max="12299" width="18.125" customWidth="1"/>
    <col min="12300" max="12300" width="16.25" customWidth="1"/>
    <col min="12301" max="12302" width="12.875" customWidth="1"/>
    <col min="12303" max="12303" width="11.375" customWidth="1"/>
    <col min="12304" max="12304" width="11.75" customWidth="1"/>
    <col min="12305" max="12305" width="10.875" customWidth="1"/>
    <col min="12306" max="12306" width="16" customWidth="1"/>
    <col min="12307" max="12307" width="14.125" customWidth="1"/>
    <col min="12308" max="12308" width="11.75" customWidth="1"/>
    <col min="12309" max="12309" width="13.375" customWidth="1"/>
    <col min="12310" max="12310" width="21.625" customWidth="1"/>
    <col min="12311" max="12311" width="16.125" customWidth="1"/>
    <col min="12312" max="12313" width="14" customWidth="1"/>
    <col min="12314" max="12314" width="9.625" customWidth="1"/>
    <col min="12315" max="12315" width="10.75" customWidth="1"/>
    <col min="12316" max="12316" width="9.625" customWidth="1"/>
    <col min="12317" max="12317" width="9.25" customWidth="1"/>
    <col min="12318" max="12318" width="9.375" customWidth="1"/>
    <col min="12319" max="12320" width="13.25" customWidth="1"/>
    <col min="12321" max="12321" width="8.25" bestFit="1" customWidth="1"/>
    <col min="12322" max="12322" width="10" customWidth="1"/>
    <col min="12324" max="12324" width="9.75" customWidth="1"/>
    <col min="12325" max="12325" width="9.375" customWidth="1"/>
    <col min="12326" max="12326" width="10.5" bestFit="1" customWidth="1"/>
    <col min="12333" max="12333" width="9.625" customWidth="1"/>
    <col min="12334" max="12334" width="14.75" customWidth="1"/>
    <col min="12335" max="12335" width="11.375" customWidth="1"/>
    <col min="12336" max="12336" width="9.875" customWidth="1"/>
    <col min="12337" max="12337" width="10.75" customWidth="1"/>
    <col min="12338" max="12338" width="10.125" bestFit="1" customWidth="1"/>
    <col min="12339" max="12339" width="12.5" customWidth="1"/>
    <col min="12340" max="12340" width="10.625" customWidth="1"/>
    <col min="12343" max="12343" width="15.75" customWidth="1"/>
    <col min="12344" max="12344" width="10" customWidth="1"/>
    <col min="12347" max="12347" width="8.875" customWidth="1"/>
    <col min="12348" max="12348" width="9.625" bestFit="1" customWidth="1"/>
    <col min="12349" max="12349" width="9.375" customWidth="1"/>
    <col min="12351" max="12351" width="7.25" customWidth="1"/>
    <col min="12352" max="12352" width="0" hidden="1" customWidth="1"/>
    <col min="12354" max="12354" width="9.375" customWidth="1"/>
    <col min="12355" max="12355" width="10.375" customWidth="1"/>
    <col min="12356" max="12356" width="15.875" customWidth="1"/>
    <col min="12358" max="12358" width="6.75" customWidth="1"/>
    <col min="12545" max="12545" width="0.375" customWidth="1"/>
    <col min="12546" max="12546" width="17.25" customWidth="1"/>
    <col min="12547" max="12547" width="13.375" customWidth="1"/>
    <col min="12548" max="12548" width="9.625" customWidth="1"/>
    <col min="12549" max="12549" width="13.375" customWidth="1"/>
    <col min="12550" max="12550" width="8.625" customWidth="1"/>
    <col min="12551" max="12551" width="15.625" customWidth="1"/>
    <col min="12552" max="12552" width="16.125" customWidth="1"/>
    <col min="12553" max="12553" width="12.5" customWidth="1"/>
    <col min="12554" max="12554" width="12.125" customWidth="1"/>
    <col min="12555" max="12555" width="18.125" customWidth="1"/>
    <col min="12556" max="12556" width="16.25" customWidth="1"/>
    <col min="12557" max="12558" width="12.875" customWidth="1"/>
    <col min="12559" max="12559" width="11.375" customWidth="1"/>
    <col min="12560" max="12560" width="11.75" customWidth="1"/>
    <col min="12561" max="12561" width="10.875" customWidth="1"/>
    <col min="12562" max="12562" width="16" customWidth="1"/>
    <col min="12563" max="12563" width="14.125" customWidth="1"/>
    <col min="12564" max="12564" width="11.75" customWidth="1"/>
    <col min="12565" max="12565" width="13.375" customWidth="1"/>
    <col min="12566" max="12566" width="21.625" customWidth="1"/>
    <col min="12567" max="12567" width="16.125" customWidth="1"/>
    <col min="12568" max="12569" width="14" customWidth="1"/>
    <col min="12570" max="12570" width="9.625" customWidth="1"/>
    <col min="12571" max="12571" width="10.75" customWidth="1"/>
    <col min="12572" max="12572" width="9.625" customWidth="1"/>
    <col min="12573" max="12573" width="9.25" customWidth="1"/>
    <col min="12574" max="12574" width="9.375" customWidth="1"/>
    <col min="12575" max="12576" width="13.25" customWidth="1"/>
    <col min="12577" max="12577" width="8.25" bestFit="1" customWidth="1"/>
    <col min="12578" max="12578" width="10" customWidth="1"/>
    <col min="12580" max="12580" width="9.75" customWidth="1"/>
    <col min="12581" max="12581" width="9.375" customWidth="1"/>
    <col min="12582" max="12582" width="10.5" bestFit="1" customWidth="1"/>
    <col min="12589" max="12589" width="9.625" customWidth="1"/>
    <col min="12590" max="12590" width="14.75" customWidth="1"/>
    <col min="12591" max="12591" width="11.375" customWidth="1"/>
    <col min="12592" max="12592" width="9.875" customWidth="1"/>
    <col min="12593" max="12593" width="10.75" customWidth="1"/>
    <col min="12594" max="12594" width="10.125" bestFit="1" customWidth="1"/>
    <col min="12595" max="12595" width="12.5" customWidth="1"/>
    <col min="12596" max="12596" width="10.625" customWidth="1"/>
    <col min="12599" max="12599" width="15.75" customWidth="1"/>
    <col min="12600" max="12600" width="10" customWidth="1"/>
    <col min="12603" max="12603" width="8.875" customWidth="1"/>
    <col min="12604" max="12604" width="9.625" bestFit="1" customWidth="1"/>
    <col min="12605" max="12605" width="9.375" customWidth="1"/>
    <col min="12607" max="12607" width="7.25" customWidth="1"/>
    <col min="12608" max="12608" width="0" hidden="1" customWidth="1"/>
    <col min="12610" max="12610" width="9.375" customWidth="1"/>
    <col min="12611" max="12611" width="10.375" customWidth="1"/>
    <col min="12612" max="12612" width="15.875" customWidth="1"/>
    <col min="12614" max="12614" width="6.75" customWidth="1"/>
    <col min="12801" max="12801" width="0.375" customWidth="1"/>
    <col min="12802" max="12802" width="17.25" customWidth="1"/>
    <col min="12803" max="12803" width="13.375" customWidth="1"/>
    <col min="12804" max="12804" width="9.625" customWidth="1"/>
    <col min="12805" max="12805" width="13.375" customWidth="1"/>
    <col min="12806" max="12806" width="8.625" customWidth="1"/>
    <col min="12807" max="12807" width="15.625" customWidth="1"/>
    <col min="12808" max="12808" width="16.125" customWidth="1"/>
    <col min="12809" max="12809" width="12.5" customWidth="1"/>
    <col min="12810" max="12810" width="12.125" customWidth="1"/>
    <col min="12811" max="12811" width="18.125" customWidth="1"/>
    <col min="12812" max="12812" width="16.25" customWidth="1"/>
    <col min="12813" max="12814" width="12.875" customWidth="1"/>
    <col min="12815" max="12815" width="11.375" customWidth="1"/>
    <col min="12816" max="12816" width="11.75" customWidth="1"/>
    <col min="12817" max="12817" width="10.875" customWidth="1"/>
    <col min="12818" max="12818" width="16" customWidth="1"/>
    <col min="12819" max="12819" width="14.125" customWidth="1"/>
    <col min="12820" max="12820" width="11.75" customWidth="1"/>
    <col min="12821" max="12821" width="13.375" customWidth="1"/>
    <col min="12822" max="12822" width="21.625" customWidth="1"/>
    <col min="12823" max="12823" width="16.125" customWidth="1"/>
    <col min="12824" max="12825" width="14" customWidth="1"/>
    <col min="12826" max="12826" width="9.625" customWidth="1"/>
    <col min="12827" max="12827" width="10.75" customWidth="1"/>
    <col min="12828" max="12828" width="9.625" customWidth="1"/>
    <col min="12829" max="12829" width="9.25" customWidth="1"/>
    <col min="12830" max="12830" width="9.375" customWidth="1"/>
    <col min="12831" max="12832" width="13.25" customWidth="1"/>
    <col min="12833" max="12833" width="8.25" bestFit="1" customWidth="1"/>
    <col min="12834" max="12834" width="10" customWidth="1"/>
    <col min="12836" max="12836" width="9.75" customWidth="1"/>
    <col min="12837" max="12837" width="9.375" customWidth="1"/>
    <col min="12838" max="12838" width="10.5" bestFit="1" customWidth="1"/>
    <col min="12845" max="12845" width="9.625" customWidth="1"/>
    <col min="12846" max="12846" width="14.75" customWidth="1"/>
    <col min="12847" max="12847" width="11.375" customWidth="1"/>
    <col min="12848" max="12848" width="9.875" customWidth="1"/>
    <col min="12849" max="12849" width="10.75" customWidth="1"/>
    <col min="12850" max="12850" width="10.125" bestFit="1" customWidth="1"/>
    <col min="12851" max="12851" width="12.5" customWidth="1"/>
    <col min="12852" max="12852" width="10.625" customWidth="1"/>
    <col min="12855" max="12855" width="15.75" customWidth="1"/>
    <col min="12856" max="12856" width="10" customWidth="1"/>
    <col min="12859" max="12859" width="8.875" customWidth="1"/>
    <col min="12860" max="12860" width="9.625" bestFit="1" customWidth="1"/>
    <col min="12861" max="12861" width="9.375" customWidth="1"/>
    <col min="12863" max="12863" width="7.25" customWidth="1"/>
    <col min="12864" max="12864" width="0" hidden="1" customWidth="1"/>
    <col min="12866" max="12866" width="9.375" customWidth="1"/>
    <col min="12867" max="12867" width="10.375" customWidth="1"/>
    <col min="12868" max="12868" width="15.875" customWidth="1"/>
    <col min="12870" max="12870" width="6.75" customWidth="1"/>
    <col min="13057" max="13057" width="0.375" customWidth="1"/>
    <col min="13058" max="13058" width="17.25" customWidth="1"/>
    <col min="13059" max="13059" width="13.375" customWidth="1"/>
    <col min="13060" max="13060" width="9.625" customWidth="1"/>
    <col min="13061" max="13061" width="13.375" customWidth="1"/>
    <col min="13062" max="13062" width="8.625" customWidth="1"/>
    <col min="13063" max="13063" width="15.625" customWidth="1"/>
    <col min="13064" max="13064" width="16.125" customWidth="1"/>
    <col min="13065" max="13065" width="12.5" customWidth="1"/>
    <col min="13066" max="13066" width="12.125" customWidth="1"/>
    <col min="13067" max="13067" width="18.125" customWidth="1"/>
    <col min="13068" max="13068" width="16.25" customWidth="1"/>
    <col min="13069" max="13070" width="12.875" customWidth="1"/>
    <col min="13071" max="13071" width="11.375" customWidth="1"/>
    <col min="13072" max="13072" width="11.75" customWidth="1"/>
    <col min="13073" max="13073" width="10.875" customWidth="1"/>
    <col min="13074" max="13074" width="16" customWidth="1"/>
    <col min="13075" max="13075" width="14.125" customWidth="1"/>
    <col min="13076" max="13076" width="11.75" customWidth="1"/>
    <col min="13077" max="13077" width="13.375" customWidth="1"/>
    <col min="13078" max="13078" width="21.625" customWidth="1"/>
    <col min="13079" max="13079" width="16.125" customWidth="1"/>
    <col min="13080" max="13081" width="14" customWidth="1"/>
    <col min="13082" max="13082" width="9.625" customWidth="1"/>
    <col min="13083" max="13083" width="10.75" customWidth="1"/>
    <col min="13084" max="13084" width="9.625" customWidth="1"/>
    <col min="13085" max="13085" width="9.25" customWidth="1"/>
    <col min="13086" max="13086" width="9.375" customWidth="1"/>
    <col min="13087" max="13088" width="13.25" customWidth="1"/>
    <col min="13089" max="13089" width="8.25" bestFit="1" customWidth="1"/>
    <col min="13090" max="13090" width="10" customWidth="1"/>
    <col min="13092" max="13092" width="9.75" customWidth="1"/>
    <col min="13093" max="13093" width="9.375" customWidth="1"/>
    <col min="13094" max="13094" width="10.5" bestFit="1" customWidth="1"/>
    <col min="13101" max="13101" width="9.625" customWidth="1"/>
    <col min="13102" max="13102" width="14.75" customWidth="1"/>
    <col min="13103" max="13103" width="11.375" customWidth="1"/>
    <col min="13104" max="13104" width="9.875" customWidth="1"/>
    <col min="13105" max="13105" width="10.75" customWidth="1"/>
    <col min="13106" max="13106" width="10.125" bestFit="1" customWidth="1"/>
    <col min="13107" max="13107" width="12.5" customWidth="1"/>
    <col min="13108" max="13108" width="10.625" customWidth="1"/>
    <col min="13111" max="13111" width="15.75" customWidth="1"/>
    <col min="13112" max="13112" width="10" customWidth="1"/>
    <col min="13115" max="13115" width="8.875" customWidth="1"/>
    <col min="13116" max="13116" width="9.625" bestFit="1" customWidth="1"/>
    <col min="13117" max="13117" width="9.375" customWidth="1"/>
    <col min="13119" max="13119" width="7.25" customWidth="1"/>
    <col min="13120" max="13120" width="0" hidden="1" customWidth="1"/>
    <col min="13122" max="13122" width="9.375" customWidth="1"/>
    <col min="13123" max="13123" width="10.375" customWidth="1"/>
    <col min="13124" max="13124" width="15.875" customWidth="1"/>
    <col min="13126" max="13126" width="6.75" customWidth="1"/>
    <col min="13313" max="13313" width="0.375" customWidth="1"/>
    <col min="13314" max="13314" width="17.25" customWidth="1"/>
    <col min="13315" max="13315" width="13.375" customWidth="1"/>
    <col min="13316" max="13316" width="9.625" customWidth="1"/>
    <col min="13317" max="13317" width="13.375" customWidth="1"/>
    <col min="13318" max="13318" width="8.625" customWidth="1"/>
    <col min="13319" max="13319" width="15.625" customWidth="1"/>
    <col min="13320" max="13320" width="16.125" customWidth="1"/>
    <col min="13321" max="13321" width="12.5" customWidth="1"/>
    <col min="13322" max="13322" width="12.125" customWidth="1"/>
    <col min="13323" max="13323" width="18.125" customWidth="1"/>
    <col min="13324" max="13324" width="16.25" customWidth="1"/>
    <col min="13325" max="13326" width="12.875" customWidth="1"/>
    <col min="13327" max="13327" width="11.375" customWidth="1"/>
    <col min="13328" max="13328" width="11.75" customWidth="1"/>
    <col min="13329" max="13329" width="10.875" customWidth="1"/>
    <col min="13330" max="13330" width="16" customWidth="1"/>
    <col min="13331" max="13331" width="14.125" customWidth="1"/>
    <col min="13332" max="13332" width="11.75" customWidth="1"/>
    <col min="13333" max="13333" width="13.375" customWidth="1"/>
    <col min="13334" max="13334" width="21.625" customWidth="1"/>
    <col min="13335" max="13335" width="16.125" customWidth="1"/>
    <col min="13336" max="13337" width="14" customWidth="1"/>
    <col min="13338" max="13338" width="9.625" customWidth="1"/>
    <col min="13339" max="13339" width="10.75" customWidth="1"/>
    <col min="13340" max="13340" width="9.625" customWidth="1"/>
    <col min="13341" max="13341" width="9.25" customWidth="1"/>
    <col min="13342" max="13342" width="9.375" customWidth="1"/>
    <col min="13343" max="13344" width="13.25" customWidth="1"/>
    <col min="13345" max="13345" width="8.25" bestFit="1" customWidth="1"/>
    <col min="13346" max="13346" width="10" customWidth="1"/>
    <col min="13348" max="13348" width="9.75" customWidth="1"/>
    <col min="13349" max="13349" width="9.375" customWidth="1"/>
    <col min="13350" max="13350" width="10.5" bestFit="1" customWidth="1"/>
    <col min="13357" max="13357" width="9.625" customWidth="1"/>
    <col min="13358" max="13358" width="14.75" customWidth="1"/>
    <col min="13359" max="13359" width="11.375" customWidth="1"/>
    <col min="13360" max="13360" width="9.875" customWidth="1"/>
    <col min="13361" max="13361" width="10.75" customWidth="1"/>
    <col min="13362" max="13362" width="10.125" bestFit="1" customWidth="1"/>
    <col min="13363" max="13363" width="12.5" customWidth="1"/>
    <col min="13364" max="13364" width="10.625" customWidth="1"/>
    <col min="13367" max="13367" width="15.75" customWidth="1"/>
    <col min="13368" max="13368" width="10" customWidth="1"/>
    <col min="13371" max="13371" width="8.875" customWidth="1"/>
    <col min="13372" max="13372" width="9.625" bestFit="1" customWidth="1"/>
    <col min="13373" max="13373" width="9.375" customWidth="1"/>
    <col min="13375" max="13375" width="7.25" customWidth="1"/>
    <col min="13376" max="13376" width="0" hidden="1" customWidth="1"/>
    <col min="13378" max="13378" width="9.375" customWidth="1"/>
    <col min="13379" max="13379" width="10.375" customWidth="1"/>
    <col min="13380" max="13380" width="15.875" customWidth="1"/>
    <col min="13382" max="13382" width="6.75" customWidth="1"/>
    <col min="13569" max="13569" width="0.375" customWidth="1"/>
    <col min="13570" max="13570" width="17.25" customWidth="1"/>
    <col min="13571" max="13571" width="13.375" customWidth="1"/>
    <col min="13572" max="13572" width="9.625" customWidth="1"/>
    <col min="13573" max="13573" width="13.375" customWidth="1"/>
    <col min="13574" max="13574" width="8.625" customWidth="1"/>
    <col min="13575" max="13575" width="15.625" customWidth="1"/>
    <col min="13576" max="13576" width="16.125" customWidth="1"/>
    <col min="13577" max="13577" width="12.5" customWidth="1"/>
    <col min="13578" max="13578" width="12.125" customWidth="1"/>
    <col min="13579" max="13579" width="18.125" customWidth="1"/>
    <col min="13580" max="13580" width="16.25" customWidth="1"/>
    <col min="13581" max="13582" width="12.875" customWidth="1"/>
    <col min="13583" max="13583" width="11.375" customWidth="1"/>
    <col min="13584" max="13584" width="11.75" customWidth="1"/>
    <col min="13585" max="13585" width="10.875" customWidth="1"/>
    <col min="13586" max="13586" width="16" customWidth="1"/>
    <col min="13587" max="13587" width="14.125" customWidth="1"/>
    <col min="13588" max="13588" width="11.75" customWidth="1"/>
    <col min="13589" max="13589" width="13.375" customWidth="1"/>
    <col min="13590" max="13590" width="21.625" customWidth="1"/>
    <col min="13591" max="13591" width="16.125" customWidth="1"/>
    <col min="13592" max="13593" width="14" customWidth="1"/>
    <col min="13594" max="13594" width="9.625" customWidth="1"/>
    <col min="13595" max="13595" width="10.75" customWidth="1"/>
    <col min="13596" max="13596" width="9.625" customWidth="1"/>
    <col min="13597" max="13597" width="9.25" customWidth="1"/>
    <col min="13598" max="13598" width="9.375" customWidth="1"/>
    <col min="13599" max="13600" width="13.25" customWidth="1"/>
    <col min="13601" max="13601" width="8.25" bestFit="1" customWidth="1"/>
    <col min="13602" max="13602" width="10" customWidth="1"/>
    <col min="13604" max="13604" width="9.75" customWidth="1"/>
    <col min="13605" max="13605" width="9.375" customWidth="1"/>
    <col min="13606" max="13606" width="10.5" bestFit="1" customWidth="1"/>
    <col min="13613" max="13613" width="9.625" customWidth="1"/>
    <col min="13614" max="13614" width="14.75" customWidth="1"/>
    <col min="13615" max="13615" width="11.375" customWidth="1"/>
    <col min="13616" max="13616" width="9.875" customWidth="1"/>
    <col min="13617" max="13617" width="10.75" customWidth="1"/>
    <col min="13618" max="13618" width="10.125" bestFit="1" customWidth="1"/>
    <col min="13619" max="13619" width="12.5" customWidth="1"/>
    <col min="13620" max="13620" width="10.625" customWidth="1"/>
    <col min="13623" max="13623" width="15.75" customWidth="1"/>
    <col min="13624" max="13624" width="10" customWidth="1"/>
    <col min="13627" max="13627" width="8.875" customWidth="1"/>
    <col min="13628" max="13628" width="9.625" bestFit="1" customWidth="1"/>
    <col min="13629" max="13629" width="9.375" customWidth="1"/>
    <col min="13631" max="13631" width="7.25" customWidth="1"/>
    <col min="13632" max="13632" width="0" hidden="1" customWidth="1"/>
    <col min="13634" max="13634" width="9.375" customWidth="1"/>
    <col min="13635" max="13635" width="10.375" customWidth="1"/>
    <col min="13636" max="13636" width="15.875" customWidth="1"/>
    <col min="13638" max="13638" width="6.75" customWidth="1"/>
    <col min="13825" max="13825" width="0.375" customWidth="1"/>
    <col min="13826" max="13826" width="17.25" customWidth="1"/>
    <col min="13827" max="13827" width="13.375" customWidth="1"/>
    <col min="13828" max="13828" width="9.625" customWidth="1"/>
    <col min="13829" max="13829" width="13.375" customWidth="1"/>
    <col min="13830" max="13830" width="8.625" customWidth="1"/>
    <col min="13831" max="13831" width="15.625" customWidth="1"/>
    <col min="13832" max="13832" width="16.125" customWidth="1"/>
    <col min="13833" max="13833" width="12.5" customWidth="1"/>
    <col min="13834" max="13834" width="12.125" customWidth="1"/>
    <col min="13835" max="13835" width="18.125" customWidth="1"/>
    <col min="13836" max="13836" width="16.25" customWidth="1"/>
    <col min="13837" max="13838" width="12.875" customWidth="1"/>
    <col min="13839" max="13839" width="11.375" customWidth="1"/>
    <col min="13840" max="13840" width="11.75" customWidth="1"/>
    <col min="13841" max="13841" width="10.875" customWidth="1"/>
    <col min="13842" max="13842" width="16" customWidth="1"/>
    <col min="13843" max="13843" width="14.125" customWidth="1"/>
    <col min="13844" max="13844" width="11.75" customWidth="1"/>
    <col min="13845" max="13845" width="13.375" customWidth="1"/>
    <col min="13846" max="13846" width="21.625" customWidth="1"/>
    <col min="13847" max="13847" width="16.125" customWidth="1"/>
    <col min="13848" max="13849" width="14" customWidth="1"/>
    <col min="13850" max="13850" width="9.625" customWidth="1"/>
    <col min="13851" max="13851" width="10.75" customWidth="1"/>
    <col min="13852" max="13852" width="9.625" customWidth="1"/>
    <col min="13853" max="13853" width="9.25" customWidth="1"/>
    <col min="13854" max="13854" width="9.375" customWidth="1"/>
    <col min="13855" max="13856" width="13.25" customWidth="1"/>
    <col min="13857" max="13857" width="8.25" bestFit="1" customWidth="1"/>
    <col min="13858" max="13858" width="10" customWidth="1"/>
    <col min="13860" max="13860" width="9.75" customWidth="1"/>
    <col min="13861" max="13861" width="9.375" customWidth="1"/>
    <col min="13862" max="13862" width="10.5" bestFit="1" customWidth="1"/>
    <col min="13869" max="13869" width="9.625" customWidth="1"/>
    <col min="13870" max="13870" width="14.75" customWidth="1"/>
    <col min="13871" max="13871" width="11.375" customWidth="1"/>
    <col min="13872" max="13872" width="9.875" customWidth="1"/>
    <col min="13873" max="13873" width="10.75" customWidth="1"/>
    <col min="13874" max="13874" width="10.125" bestFit="1" customWidth="1"/>
    <col min="13875" max="13875" width="12.5" customWidth="1"/>
    <col min="13876" max="13876" width="10.625" customWidth="1"/>
    <col min="13879" max="13879" width="15.75" customWidth="1"/>
    <col min="13880" max="13880" width="10" customWidth="1"/>
    <col min="13883" max="13883" width="8.875" customWidth="1"/>
    <col min="13884" max="13884" width="9.625" bestFit="1" customWidth="1"/>
    <col min="13885" max="13885" width="9.375" customWidth="1"/>
    <col min="13887" max="13887" width="7.25" customWidth="1"/>
    <col min="13888" max="13888" width="0" hidden="1" customWidth="1"/>
    <col min="13890" max="13890" width="9.375" customWidth="1"/>
    <col min="13891" max="13891" width="10.375" customWidth="1"/>
    <col min="13892" max="13892" width="15.875" customWidth="1"/>
    <col min="13894" max="13894" width="6.75" customWidth="1"/>
    <col min="14081" max="14081" width="0.375" customWidth="1"/>
    <col min="14082" max="14082" width="17.25" customWidth="1"/>
    <col min="14083" max="14083" width="13.375" customWidth="1"/>
    <col min="14084" max="14084" width="9.625" customWidth="1"/>
    <col min="14085" max="14085" width="13.375" customWidth="1"/>
    <col min="14086" max="14086" width="8.625" customWidth="1"/>
    <col min="14087" max="14087" width="15.625" customWidth="1"/>
    <col min="14088" max="14088" width="16.125" customWidth="1"/>
    <col min="14089" max="14089" width="12.5" customWidth="1"/>
    <col min="14090" max="14090" width="12.125" customWidth="1"/>
    <col min="14091" max="14091" width="18.125" customWidth="1"/>
    <col min="14092" max="14092" width="16.25" customWidth="1"/>
    <col min="14093" max="14094" width="12.875" customWidth="1"/>
    <col min="14095" max="14095" width="11.375" customWidth="1"/>
    <col min="14096" max="14096" width="11.75" customWidth="1"/>
    <col min="14097" max="14097" width="10.875" customWidth="1"/>
    <col min="14098" max="14098" width="16" customWidth="1"/>
    <col min="14099" max="14099" width="14.125" customWidth="1"/>
    <col min="14100" max="14100" width="11.75" customWidth="1"/>
    <col min="14101" max="14101" width="13.375" customWidth="1"/>
    <col min="14102" max="14102" width="21.625" customWidth="1"/>
    <col min="14103" max="14103" width="16.125" customWidth="1"/>
    <col min="14104" max="14105" width="14" customWidth="1"/>
    <col min="14106" max="14106" width="9.625" customWidth="1"/>
    <col min="14107" max="14107" width="10.75" customWidth="1"/>
    <col min="14108" max="14108" width="9.625" customWidth="1"/>
    <col min="14109" max="14109" width="9.25" customWidth="1"/>
    <col min="14110" max="14110" width="9.375" customWidth="1"/>
    <col min="14111" max="14112" width="13.25" customWidth="1"/>
    <col min="14113" max="14113" width="8.25" bestFit="1" customWidth="1"/>
    <col min="14114" max="14114" width="10" customWidth="1"/>
    <col min="14116" max="14116" width="9.75" customWidth="1"/>
    <col min="14117" max="14117" width="9.375" customWidth="1"/>
    <col min="14118" max="14118" width="10.5" bestFit="1" customWidth="1"/>
    <col min="14125" max="14125" width="9.625" customWidth="1"/>
    <col min="14126" max="14126" width="14.75" customWidth="1"/>
    <col min="14127" max="14127" width="11.375" customWidth="1"/>
    <col min="14128" max="14128" width="9.875" customWidth="1"/>
    <col min="14129" max="14129" width="10.75" customWidth="1"/>
    <col min="14130" max="14130" width="10.125" bestFit="1" customWidth="1"/>
    <col min="14131" max="14131" width="12.5" customWidth="1"/>
    <col min="14132" max="14132" width="10.625" customWidth="1"/>
    <col min="14135" max="14135" width="15.75" customWidth="1"/>
    <col min="14136" max="14136" width="10" customWidth="1"/>
    <col min="14139" max="14139" width="8.875" customWidth="1"/>
    <col min="14140" max="14140" width="9.625" bestFit="1" customWidth="1"/>
    <col min="14141" max="14141" width="9.375" customWidth="1"/>
    <col min="14143" max="14143" width="7.25" customWidth="1"/>
    <col min="14144" max="14144" width="0" hidden="1" customWidth="1"/>
    <col min="14146" max="14146" width="9.375" customWidth="1"/>
    <col min="14147" max="14147" width="10.375" customWidth="1"/>
    <col min="14148" max="14148" width="15.875" customWidth="1"/>
    <col min="14150" max="14150" width="6.75" customWidth="1"/>
    <col min="14337" max="14337" width="0.375" customWidth="1"/>
    <col min="14338" max="14338" width="17.25" customWidth="1"/>
    <col min="14339" max="14339" width="13.375" customWidth="1"/>
    <col min="14340" max="14340" width="9.625" customWidth="1"/>
    <col min="14341" max="14341" width="13.375" customWidth="1"/>
    <col min="14342" max="14342" width="8.625" customWidth="1"/>
    <col min="14343" max="14343" width="15.625" customWidth="1"/>
    <col min="14344" max="14344" width="16.125" customWidth="1"/>
    <col min="14345" max="14345" width="12.5" customWidth="1"/>
    <col min="14346" max="14346" width="12.125" customWidth="1"/>
    <col min="14347" max="14347" width="18.125" customWidth="1"/>
    <col min="14348" max="14348" width="16.25" customWidth="1"/>
    <col min="14349" max="14350" width="12.875" customWidth="1"/>
    <col min="14351" max="14351" width="11.375" customWidth="1"/>
    <col min="14352" max="14352" width="11.75" customWidth="1"/>
    <col min="14353" max="14353" width="10.875" customWidth="1"/>
    <col min="14354" max="14354" width="16" customWidth="1"/>
    <col min="14355" max="14355" width="14.125" customWidth="1"/>
    <col min="14356" max="14356" width="11.75" customWidth="1"/>
    <col min="14357" max="14357" width="13.375" customWidth="1"/>
    <col min="14358" max="14358" width="21.625" customWidth="1"/>
    <col min="14359" max="14359" width="16.125" customWidth="1"/>
    <col min="14360" max="14361" width="14" customWidth="1"/>
    <col min="14362" max="14362" width="9.625" customWidth="1"/>
    <col min="14363" max="14363" width="10.75" customWidth="1"/>
    <col min="14364" max="14364" width="9.625" customWidth="1"/>
    <col min="14365" max="14365" width="9.25" customWidth="1"/>
    <col min="14366" max="14366" width="9.375" customWidth="1"/>
    <col min="14367" max="14368" width="13.25" customWidth="1"/>
    <col min="14369" max="14369" width="8.25" bestFit="1" customWidth="1"/>
    <col min="14370" max="14370" width="10" customWidth="1"/>
    <col min="14372" max="14372" width="9.75" customWidth="1"/>
    <col min="14373" max="14373" width="9.375" customWidth="1"/>
    <col min="14374" max="14374" width="10.5" bestFit="1" customWidth="1"/>
    <col min="14381" max="14381" width="9.625" customWidth="1"/>
    <col min="14382" max="14382" width="14.75" customWidth="1"/>
    <col min="14383" max="14383" width="11.375" customWidth="1"/>
    <col min="14384" max="14384" width="9.875" customWidth="1"/>
    <col min="14385" max="14385" width="10.75" customWidth="1"/>
    <col min="14386" max="14386" width="10.125" bestFit="1" customWidth="1"/>
    <col min="14387" max="14387" width="12.5" customWidth="1"/>
    <col min="14388" max="14388" width="10.625" customWidth="1"/>
    <col min="14391" max="14391" width="15.75" customWidth="1"/>
    <col min="14392" max="14392" width="10" customWidth="1"/>
    <col min="14395" max="14395" width="8.875" customWidth="1"/>
    <col min="14396" max="14396" width="9.625" bestFit="1" customWidth="1"/>
    <col min="14397" max="14397" width="9.375" customWidth="1"/>
    <col min="14399" max="14399" width="7.25" customWidth="1"/>
    <col min="14400" max="14400" width="0" hidden="1" customWidth="1"/>
    <col min="14402" max="14402" width="9.375" customWidth="1"/>
    <col min="14403" max="14403" width="10.375" customWidth="1"/>
    <col min="14404" max="14404" width="15.875" customWidth="1"/>
    <col min="14406" max="14406" width="6.75" customWidth="1"/>
    <col min="14593" max="14593" width="0.375" customWidth="1"/>
    <col min="14594" max="14594" width="17.25" customWidth="1"/>
    <col min="14595" max="14595" width="13.375" customWidth="1"/>
    <col min="14596" max="14596" width="9.625" customWidth="1"/>
    <col min="14597" max="14597" width="13.375" customWidth="1"/>
    <col min="14598" max="14598" width="8.625" customWidth="1"/>
    <col min="14599" max="14599" width="15.625" customWidth="1"/>
    <col min="14600" max="14600" width="16.125" customWidth="1"/>
    <col min="14601" max="14601" width="12.5" customWidth="1"/>
    <col min="14602" max="14602" width="12.125" customWidth="1"/>
    <col min="14603" max="14603" width="18.125" customWidth="1"/>
    <col min="14604" max="14604" width="16.25" customWidth="1"/>
    <col min="14605" max="14606" width="12.875" customWidth="1"/>
    <col min="14607" max="14607" width="11.375" customWidth="1"/>
    <col min="14608" max="14608" width="11.75" customWidth="1"/>
    <col min="14609" max="14609" width="10.875" customWidth="1"/>
    <col min="14610" max="14610" width="16" customWidth="1"/>
    <col min="14611" max="14611" width="14.125" customWidth="1"/>
    <col min="14612" max="14612" width="11.75" customWidth="1"/>
    <col min="14613" max="14613" width="13.375" customWidth="1"/>
    <col min="14614" max="14614" width="21.625" customWidth="1"/>
    <col min="14615" max="14615" width="16.125" customWidth="1"/>
    <col min="14616" max="14617" width="14" customWidth="1"/>
    <col min="14618" max="14618" width="9.625" customWidth="1"/>
    <col min="14619" max="14619" width="10.75" customWidth="1"/>
    <col min="14620" max="14620" width="9.625" customWidth="1"/>
    <col min="14621" max="14621" width="9.25" customWidth="1"/>
    <col min="14622" max="14622" width="9.375" customWidth="1"/>
    <col min="14623" max="14624" width="13.25" customWidth="1"/>
    <col min="14625" max="14625" width="8.25" bestFit="1" customWidth="1"/>
    <col min="14626" max="14626" width="10" customWidth="1"/>
    <col min="14628" max="14628" width="9.75" customWidth="1"/>
    <col min="14629" max="14629" width="9.375" customWidth="1"/>
    <col min="14630" max="14630" width="10.5" bestFit="1" customWidth="1"/>
    <col min="14637" max="14637" width="9.625" customWidth="1"/>
    <col min="14638" max="14638" width="14.75" customWidth="1"/>
    <col min="14639" max="14639" width="11.375" customWidth="1"/>
    <col min="14640" max="14640" width="9.875" customWidth="1"/>
    <col min="14641" max="14641" width="10.75" customWidth="1"/>
    <col min="14642" max="14642" width="10.125" bestFit="1" customWidth="1"/>
    <col min="14643" max="14643" width="12.5" customWidth="1"/>
    <col min="14644" max="14644" width="10.625" customWidth="1"/>
    <col min="14647" max="14647" width="15.75" customWidth="1"/>
    <col min="14648" max="14648" width="10" customWidth="1"/>
    <col min="14651" max="14651" width="8.875" customWidth="1"/>
    <col min="14652" max="14652" width="9.625" bestFit="1" customWidth="1"/>
    <col min="14653" max="14653" width="9.375" customWidth="1"/>
    <col min="14655" max="14655" width="7.25" customWidth="1"/>
    <col min="14656" max="14656" width="0" hidden="1" customWidth="1"/>
    <col min="14658" max="14658" width="9.375" customWidth="1"/>
    <col min="14659" max="14659" width="10.375" customWidth="1"/>
    <col min="14660" max="14660" width="15.875" customWidth="1"/>
    <col min="14662" max="14662" width="6.75" customWidth="1"/>
    <col min="14849" max="14849" width="0.375" customWidth="1"/>
    <col min="14850" max="14850" width="17.25" customWidth="1"/>
    <col min="14851" max="14851" width="13.375" customWidth="1"/>
    <col min="14852" max="14852" width="9.625" customWidth="1"/>
    <col min="14853" max="14853" width="13.375" customWidth="1"/>
    <col min="14854" max="14854" width="8.625" customWidth="1"/>
    <col min="14855" max="14855" width="15.625" customWidth="1"/>
    <col min="14856" max="14856" width="16.125" customWidth="1"/>
    <col min="14857" max="14857" width="12.5" customWidth="1"/>
    <col min="14858" max="14858" width="12.125" customWidth="1"/>
    <col min="14859" max="14859" width="18.125" customWidth="1"/>
    <col min="14860" max="14860" width="16.25" customWidth="1"/>
    <col min="14861" max="14862" width="12.875" customWidth="1"/>
    <col min="14863" max="14863" width="11.375" customWidth="1"/>
    <col min="14864" max="14864" width="11.75" customWidth="1"/>
    <col min="14865" max="14865" width="10.875" customWidth="1"/>
    <col min="14866" max="14866" width="16" customWidth="1"/>
    <col min="14867" max="14867" width="14.125" customWidth="1"/>
    <col min="14868" max="14868" width="11.75" customWidth="1"/>
    <col min="14869" max="14869" width="13.375" customWidth="1"/>
    <col min="14870" max="14870" width="21.625" customWidth="1"/>
    <col min="14871" max="14871" width="16.125" customWidth="1"/>
    <col min="14872" max="14873" width="14" customWidth="1"/>
    <col min="14874" max="14874" width="9.625" customWidth="1"/>
    <col min="14875" max="14875" width="10.75" customWidth="1"/>
    <col min="14876" max="14876" width="9.625" customWidth="1"/>
    <col min="14877" max="14877" width="9.25" customWidth="1"/>
    <col min="14878" max="14878" width="9.375" customWidth="1"/>
    <col min="14879" max="14880" width="13.25" customWidth="1"/>
    <col min="14881" max="14881" width="8.25" bestFit="1" customWidth="1"/>
    <col min="14882" max="14882" width="10" customWidth="1"/>
    <col min="14884" max="14884" width="9.75" customWidth="1"/>
    <col min="14885" max="14885" width="9.375" customWidth="1"/>
    <col min="14886" max="14886" width="10.5" bestFit="1" customWidth="1"/>
    <col min="14893" max="14893" width="9.625" customWidth="1"/>
    <col min="14894" max="14894" width="14.75" customWidth="1"/>
    <col min="14895" max="14895" width="11.375" customWidth="1"/>
    <col min="14896" max="14896" width="9.875" customWidth="1"/>
    <col min="14897" max="14897" width="10.75" customWidth="1"/>
    <col min="14898" max="14898" width="10.125" bestFit="1" customWidth="1"/>
    <col min="14899" max="14899" width="12.5" customWidth="1"/>
    <col min="14900" max="14900" width="10.625" customWidth="1"/>
    <col min="14903" max="14903" width="15.75" customWidth="1"/>
    <col min="14904" max="14904" width="10" customWidth="1"/>
    <col min="14907" max="14907" width="8.875" customWidth="1"/>
    <col min="14908" max="14908" width="9.625" bestFit="1" customWidth="1"/>
    <col min="14909" max="14909" width="9.375" customWidth="1"/>
    <col min="14911" max="14911" width="7.25" customWidth="1"/>
    <col min="14912" max="14912" width="0" hidden="1" customWidth="1"/>
    <col min="14914" max="14914" width="9.375" customWidth="1"/>
    <col min="14915" max="14915" width="10.375" customWidth="1"/>
    <col min="14916" max="14916" width="15.875" customWidth="1"/>
    <col min="14918" max="14918" width="6.75" customWidth="1"/>
    <col min="15105" max="15105" width="0.375" customWidth="1"/>
    <col min="15106" max="15106" width="17.25" customWidth="1"/>
    <col min="15107" max="15107" width="13.375" customWidth="1"/>
    <col min="15108" max="15108" width="9.625" customWidth="1"/>
    <col min="15109" max="15109" width="13.375" customWidth="1"/>
    <col min="15110" max="15110" width="8.625" customWidth="1"/>
    <col min="15111" max="15111" width="15.625" customWidth="1"/>
    <col min="15112" max="15112" width="16.125" customWidth="1"/>
    <col min="15113" max="15113" width="12.5" customWidth="1"/>
    <col min="15114" max="15114" width="12.125" customWidth="1"/>
    <col min="15115" max="15115" width="18.125" customWidth="1"/>
    <col min="15116" max="15116" width="16.25" customWidth="1"/>
    <col min="15117" max="15118" width="12.875" customWidth="1"/>
    <col min="15119" max="15119" width="11.375" customWidth="1"/>
    <col min="15120" max="15120" width="11.75" customWidth="1"/>
    <col min="15121" max="15121" width="10.875" customWidth="1"/>
    <col min="15122" max="15122" width="16" customWidth="1"/>
    <col min="15123" max="15123" width="14.125" customWidth="1"/>
    <col min="15124" max="15124" width="11.75" customWidth="1"/>
    <col min="15125" max="15125" width="13.375" customWidth="1"/>
    <col min="15126" max="15126" width="21.625" customWidth="1"/>
    <col min="15127" max="15127" width="16.125" customWidth="1"/>
    <col min="15128" max="15129" width="14" customWidth="1"/>
    <col min="15130" max="15130" width="9.625" customWidth="1"/>
    <col min="15131" max="15131" width="10.75" customWidth="1"/>
    <col min="15132" max="15132" width="9.625" customWidth="1"/>
    <col min="15133" max="15133" width="9.25" customWidth="1"/>
    <col min="15134" max="15134" width="9.375" customWidth="1"/>
    <col min="15135" max="15136" width="13.25" customWidth="1"/>
    <col min="15137" max="15137" width="8.25" bestFit="1" customWidth="1"/>
    <col min="15138" max="15138" width="10" customWidth="1"/>
    <col min="15140" max="15140" width="9.75" customWidth="1"/>
    <col min="15141" max="15141" width="9.375" customWidth="1"/>
    <col min="15142" max="15142" width="10.5" bestFit="1" customWidth="1"/>
    <col min="15149" max="15149" width="9.625" customWidth="1"/>
    <col min="15150" max="15150" width="14.75" customWidth="1"/>
    <col min="15151" max="15151" width="11.375" customWidth="1"/>
    <col min="15152" max="15152" width="9.875" customWidth="1"/>
    <col min="15153" max="15153" width="10.75" customWidth="1"/>
    <col min="15154" max="15154" width="10.125" bestFit="1" customWidth="1"/>
    <col min="15155" max="15155" width="12.5" customWidth="1"/>
    <col min="15156" max="15156" width="10.625" customWidth="1"/>
    <col min="15159" max="15159" width="15.75" customWidth="1"/>
    <col min="15160" max="15160" width="10" customWidth="1"/>
    <col min="15163" max="15163" width="8.875" customWidth="1"/>
    <col min="15164" max="15164" width="9.625" bestFit="1" customWidth="1"/>
    <col min="15165" max="15165" width="9.375" customWidth="1"/>
    <col min="15167" max="15167" width="7.25" customWidth="1"/>
    <col min="15168" max="15168" width="0" hidden="1" customWidth="1"/>
    <col min="15170" max="15170" width="9.375" customWidth="1"/>
    <col min="15171" max="15171" width="10.375" customWidth="1"/>
    <col min="15172" max="15172" width="15.875" customWidth="1"/>
    <col min="15174" max="15174" width="6.75" customWidth="1"/>
    <col min="15361" max="15361" width="0.375" customWidth="1"/>
    <col min="15362" max="15362" width="17.25" customWidth="1"/>
    <col min="15363" max="15363" width="13.375" customWidth="1"/>
    <col min="15364" max="15364" width="9.625" customWidth="1"/>
    <col min="15365" max="15365" width="13.375" customWidth="1"/>
    <col min="15366" max="15366" width="8.625" customWidth="1"/>
    <col min="15367" max="15367" width="15.625" customWidth="1"/>
    <col min="15368" max="15368" width="16.125" customWidth="1"/>
    <col min="15369" max="15369" width="12.5" customWidth="1"/>
    <col min="15370" max="15370" width="12.125" customWidth="1"/>
    <col min="15371" max="15371" width="18.125" customWidth="1"/>
    <col min="15372" max="15372" width="16.25" customWidth="1"/>
    <col min="15373" max="15374" width="12.875" customWidth="1"/>
    <col min="15375" max="15375" width="11.375" customWidth="1"/>
    <col min="15376" max="15376" width="11.75" customWidth="1"/>
    <col min="15377" max="15377" width="10.875" customWidth="1"/>
    <col min="15378" max="15378" width="16" customWidth="1"/>
    <col min="15379" max="15379" width="14.125" customWidth="1"/>
    <col min="15380" max="15380" width="11.75" customWidth="1"/>
    <col min="15381" max="15381" width="13.375" customWidth="1"/>
    <col min="15382" max="15382" width="21.625" customWidth="1"/>
    <col min="15383" max="15383" width="16.125" customWidth="1"/>
    <col min="15384" max="15385" width="14" customWidth="1"/>
    <col min="15386" max="15386" width="9.625" customWidth="1"/>
    <col min="15387" max="15387" width="10.75" customWidth="1"/>
    <col min="15388" max="15388" width="9.625" customWidth="1"/>
    <col min="15389" max="15389" width="9.25" customWidth="1"/>
    <col min="15390" max="15390" width="9.375" customWidth="1"/>
    <col min="15391" max="15392" width="13.25" customWidth="1"/>
    <col min="15393" max="15393" width="8.25" bestFit="1" customWidth="1"/>
    <col min="15394" max="15394" width="10" customWidth="1"/>
    <col min="15396" max="15396" width="9.75" customWidth="1"/>
    <col min="15397" max="15397" width="9.375" customWidth="1"/>
    <col min="15398" max="15398" width="10.5" bestFit="1" customWidth="1"/>
    <col min="15405" max="15405" width="9.625" customWidth="1"/>
    <col min="15406" max="15406" width="14.75" customWidth="1"/>
    <col min="15407" max="15407" width="11.375" customWidth="1"/>
    <col min="15408" max="15408" width="9.875" customWidth="1"/>
    <col min="15409" max="15409" width="10.75" customWidth="1"/>
    <col min="15410" max="15410" width="10.125" bestFit="1" customWidth="1"/>
    <col min="15411" max="15411" width="12.5" customWidth="1"/>
    <col min="15412" max="15412" width="10.625" customWidth="1"/>
    <col min="15415" max="15415" width="15.75" customWidth="1"/>
    <col min="15416" max="15416" width="10" customWidth="1"/>
    <col min="15419" max="15419" width="8.875" customWidth="1"/>
    <col min="15420" max="15420" width="9.625" bestFit="1" customWidth="1"/>
    <col min="15421" max="15421" width="9.375" customWidth="1"/>
    <col min="15423" max="15423" width="7.25" customWidth="1"/>
    <col min="15424" max="15424" width="0" hidden="1" customWidth="1"/>
    <col min="15426" max="15426" width="9.375" customWidth="1"/>
    <col min="15427" max="15427" width="10.375" customWidth="1"/>
    <col min="15428" max="15428" width="15.875" customWidth="1"/>
    <col min="15430" max="15430" width="6.75" customWidth="1"/>
    <col min="15617" max="15617" width="0.375" customWidth="1"/>
    <col min="15618" max="15618" width="17.25" customWidth="1"/>
    <col min="15619" max="15619" width="13.375" customWidth="1"/>
    <col min="15620" max="15620" width="9.625" customWidth="1"/>
    <col min="15621" max="15621" width="13.375" customWidth="1"/>
    <col min="15622" max="15622" width="8.625" customWidth="1"/>
    <col min="15623" max="15623" width="15.625" customWidth="1"/>
    <col min="15624" max="15624" width="16.125" customWidth="1"/>
    <col min="15625" max="15625" width="12.5" customWidth="1"/>
    <col min="15626" max="15626" width="12.125" customWidth="1"/>
    <col min="15627" max="15627" width="18.125" customWidth="1"/>
    <col min="15628" max="15628" width="16.25" customWidth="1"/>
    <col min="15629" max="15630" width="12.875" customWidth="1"/>
    <col min="15631" max="15631" width="11.375" customWidth="1"/>
    <col min="15632" max="15632" width="11.75" customWidth="1"/>
    <col min="15633" max="15633" width="10.875" customWidth="1"/>
    <col min="15634" max="15634" width="16" customWidth="1"/>
    <col min="15635" max="15635" width="14.125" customWidth="1"/>
    <col min="15636" max="15636" width="11.75" customWidth="1"/>
    <col min="15637" max="15637" width="13.375" customWidth="1"/>
    <col min="15638" max="15638" width="21.625" customWidth="1"/>
    <col min="15639" max="15639" width="16.125" customWidth="1"/>
    <col min="15640" max="15641" width="14" customWidth="1"/>
    <col min="15642" max="15642" width="9.625" customWidth="1"/>
    <col min="15643" max="15643" width="10.75" customWidth="1"/>
    <col min="15644" max="15644" width="9.625" customWidth="1"/>
    <col min="15645" max="15645" width="9.25" customWidth="1"/>
    <col min="15646" max="15646" width="9.375" customWidth="1"/>
    <col min="15647" max="15648" width="13.25" customWidth="1"/>
    <col min="15649" max="15649" width="8.25" bestFit="1" customWidth="1"/>
    <col min="15650" max="15650" width="10" customWidth="1"/>
    <col min="15652" max="15652" width="9.75" customWidth="1"/>
    <col min="15653" max="15653" width="9.375" customWidth="1"/>
    <col min="15654" max="15654" width="10.5" bestFit="1" customWidth="1"/>
    <col min="15661" max="15661" width="9.625" customWidth="1"/>
    <col min="15662" max="15662" width="14.75" customWidth="1"/>
    <col min="15663" max="15663" width="11.375" customWidth="1"/>
    <col min="15664" max="15664" width="9.875" customWidth="1"/>
    <col min="15665" max="15665" width="10.75" customWidth="1"/>
    <col min="15666" max="15666" width="10.125" bestFit="1" customWidth="1"/>
    <col min="15667" max="15667" width="12.5" customWidth="1"/>
    <col min="15668" max="15668" width="10.625" customWidth="1"/>
    <col min="15671" max="15671" width="15.75" customWidth="1"/>
    <col min="15672" max="15672" width="10" customWidth="1"/>
    <col min="15675" max="15675" width="8.875" customWidth="1"/>
    <col min="15676" max="15676" width="9.625" bestFit="1" customWidth="1"/>
    <col min="15677" max="15677" width="9.375" customWidth="1"/>
    <col min="15679" max="15679" width="7.25" customWidth="1"/>
    <col min="15680" max="15680" width="0" hidden="1" customWidth="1"/>
    <col min="15682" max="15682" width="9.375" customWidth="1"/>
    <col min="15683" max="15683" width="10.375" customWidth="1"/>
    <col min="15684" max="15684" width="15.875" customWidth="1"/>
    <col min="15686" max="15686" width="6.75" customWidth="1"/>
    <col min="15873" max="15873" width="0.375" customWidth="1"/>
    <col min="15874" max="15874" width="17.25" customWidth="1"/>
    <col min="15875" max="15875" width="13.375" customWidth="1"/>
    <col min="15876" max="15876" width="9.625" customWidth="1"/>
    <col min="15877" max="15877" width="13.375" customWidth="1"/>
    <col min="15878" max="15878" width="8.625" customWidth="1"/>
    <col min="15879" max="15879" width="15.625" customWidth="1"/>
    <col min="15880" max="15880" width="16.125" customWidth="1"/>
    <col min="15881" max="15881" width="12.5" customWidth="1"/>
    <col min="15882" max="15882" width="12.125" customWidth="1"/>
    <col min="15883" max="15883" width="18.125" customWidth="1"/>
    <col min="15884" max="15884" width="16.25" customWidth="1"/>
    <col min="15885" max="15886" width="12.875" customWidth="1"/>
    <col min="15887" max="15887" width="11.375" customWidth="1"/>
    <col min="15888" max="15888" width="11.75" customWidth="1"/>
    <col min="15889" max="15889" width="10.875" customWidth="1"/>
    <col min="15890" max="15890" width="16" customWidth="1"/>
    <col min="15891" max="15891" width="14.125" customWidth="1"/>
    <col min="15892" max="15892" width="11.75" customWidth="1"/>
    <col min="15893" max="15893" width="13.375" customWidth="1"/>
    <col min="15894" max="15894" width="21.625" customWidth="1"/>
    <col min="15895" max="15895" width="16.125" customWidth="1"/>
    <col min="15896" max="15897" width="14" customWidth="1"/>
    <col min="15898" max="15898" width="9.625" customWidth="1"/>
    <col min="15899" max="15899" width="10.75" customWidth="1"/>
    <col min="15900" max="15900" width="9.625" customWidth="1"/>
    <col min="15901" max="15901" width="9.25" customWidth="1"/>
    <col min="15902" max="15902" width="9.375" customWidth="1"/>
    <col min="15903" max="15904" width="13.25" customWidth="1"/>
    <col min="15905" max="15905" width="8.25" bestFit="1" customWidth="1"/>
    <col min="15906" max="15906" width="10" customWidth="1"/>
    <col min="15908" max="15908" width="9.75" customWidth="1"/>
    <col min="15909" max="15909" width="9.375" customWidth="1"/>
    <col min="15910" max="15910" width="10.5" bestFit="1" customWidth="1"/>
    <col min="15917" max="15917" width="9.625" customWidth="1"/>
    <col min="15918" max="15918" width="14.75" customWidth="1"/>
    <col min="15919" max="15919" width="11.375" customWidth="1"/>
    <col min="15920" max="15920" width="9.875" customWidth="1"/>
    <col min="15921" max="15921" width="10.75" customWidth="1"/>
    <col min="15922" max="15922" width="10.125" bestFit="1" customWidth="1"/>
    <col min="15923" max="15923" width="12.5" customWidth="1"/>
    <col min="15924" max="15924" width="10.625" customWidth="1"/>
    <col min="15927" max="15927" width="15.75" customWidth="1"/>
    <col min="15928" max="15928" width="10" customWidth="1"/>
    <col min="15931" max="15931" width="8.875" customWidth="1"/>
    <col min="15932" max="15932" width="9.625" bestFit="1" customWidth="1"/>
    <col min="15933" max="15933" width="9.375" customWidth="1"/>
    <col min="15935" max="15935" width="7.25" customWidth="1"/>
    <col min="15936" max="15936" width="0" hidden="1" customWidth="1"/>
    <col min="15938" max="15938" width="9.375" customWidth="1"/>
    <col min="15939" max="15939" width="10.375" customWidth="1"/>
    <col min="15940" max="15940" width="15.875" customWidth="1"/>
    <col min="15942" max="15942" width="6.75" customWidth="1"/>
    <col min="16129" max="16129" width="0.375" customWidth="1"/>
    <col min="16130" max="16130" width="17.25" customWidth="1"/>
    <col min="16131" max="16131" width="13.375" customWidth="1"/>
    <col min="16132" max="16132" width="9.625" customWidth="1"/>
    <col min="16133" max="16133" width="13.375" customWidth="1"/>
    <col min="16134" max="16134" width="8.625" customWidth="1"/>
    <col min="16135" max="16135" width="15.625" customWidth="1"/>
    <col min="16136" max="16136" width="16.125" customWidth="1"/>
    <col min="16137" max="16137" width="12.5" customWidth="1"/>
    <col min="16138" max="16138" width="12.125" customWidth="1"/>
    <col min="16139" max="16139" width="18.125" customWidth="1"/>
    <col min="16140" max="16140" width="16.25" customWidth="1"/>
    <col min="16141" max="16142" width="12.875" customWidth="1"/>
    <col min="16143" max="16143" width="11.375" customWidth="1"/>
    <col min="16144" max="16144" width="11.75" customWidth="1"/>
    <col min="16145" max="16145" width="10.875" customWidth="1"/>
    <col min="16146" max="16146" width="16" customWidth="1"/>
    <col min="16147" max="16147" width="14.125" customWidth="1"/>
    <col min="16148" max="16148" width="11.75" customWidth="1"/>
    <col min="16149" max="16149" width="13.375" customWidth="1"/>
    <col min="16150" max="16150" width="21.625" customWidth="1"/>
    <col min="16151" max="16151" width="16.125" customWidth="1"/>
    <col min="16152" max="16153" width="14" customWidth="1"/>
    <col min="16154" max="16154" width="9.625" customWidth="1"/>
    <col min="16155" max="16155" width="10.75" customWidth="1"/>
    <col min="16156" max="16156" width="9.625" customWidth="1"/>
    <col min="16157" max="16157" width="9.25" customWidth="1"/>
    <col min="16158" max="16158" width="9.375" customWidth="1"/>
    <col min="16159" max="16160" width="13.25" customWidth="1"/>
    <col min="16161" max="16161" width="8.25" bestFit="1" customWidth="1"/>
    <col min="16162" max="16162" width="10" customWidth="1"/>
    <col min="16164" max="16164" width="9.75" customWidth="1"/>
    <col min="16165" max="16165" width="9.375" customWidth="1"/>
    <col min="16166" max="16166" width="10.5" bestFit="1" customWidth="1"/>
    <col min="16173" max="16173" width="9.625" customWidth="1"/>
    <col min="16174" max="16174" width="14.75" customWidth="1"/>
    <col min="16175" max="16175" width="11.375" customWidth="1"/>
    <col min="16176" max="16176" width="9.875" customWidth="1"/>
    <col min="16177" max="16177" width="10.75" customWidth="1"/>
    <col min="16178" max="16178" width="10.125" bestFit="1" customWidth="1"/>
    <col min="16179" max="16179" width="12.5" customWidth="1"/>
    <col min="16180" max="16180" width="10.625" customWidth="1"/>
    <col min="16183" max="16183" width="15.75" customWidth="1"/>
    <col min="16184" max="16184" width="10" customWidth="1"/>
    <col min="16187" max="16187" width="8.875" customWidth="1"/>
    <col min="16188" max="16188" width="9.625" bestFit="1" customWidth="1"/>
    <col min="16189" max="16189" width="9.375" customWidth="1"/>
    <col min="16191" max="16191" width="7.25" customWidth="1"/>
    <col min="16192" max="16192" width="0" hidden="1" customWidth="1"/>
    <col min="16194" max="16194" width="9.375" customWidth="1"/>
    <col min="16195" max="16195" width="10.375" customWidth="1"/>
    <col min="16196" max="16196" width="15.875" customWidth="1"/>
    <col min="16198" max="16198" width="6.75" customWidth="1"/>
  </cols>
  <sheetData>
    <row r="1" spans="1:124" ht="16.5" thickTop="1" thickBot="1" x14ac:dyDescent="0.3">
      <c r="B1" s="23" t="s">
        <v>52</v>
      </c>
      <c r="C1" s="24"/>
      <c r="D1" s="25"/>
      <c r="E1" s="25"/>
      <c r="F1" s="26"/>
      <c r="G1" s="27"/>
      <c r="H1" s="27" t="s">
        <v>53</v>
      </c>
      <c r="I1" s="27"/>
      <c r="J1" s="27"/>
      <c r="K1" s="27"/>
      <c r="L1" s="27"/>
      <c r="M1" s="27"/>
      <c r="N1" s="27"/>
      <c r="O1" s="27"/>
      <c r="P1" s="27" t="e">
        <f>N82</f>
        <v>#N/A</v>
      </c>
      <c r="Q1" s="27" t="e">
        <f>VLOOKUP($I$32,K157:L173,2)</f>
        <v>#N/A</v>
      </c>
      <c r="R1" s="27" t="s">
        <v>54</v>
      </c>
      <c r="S1" s="27">
        <f>ROUND((J4-AQ17)/365.25,2)</f>
        <v>-110.72</v>
      </c>
      <c r="T1" s="27"/>
      <c r="U1" s="27"/>
      <c r="V1" s="27"/>
      <c r="W1" s="27" t="s">
        <v>55</v>
      </c>
      <c r="X1" s="27">
        <f>IF(BG60-INT(BG60)=0.5,1,0)</f>
        <v>0</v>
      </c>
      <c r="Y1" s="27">
        <f>IF(X1=0,0,IF(BG60&lt;=7,3.75,4.25))</f>
        <v>0</v>
      </c>
      <c r="Z1" s="27"/>
      <c r="AA1" s="27" t="s">
        <v>56</v>
      </c>
      <c r="AB1" s="27"/>
      <c r="AC1" s="27"/>
      <c r="AD1" s="27"/>
      <c r="AE1" s="27"/>
      <c r="AF1" s="27"/>
      <c r="AG1" s="27"/>
      <c r="AH1" s="27"/>
      <c r="AI1" s="27"/>
      <c r="AJ1" s="27"/>
      <c r="AK1" s="27"/>
      <c r="AL1" s="27"/>
      <c r="AM1" s="27"/>
      <c r="AN1" s="27" t="s">
        <v>57</v>
      </c>
      <c r="AO1" s="27"/>
      <c r="AP1" s="27"/>
      <c r="AQ1" s="27"/>
      <c r="AR1" s="27"/>
      <c r="AS1" s="27"/>
      <c r="AT1" s="27"/>
      <c r="AU1" s="27"/>
      <c r="AV1" s="27"/>
      <c r="AW1" s="27"/>
      <c r="AX1" s="27"/>
      <c r="AY1" s="27"/>
      <c r="AZ1" s="27"/>
      <c r="BA1" s="27" t="s">
        <v>58</v>
      </c>
      <c r="BB1" s="27"/>
      <c r="BC1" s="27"/>
      <c r="BD1" s="27"/>
      <c r="BE1" s="27"/>
      <c r="BF1" s="27"/>
      <c r="BG1" s="27"/>
      <c r="BH1" s="27"/>
      <c r="BI1" s="27"/>
      <c r="BJ1" s="27"/>
      <c r="BK1" s="27"/>
      <c r="BL1" s="27"/>
      <c r="BM1" s="27"/>
      <c r="BN1" s="27"/>
      <c r="BO1" s="27"/>
      <c r="BP1" s="27"/>
      <c r="BQ1" s="27"/>
      <c r="BR1" s="27"/>
      <c r="BS1" s="27"/>
      <c r="BT1" s="27"/>
      <c r="BU1" s="27"/>
      <c r="BV1" s="27"/>
      <c r="BW1" s="27"/>
      <c r="BX1" s="27"/>
      <c r="BY1" s="27"/>
      <c r="BZ1" s="27"/>
      <c r="CA1" s="27"/>
      <c r="CB1" s="27"/>
      <c r="CC1" s="27"/>
      <c r="CD1" s="27"/>
      <c r="CE1" s="27"/>
      <c r="CF1" s="27"/>
      <c r="CG1" s="27"/>
      <c r="CH1" s="27"/>
      <c r="CI1" s="27"/>
      <c r="CJ1" s="27"/>
      <c r="CK1" s="27"/>
      <c r="CL1" s="27"/>
      <c r="CM1" s="27"/>
      <c r="CN1" s="27"/>
      <c r="CO1" s="27"/>
      <c r="CP1" s="27"/>
      <c r="CQ1" s="27"/>
      <c r="CR1" s="27"/>
      <c r="CS1" s="27"/>
      <c r="CT1" s="27"/>
      <c r="CU1" s="27"/>
      <c r="CV1" s="27"/>
      <c r="CW1" s="27"/>
      <c r="CX1" s="27"/>
      <c r="CY1" s="27"/>
      <c r="CZ1" s="27"/>
      <c r="DA1" s="27"/>
      <c r="DB1" s="27"/>
      <c r="DC1" s="27"/>
      <c r="DD1" s="27"/>
      <c r="DE1" s="27"/>
      <c r="DF1" s="27"/>
      <c r="DG1" s="27"/>
      <c r="DH1" s="27"/>
      <c r="DI1" s="27"/>
      <c r="DJ1" s="27"/>
      <c r="DK1" s="27"/>
      <c r="DL1" s="27"/>
      <c r="DM1" s="27"/>
      <c r="DN1" s="27"/>
      <c r="DO1" s="27"/>
      <c r="DP1" s="27"/>
      <c r="DQ1" s="27"/>
      <c r="DR1" s="27"/>
      <c r="DS1" s="27"/>
      <c r="DT1" s="27"/>
    </row>
    <row r="2" spans="1:124" ht="17.25" thickTop="1" thickBot="1" x14ac:dyDescent="0.3">
      <c r="B2" s="28" t="s">
        <v>59</v>
      </c>
      <c r="C2" s="29" t="s">
        <v>60</v>
      </c>
      <c r="D2" s="30"/>
      <c r="E2" s="30"/>
      <c r="F2" s="31" t="s">
        <v>609</v>
      </c>
      <c r="G2" s="27"/>
      <c r="H2" s="27"/>
      <c r="I2" s="27"/>
      <c r="J2" s="27"/>
      <c r="K2" s="27"/>
      <c r="L2" s="27"/>
      <c r="M2" s="27" t="s">
        <v>62</v>
      </c>
      <c r="N2" s="27">
        <f>I31</f>
        <v>0</v>
      </c>
      <c r="O2" s="27"/>
      <c r="P2" s="27" t="e">
        <f>VLOOKUP(Q2,טור,1,1)</f>
        <v>#REF!</v>
      </c>
      <c r="Q2" s="27" t="e">
        <f>IF(#REF!&lt;N82,M82,IF(#REF!&lt;N83,M83,IF(#REF!&lt;N84,M84,IF(#REF!&lt;N85,M85,IF(#REF!&lt;N86,M86,IF(#REF!&lt;N87,M87,IF(#REF!&lt;N88,M88,IF(#REF!&lt;N89,M89,R2))))))))</f>
        <v>#REF!</v>
      </c>
      <c r="R2" s="27" t="e">
        <f>IF(#REF!&lt;N90,M90,IF(#REF!&lt;N91,M91,IF(#REF!&lt;N92,M92,IF(#REF!&lt;N93,M93,IF(#REF!&lt;N94,M94,IF(#REF!&lt;N95,M95,IF(#REF!&lt;N96,M96,IF(#REF!&lt;N97,M97,M98))))))))</f>
        <v>#REF!</v>
      </c>
      <c r="S2" s="27"/>
      <c r="T2" s="27" t="s">
        <v>63</v>
      </c>
      <c r="U2" s="27" t="s">
        <v>27</v>
      </c>
      <c r="V2" s="27"/>
      <c r="W2" s="27" t="s">
        <v>64</v>
      </c>
      <c r="X2" s="27">
        <v>0.03</v>
      </c>
      <c r="Y2" s="27">
        <f>1+(Y1/100)</f>
        <v>1</v>
      </c>
      <c r="Z2" s="27"/>
      <c r="AA2" s="27">
        <v>0</v>
      </c>
      <c r="AB2" s="27">
        <v>0</v>
      </c>
      <c r="AC2" s="27"/>
      <c r="AD2" s="27" t="s">
        <v>65</v>
      </c>
      <c r="AE2" s="27"/>
      <c r="AF2" s="27"/>
      <c r="AG2" s="27"/>
      <c r="AH2" s="27"/>
      <c r="AI2" s="27"/>
      <c r="AJ2" s="27"/>
      <c r="AK2" s="27"/>
      <c r="AL2" s="27"/>
      <c r="AM2" s="27"/>
      <c r="AN2" s="27" t="s">
        <v>66</v>
      </c>
      <c r="AO2" s="27"/>
      <c r="AP2" s="27"/>
      <c r="AQ2" s="27"/>
      <c r="AR2" s="27"/>
      <c r="AS2" s="27"/>
      <c r="AT2" s="27"/>
      <c r="AU2" s="27"/>
      <c r="AV2" s="27"/>
      <c r="AW2" s="27"/>
      <c r="AX2" s="27"/>
      <c r="AY2" s="27"/>
      <c r="AZ2" s="27"/>
      <c r="BA2" s="27">
        <v>0</v>
      </c>
      <c r="BB2" s="27">
        <v>0</v>
      </c>
      <c r="BC2" s="27"/>
      <c r="BD2" s="27"/>
      <c r="BE2" s="27"/>
      <c r="BF2" s="27"/>
      <c r="BG2" s="27"/>
      <c r="BH2" s="27"/>
      <c r="BI2" s="27"/>
      <c r="BJ2" s="27"/>
      <c r="BK2" s="27"/>
      <c r="BL2" s="27"/>
      <c r="BM2" s="27"/>
      <c r="BN2" s="27"/>
      <c r="BO2" s="27"/>
      <c r="BP2" s="27"/>
      <c r="BQ2" s="27"/>
      <c r="BR2" s="27"/>
      <c r="BS2" s="27"/>
      <c r="BT2" s="27"/>
      <c r="BU2" s="27"/>
      <c r="BV2" s="27"/>
      <c r="BW2" s="27"/>
      <c r="BX2" s="27"/>
      <c r="BY2" s="27"/>
      <c r="BZ2" s="27"/>
      <c r="CA2" s="27"/>
      <c r="CB2" s="27"/>
      <c r="CC2" s="27"/>
      <c r="CD2" s="27"/>
      <c r="CE2" s="27"/>
      <c r="CF2" s="27"/>
      <c r="CG2" s="27"/>
      <c r="CH2" s="27"/>
      <c r="CI2" s="27"/>
      <c r="CJ2" s="27"/>
      <c r="CK2" s="27"/>
      <c r="CL2" s="27"/>
      <c r="CM2" s="27"/>
      <c r="CN2" s="27"/>
      <c r="CO2" s="27"/>
      <c r="CP2" s="27"/>
      <c r="CQ2" s="27"/>
      <c r="CR2" s="27"/>
      <c r="CS2" s="27"/>
      <c r="CT2" s="27"/>
      <c r="CU2" s="27"/>
      <c r="CV2" s="27"/>
      <c r="CW2" s="27"/>
      <c r="CX2" s="27"/>
      <c r="CY2" s="27"/>
      <c r="CZ2" s="27"/>
      <c r="DA2" s="27"/>
      <c r="DB2" s="27"/>
      <c r="DC2" s="27"/>
      <c r="DD2" s="27"/>
      <c r="DE2" s="27"/>
      <c r="DF2" s="27"/>
      <c r="DG2" s="27"/>
      <c r="DH2" s="27"/>
      <c r="DI2" s="27"/>
      <c r="DJ2" s="27"/>
      <c r="DK2" s="27"/>
      <c r="DL2" s="27"/>
      <c r="DM2" s="27"/>
      <c r="DN2" s="27"/>
      <c r="DO2" s="27"/>
      <c r="DP2" s="27"/>
      <c r="DQ2" s="27"/>
      <c r="DR2" s="27"/>
      <c r="DS2" s="27"/>
      <c r="DT2" s="27"/>
    </row>
    <row r="3" spans="1:124" ht="15.75" thickTop="1" thickBot="1" x14ac:dyDescent="0.25">
      <c r="B3" s="27"/>
      <c r="C3" s="27"/>
      <c r="D3" s="27"/>
      <c r="E3" s="27"/>
      <c r="F3" s="27"/>
      <c r="G3" s="27" t="str">
        <f>IF(OR($C$5=$CB$16,$C$5=$CC$16,$C$5=CD16),$S$723,IF($C$5=CE16,$S$724,IF($C$5=CF16,$S$725,S726)))</f>
        <v>מנהל אקדמאי קיים</v>
      </c>
      <c r="H3" s="27"/>
      <c r="I3" s="27"/>
      <c r="J3" s="27"/>
      <c r="K3" s="27"/>
      <c r="L3" s="27"/>
      <c r="M3" s="27" t="s">
        <v>67</v>
      </c>
      <c r="N3" s="27">
        <f>J32</f>
        <v>0</v>
      </c>
      <c r="O3" s="27"/>
      <c r="P3" s="27" t="s">
        <v>68</v>
      </c>
      <c r="Q3" s="27" t="s">
        <v>69</v>
      </c>
      <c r="R3" s="27"/>
      <c r="S3" s="27"/>
      <c r="T3" s="27" t="s">
        <v>70</v>
      </c>
      <c r="U3" s="27" t="s">
        <v>71</v>
      </c>
      <c r="V3" s="27"/>
      <c r="W3" s="27" t="s">
        <v>72</v>
      </c>
      <c r="X3" s="27">
        <v>4.8099999999999997E-2</v>
      </c>
      <c r="Y3" s="27"/>
      <c r="Z3" s="27"/>
      <c r="AA3" s="27">
        <v>1</v>
      </c>
      <c r="AB3" s="27">
        <v>0.47499999999999998</v>
      </c>
      <c r="AC3" s="27" t="s">
        <v>59</v>
      </c>
      <c r="AD3" s="27">
        <v>0.09</v>
      </c>
      <c r="AE3" s="27" t="s">
        <v>73</v>
      </c>
      <c r="AF3" s="27"/>
      <c r="AG3" s="27"/>
      <c r="AH3" s="27"/>
      <c r="AI3" s="27"/>
      <c r="AJ3" s="27"/>
      <c r="AK3" s="27"/>
      <c r="AL3" s="27"/>
      <c r="AM3" s="27"/>
      <c r="AN3" s="27">
        <v>1</v>
      </c>
      <c r="AO3" s="27"/>
      <c r="AP3" s="27"/>
      <c r="AQ3" s="27"/>
      <c r="AR3" s="27"/>
      <c r="AS3" s="27"/>
      <c r="AT3" s="27"/>
      <c r="AU3" s="27"/>
      <c r="AV3" s="27"/>
      <c r="AW3" s="27"/>
      <c r="AX3" s="27"/>
      <c r="AY3" s="27"/>
      <c r="AZ3" s="27"/>
      <c r="BA3" s="27">
        <v>1</v>
      </c>
      <c r="BB3" s="27">
        <v>0</v>
      </c>
      <c r="BC3" s="27"/>
      <c r="BD3" s="27"/>
      <c r="BE3" s="27"/>
      <c r="BF3" s="27"/>
      <c r="BG3" s="27"/>
      <c r="BH3" s="27"/>
      <c r="BI3" s="27"/>
      <c r="BJ3" s="27"/>
      <c r="BK3" s="27"/>
      <c r="BL3" s="27"/>
      <c r="BM3" s="27"/>
      <c r="BN3" s="27"/>
      <c r="BO3" s="27"/>
      <c r="BP3" s="27"/>
      <c r="BQ3" s="27"/>
      <c r="BR3" s="27"/>
      <c r="BS3" s="27"/>
      <c r="BT3" s="27"/>
      <c r="BU3" s="27"/>
      <c r="BV3" s="27"/>
      <c r="BW3" s="27"/>
      <c r="BX3" s="27"/>
      <c r="BY3" s="27"/>
      <c r="BZ3" s="27"/>
      <c r="CA3" s="27"/>
      <c r="CB3" s="27"/>
      <c r="CC3" s="27"/>
      <c r="CD3" s="27"/>
      <c r="CE3" s="27"/>
      <c r="CF3" s="27"/>
      <c r="CG3" s="27"/>
      <c r="CH3" s="27"/>
      <c r="CI3" s="27"/>
      <c r="CJ3" s="27"/>
      <c r="CK3" s="27"/>
      <c r="CL3" s="27"/>
      <c r="CM3" s="27"/>
      <c r="CN3" s="27"/>
      <c r="CO3" s="27"/>
      <c r="CP3" s="27"/>
      <c r="CQ3" s="27"/>
      <c r="CR3" s="27"/>
      <c r="CS3" s="27"/>
      <c r="CT3" s="27"/>
      <c r="CU3" s="27"/>
      <c r="CV3" s="27"/>
      <c r="CW3" s="27"/>
      <c r="CX3" s="27"/>
      <c r="CY3" s="27"/>
      <c r="CZ3" s="27"/>
      <c r="DA3" s="27"/>
      <c r="DB3" s="27"/>
      <c r="DC3" s="27"/>
      <c r="DD3" s="27"/>
      <c r="DE3" s="27"/>
      <c r="DF3" s="27"/>
      <c r="DG3" s="27"/>
      <c r="DH3" s="27"/>
      <c r="DI3" s="27"/>
      <c r="DJ3" s="27"/>
      <c r="DK3" s="27"/>
      <c r="DL3" s="27"/>
      <c r="DM3" s="27"/>
      <c r="DN3" s="27"/>
      <c r="DO3" s="27"/>
      <c r="DP3" s="27"/>
      <c r="DQ3" s="27"/>
      <c r="DR3" s="27"/>
      <c r="DS3" s="27"/>
      <c r="DT3" s="27"/>
    </row>
    <row r="4" spans="1:124" ht="14.25" customHeight="1" thickTop="1" thickBot="1" x14ac:dyDescent="0.3">
      <c r="B4" s="32" t="s">
        <v>610</v>
      </c>
      <c r="C4" s="33"/>
      <c r="D4" s="34" t="s">
        <v>74</v>
      </c>
      <c r="E4" s="34"/>
      <c r="F4" s="34"/>
      <c r="G4" s="27"/>
      <c r="H4" s="27"/>
      <c r="I4" s="27"/>
      <c r="J4" s="27"/>
      <c r="K4" s="27"/>
      <c r="L4" s="27"/>
      <c r="M4" s="27"/>
      <c r="N4" s="27"/>
      <c r="O4" s="27"/>
      <c r="P4" s="27">
        <f>VLOOKUP(INT(1),horaa2,$AJ$8+2,FALSE)*$AB$44</f>
        <v>2967.49</v>
      </c>
      <c r="Q4" s="27"/>
      <c r="R4" s="27"/>
      <c r="S4" s="27"/>
      <c r="T4" s="27" t="s">
        <v>75</v>
      </c>
      <c r="U4" s="27" t="s">
        <v>76</v>
      </c>
      <c r="V4" s="27"/>
      <c r="W4" s="27"/>
      <c r="X4" s="27"/>
      <c r="Y4" s="27"/>
      <c r="Z4" s="27"/>
      <c r="AA4" s="27">
        <v>2</v>
      </c>
      <c r="AB4" s="27">
        <v>0.495</v>
      </c>
      <c r="AC4" s="27" t="s">
        <v>59</v>
      </c>
      <c r="AD4" s="27">
        <v>8.2500000000000004E-2</v>
      </c>
      <c r="AE4" s="27" t="s">
        <v>77</v>
      </c>
      <c r="AF4" s="27"/>
      <c r="AG4" s="27"/>
      <c r="AH4" s="27"/>
      <c r="AI4" s="27"/>
      <c r="AJ4" s="27"/>
      <c r="AK4" s="27"/>
      <c r="AL4" s="27"/>
      <c r="AM4" s="27"/>
      <c r="AN4" s="27">
        <v>1.5</v>
      </c>
      <c r="AO4" s="27"/>
      <c r="AP4" s="27"/>
      <c r="AQ4" s="27"/>
      <c r="AR4" s="27"/>
      <c r="AS4" s="27"/>
      <c r="AT4" s="27"/>
      <c r="AU4" s="27"/>
      <c r="AV4" s="27"/>
      <c r="AW4" s="27"/>
      <c r="AX4" s="27"/>
      <c r="AY4" s="27"/>
      <c r="AZ4" s="27"/>
      <c r="BA4" s="27">
        <v>2</v>
      </c>
      <c r="BB4" s="27">
        <v>2.4E-2</v>
      </c>
      <c r="BC4" s="27"/>
      <c r="BD4" s="27"/>
      <c r="BE4" s="27"/>
      <c r="BF4" s="27"/>
      <c r="BG4" s="27"/>
      <c r="BH4" s="27"/>
      <c r="BI4" s="27"/>
      <c r="BJ4" s="27"/>
      <c r="BK4" s="27"/>
      <c r="BL4" s="27"/>
      <c r="BM4" s="27"/>
      <c r="BN4" s="27"/>
      <c r="BO4" s="27"/>
      <c r="BP4" s="27"/>
      <c r="BQ4" s="27"/>
      <c r="BR4" s="27"/>
      <c r="BS4" s="27"/>
      <c r="BT4" s="27"/>
      <c r="BU4" s="27"/>
      <c r="BV4" s="27"/>
      <c r="BW4" s="27"/>
      <c r="BX4" s="27"/>
      <c r="BY4" s="27"/>
      <c r="BZ4" s="27"/>
      <c r="CA4" s="27"/>
      <c r="CB4" s="27"/>
      <c r="CC4" s="27"/>
      <c r="CD4" s="27"/>
      <c r="CE4" s="27"/>
      <c r="CF4" s="27"/>
      <c r="CG4" s="27"/>
      <c r="CH4" s="27"/>
      <c r="CI4" s="27"/>
      <c r="CJ4" s="27"/>
      <c r="CK4" s="27"/>
      <c r="CL4" s="27"/>
      <c r="CM4" s="27"/>
      <c r="CN4" s="27"/>
      <c r="CO4" s="27"/>
      <c r="CP4" s="27"/>
      <c r="CQ4" s="27"/>
      <c r="CR4" s="27"/>
      <c r="CS4" s="27"/>
      <c r="CT4" s="27"/>
      <c r="CU4" s="27"/>
      <c r="CV4" s="27"/>
      <c r="CW4" s="27"/>
      <c r="CX4" s="27"/>
      <c r="CY4" s="27"/>
      <c r="CZ4" s="27"/>
      <c r="DA4" s="27"/>
      <c r="DB4" s="27"/>
      <c r="DC4" s="27"/>
      <c r="DD4" s="27"/>
      <c r="DE4" s="27"/>
      <c r="DF4" s="27"/>
      <c r="DG4" s="27"/>
      <c r="DH4" s="27"/>
      <c r="DI4" s="27"/>
      <c r="DJ4" s="27"/>
      <c r="DK4" s="27"/>
      <c r="DL4" s="27"/>
      <c r="DM4" s="27"/>
      <c r="DN4" s="27"/>
      <c r="DO4" s="27"/>
      <c r="DP4" s="27"/>
      <c r="DQ4" s="27"/>
      <c r="DR4" s="27"/>
      <c r="DS4" s="27"/>
      <c r="DT4" s="27"/>
    </row>
    <row r="5" spans="1:124" ht="15.75" customHeight="1" thickTop="1" x14ac:dyDescent="0.25">
      <c r="B5" s="35" t="s">
        <v>0</v>
      </c>
      <c r="C5" s="36" t="s">
        <v>1</v>
      </c>
      <c r="D5" s="37" t="s">
        <v>24</v>
      </c>
      <c r="E5" s="38"/>
      <c r="F5" s="27"/>
      <c r="G5" s="27"/>
      <c r="H5" s="27"/>
      <c r="I5" s="27"/>
      <c r="J5" s="27"/>
      <c r="K5" s="27"/>
      <c r="L5" s="27"/>
      <c r="M5" s="27" t="s">
        <v>78</v>
      </c>
      <c r="N5" s="27"/>
      <c r="O5" s="27"/>
      <c r="P5" s="27" t="s">
        <v>79</v>
      </c>
      <c r="Q5" s="27" t="e">
        <f>VLOOKUP(INT(#REF!),ofek4,BG60+2,FALSE)*(1+AG36/100)*Y16*Y2</f>
        <v>#REF!</v>
      </c>
      <c r="R5" s="27">
        <f>VLOOKUP(INT(AB42),horaa2,AJ17+2,FALSE)*(1)</f>
        <v>6975.17</v>
      </c>
      <c r="S5" s="27"/>
      <c r="T5" s="27" t="e">
        <f>VLOOKUP(INT(T9),ofek4,V9+2,FALSE)*(1+AG36/100)*Y16*Y2</f>
        <v>#REF!</v>
      </c>
      <c r="U5" s="27" t="e">
        <f>VLOOKUP(INT(T9),ofek4,V9+2,FALSE)*(1+AG36/100)*Y16*Y2</f>
        <v>#REF!</v>
      </c>
      <c r="V5" s="27"/>
      <c r="W5" s="27"/>
      <c r="X5" s="27"/>
      <c r="Y5" s="27"/>
      <c r="Z5" s="27"/>
      <c r="AA5" s="27">
        <v>3</v>
      </c>
      <c r="AB5" s="27">
        <v>0.51</v>
      </c>
      <c r="AC5" s="27" t="s">
        <v>59</v>
      </c>
      <c r="AD5" s="27">
        <v>7.4999999999999997E-2</v>
      </c>
      <c r="AE5" s="27" t="s">
        <v>80</v>
      </c>
      <c r="AF5" s="27"/>
      <c r="AG5" s="27"/>
      <c r="AH5" s="27"/>
      <c r="AI5" s="27"/>
      <c r="AJ5" s="27"/>
      <c r="AK5" s="27"/>
      <c r="AL5" s="27"/>
      <c r="AM5" s="27"/>
      <c r="AN5" s="27">
        <v>2</v>
      </c>
      <c r="AO5" s="27"/>
      <c r="AP5" s="27"/>
      <c r="AQ5" s="27"/>
      <c r="AR5" s="27"/>
      <c r="AS5" s="27"/>
      <c r="AT5" s="27"/>
      <c r="AU5" s="27"/>
      <c r="AV5" s="27"/>
      <c r="AW5" s="27"/>
      <c r="AX5" s="27"/>
      <c r="AY5" s="27"/>
      <c r="AZ5" s="27"/>
      <c r="BA5" s="27">
        <v>3</v>
      </c>
      <c r="BB5" s="27">
        <v>4.8000000000000001E-2</v>
      </c>
      <c r="BC5" s="27"/>
      <c r="BD5" s="27"/>
      <c r="BE5" s="27"/>
      <c r="BF5" s="27"/>
      <c r="BG5" s="27"/>
      <c r="BH5" s="27"/>
      <c r="BI5" s="27"/>
      <c r="BJ5" s="27"/>
      <c r="BK5" s="27"/>
      <c r="BL5" s="27"/>
      <c r="BM5" s="27"/>
      <c r="BN5" s="27"/>
      <c r="BO5" s="27"/>
      <c r="BP5" s="27"/>
      <c r="BQ5" s="27"/>
      <c r="BR5" s="27"/>
      <c r="BS5" s="27"/>
      <c r="BT5" s="27"/>
      <c r="BU5" s="27"/>
      <c r="BV5" s="27"/>
      <c r="BW5" s="27"/>
      <c r="BX5" s="27"/>
      <c r="BY5" s="27"/>
      <c r="BZ5" s="27"/>
      <c r="CA5" s="27"/>
      <c r="CB5" s="27"/>
      <c r="CC5" s="27"/>
      <c r="CD5" s="27"/>
      <c r="CE5" s="27"/>
      <c r="CF5" s="27"/>
      <c r="CG5" s="27"/>
      <c r="CH5" s="27"/>
      <c r="CI5" s="27"/>
      <c r="CJ5" s="27"/>
      <c r="CK5" s="27"/>
      <c r="CL5" s="27"/>
      <c r="CM5" s="27"/>
      <c r="CN5" s="27"/>
      <c r="CO5" s="27"/>
      <c r="CP5" s="27"/>
      <c r="CQ5" s="27"/>
      <c r="CR5" s="27"/>
      <c r="CS5" s="27"/>
      <c r="CT5" s="27"/>
      <c r="CU5" s="27"/>
      <c r="CV5" s="27"/>
      <c r="CW5" s="27"/>
      <c r="CX5" s="27"/>
      <c r="CY5" s="27"/>
      <c r="CZ5" s="27"/>
      <c r="DA5" s="27"/>
      <c r="DB5" s="27"/>
      <c r="DC5" s="27"/>
      <c r="DD5" s="27"/>
      <c r="DE5" s="27"/>
      <c r="DF5" s="27"/>
      <c r="DG5" s="27"/>
      <c r="DH5" s="27"/>
      <c r="DI5" s="27"/>
      <c r="DJ5" s="27"/>
      <c r="DK5" s="27"/>
      <c r="DL5" s="27"/>
      <c r="DM5" s="27"/>
      <c r="DN5" s="27"/>
      <c r="DO5" s="27"/>
      <c r="DP5" s="27"/>
      <c r="DQ5" s="27"/>
      <c r="DR5" s="27"/>
      <c r="DS5" s="27"/>
      <c r="DT5" s="27"/>
    </row>
    <row r="6" spans="1:124" ht="15.75" customHeight="1" x14ac:dyDescent="0.25">
      <c r="B6" s="35" t="s">
        <v>2</v>
      </c>
      <c r="C6" s="40">
        <v>0</v>
      </c>
      <c r="D6" s="37" t="s">
        <v>81</v>
      </c>
      <c r="E6" s="38"/>
      <c r="F6" s="41"/>
      <c r="G6" s="27"/>
      <c r="H6" s="27"/>
      <c r="I6" s="27"/>
      <c r="J6" s="27"/>
      <c r="K6" s="27"/>
      <c r="L6" s="27"/>
      <c r="M6" s="27"/>
      <c r="N6" s="27" t="s">
        <v>82</v>
      </c>
      <c r="O6" s="27" t="s">
        <v>83</v>
      </c>
      <c r="P6" s="27">
        <f>P4*C9</f>
        <v>0</v>
      </c>
      <c r="Q6" s="27"/>
      <c r="R6" s="27"/>
      <c r="S6" s="27"/>
      <c r="T6" s="27"/>
      <c r="U6" s="27"/>
      <c r="V6" s="27"/>
      <c r="W6" s="27"/>
      <c r="X6" s="27" t="s">
        <v>84</v>
      </c>
      <c r="Y6" s="27"/>
      <c r="Z6" s="27"/>
      <c r="AA6" s="27">
        <v>4</v>
      </c>
      <c r="AB6" s="27">
        <v>0.53</v>
      </c>
      <c r="AC6" s="27" t="s">
        <v>59</v>
      </c>
      <c r="AD6" s="27">
        <v>6.7500000000000004E-2</v>
      </c>
      <c r="AE6" s="27" t="s">
        <v>85</v>
      </c>
      <c r="AF6" s="27"/>
      <c r="AG6" s="27"/>
      <c r="AH6" s="27"/>
      <c r="AI6" s="27"/>
      <c r="AJ6" s="27"/>
      <c r="AK6" s="27"/>
      <c r="AL6" s="27"/>
      <c r="AM6" s="27"/>
      <c r="AN6" s="27">
        <v>2.5</v>
      </c>
      <c r="AO6" s="27"/>
      <c r="AP6" s="27"/>
      <c r="AQ6" s="27"/>
      <c r="AR6" s="27"/>
      <c r="AS6" s="27"/>
      <c r="AT6" s="27"/>
      <c r="AU6" s="27"/>
      <c r="AV6" s="27"/>
      <c r="AW6" s="27"/>
      <c r="AX6" s="27"/>
      <c r="AY6" s="27"/>
      <c r="AZ6" s="27"/>
      <c r="BA6" s="27">
        <v>4</v>
      </c>
      <c r="BB6" s="27">
        <v>7.1999999999999995E-2</v>
      </c>
      <c r="BC6" s="27"/>
      <c r="BD6" s="27"/>
      <c r="BE6" s="27"/>
      <c r="BF6" s="27"/>
      <c r="BG6" s="27"/>
      <c r="BH6" s="27"/>
      <c r="BI6" s="27"/>
      <c r="BJ6" s="27"/>
      <c r="BK6" s="27"/>
      <c r="BL6" s="27"/>
      <c r="BM6" s="27"/>
      <c r="BN6" s="27"/>
      <c r="BO6" s="27"/>
      <c r="BP6" s="27"/>
      <c r="BQ6" s="27"/>
      <c r="BR6" s="27"/>
      <c r="BS6" s="27"/>
      <c r="BT6" s="27"/>
      <c r="BU6" s="27"/>
      <c r="BV6" s="27"/>
      <c r="BW6" s="27"/>
      <c r="BX6" s="27"/>
      <c r="BY6" s="27"/>
      <c r="BZ6" s="27"/>
      <c r="CA6" s="27"/>
      <c r="CB6" s="27"/>
      <c r="CC6" s="27"/>
      <c r="CD6" s="27"/>
      <c r="CE6" s="27"/>
      <c r="CF6" s="27"/>
      <c r="CG6" s="27"/>
      <c r="CH6" s="27"/>
      <c r="CI6" s="27"/>
      <c r="CJ6" s="27"/>
      <c r="CK6" s="27"/>
      <c r="CL6" s="27"/>
      <c r="CM6" s="27"/>
      <c r="CN6" s="27"/>
      <c r="CO6" s="27"/>
      <c r="CP6" s="27"/>
      <c r="CQ6" s="27"/>
      <c r="CR6" s="27"/>
      <c r="CS6" s="27"/>
      <c r="CT6" s="27"/>
      <c r="CU6" s="27"/>
      <c r="CV6" s="27"/>
      <c r="CW6" s="27"/>
      <c r="CX6" s="27"/>
      <c r="CY6" s="27"/>
      <c r="CZ6" s="27"/>
      <c r="DA6" s="27"/>
      <c r="DB6" s="27"/>
      <c r="DC6" s="27"/>
      <c r="DD6" s="27"/>
      <c r="DE6" s="27"/>
      <c r="DF6" s="27"/>
      <c r="DG6" s="27"/>
      <c r="DH6" s="27"/>
      <c r="DI6" s="27"/>
      <c r="DJ6" s="27"/>
      <c r="DK6" s="27"/>
      <c r="DL6" s="27"/>
      <c r="DM6" s="27"/>
      <c r="DN6" s="27"/>
      <c r="DO6" s="27"/>
      <c r="DP6" s="27"/>
      <c r="DQ6" s="27"/>
      <c r="DR6" s="27"/>
      <c r="DS6" s="27"/>
      <c r="DT6" s="27"/>
    </row>
    <row r="7" spans="1:124" ht="15.75" customHeight="1" x14ac:dyDescent="0.25">
      <c r="B7" s="42" t="s">
        <v>4</v>
      </c>
      <c r="C7" s="190">
        <f>IF(C5=CD16,8.75,IF(C5=CC16,8.75,0))</f>
        <v>8.75</v>
      </c>
      <c r="D7" s="41" t="s">
        <v>86</v>
      </c>
      <c r="E7" s="39"/>
      <c r="F7" s="27"/>
      <c r="G7" s="27"/>
      <c r="H7" s="27"/>
      <c r="I7" s="27"/>
      <c r="J7" s="27"/>
      <c r="K7" s="27"/>
      <c r="L7" s="27"/>
      <c r="M7" s="27" t="s">
        <v>87</v>
      </c>
      <c r="N7" s="27">
        <f>I32</f>
        <v>0</v>
      </c>
      <c r="O7" s="27">
        <f>N7*C9</f>
        <v>0</v>
      </c>
      <c r="P7" s="27" t="s">
        <v>87</v>
      </c>
      <c r="Q7" s="27" t="e">
        <f>IF(BG61+BG62+H153&gt;=AO40,'[1]נתוני מס'!I16*Q26,0)</f>
        <v>#REF!</v>
      </c>
      <c r="R7" s="27"/>
      <c r="S7" s="27" t="s">
        <v>88</v>
      </c>
      <c r="T7" s="27">
        <f>ROUND((J4-AQ20)/365.25,2)</f>
        <v>-58.21</v>
      </c>
      <c r="U7" s="27" t="s">
        <v>89</v>
      </c>
      <c r="V7" s="27">
        <f>ROUND((AK25-AQ17)/365.25,2)</f>
        <v>0.36</v>
      </c>
      <c r="W7" s="27"/>
      <c r="X7" s="27" t="s">
        <v>6</v>
      </c>
      <c r="Y7" s="27"/>
      <c r="Z7" s="27"/>
      <c r="AA7" s="27">
        <v>5</v>
      </c>
      <c r="AB7" s="27">
        <v>0.54500000000000004</v>
      </c>
      <c r="AC7" s="27" t="s">
        <v>59</v>
      </c>
      <c r="AD7" s="27">
        <v>0.06</v>
      </c>
      <c r="AE7" s="27" t="s">
        <v>90</v>
      </c>
      <c r="AF7" s="27"/>
      <c r="AG7" s="27"/>
      <c r="AH7" s="27"/>
      <c r="AI7" s="27"/>
      <c r="AJ7" s="27"/>
      <c r="AK7" s="27"/>
      <c r="AL7" s="27"/>
      <c r="AM7" s="27"/>
      <c r="AN7" s="27">
        <v>3</v>
      </c>
      <c r="AO7" s="27"/>
      <c r="AP7" s="27"/>
      <c r="AQ7" s="27"/>
      <c r="AR7" s="27"/>
      <c r="AS7" s="27"/>
      <c r="AT7" s="27"/>
      <c r="AU7" s="27"/>
      <c r="AV7" s="27"/>
      <c r="AW7" s="27"/>
      <c r="AX7" s="27"/>
      <c r="AY7" s="27"/>
      <c r="AZ7" s="27"/>
      <c r="BA7" s="27">
        <v>5</v>
      </c>
      <c r="BB7" s="27">
        <v>9.6000000000000002E-2</v>
      </c>
      <c r="BC7" s="27"/>
      <c r="BD7" s="27"/>
      <c r="BE7" s="27"/>
      <c r="BF7" s="27"/>
      <c r="BG7" s="27"/>
      <c r="BH7" s="27"/>
      <c r="BI7" s="27"/>
      <c r="BJ7" s="27"/>
      <c r="BK7" s="27"/>
      <c r="BL7" s="27"/>
      <c r="BM7" s="27"/>
      <c r="BN7" s="27"/>
      <c r="BO7" s="27"/>
      <c r="BP7" s="27"/>
      <c r="BQ7" s="27"/>
      <c r="BR7" s="27"/>
      <c r="BS7" s="27"/>
      <c r="BT7" s="27"/>
      <c r="BU7" s="27"/>
      <c r="BV7" s="27"/>
      <c r="BW7" s="27"/>
      <c r="BX7" s="27"/>
      <c r="BY7" s="27"/>
      <c r="BZ7" s="27"/>
      <c r="CA7" s="27"/>
      <c r="CB7" s="27"/>
      <c r="CC7" s="27"/>
      <c r="CD7" s="27"/>
      <c r="CE7" s="27"/>
      <c r="CF7" s="27"/>
      <c r="CG7" s="27"/>
      <c r="CH7" s="27"/>
      <c r="CI7" s="27"/>
      <c r="CJ7" s="27"/>
      <c r="CK7" s="27"/>
      <c r="CL7" s="27"/>
      <c r="CM7" s="27"/>
      <c r="CN7" s="27"/>
      <c r="CO7" s="27"/>
      <c r="CP7" s="27"/>
      <c r="CQ7" s="27"/>
      <c r="CR7" s="27"/>
      <c r="CS7" s="27"/>
      <c r="CT7" s="27"/>
      <c r="CU7" s="27"/>
      <c r="CV7" s="27"/>
      <c r="CW7" s="27"/>
      <c r="CX7" s="27"/>
      <c r="CY7" s="27"/>
      <c r="CZ7" s="27"/>
      <c r="DA7" s="27"/>
      <c r="DB7" s="27"/>
      <c r="DC7" s="27"/>
      <c r="DD7" s="27"/>
      <c r="DE7" s="27"/>
      <c r="DF7" s="27"/>
      <c r="DG7" s="27"/>
      <c r="DH7" s="27"/>
      <c r="DI7" s="27"/>
      <c r="DJ7" s="27"/>
      <c r="DK7" s="27"/>
      <c r="DL7" s="27"/>
      <c r="DM7" s="27"/>
      <c r="DN7" s="27"/>
      <c r="DO7" s="27"/>
      <c r="DP7" s="27"/>
      <c r="DQ7" s="27"/>
      <c r="DR7" s="27"/>
      <c r="DS7" s="27"/>
      <c r="DT7" s="27"/>
    </row>
    <row r="8" spans="1:124" ht="15.75" customHeight="1" x14ac:dyDescent="0.25">
      <c r="B8" s="35" t="s">
        <v>91</v>
      </c>
      <c r="C8" s="43">
        <v>0</v>
      </c>
      <c r="D8" s="37" t="s">
        <v>92</v>
      </c>
      <c r="E8" s="38"/>
      <c r="F8" s="27"/>
      <c r="G8" s="27"/>
      <c r="H8" s="27"/>
      <c r="I8" s="27"/>
      <c r="J8" s="27"/>
      <c r="K8" s="27"/>
      <c r="L8" s="27"/>
      <c r="M8" s="27" t="s">
        <v>93</v>
      </c>
      <c r="N8" s="27">
        <f>IF(J29*N7&gt;0,J29*N7,0)</f>
        <v>0</v>
      </c>
      <c r="O8" s="27"/>
      <c r="P8" s="27" t="s">
        <v>94</v>
      </c>
      <c r="Q8" s="27">
        <f>IF(BG61&lt;26,'[1]נתוני מס'!I18*BC27,'[1]נתוני מס'!I19*BC27)</f>
        <v>2014</v>
      </c>
      <c r="R8" s="27"/>
      <c r="S8" s="27" t="s">
        <v>95</v>
      </c>
      <c r="T8" s="27" t="e">
        <f>IF(BG59=#REF!,59-T7,60-T7)</f>
        <v>#REF!</v>
      </c>
      <c r="U8" s="27" t="s">
        <v>96</v>
      </c>
      <c r="V8" s="27" t="e">
        <f>V7+T8</f>
        <v>#REF!</v>
      </c>
      <c r="W8" s="27"/>
      <c r="X8" s="27" t="s">
        <v>97</v>
      </c>
      <c r="Y8" s="27"/>
      <c r="Z8" s="27"/>
      <c r="AA8" s="27">
        <v>6</v>
      </c>
      <c r="AB8" s="27">
        <v>0.56499999999999995</v>
      </c>
      <c r="AC8" s="27" t="s">
        <v>59</v>
      </c>
      <c r="AD8" s="27">
        <v>5.2499999999999998E-2</v>
      </c>
      <c r="AE8" s="27" t="s">
        <v>98</v>
      </c>
      <c r="AF8" s="27"/>
      <c r="AG8" s="27"/>
      <c r="AH8" s="27"/>
      <c r="AI8" s="27"/>
      <c r="AJ8" s="27">
        <f>HLOOKUP(C5,kothor1,3,FALSE)</f>
        <v>3</v>
      </c>
      <c r="AK8" s="27"/>
      <c r="AL8" s="27"/>
      <c r="AM8" s="27"/>
      <c r="AN8" s="27">
        <v>3.5</v>
      </c>
      <c r="AO8" s="27"/>
      <c r="AP8" s="27"/>
      <c r="AQ8" s="27"/>
      <c r="AR8" s="27"/>
      <c r="AS8" s="27"/>
      <c r="AT8" s="27"/>
      <c r="AU8" s="27"/>
      <c r="AV8" s="27"/>
      <c r="AW8" s="27"/>
      <c r="AX8" s="27"/>
      <c r="AY8" s="27"/>
      <c r="AZ8" s="27"/>
      <c r="BA8" s="27">
        <v>6</v>
      </c>
      <c r="BB8" s="27">
        <v>0.12</v>
      </c>
      <c r="BC8" s="27"/>
      <c r="BD8" s="27"/>
      <c r="BE8" s="27"/>
      <c r="BF8" s="27"/>
      <c r="BG8" s="27"/>
      <c r="BH8" s="27"/>
      <c r="BI8" s="27"/>
      <c r="BJ8" s="27"/>
      <c r="BK8" s="27"/>
      <c r="BL8" s="27"/>
      <c r="BM8" s="27"/>
      <c r="BN8" s="27"/>
      <c r="BO8" s="27"/>
      <c r="BP8" s="27"/>
      <c r="BQ8" s="27"/>
      <c r="BR8" s="27"/>
      <c r="BS8" s="27"/>
      <c r="BT8" s="27"/>
      <c r="BU8" s="27"/>
      <c r="BV8" s="27"/>
      <c r="BW8" s="27"/>
      <c r="BX8" s="27"/>
      <c r="BY8" s="27"/>
      <c r="BZ8" s="27"/>
      <c r="CA8" s="27"/>
      <c r="CB8" s="27"/>
      <c r="CC8" s="27"/>
      <c r="CD8" s="27"/>
      <c r="CE8" s="27"/>
      <c r="CF8" s="27"/>
      <c r="CG8" s="27"/>
      <c r="CH8" s="27"/>
      <c r="CI8" s="27"/>
      <c r="CJ8" s="27"/>
      <c r="CK8" s="27"/>
      <c r="CL8" s="27"/>
      <c r="CM8" s="27"/>
      <c r="CN8" s="27"/>
      <c r="CO8" s="27"/>
      <c r="CP8" s="27"/>
      <c r="CQ8" s="27"/>
      <c r="CR8" s="27"/>
      <c r="CS8" s="27"/>
      <c r="CT8" s="27"/>
      <c r="CU8" s="27"/>
      <c r="CV8" s="27"/>
      <c r="CW8" s="27"/>
      <c r="CX8" s="27"/>
      <c r="CY8" s="27"/>
      <c r="CZ8" s="27"/>
      <c r="DA8" s="27"/>
      <c r="DB8" s="27"/>
      <c r="DC8" s="27"/>
      <c r="DD8" s="27"/>
      <c r="DE8" s="27"/>
      <c r="DF8" s="27"/>
      <c r="DG8" s="27"/>
      <c r="DH8" s="27"/>
      <c r="DI8" s="27"/>
      <c r="DJ8" s="27"/>
      <c r="DK8" s="27"/>
      <c r="DL8" s="27"/>
      <c r="DM8" s="27"/>
      <c r="DN8" s="27"/>
      <c r="DO8" s="27"/>
      <c r="DP8" s="27"/>
      <c r="DQ8" s="27"/>
      <c r="DR8" s="27"/>
      <c r="DS8" s="27"/>
      <c r="DT8" s="27"/>
    </row>
    <row r="9" spans="1:124" ht="16.5" customHeight="1" x14ac:dyDescent="0.25">
      <c r="B9" s="35" t="s">
        <v>99</v>
      </c>
      <c r="C9" s="45">
        <v>0</v>
      </c>
      <c r="D9" s="209" t="s">
        <v>100</v>
      </c>
      <c r="E9" s="210"/>
      <c r="F9" s="27"/>
      <c r="G9" s="188" t="s">
        <v>607</v>
      </c>
      <c r="H9" s="27"/>
      <c r="I9" s="27"/>
      <c r="J9" s="27"/>
      <c r="K9" s="27"/>
      <c r="L9" s="27"/>
      <c r="M9" s="27" t="s">
        <v>101</v>
      </c>
      <c r="N9" s="27">
        <v>593</v>
      </c>
      <c r="O9" s="27"/>
      <c r="P9" s="27" t="s">
        <v>102</v>
      </c>
      <c r="Q9" s="27" t="e">
        <f>#REF!</f>
        <v>#REF!</v>
      </c>
      <c r="R9" s="27"/>
      <c r="S9" s="27" t="s">
        <v>103</v>
      </c>
      <c r="T9" s="27" t="e">
        <f>IF(AI28+T8&gt;36,36,AI28+T8)</f>
        <v>#REF!</v>
      </c>
      <c r="U9" s="27" t="s">
        <v>104</v>
      </c>
      <c r="V9" s="27">
        <f>F204</f>
        <v>6</v>
      </c>
      <c r="W9" s="27" t="s">
        <v>105</v>
      </c>
      <c r="X9" s="27" t="s">
        <v>106</v>
      </c>
      <c r="Y9" s="27"/>
      <c r="Z9" s="27"/>
      <c r="AA9" s="27">
        <v>7</v>
      </c>
      <c r="AB9" s="27">
        <v>0.58499999999999996</v>
      </c>
      <c r="AC9" s="27" t="s">
        <v>59</v>
      </c>
      <c r="AD9" s="27">
        <v>4.4999999999999998E-2</v>
      </c>
      <c r="AE9" s="27" t="s">
        <v>107</v>
      </c>
      <c r="AF9" s="27"/>
      <c r="AG9" s="27"/>
      <c r="AH9" s="27"/>
      <c r="AI9" s="27"/>
      <c r="AJ9" s="27"/>
      <c r="AK9" s="27"/>
      <c r="AL9" s="27"/>
      <c r="AM9" s="27"/>
      <c r="AN9" s="27">
        <v>4</v>
      </c>
      <c r="AO9" s="27" t="s">
        <v>59</v>
      </c>
      <c r="AP9" s="27"/>
      <c r="AQ9" s="27"/>
      <c r="AR9" s="27"/>
      <c r="AS9" s="27"/>
      <c r="AT9" s="27"/>
      <c r="AU9" s="27"/>
      <c r="AV9" s="27"/>
      <c r="AW9" s="27"/>
      <c r="AX9" s="27"/>
      <c r="AY9" s="27"/>
      <c r="AZ9" s="27"/>
      <c r="BA9" s="27">
        <v>7</v>
      </c>
      <c r="BB9" s="27">
        <v>0.14399999999999999</v>
      </c>
      <c r="BC9" s="27"/>
      <c r="BD9" s="27"/>
      <c r="BE9" s="27"/>
      <c r="BF9" s="27"/>
      <c r="BG9" s="27"/>
      <c r="BH9" s="27"/>
      <c r="BI9" s="27"/>
      <c r="BJ9" s="27"/>
      <c r="BK9" s="27"/>
      <c r="BL9" s="27"/>
      <c r="BM9" s="27"/>
      <c r="BN9" s="27"/>
      <c r="BO9" s="27"/>
      <c r="BP9" s="27"/>
      <c r="BQ9" s="27"/>
      <c r="BR9" s="27"/>
      <c r="BS9" s="27"/>
      <c r="BT9" s="27"/>
      <c r="BU9" s="27"/>
      <c r="BV9" s="27"/>
      <c r="BW9" s="27"/>
      <c r="BX9" s="27"/>
      <c r="BY9" s="27"/>
      <c r="BZ9" s="27"/>
      <c r="CA9" s="27"/>
      <c r="CB9" s="27"/>
      <c r="CC9" s="27"/>
      <c r="CD9" s="27"/>
      <c r="CE9" s="27"/>
      <c r="CF9" s="27"/>
      <c r="CG9" s="27"/>
      <c r="CH9" s="27"/>
      <c r="CI9" s="27"/>
      <c r="CJ9" s="27"/>
      <c r="CK9" s="27"/>
      <c r="CL9" s="27"/>
      <c r="CM9" s="27"/>
      <c r="CN9" s="27"/>
      <c r="CO9" s="27"/>
      <c r="CP9" s="27"/>
      <c r="CQ9" s="27"/>
      <c r="CR9" s="27"/>
      <c r="CS9" s="27"/>
      <c r="CT9" s="27"/>
      <c r="CU9" s="27"/>
      <c r="CV9" s="27"/>
      <c r="CW9" s="27"/>
      <c r="CX9" s="27"/>
      <c r="CY9" s="27"/>
      <c r="CZ9" s="27"/>
      <c r="DA9" s="27" t="s">
        <v>108</v>
      </c>
      <c r="DB9" s="27" t="s">
        <v>109</v>
      </c>
      <c r="DC9" s="27"/>
      <c r="DD9" s="27"/>
      <c r="DE9" s="27" t="s">
        <v>108</v>
      </c>
      <c r="DF9" s="27" t="s">
        <v>109</v>
      </c>
      <c r="DG9" s="27"/>
      <c r="DH9" s="27"/>
      <c r="DI9" s="27"/>
      <c r="DJ9" s="27"/>
      <c r="DK9" s="27"/>
      <c r="DL9" s="27"/>
      <c r="DM9" s="27"/>
      <c r="DN9" s="27"/>
      <c r="DO9" s="27"/>
      <c r="DP9" s="27"/>
      <c r="DQ9" s="27"/>
      <c r="DR9" s="27"/>
      <c r="DS9" s="27"/>
      <c r="DT9" s="27"/>
    </row>
    <row r="10" spans="1:124" ht="15.75" customHeight="1" x14ac:dyDescent="0.25">
      <c r="B10" s="42" t="s">
        <v>110</v>
      </c>
      <c r="C10" s="189">
        <f>F14</f>
        <v>0</v>
      </c>
      <c r="D10" s="46" t="s">
        <v>111</v>
      </c>
      <c r="E10" s="39"/>
      <c r="F10" s="27"/>
      <c r="G10" s="27"/>
      <c r="H10" s="187">
        <v>0</v>
      </c>
      <c r="I10" s="27"/>
      <c r="J10" s="27"/>
      <c r="K10" s="27"/>
      <c r="L10" s="27"/>
      <c r="M10" s="27" t="s">
        <v>6</v>
      </c>
      <c r="N10" s="27">
        <f>N7*C14</f>
        <v>0</v>
      </c>
      <c r="O10" s="27"/>
      <c r="P10" s="27" t="s">
        <v>87</v>
      </c>
      <c r="Q10" s="27" t="e">
        <f>G201</f>
        <v>#REF!</v>
      </c>
      <c r="R10" s="27">
        <f>VLOOKUP(INT(AB42),horaa2,AJ17+2,FALSE)*(1)*BC27</f>
        <v>6975.17</v>
      </c>
      <c r="S10" s="27" t="s">
        <v>113</v>
      </c>
      <c r="T10" s="27" t="e">
        <f>VLOOKUP(INT(T9),ofek4,V9+2,FALSE)*(1+AG36/100)*BC27*Y16*Y2</f>
        <v>#REF!</v>
      </c>
      <c r="U10" s="27" t="e">
        <f>VLOOKUP(INT(T9),ofek4,V9+2,FALSE)*(1+AG36/100)*BC27*Y16*Y2</f>
        <v>#REF!</v>
      </c>
      <c r="V10" s="27"/>
      <c r="W10" s="27"/>
      <c r="X10" s="27" t="s">
        <v>114</v>
      </c>
      <c r="Y10" s="27"/>
      <c r="Z10" s="27"/>
      <c r="AA10" s="27">
        <v>8</v>
      </c>
      <c r="AB10" s="27">
        <v>0.6</v>
      </c>
      <c r="AC10" s="27"/>
      <c r="AD10" s="27">
        <v>0</v>
      </c>
      <c r="AE10" s="27" t="s">
        <v>115</v>
      </c>
      <c r="AF10" s="27"/>
      <c r="AG10" s="27"/>
      <c r="AH10" s="27"/>
      <c r="AI10" s="27"/>
      <c r="AJ10" s="27"/>
      <c r="AK10" s="27"/>
      <c r="AL10" s="27"/>
      <c r="AM10" s="27"/>
      <c r="AN10" s="27">
        <v>4.5</v>
      </c>
      <c r="AO10" s="27" t="s">
        <v>59</v>
      </c>
      <c r="AP10" s="27"/>
      <c r="AQ10" s="27"/>
      <c r="AR10" s="27"/>
      <c r="AS10" s="27"/>
      <c r="AT10" s="27"/>
      <c r="AU10" s="27"/>
      <c r="AV10" s="27"/>
      <c r="AW10" s="27"/>
      <c r="AX10" s="27"/>
      <c r="AY10" s="27"/>
      <c r="AZ10" s="27"/>
      <c r="BA10" s="27">
        <v>8</v>
      </c>
      <c r="BB10" s="27">
        <v>0.16800000000000001</v>
      </c>
      <c r="BC10" s="27"/>
      <c r="BD10" s="27"/>
      <c r="BE10" s="27"/>
      <c r="BF10" s="27"/>
      <c r="BG10" s="27"/>
      <c r="BH10" s="27"/>
      <c r="BI10" s="27"/>
      <c r="BJ10" s="27"/>
      <c r="BK10" s="27"/>
      <c r="BL10" s="27"/>
      <c r="BM10" s="27"/>
      <c r="BN10" s="27"/>
      <c r="BO10" s="27"/>
      <c r="BP10" s="27"/>
      <c r="BQ10" s="27"/>
      <c r="BR10" s="27"/>
      <c r="BS10" s="27"/>
      <c r="BT10" s="27"/>
      <c r="BU10" s="27"/>
      <c r="BV10" s="27"/>
      <c r="BW10" s="27"/>
      <c r="BX10" s="27"/>
      <c r="BY10" s="27"/>
      <c r="BZ10" s="27"/>
      <c r="CA10" s="27"/>
      <c r="CB10" s="27"/>
      <c r="CC10" s="27"/>
      <c r="CD10" s="27"/>
      <c r="CE10" s="27"/>
      <c r="CF10" s="27"/>
      <c r="CG10" s="27"/>
      <c r="CH10" s="27"/>
      <c r="CI10" s="27"/>
      <c r="CJ10" s="27"/>
      <c r="CK10" s="27"/>
      <c r="CL10" s="27"/>
      <c r="CM10" s="27"/>
      <c r="CN10" s="27"/>
      <c r="CO10" s="27"/>
      <c r="CP10" s="27"/>
      <c r="CQ10" s="27"/>
      <c r="CR10" s="27"/>
      <c r="CS10" s="27"/>
      <c r="CT10" s="27"/>
      <c r="CU10" s="27"/>
      <c r="CV10" s="27"/>
      <c r="CW10" s="27" t="s">
        <v>116</v>
      </c>
      <c r="CX10" s="27"/>
      <c r="CY10" s="27"/>
      <c r="CZ10" s="27"/>
      <c r="DA10" s="27"/>
      <c r="DB10" s="27"/>
      <c r="DC10" s="27"/>
      <c r="DD10" s="27"/>
      <c r="DE10" s="27"/>
      <c r="DF10" s="27"/>
      <c r="DG10" s="27"/>
      <c r="DH10" s="27"/>
      <c r="DI10" s="27"/>
      <c r="DJ10" s="27"/>
      <c r="DK10" s="27" t="s">
        <v>117</v>
      </c>
      <c r="DL10" s="27"/>
      <c r="DM10" s="27"/>
      <c r="DN10" s="27"/>
      <c r="DO10" s="27"/>
      <c r="DP10" s="27"/>
      <c r="DQ10" s="27"/>
      <c r="DR10" s="27"/>
      <c r="DS10" s="27"/>
      <c r="DT10" s="27"/>
    </row>
    <row r="11" spans="1:124" ht="15" x14ac:dyDescent="0.25">
      <c r="B11" s="47" t="s">
        <v>32</v>
      </c>
      <c r="C11" s="48">
        <v>0</v>
      </c>
      <c r="D11" s="209" t="s">
        <v>118</v>
      </c>
      <c r="E11" s="210"/>
      <c r="F11" s="27"/>
      <c r="G11" s="188"/>
      <c r="H11" s="27"/>
      <c r="I11" s="27"/>
      <c r="J11" s="27"/>
      <c r="K11" s="27"/>
      <c r="L11" s="27"/>
      <c r="M11" s="27"/>
      <c r="N11" s="27"/>
      <c r="O11" s="27"/>
      <c r="P11" s="27" t="str">
        <f>IF(X2=0," = הזן  נתונים מימין ==&gt;",W2)</f>
        <v>ת.שכר 2001</v>
      </c>
      <c r="Q11" s="27">
        <v>0</v>
      </c>
      <c r="R11" s="27">
        <f>R10*X2</f>
        <v>209.2551</v>
      </c>
      <c r="S11" s="27">
        <f>H8</f>
        <v>0</v>
      </c>
      <c r="T11" s="27">
        <v>0</v>
      </c>
      <c r="U11" s="27"/>
      <c r="V11" s="27"/>
      <c r="W11" s="27"/>
      <c r="X11" s="27"/>
      <c r="Y11" s="27"/>
      <c r="Z11" s="27"/>
      <c r="AA11" s="27">
        <v>9</v>
      </c>
      <c r="AB11" s="27">
        <v>0.62</v>
      </c>
      <c r="AC11" s="27"/>
      <c r="AD11" s="27">
        <f>IF(BG67=AE3,AD3,IF(BG67=AE4,AD4,IF(BG67=AE5,AD5,IF(BG67=AE6,AD6,IF(BG67=AE7,AD7,IF(BG67=AE8,AD8,IF(BG67=AE9,AD9,IF(BG67=AE10,AD10))))))))</f>
        <v>0</v>
      </c>
      <c r="AE11" s="27"/>
      <c r="AF11" s="27"/>
      <c r="AG11" s="27"/>
      <c r="AH11" s="27"/>
      <c r="AI11" s="27"/>
      <c r="AJ11" s="27"/>
      <c r="AK11" s="27"/>
      <c r="AL11" s="27"/>
      <c r="AM11" s="27"/>
      <c r="AN11" s="27">
        <v>5</v>
      </c>
      <c r="AO11" s="27" t="s">
        <v>59</v>
      </c>
      <c r="AP11" s="27"/>
      <c r="AQ11" s="27"/>
      <c r="AR11" s="27"/>
      <c r="AS11" s="27"/>
      <c r="AT11" s="27"/>
      <c r="AU11" s="27"/>
      <c r="AV11" s="27"/>
      <c r="AW11" s="27"/>
      <c r="AX11" s="27"/>
      <c r="AY11" s="27"/>
      <c r="AZ11" s="27"/>
      <c r="BA11" s="27">
        <v>9</v>
      </c>
      <c r="BB11" s="27">
        <v>0.192</v>
      </c>
      <c r="BC11" s="27"/>
      <c r="BD11" s="27"/>
      <c r="BE11" s="27"/>
      <c r="BF11" s="27"/>
      <c r="BG11" s="27"/>
      <c r="BH11" s="27"/>
      <c r="BI11" s="27"/>
      <c r="BJ11" s="27"/>
      <c r="BK11" s="27"/>
      <c r="BL11" s="27"/>
      <c r="BM11" s="27"/>
      <c r="BN11" s="27"/>
      <c r="BO11" s="27"/>
      <c r="BP11" s="27"/>
      <c r="BQ11" s="27"/>
      <c r="BR11" s="27"/>
      <c r="BS11" s="27"/>
      <c r="BT11" s="27"/>
      <c r="BU11" s="27"/>
      <c r="BV11" s="27"/>
      <c r="BW11" s="27"/>
      <c r="BX11" s="27"/>
      <c r="BY11" s="27"/>
      <c r="BZ11" s="27"/>
      <c r="CA11" s="27"/>
      <c r="CB11" s="27"/>
      <c r="CC11" s="27"/>
      <c r="CD11" s="27"/>
      <c r="CE11" s="27"/>
      <c r="CF11" s="27"/>
      <c r="CG11" s="27"/>
      <c r="CH11" s="27"/>
      <c r="CI11" s="27"/>
      <c r="CJ11" s="27"/>
      <c r="CK11" s="27"/>
      <c r="CL11" s="27"/>
      <c r="CM11" s="27"/>
      <c r="CN11" s="27"/>
      <c r="CO11" s="27"/>
      <c r="CP11" s="27"/>
      <c r="CQ11" s="27" t="s">
        <v>120</v>
      </c>
      <c r="CR11" s="27"/>
      <c r="CS11" s="27"/>
      <c r="CT11" s="27"/>
      <c r="CU11" s="27"/>
      <c r="CV11" s="27" t="s">
        <v>121</v>
      </c>
      <c r="CW11" s="27" t="s">
        <v>122</v>
      </c>
      <c r="CX11" s="27" t="s">
        <v>123</v>
      </c>
      <c r="CY11" s="27"/>
      <c r="CZ11" s="27" t="s">
        <v>121</v>
      </c>
      <c r="DA11" s="27" t="s">
        <v>122</v>
      </c>
      <c r="DB11" s="27" t="s">
        <v>122</v>
      </c>
      <c r="DC11" s="27"/>
      <c r="DD11" s="27" t="s">
        <v>121</v>
      </c>
      <c r="DE11" s="27" t="s">
        <v>124</v>
      </c>
      <c r="DF11" s="27" t="s">
        <v>124</v>
      </c>
      <c r="DG11" s="27"/>
      <c r="DH11" s="27"/>
      <c r="DI11" s="27"/>
      <c r="DJ11" s="27"/>
      <c r="DK11" s="27" t="s">
        <v>124</v>
      </c>
      <c r="DL11" s="27" t="s">
        <v>122</v>
      </c>
      <c r="DM11" s="27"/>
      <c r="DN11" s="27"/>
      <c r="DO11" s="27"/>
      <c r="DP11" s="27"/>
      <c r="DQ11" s="27"/>
      <c r="DR11" s="27"/>
      <c r="DS11" s="27"/>
      <c r="DT11" s="27"/>
    </row>
    <row r="12" spans="1:124" ht="15" x14ac:dyDescent="0.25">
      <c r="B12" s="47" t="s">
        <v>3</v>
      </c>
      <c r="C12" s="48">
        <v>0</v>
      </c>
      <c r="D12" s="209" t="s">
        <v>118</v>
      </c>
      <c r="E12" s="210"/>
      <c r="F12" s="27"/>
      <c r="G12" s="27"/>
      <c r="H12" s="27"/>
      <c r="I12" s="27"/>
      <c r="J12" s="27"/>
      <c r="K12" s="27"/>
      <c r="L12" s="27"/>
      <c r="M12" s="27"/>
      <c r="N12" s="27"/>
      <c r="O12" s="27"/>
      <c r="P12" s="27" t="str">
        <f>IF(C150=0," = הזן  נתונים  מימין ==&gt;",B150)</f>
        <v xml:space="preserve">לא </v>
      </c>
      <c r="Q12" s="27">
        <v>0</v>
      </c>
      <c r="R12" s="27">
        <f>Q12</f>
        <v>0</v>
      </c>
      <c r="S12" s="27">
        <f>H11</f>
        <v>0</v>
      </c>
      <c r="T12" s="27">
        <v>0</v>
      </c>
      <c r="U12" s="27"/>
      <c r="V12" s="27"/>
      <c r="W12" s="27"/>
      <c r="X12" s="27"/>
      <c r="Y12" s="27" t="s">
        <v>59</v>
      </c>
      <c r="Z12" s="27"/>
      <c r="AA12" s="27">
        <v>1</v>
      </c>
      <c r="AB12" s="27">
        <v>0.63500000000000001</v>
      </c>
      <c r="AC12" s="27"/>
      <c r="AD12" s="27"/>
      <c r="AE12" s="27"/>
      <c r="AF12" s="27"/>
      <c r="AG12" s="27"/>
      <c r="AH12" s="27"/>
      <c r="AI12" s="27"/>
      <c r="AJ12" s="27"/>
      <c r="AK12" s="27"/>
      <c r="AL12" s="27"/>
      <c r="AM12" s="27"/>
      <c r="AN12" s="27">
        <v>5.5</v>
      </c>
      <c r="AO12" s="27" t="s">
        <v>59</v>
      </c>
      <c r="AP12" s="27"/>
      <c r="AQ12" s="27"/>
      <c r="AR12" s="27"/>
      <c r="AS12" s="27"/>
      <c r="AT12" s="27"/>
      <c r="AU12" s="27"/>
      <c r="AV12" s="27"/>
      <c r="AW12" s="27"/>
      <c r="AX12" s="27"/>
      <c r="AY12" s="27"/>
      <c r="AZ12" s="27"/>
      <c r="BA12" s="27">
        <v>10</v>
      </c>
      <c r="BB12" s="27">
        <v>0.216</v>
      </c>
      <c r="BC12" s="27"/>
      <c r="BD12" s="27"/>
      <c r="BE12" s="27"/>
      <c r="BF12" s="27"/>
      <c r="BG12" s="27"/>
      <c r="BH12" s="27"/>
      <c r="BI12" s="27"/>
      <c r="BJ12" s="27"/>
      <c r="BK12" s="27"/>
      <c r="BL12" s="27"/>
      <c r="BM12" s="27"/>
      <c r="BN12" s="27"/>
      <c r="BO12" s="27"/>
      <c r="BP12" s="27"/>
      <c r="BQ12" s="27"/>
      <c r="BR12" s="27"/>
      <c r="BS12" s="27"/>
      <c r="BT12" s="27"/>
      <c r="BU12" s="27"/>
      <c r="BV12" s="27"/>
      <c r="BW12" s="27"/>
      <c r="BX12" s="27"/>
      <c r="BY12" s="27"/>
      <c r="BZ12" s="27" t="s">
        <v>125</v>
      </c>
      <c r="CA12" s="27" t="s">
        <v>126</v>
      </c>
      <c r="CB12" s="27" t="s">
        <v>10</v>
      </c>
      <c r="CC12" s="27" t="s">
        <v>11</v>
      </c>
      <c r="CD12" s="27" t="s">
        <v>1</v>
      </c>
      <c r="CE12" s="27"/>
      <c r="CF12" s="27"/>
      <c r="CG12" s="27"/>
      <c r="CH12" s="27"/>
      <c r="CI12" s="27"/>
      <c r="CJ12" s="27"/>
      <c r="CK12" s="27"/>
      <c r="CL12" s="27"/>
      <c r="CM12" s="27"/>
      <c r="CN12" s="27"/>
      <c r="CO12" s="27"/>
      <c r="CP12" s="27"/>
      <c r="CQ12" s="27" t="s">
        <v>127</v>
      </c>
      <c r="CR12" s="27"/>
      <c r="CS12" s="27">
        <v>1</v>
      </c>
      <c r="CT12" s="27">
        <v>0</v>
      </c>
      <c r="CU12" s="27"/>
      <c r="CV12" s="27">
        <v>1</v>
      </c>
      <c r="CW12" s="27">
        <v>20.7</v>
      </c>
      <c r="CX12" s="27"/>
      <c r="CY12" s="27"/>
      <c r="CZ12" s="27">
        <v>1</v>
      </c>
      <c r="DA12" s="27">
        <v>16.8</v>
      </c>
      <c r="DB12" s="27">
        <v>19.46</v>
      </c>
      <c r="DC12" s="27"/>
      <c r="DD12" s="27">
        <v>1</v>
      </c>
      <c r="DE12" s="27">
        <v>0</v>
      </c>
      <c r="DF12" s="27">
        <v>0</v>
      </c>
      <c r="DG12" s="27"/>
      <c r="DH12" s="27" t="s">
        <v>124</v>
      </c>
      <c r="DI12" s="27"/>
      <c r="DJ12" s="27"/>
      <c r="DK12" s="27"/>
      <c r="DL12" s="27">
        <v>17.899999999999999</v>
      </c>
      <c r="DM12" s="27"/>
      <c r="DN12" s="27"/>
      <c r="DO12" s="27"/>
      <c r="DP12" s="27"/>
      <c r="DQ12" s="27"/>
      <c r="DR12" s="27"/>
      <c r="DS12" s="27"/>
      <c r="DT12" s="27"/>
    </row>
    <row r="13" spans="1:124" ht="15" x14ac:dyDescent="0.25">
      <c r="A13" s="49"/>
      <c r="B13" s="47" t="s">
        <v>5</v>
      </c>
      <c r="C13" s="48">
        <v>0</v>
      </c>
      <c r="D13" s="209" t="s">
        <v>118</v>
      </c>
      <c r="E13" s="210"/>
      <c r="F13" s="27"/>
      <c r="G13" s="27"/>
      <c r="H13" s="27"/>
      <c r="I13" s="27"/>
      <c r="J13" s="27"/>
      <c r="K13" s="27" t="e">
        <f>($I$7+$I$8+#REF!+$I$11+#REF!+500)*1.2%*($C$7)*C9</f>
        <v>#REF!</v>
      </c>
      <c r="L13" s="27" t="s">
        <v>129</v>
      </c>
      <c r="M13" s="27"/>
      <c r="N13" s="27"/>
      <c r="O13" s="27"/>
      <c r="P13" s="27" t="str">
        <f>IF(X3=0," = הזן  נתונים מימין ==&gt;",W3)</f>
        <v xml:space="preserve">ת.שכר 2008 </v>
      </c>
      <c r="Q13" s="27">
        <v>0</v>
      </c>
      <c r="R13" s="27">
        <f>(R10+R11)*X3</f>
        <v>345.57084730999998</v>
      </c>
      <c r="S13" s="27">
        <f>H9</f>
        <v>0</v>
      </c>
      <c r="T13" s="27">
        <v>0</v>
      </c>
      <c r="U13" s="27" t="s">
        <v>8</v>
      </c>
      <c r="V13" s="27"/>
      <c r="W13" s="27">
        <f>IF(BG65=X7,10%,IF(BG65=X8,20%,IF(BG65=X9,11.5%,6%)))</f>
        <v>0.06</v>
      </c>
      <c r="X13" s="27" t="s">
        <v>130</v>
      </c>
      <c r="Y13" s="27">
        <v>0.05</v>
      </c>
      <c r="Z13" s="27"/>
      <c r="AA13" s="27">
        <v>11</v>
      </c>
      <c r="AB13" s="27">
        <v>0.66</v>
      </c>
      <c r="AC13" s="27"/>
      <c r="AD13" s="27" t="s">
        <v>131</v>
      </c>
      <c r="AE13" s="27">
        <v>0</v>
      </c>
      <c r="AF13" s="27"/>
      <c r="AG13" s="27"/>
      <c r="AH13" s="27"/>
      <c r="AI13" s="27"/>
      <c r="AJ13" s="27"/>
      <c r="AK13" s="27"/>
      <c r="AL13" s="27"/>
      <c r="AM13" s="27"/>
      <c r="AN13" s="27">
        <v>6</v>
      </c>
      <c r="AO13" s="27" t="s">
        <v>59</v>
      </c>
      <c r="AP13" s="27"/>
      <c r="AQ13" s="27"/>
      <c r="AR13" s="27"/>
      <c r="AS13" s="27"/>
      <c r="AT13" s="27"/>
      <c r="AU13" s="27"/>
      <c r="AV13" s="27"/>
      <c r="AW13" s="27"/>
      <c r="AX13" s="27"/>
      <c r="AY13" s="27"/>
      <c r="AZ13" s="27"/>
      <c r="BA13" s="27">
        <v>11</v>
      </c>
      <c r="BB13" s="27">
        <v>0.24</v>
      </c>
      <c r="BC13" s="27"/>
      <c r="BD13" s="27"/>
      <c r="BE13" s="27"/>
      <c r="BF13" s="27"/>
      <c r="BG13" s="27"/>
      <c r="BH13" s="27"/>
      <c r="BI13" s="27"/>
      <c r="BJ13" s="27"/>
      <c r="BK13" s="27"/>
      <c r="BL13" s="27"/>
      <c r="BM13" s="27"/>
      <c r="BN13" s="27"/>
      <c r="BO13" s="27"/>
      <c r="BP13" s="27"/>
      <c r="BQ13" s="27"/>
      <c r="BR13" s="27"/>
      <c r="BS13" s="27"/>
      <c r="BT13" s="27"/>
      <c r="BU13" s="27"/>
      <c r="BV13" s="27"/>
      <c r="BW13" s="27"/>
      <c r="BX13" s="27"/>
      <c r="BY13" s="27"/>
      <c r="BZ13" s="27"/>
      <c r="CA13" s="27"/>
      <c r="CB13" s="27"/>
      <c r="CC13" s="27"/>
      <c r="CD13" s="27"/>
      <c r="CE13" s="27"/>
      <c r="CF13" s="27"/>
      <c r="CG13" s="27"/>
      <c r="CH13" s="27"/>
      <c r="CI13" s="27"/>
      <c r="CJ13" s="27"/>
      <c r="CK13" s="27"/>
      <c r="CL13" s="27"/>
      <c r="CM13" s="27"/>
      <c r="CN13" s="27"/>
      <c r="CO13" s="27"/>
      <c r="CP13" s="27"/>
      <c r="CQ13" s="27" t="s">
        <v>132</v>
      </c>
      <c r="CR13" s="27"/>
      <c r="CS13" s="27">
        <v>2</v>
      </c>
      <c r="CT13" s="27">
        <f>CT12+2.4</f>
        <v>2.4</v>
      </c>
      <c r="CU13" s="27"/>
      <c r="CV13" s="27">
        <v>2</v>
      </c>
      <c r="CW13" s="27">
        <v>23.5</v>
      </c>
      <c r="CX13" s="27"/>
      <c r="CY13" s="27"/>
      <c r="CZ13" s="27">
        <v>2</v>
      </c>
      <c r="DA13" s="27">
        <v>18.2</v>
      </c>
      <c r="DB13" s="27">
        <v>21.38</v>
      </c>
      <c r="DC13" s="27"/>
      <c r="DD13" s="27">
        <v>2</v>
      </c>
      <c r="DE13" s="27">
        <v>0</v>
      </c>
      <c r="DF13" s="27">
        <v>0</v>
      </c>
      <c r="DG13" s="27"/>
      <c r="DH13" s="27"/>
      <c r="DI13" s="27"/>
      <c r="DJ13" s="27"/>
      <c r="DK13" s="27"/>
      <c r="DL13" s="27">
        <v>19.8</v>
      </c>
      <c r="DM13" s="27"/>
      <c r="DN13" s="27"/>
      <c r="DO13" s="27"/>
      <c r="DP13" s="27"/>
      <c r="DQ13" s="27"/>
      <c r="DR13" s="27"/>
      <c r="DS13" s="27"/>
      <c r="DT13" s="27"/>
    </row>
    <row r="14" spans="1:124" ht="13.5" customHeight="1" x14ac:dyDescent="0.25">
      <c r="B14" s="47" t="s">
        <v>6</v>
      </c>
      <c r="C14" s="48">
        <v>0</v>
      </c>
      <c r="D14" s="209" t="s">
        <v>133</v>
      </c>
      <c r="E14" s="210"/>
      <c r="F14" s="27">
        <f>F16*(F15+1)</f>
        <v>0</v>
      </c>
      <c r="G14" s="27"/>
      <c r="H14" s="27"/>
      <c r="I14" s="27"/>
      <c r="J14" s="27"/>
      <c r="K14" s="27" t="e">
        <f>($I$7+$I$8+#REF!+$I$11+#REF!+500)*1.2%*($C$8)*C9</f>
        <v>#REF!</v>
      </c>
      <c r="L14" s="27" t="s">
        <v>134</v>
      </c>
      <c r="M14" s="27"/>
      <c r="N14" s="27"/>
      <c r="O14" s="27"/>
      <c r="P14" s="27" t="str">
        <f>IF(C151=0," = הזן  נתונים  מימין ==&gt;",B151)</f>
        <v>הסכם 87</v>
      </c>
      <c r="Q14" s="27">
        <v>0</v>
      </c>
      <c r="R14" s="27">
        <f>Q14</f>
        <v>0</v>
      </c>
      <c r="S14" s="27">
        <f>H12</f>
        <v>0</v>
      </c>
      <c r="T14" s="27">
        <v>0</v>
      </c>
      <c r="U14" s="27"/>
      <c r="V14" s="27"/>
      <c r="W14" s="27"/>
      <c r="X14" s="27" t="s">
        <v>135</v>
      </c>
      <c r="Y14" s="27">
        <v>0.10249999999999999</v>
      </c>
      <c r="Z14" s="27"/>
      <c r="AA14" s="27">
        <v>12</v>
      </c>
      <c r="AB14" s="27">
        <v>0.68</v>
      </c>
      <c r="AC14" s="27"/>
      <c r="AD14" s="27" t="s">
        <v>136</v>
      </c>
      <c r="AE14" s="27">
        <f>AB44</f>
        <v>1</v>
      </c>
      <c r="AF14" s="27"/>
      <c r="AG14" s="27"/>
      <c r="AH14" s="27">
        <v>5</v>
      </c>
      <c r="AI14" s="27"/>
      <c r="AJ14" s="27" t="s">
        <v>137</v>
      </c>
      <c r="AK14" s="27"/>
      <c r="AL14" s="27" t="e">
        <f>#REF!</f>
        <v>#REF!</v>
      </c>
      <c r="AM14" s="27"/>
      <c r="AN14" s="27">
        <v>6.5</v>
      </c>
      <c r="AO14" s="27" t="s">
        <v>59</v>
      </c>
      <c r="AP14" s="27"/>
      <c r="AQ14" s="27"/>
      <c r="AR14" s="27"/>
      <c r="AS14" s="27"/>
      <c r="AT14" s="27"/>
      <c r="AU14" s="27"/>
      <c r="AV14" s="27" t="e">
        <f>IF(BG61+BG62&gt;=AO40,'[1]נתוני מס'!I16*Q26,0)</f>
        <v>#REF!</v>
      </c>
      <c r="AW14" s="27"/>
      <c r="AX14" s="27"/>
      <c r="AY14" s="27"/>
      <c r="AZ14" s="27"/>
      <c r="BA14" s="27">
        <v>12</v>
      </c>
      <c r="BB14" s="27">
        <v>0.26400000000000001</v>
      </c>
      <c r="BC14" s="27"/>
      <c r="BD14" s="27"/>
      <c r="BE14" s="27"/>
      <c r="BF14" s="27"/>
      <c r="BG14" s="27"/>
      <c r="BH14" s="27"/>
      <c r="BI14" s="27"/>
      <c r="BJ14" s="27"/>
      <c r="BK14" s="27"/>
      <c r="BL14" s="27"/>
      <c r="BM14" s="27"/>
      <c r="BN14" s="27"/>
      <c r="BO14" s="27"/>
      <c r="BP14" s="27"/>
      <c r="BQ14" s="27"/>
      <c r="BR14" s="27"/>
      <c r="BS14" s="27"/>
      <c r="BT14" s="27"/>
      <c r="BU14" s="27"/>
      <c r="BV14" s="27"/>
      <c r="BW14" s="27"/>
      <c r="BX14" s="27"/>
      <c r="BY14" s="27"/>
      <c r="BZ14" s="27" t="s">
        <v>138</v>
      </c>
      <c r="CA14" s="27" t="s">
        <v>139</v>
      </c>
      <c r="CB14" s="27" t="s">
        <v>140</v>
      </c>
      <c r="CC14" s="27"/>
      <c r="CD14" s="27"/>
      <c r="CE14" s="27"/>
      <c r="CF14" s="27"/>
      <c r="CG14" s="27" t="s">
        <v>141</v>
      </c>
      <c r="CH14" s="27"/>
      <c r="CI14" s="27"/>
      <c r="CJ14" s="27"/>
      <c r="CK14" s="27" t="s">
        <v>142</v>
      </c>
      <c r="CL14" s="27"/>
      <c r="CM14" s="27"/>
      <c r="CN14" s="27"/>
      <c r="CO14" s="27"/>
      <c r="CP14" s="27"/>
      <c r="CQ14" s="27" t="s">
        <v>143</v>
      </c>
      <c r="CR14" s="27"/>
      <c r="CS14" s="27">
        <v>3</v>
      </c>
      <c r="CT14" s="27">
        <f t="shared" ref="CT14:CT27" si="0">CT13+2.4</f>
        <v>4.8</v>
      </c>
      <c r="CU14" s="27"/>
      <c r="CV14" s="27">
        <v>3</v>
      </c>
      <c r="CW14" s="27">
        <v>26.6</v>
      </c>
      <c r="CX14" s="27"/>
      <c r="CY14" s="27"/>
      <c r="CZ14" s="27">
        <v>3</v>
      </c>
      <c r="DA14" s="27">
        <v>19.600000000000001</v>
      </c>
      <c r="DB14" s="27">
        <v>23.18</v>
      </c>
      <c r="DC14" s="27"/>
      <c r="DD14" s="27">
        <v>3</v>
      </c>
      <c r="DE14" s="27">
        <v>0</v>
      </c>
      <c r="DF14" s="27">
        <v>0</v>
      </c>
      <c r="DG14" s="27"/>
      <c r="DH14" s="27"/>
      <c r="DI14" s="27"/>
      <c r="DJ14" s="27"/>
      <c r="DK14" s="27"/>
      <c r="DL14" s="27">
        <v>21.6</v>
      </c>
      <c r="DM14" s="27"/>
      <c r="DN14" s="27"/>
      <c r="DO14" s="27"/>
      <c r="DP14" s="27"/>
      <c r="DQ14" s="27"/>
      <c r="DR14" s="27"/>
      <c r="DS14" s="27"/>
      <c r="DT14" s="27"/>
    </row>
    <row r="15" spans="1:124" ht="17.25" customHeight="1" x14ac:dyDescent="0.25">
      <c r="B15" s="47" t="s">
        <v>144</v>
      </c>
      <c r="C15" s="50">
        <v>0</v>
      </c>
      <c r="D15" s="209" t="s">
        <v>145</v>
      </c>
      <c r="E15" s="210">
        <v>0</v>
      </c>
      <c r="F15" s="27">
        <f>VLOOKUP(C16,CS12:CT27,2,TRUE)*0.01</f>
        <v>0</v>
      </c>
      <c r="G15" s="27"/>
      <c r="H15" s="27"/>
      <c r="I15" s="27"/>
      <c r="J15" s="27"/>
      <c r="K15" s="27"/>
      <c r="L15" s="27"/>
      <c r="M15" s="27"/>
      <c r="N15" s="27"/>
      <c r="O15" s="27"/>
      <c r="P15" s="27" t="str">
        <f>BF64</f>
        <v>גמול חינוך מיוחד</v>
      </c>
      <c r="Q15" s="27" t="e">
        <f>SUM(Q10:Q13)*BG64</f>
        <v>#REF!</v>
      </c>
      <c r="R15" s="27">
        <f>SUM(R10:R13)*BG64</f>
        <v>0</v>
      </c>
      <c r="S15" s="27" t="str">
        <f>P15</f>
        <v>גמול חינוך מיוחד</v>
      </c>
      <c r="T15" s="27" t="e">
        <f>SUM(T10:T13)*BG64</f>
        <v>#REF!</v>
      </c>
      <c r="U15" s="27"/>
      <c r="V15" s="27"/>
      <c r="W15" s="27">
        <f>IF(F173=AH44,2,1)</f>
        <v>2</v>
      </c>
      <c r="X15" s="27"/>
      <c r="Y15" s="27">
        <f>IF(BG59=CD16,0,IF(BG59=CC16,Y13,IF(BG59=CB16,Y14)))</f>
        <v>0.10249999999999999</v>
      </c>
      <c r="Z15" s="27"/>
      <c r="AA15" s="27">
        <v>13</v>
      </c>
      <c r="AB15" s="27">
        <v>0.70499999999999996</v>
      </c>
      <c r="AC15" s="27"/>
      <c r="AD15" s="27"/>
      <c r="AE15" s="27"/>
      <c r="AF15" s="27"/>
      <c r="AG15" s="27"/>
      <c r="AH15" s="27">
        <v>6</v>
      </c>
      <c r="AI15" s="27"/>
      <c r="AJ15" s="27"/>
      <c r="AK15" s="27"/>
      <c r="AL15" s="27"/>
      <c r="AM15" s="27"/>
      <c r="AN15" s="27">
        <v>7</v>
      </c>
      <c r="AO15" s="27">
        <v>7.5</v>
      </c>
      <c r="AP15" s="27"/>
      <c r="AQ15" s="27"/>
      <c r="AR15" s="27"/>
      <c r="AS15" s="27"/>
      <c r="AT15" s="27"/>
      <c r="AU15" s="27" t="s">
        <v>59</v>
      </c>
      <c r="AV15" s="27">
        <f>BG61+BG62</f>
        <v>33</v>
      </c>
      <c r="AW15" s="27">
        <f>IF(AW16=0,0,1)</f>
        <v>1</v>
      </c>
      <c r="AX15" s="27"/>
      <c r="AY15" s="27"/>
      <c r="AZ15" s="27" t="s">
        <v>59</v>
      </c>
      <c r="BA15" s="27">
        <v>13</v>
      </c>
      <c r="BB15" s="27">
        <v>0.28799999999999998</v>
      </c>
      <c r="BC15" s="27"/>
      <c r="BD15" s="27"/>
      <c r="BE15" s="27"/>
      <c r="BF15" s="27"/>
      <c r="BG15" s="27"/>
      <c r="BH15" s="27"/>
      <c r="BI15" s="27"/>
      <c r="BJ15" s="27"/>
      <c r="BK15" s="27"/>
      <c r="BL15" s="27"/>
      <c r="BM15" s="27"/>
      <c r="BN15" s="27"/>
      <c r="BO15" s="27"/>
      <c r="BP15" s="27"/>
      <c r="BQ15" s="27"/>
      <c r="BR15" s="27"/>
      <c r="BS15" s="27"/>
      <c r="BT15" s="27"/>
      <c r="BU15" s="27"/>
      <c r="BV15" s="27"/>
      <c r="BW15" s="27"/>
      <c r="BX15" s="27"/>
      <c r="BY15" s="27"/>
      <c r="BZ15" s="27"/>
      <c r="CA15" s="27"/>
      <c r="CB15" s="27"/>
      <c r="CC15" s="27"/>
      <c r="CD15" s="27"/>
      <c r="CE15" s="27"/>
      <c r="CF15" s="27"/>
      <c r="CG15" s="27"/>
      <c r="CH15" s="27"/>
      <c r="CI15" s="27"/>
      <c r="CJ15" s="27"/>
      <c r="CK15" s="27"/>
      <c r="CL15" s="27"/>
      <c r="CM15" s="27"/>
      <c r="CN15" s="27"/>
      <c r="CO15" s="27"/>
      <c r="CP15" s="27"/>
      <c r="CQ15" s="27" t="s">
        <v>146</v>
      </c>
      <c r="CR15" s="27"/>
      <c r="CS15" s="27">
        <v>4</v>
      </c>
      <c r="CT15" s="27">
        <f t="shared" si="0"/>
        <v>7.1999999999999993</v>
      </c>
      <c r="CU15" s="27"/>
      <c r="CV15" s="27">
        <v>4</v>
      </c>
      <c r="CW15" s="27">
        <v>29.7</v>
      </c>
      <c r="CX15" s="27"/>
      <c r="CY15" s="27"/>
      <c r="CZ15" s="27">
        <v>4</v>
      </c>
      <c r="DA15" s="27">
        <v>21</v>
      </c>
      <c r="DB15" s="27">
        <v>24.75</v>
      </c>
      <c r="DC15" s="27"/>
      <c r="DD15" s="27">
        <v>4</v>
      </c>
      <c r="DE15" s="27">
        <v>0</v>
      </c>
      <c r="DF15" s="27">
        <v>0</v>
      </c>
      <c r="DG15" s="27"/>
      <c r="DH15" s="27"/>
      <c r="DI15" s="27"/>
      <c r="DJ15" s="27"/>
      <c r="DK15" s="27"/>
      <c r="DL15" s="27" t="s">
        <v>147</v>
      </c>
      <c r="DM15" s="27"/>
      <c r="DN15" s="27"/>
      <c r="DO15" s="27"/>
      <c r="DP15" s="27"/>
      <c r="DQ15" s="27"/>
      <c r="DR15" s="27"/>
      <c r="DS15" s="27"/>
      <c r="DT15" s="27"/>
    </row>
    <row r="16" spans="1:124" ht="18.75" customHeight="1" x14ac:dyDescent="0.25">
      <c r="B16" s="35" t="s">
        <v>148</v>
      </c>
      <c r="C16" s="40">
        <v>1</v>
      </c>
      <c r="D16" s="209" t="s">
        <v>149</v>
      </c>
      <c r="E16" s="210"/>
      <c r="F16" s="27">
        <f>IF(C19=F18,VLOOKUP(C17,DD11:DF31,2,TRUE)*0.01,VLOOKUP(C17,DD11:DF31,3,TRUE)*0.01)</f>
        <v>0</v>
      </c>
      <c r="G16" s="27" t="str">
        <f>IF(C5=CC12,"לא מחושב להמרה","")</f>
        <v/>
      </c>
      <c r="H16" s="27"/>
      <c r="I16" s="27"/>
      <c r="J16" s="27"/>
      <c r="K16" s="27"/>
      <c r="L16" s="27"/>
      <c r="M16" s="27"/>
      <c r="N16" s="27"/>
      <c r="O16" s="27"/>
      <c r="P16" s="27" t="str">
        <f>BF65</f>
        <v>גמול חינוך כתה</v>
      </c>
      <c r="Q16" s="27">
        <f>IF(BG65=X6,0,IF(BG65=X7,10%*(Q5+SUM(Q11:Q13)),IF(BG65=X8,20%*(Q5+SUM(Q11:Q13)),IF(BG65=X9,11.5%*(Q5+SUM(Q11:Q13)),6%*SUM(Q10:Q13)))))</f>
        <v>0</v>
      </c>
      <c r="R16" s="27">
        <f>IF(BG65=X6,0,IF(BG65=X7,10%*(R5+SUM(R11:R13)),IF(BG65=X8,20%*(R5+SUM(R11:R13)),IF(BG65=X9,11.5%*(R5+SUM(R11:R13)),6%*SUM(R10:R13)))))</f>
        <v>0</v>
      </c>
      <c r="S16" s="27">
        <f>H18</f>
        <v>0</v>
      </c>
      <c r="T16" s="27">
        <f>IF(BG65=X6,0,IF(BG65=X7,10%*(T5+SUM(T11:T13)),IF(BG65=X8,20%*(T5+SUM(T11:T13)),IF(BG65=X9,11.5%*(T5+SUM(T11:T13)),6%*SUM(T10:T13)))))</f>
        <v>0</v>
      </c>
      <c r="U16" s="27"/>
      <c r="V16" s="27"/>
      <c r="W16" s="27"/>
      <c r="X16" s="27"/>
      <c r="Y16" s="27">
        <f>1+Y15</f>
        <v>1.1025</v>
      </c>
      <c r="Z16" s="27"/>
      <c r="AA16" s="27"/>
      <c r="AB16" s="27">
        <f>VLOOKUP(BG70,ghad1,2,FALSE)</f>
        <v>0</v>
      </c>
      <c r="AC16" s="27"/>
      <c r="AD16" s="27"/>
      <c r="AE16" s="27"/>
      <c r="AF16" s="27"/>
      <c r="AG16" s="27"/>
      <c r="AH16" s="27"/>
      <c r="AI16" s="27" t="s">
        <v>151</v>
      </c>
      <c r="AJ16" s="27"/>
      <c r="AK16" s="27"/>
      <c r="AL16" s="27"/>
      <c r="AM16" s="27"/>
      <c r="AN16" s="27">
        <v>7.5</v>
      </c>
      <c r="AO16" s="27">
        <v>8</v>
      </c>
      <c r="AP16" s="27"/>
      <c r="AQ16" s="27"/>
      <c r="AR16" s="27"/>
      <c r="AS16" s="27"/>
      <c r="AT16" s="27"/>
      <c r="AU16" s="27" t="e">
        <f>IF(AND((YEAR(J4)=AV17),MONTH(J4&lt;9)),TRUE,FALSE)</f>
        <v>#NUM!</v>
      </c>
      <c r="AV16" s="27">
        <f>(AO40-AV15)*365</f>
        <v>-3072.2050000000004</v>
      </c>
      <c r="AW16" s="27">
        <f>MOD(AV16,365)</f>
        <v>212.79499999999962</v>
      </c>
      <c r="AX16" s="27"/>
      <c r="AY16" s="27"/>
      <c r="AZ16" s="27" t="s">
        <v>59</v>
      </c>
      <c r="BA16" s="27">
        <v>14</v>
      </c>
      <c r="BB16" s="27">
        <v>0.312</v>
      </c>
      <c r="BC16" s="27"/>
      <c r="BD16" s="27"/>
      <c r="BE16" s="27"/>
      <c r="BF16" s="27"/>
      <c r="BG16" s="27"/>
      <c r="BH16" s="27"/>
      <c r="BI16" s="27"/>
      <c r="BJ16" s="27"/>
      <c r="BK16" s="27" t="s">
        <v>152</v>
      </c>
      <c r="BL16" s="27"/>
      <c r="BM16" s="27"/>
      <c r="BN16" s="27"/>
      <c r="BO16" s="27"/>
      <c r="BP16" s="27"/>
      <c r="BQ16" s="27"/>
      <c r="BR16" s="27"/>
      <c r="BS16" s="27"/>
      <c r="BT16" s="27"/>
      <c r="BU16" s="27"/>
      <c r="BV16" s="27"/>
      <c r="BW16" s="27"/>
      <c r="BX16" s="27"/>
      <c r="BY16" s="27"/>
      <c r="BZ16" s="27"/>
      <c r="CA16" s="27"/>
      <c r="CB16" s="27" t="s">
        <v>10</v>
      </c>
      <c r="CC16" s="27" t="s">
        <v>11</v>
      </c>
      <c r="CD16" s="27" t="s">
        <v>1</v>
      </c>
      <c r="CE16" s="27" t="s">
        <v>9</v>
      </c>
      <c r="CF16" s="27" t="s">
        <v>12</v>
      </c>
      <c r="CG16" s="27" t="s">
        <v>13</v>
      </c>
      <c r="CH16" s="27" t="s">
        <v>14</v>
      </c>
      <c r="CI16" s="27" t="s">
        <v>15</v>
      </c>
      <c r="CJ16" s="27" t="s">
        <v>16</v>
      </c>
      <c r="CK16" s="27" t="s">
        <v>17</v>
      </c>
      <c r="CL16" s="27" t="s">
        <v>18</v>
      </c>
      <c r="CM16" s="27" t="s">
        <v>19</v>
      </c>
      <c r="CN16" s="27" t="s">
        <v>20</v>
      </c>
      <c r="CO16" s="27"/>
      <c r="CP16" s="27"/>
      <c r="CQ16" s="27" t="s">
        <v>153</v>
      </c>
      <c r="CR16" s="27"/>
      <c r="CS16" s="27">
        <v>5</v>
      </c>
      <c r="CT16" s="27">
        <f t="shared" si="0"/>
        <v>9.6</v>
      </c>
      <c r="CU16" s="27"/>
      <c r="CV16" s="27">
        <v>5</v>
      </c>
      <c r="CW16" s="27">
        <v>41</v>
      </c>
      <c r="CX16" s="27"/>
      <c r="CY16" s="27"/>
      <c r="CZ16" s="27">
        <v>5</v>
      </c>
      <c r="DA16" s="27">
        <v>22.5</v>
      </c>
      <c r="DB16" s="27">
        <v>26.66</v>
      </c>
      <c r="DC16" s="27"/>
      <c r="DD16" s="27">
        <v>5</v>
      </c>
      <c r="DE16" s="27">
        <v>0</v>
      </c>
      <c r="DF16" s="27">
        <v>0</v>
      </c>
      <c r="DG16" s="27"/>
      <c r="DH16" s="27"/>
      <c r="DI16" s="27"/>
      <c r="DJ16" s="27"/>
      <c r="DK16" s="27"/>
      <c r="DL16" s="27" t="s">
        <v>154</v>
      </c>
      <c r="DM16" s="27"/>
      <c r="DN16" s="27"/>
      <c r="DO16" s="27"/>
      <c r="DP16" s="27"/>
      <c r="DQ16" s="27"/>
      <c r="DR16" s="27"/>
      <c r="DS16" s="27"/>
      <c r="DT16" s="27"/>
    </row>
    <row r="17" spans="2:124" ht="15" x14ac:dyDescent="0.25">
      <c r="B17" s="42" t="str">
        <f>IF(C19=F18,"כיתות רגילות","כיתות חינוך מיוחד")</f>
        <v>כיתות רגילות</v>
      </c>
      <c r="C17" s="191">
        <f>IF(C19=F18,F25,F29)</f>
        <v>1</v>
      </c>
      <c r="D17" s="41" t="s">
        <v>155</v>
      </c>
      <c r="E17" s="39"/>
      <c r="F17" s="27"/>
      <c r="G17" s="27"/>
      <c r="H17" s="27"/>
      <c r="I17" s="27"/>
      <c r="J17" s="27"/>
      <c r="K17" s="27"/>
      <c r="L17" s="27"/>
      <c r="M17" s="27"/>
      <c r="N17" s="27"/>
      <c r="O17" s="27"/>
      <c r="P17" s="27" t="s">
        <v>156</v>
      </c>
      <c r="Q17" s="27">
        <v>0</v>
      </c>
      <c r="R17" s="27">
        <f>R10*1.2%*C8</f>
        <v>0</v>
      </c>
      <c r="S17" s="27" t="s">
        <v>156</v>
      </c>
      <c r="T17" s="27">
        <v>0</v>
      </c>
      <c r="U17" s="27"/>
      <c r="V17" s="27"/>
      <c r="W17" s="27"/>
      <c r="X17" s="27"/>
      <c r="Y17" s="27"/>
      <c r="Z17" s="27"/>
      <c r="AA17" s="27" t="s">
        <v>157</v>
      </c>
      <c r="AB17" s="27" t="s">
        <v>71</v>
      </c>
      <c r="AC17" s="27"/>
      <c r="AD17" s="27"/>
      <c r="AE17" s="27"/>
      <c r="AF17" s="27"/>
      <c r="AG17" s="27"/>
      <c r="AH17" s="27">
        <v>67</v>
      </c>
      <c r="AI17" s="27">
        <f>IF(MONTH(J4)=9,1,0)</f>
        <v>0</v>
      </c>
      <c r="AJ17" s="27">
        <f>HLOOKUP(BG59,kothor1,3,FALSE)</f>
        <v>1</v>
      </c>
      <c r="AK17" s="27">
        <f>HLOOKUP(BG59,kothor1,2,FALSE)</f>
        <v>1</v>
      </c>
      <c r="AL17" s="27" t="s">
        <v>158</v>
      </c>
      <c r="AM17" s="27">
        <v>39844</v>
      </c>
      <c r="AN17" s="27">
        <v>8</v>
      </c>
      <c r="AO17" s="27">
        <v>8.5</v>
      </c>
      <c r="AP17" s="27" t="s">
        <v>159</v>
      </c>
      <c r="AQ17" s="27">
        <v>40442</v>
      </c>
      <c r="AR17" s="27"/>
      <c r="AS17" s="27"/>
      <c r="AT17" s="27"/>
      <c r="AU17" s="27" t="e">
        <f>"06/"&amp;MID(AV17,1,4)</f>
        <v>#NUM!</v>
      </c>
      <c r="AV17" s="27" t="e">
        <f>YEAR(AV16+J4)+AW15</f>
        <v>#NUM!</v>
      </c>
      <c r="AW17" s="27" t="s">
        <v>160</v>
      </c>
      <c r="AX17" s="27"/>
      <c r="AY17" s="27"/>
      <c r="AZ17" s="27"/>
      <c r="BA17" s="27">
        <v>15</v>
      </c>
      <c r="BB17" s="27">
        <v>0.33600000000000002</v>
      </c>
      <c r="BC17" s="27"/>
      <c r="BD17" s="27"/>
      <c r="BE17" s="27" t="s">
        <v>161</v>
      </c>
      <c r="BF17" s="27" t="s">
        <v>162</v>
      </c>
      <c r="BG17" s="27" t="s">
        <v>163</v>
      </c>
      <c r="BH17" s="27"/>
      <c r="BI17" s="27"/>
      <c r="BJ17" s="27"/>
      <c r="BK17" s="27" t="s">
        <v>164</v>
      </c>
      <c r="BL17" s="27">
        <f>F159</f>
        <v>0</v>
      </c>
      <c r="BM17" s="27"/>
      <c r="BN17" s="27"/>
      <c r="BO17" s="27"/>
      <c r="BP17" s="27"/>
      <c r="BQ17" s="27" t="s">
        <v>165</v>
      </c>
      <c r="BR17" s="27"/>
      <c r="BS17" s="27"/>
      <c r="BT17" s="27"/>
      <c r="BU17" s="27"/>
      <c r="BV17" s="27"/>
      <c r="BW17" s="27"/>
      <c r="BX17" s="27"/>
      <c r="BY17" s="27"/>
      <c r="BZ17" s="27"/>
      <c r="CA17" s="27"/>
      <c r="CB17" s="27">
        <v>1</v>
      </c>
      <c r="CC17" s="27">
        <v>2</v>
      </c>
      <c r="CD17" s="27">
        <v>3</v>
      </c>
      <c r="CE17" s="27">
        <v>7</v>
      </c>
      <c r="CF17" s="27">
        <v>8</v>
      </c>
      <c r="CG17" s="27">
        <v>10</v>
      </c>
      <c r="CH17" s="27">
        <v>11</v>
      </c>
      <c r="CI17" s="27">
        <v>12</v>
      </c>
      <c r="CJ17" s="27">
        <v>13</v>
      </c>
      <c r="CK17" s="27">
        <v>14</v>
      </c>
      <c r="CL17" s="27">
        <v>15</v>
      </c>
      <c r="CM17" s="27">
        <v>16</v>
      </c>
      <c r="CN17" s="27">
        <v>17</v>
      </c>
      <c r="CO17" s="27"/>
      <c r="CP17" s="27"/>
      <c r="CQ17" s="27" t="s">
        <v>166</v>
      </c>
      <c r="CR17" s="27"/>
      <c r="CS17" s="27">
        <v>6</v>
      </c>
      <c r="CT17" s="27">
        <f t="shared" si="0"/>
        <v>12</v>
      </c>
      <c r="CU17" s="27"/>
      <c r="CV17" s="27">
        <v>6</v>
      </c>
      <c r="CW17" s="27">
        <v>50.9</v>
      </c>
      <c r="CX17" s="27"/>
      <c r="CY17" s="27"/>
      <c r="CZ17" s="27">
        <v>6</v>
      </c>
      <c r="DA17" s="27">
        <v>29.7</v>
      </c>
      <c r="DB17" s="27">
        <v>35.549999999999997</v>
      </c>
      <c r="DC17" s="27"/>
      <c r="DD17" s="27">
        <v>6</v>
      </c>
      <c r="DE17" s="27">
        <v>0</v>
      </c>
      <c r="DF17" s="27">
        <v>0</v>
      </c>
      <c r="DG17" s="27"/>
      <c r="DH17" s="27"/>
      <c r="DI17" s="27"/>
      <c r="DJ17" s="27"/>
      <c r="DK17" s="27"/>
      <c r="DL17" s="27">
        <v>34.1</v>
      </c>
      <c r="DM17" s="27"/>
      <c r="DN17" s="27"/>
      <c r="DO17" s="27"/>
      <c r="DP17" s="27"/>
      <c r="DQ17" s="27"/>
      <c r="DR17" s="27"/>
      <c r="DS17" s="27"/>
      <c r="DT17" s="27"/>
    </row>
    <row r="18" spans="2:124" ht="15" x14ac:dyDescent="0.25">
      <c r="B18" s="42" t="s">
        <v>167</v>
      </c>
      <c r="C18" s="191">
        <f>K66</f>
        <v>1</v>
      </c>
      <c r="D18" s="211" t="s">
        <v>155</v>
      </c>
      <c r="E18" s="212"/>
      <c r="F18" s="27" t="s">
        <v>108</v>
      </c>
      <c r="G18" s="27"/>
      <c r="H18" s="27"/>
      <c r="I18" s="27"/>
      <c r="J18" s="27"/>
      <c r="K18" s="27"/>
      <c r="L18" s="27"/>
      <c r="M18" s="27"/>
      <c r="N18" s="27"/>
      <c r="O18" s="27">
        <f>N18</f>
        <v>0</v>
      </c>
      <c r="P18" s="27" t="s">
        <v>6</v>
      </c>
      <c r="Q18" s="27">
        <f>BG66</f>
        <v>0</v>
      </c>
      <c r="R18" s="27">
        <f>Q18</f>
        <v>0</v>
      </c>
      <c r="S18" s="27" t="e">
        <f>#REF!</f>
        <v>#REF!</v>
      </c>
      <c r="T18" s="27">
        <f>BG66+U18</f>
        <v>0</v>
      </c>
      <c r="U18" s="27">
        <f>IF(BG66&lt;=0,0,2%*T10-2%*R10)</f>
        <v>0</v>
      </c>
      <c r="V18" s="27"/>
      <c r="W18" s="27">
        <f>IF(C6&gt;36,36,C6)</f>
        <v>0</v>
      </c>
      <c r="X18" s="27"/>
      <c r="Y18" s="27"/>
      <c r="Z18" s="27"/>
      <c r="AA18" s="27"/>
      <c r="AB18" s="27"/>
      <c r="AC18" s="27"/>
      <c r="AD18" s="27" t="s">
        <v>59</v>
      </c>
      <c r="AE18" s="27"/>
      <c r="AF18" s="27" t="e">
        <f>1-#REF!/(#REF!+#REF!)</f>
        <v>#REF!</v>
      </c>
      <c r="AG18" s="27"/>
      <c r="AH18" s="27"/>
      <c r="AI18" s="27"/>
      <c r="AJ18" s="27"/>
      <c r="AK18" s="27"/>
      <c r="AL18" s="27" t="s">
        <v>168</v>
      </c>
      <c r="AM18" s="27">
        <v>39872</v>
      </c>
      <c r="AN18" s="27">
        <v>8.5</v>
      </c>
      <c r="AO18" s="27">
        <v>9</v>
      </c>
      <c r="AP18" s="27"/>
      <c r="AQ18" s="27"/>
      <c r="AR18" s="27"/>
      <c r="AS18" s="27" t="s">
        <v>169</v>
      </c>
      <c r="AT18" s="27"/>
      <c r="AU18" s="27"/>
      <c r="AV18" s="27"/>
      <c r="AW18" s="27"/>
      <c r="AX18" s="27"/>
      <c r="AY18" s="27" t="s">
        <v>170</v>
      </c>
      <c r="AZ18" s="27"/>
      <c r="BA18" s="27">
        <v>16</v>
      </c>
      <c r="BB18" s="27">
        <v>0.36</v>
      </c>
      <c r="BC18" s="27"/>
      <c r="BD18" s="27"/>
      <c r="BE18" s="27" t="s">
        <v>171</v>
      </c>
      <c r="BF18" s="27" t="s">
        <v>171</v>
      </c>
      <c r="BG18" s="27" t="s">
        <v>172</v>
      </c>
      <c r="BH18" s="27" t="s">
        <v>173</v>
      </c>
      <c r="BI18" s="27" t="s">
        <v>174</v>
      </c>
      <c r="BJ18" s="27" t="s">
        <v>175</v>
      </c>
      <c r="BK18" s="27" t="s">
        <v>176</v>
      </c>
      <c r="BL18" s="27"/>
      <c r="BM18" s="27"/>
      <c r="BN18" s="27"/>
      <c r="BO18" s="27"/>
      <c r="BP18" s="27"/>
      <c r="BQ18" s="27">
        <v>1114297</v>
      </c>
      <c r="BR18" s="27"/>
      <c r="BS18" s="27" t="s">
        <v>177</v>
      </c>
      <c r="BT18" s="27"/>
      <c r="BU18" s="27"/>
      <c r="BV18" s="27"/>
      <c r="BW18" s="27"/>
      <c r="BX18" s="27"/>
      <c r="BY18" s="27"/>
      <c r="BZ18" s="27"/>
      <c r="CA18" s="27"/>
      <c r="CB18" s="27">
        <v>1</v>
      </c>
      <c r="CC18" s="27">
        <v>2</v>
      </c>
      <c r="CD18" s="27">
        <v>3</v>
      </c>
      <c r="CE18" s="27">
        <v>4</v>
      </c>
      <c r="CF18" s="27">
        <v>5</v>
      </c>
      <c r="CG18" s="27">
        <v>6</v>
      </c>
      <c r="CH18" s="27">
        <v>7</v>
      </c>
      <c r="CI18" s="27">
        <v>8</v>
      </c>
      <c r="CJ18" s="27">
        <v>9</v>
      </c>
      <c r="CK18" s="27">
        <v>10</v>
      </c>
      <c r="CL18" s="27">
        <v>11</v>
      </c>
      <c r="CM18" s="27">
        <v>12</v>
      </c>
      <c r="CN18" s="27">
        <v>13</v>
      </c>
      <c r="CO18" s="27"/>
      <c r="CP18" s="27"/>
      <c r="CQ18" s="27" t="s">
        <v>178</v>
      </c>
      <c r="CR18" s="27"/>
      <c r="CS18" s="27">
        <v>7</v>
      </c>
      <c r="CT18" s="27">
        <f t="shared" si="0"/>
        <v>14.4</v>
      </c>
      <c r="CU18" s="27"/>
      <c r="CV18" s="27">
        <v>7</v>
      </c>
      <c r="CW18" s="27">
        <v>50.9</v>
      </c>
      <c r="CX18" s="27">
        <v>19.2</v>
      </c>
      <c r="CY18" s="27"/>
      <c r="CZ18" s="27">
        <v>7</v>
      </c>
      <c r="DA18" s="27">
        <v>31.7</v>
      </c>
      <c r="DB18" s="27">
        <v>38.25</v>
      </c>
      <c r="DC18" s="27"/>
      <c r="DD18" s="27">
        <v>7</v>
      </c>
      <c r="DE18" s="27">
        <v>0</v>
      </c>
      <c r="DF18" s="27">
        <v>0</v>
      </c>
      <c r="DG18" s="27"/>
      <c r="DH18" s="27"/>
      <c r="DI18" s="27"/>
      <c r="DJ18" s="27"/>
      <c r="DK18" s="27"/>
      <c r="DL18" s="27" t="s">
        <v>179</v>
      </c>
      <c r="DM18" s="27"/>
      <c r="DN18" s="27"/>
      <c r="DO18" s="27"/>
      <c r="DP18" s="27"/>
      <c r="DQ18" s="27"/>
      <c r="DR18" s="27"/>
      <c r="DS18" s="27"/>
      <c r="DT18" s="27"/>
    </row>
    <row r="19" spans="2:124" ht="15" x14ac:dyDescent="0.25">
      <c r="B19" s="35" t="s">
        <v>180</v>
      </c>
      <c r="C19" s="36" t="s">
        <v>108</v>
      </c>
      <c r="D19" s="209" t="s">
        <v>181</v>
      </c>
      <c r="E19" s="210"/>
      <c r="F19" s="27" t="s">
        <v>182</v>
      </c>
      <c r="G19" s="27" t="s">
        <v>183</v>
      </c>
      <c r="H19" s="27"/>
      <c r="I19" s="27"/>
      <c r="J19" s="27"/>
      <c r="K19" s="27"/>
      <c r="L19" s="27"/>
      <c r="M19" s="27"/>
      <c r="N19" s="27"/>
      <c r="O19" s="27">
        <f>(O7+O21)*$C$11</f>
        <v>0</v>
      </c>
      <c r="P19" s="27" t="str">
        <f>B11</f>
        <v>גמול חינוך מיוחד</v>
      </c>
      <c r="Q19" s="27" t="e">
        <f>AD11*Q5</f>
        <v>#REF!</v>
      </c>
      <c r="R19" s="27">
        <f>AD11*R5</f>
        <v>0</v>
      </c>
      <c r="S19" s="27" t="e">
        <f>#REF!</f>
        <v>#REF!</v>
      </c>
      <c r="T19" s="27" t="e">
        <f>T5*AD11</f>
        <v>#REF!</v>
      </c>
      <c r="U19" s="27"/>
      <c r="V19" s="27" t="s">
        <v>59</v>
      </c>
      <c r="W19" s="27">
        <v>1</v>
      </c>
      <c r="X19" s="27"/>
      <c r="Y19" s="27"/>
      <c r="Z19" s="27"/>
      <c r="AA19" s="27" t="s">
        <v>184</v>
      </c>
      <c r="AB19" s="27">
        <v>5</v>
      </c>
      <c r="AC19" s="27"/>
      <c r="AD19" s="27"/>
      <c r="AE19" s="27" t="s">
        <v>59</v>
      </c>
      <c r="AF19" s="27" t="s">
        <v>59</v>
      </c>
      <c r="AG19" s="27" t="s">
        <v>185</v>
      </c>
      <c r="AH19" s="27"/>
      <c r="AI19" s="27"/>
      <c r="AJ19" s="27"/>
      <c r="AK19" s="27"/>
      <c r="AL19" s="27" t="s">
        <v>186</v>
      </c>
      <c r="AM19" s="27">
        <v>39903</v>
      </c>
      <c r="AN19" s="27">
        <v>9</v>
      </c>
      <c r="AO19" s="27" t="s">
        <v>187</v>
      </c>
      <c r="AP19" s="27" t="s">
        <v>102</v>
      </c>
      <c r="AQ19" s="27" t="s">
        <v>188</v>
      </c>
      <c r="AR19" s="27">
        <f>'[1]נתוני מס'!I22</f>
        <v>395</v>
      </c>
      <c r="AS19" s="27">
        <v>10</v>
      </c>
      <c r="AT19" s="27"/>
      <c r="AU19" s="27" t="s">
        <v>189</v>
      </c>
      <c r="AV19" s="27"/>
      <c r="AW19" s="27"/>
      <c r="AX19" s="27"/>
      <c r="AY19" s="27">
        <f>AQ20</f>
        <v>21262</v>
      </c>
      <c r="AZ19" s="27" t="s">
        <v>190</v>
      </c>
      <c r="BA19" s="27" t="s">
        <v>191</v>
      </c>
      <c r="BB19" s="27">
        <f>VLOOKUP(BG69,nihool,2,FALSE)</f>
        <v>0</v>
      </c>
      <c r="BC19" s="27"/>
      <c r="BD19" s="27"/>
      <c r="BE19" s="27" t="s">
        <v>176</v>
      </c>
      <c r="BF19" s="27" t="s">
        <v>192</v>
      </c>
      <c r="BG19" s="27" t="e">
        <f>#REF!/12</f>
        <v>#REF!</v>
      </c>
      <c r="BH19" s="27" t="e">
        <f>#REF!</f>
        <v>#REF!</v>
      </c>
      <c r="BI19" s="27" t="e">
        <f>#REF!/12-BJ102</f>
        <v>#REF!</v>
      </c>
      <c r="BJ19" s="27" t="e">
        <f>(12*(F222-Q26)+BG77)/12</f>
        <v>#REF!</v>
      </c>
      <c r="BK19" s="27" t="e">
        <f>(#REF!*((12-BJ31/12))+BG77/12*BJ32)/12+F159+BJ20*((12-BJ32)/12)</f>
        <v>#REF!</v>
      </c>
      <c r="BL19" s="27"/>
      <c r="BM19" s="27"/>
      <c r="BN19" s="27" t="s">
        <v>193</v>
      </c>
      <c r="BO19" s="27" t="e">
        <f>IF('[1]נתוני מס'!N16&gt;#REF!,#REF!,'[1]נתוני מס'!N16)</f>
        <v>#REF!</v>
      </c>
      <c r="BP19" s="27"/>
      <c r="BQ19" s="27"/>
      <c r="BR19" s="27"/>
      <c r="BS19" s="27" t="e">
        <f>BO19</f>
        <v>#REF!</v>
      </c>
      <c r="BT19" s="27"/>
      <c r="BU19" s="27"/>
      <c r="BV19" s="27"/>
      <c r="BW19" s="27"/>
      <c r="BX19" s="27"/>
      <c r="BY19" s="27"/>
      <c r="BZ19" s="27"/>
      <c r="CA19" s="27"/>
      <c r="CB19" s="27"/>
      <c r="CC19" s="27"/>
      <c r="CD19" s="27"/>
      <c r="CE19" s="27"/>
      <c r="CF19" s="27"/>
      <c r="CG19" s="27"/>
      <c r="CH19" s="27"/>
      <c r="CI19" s="27"/>
      <c r="CJ19" s="27"/>
      <c r="CK19" s="27"/>
      <c r="CL19" s="27"/>
      <c r="CM19" s="27"/>
      <c r="CN19" s="27"/>
      <c r="CO19" s="27"/>
      <c r="CP19" s="27"/>
      <c r="CQ19" s="27" t="s">
        <v>194</v>
      </c>
      <c r="CR19" s="27"/>
      <c r="CS19" s="27">
        <v>8</v>
      </c>
      <c r="CT19" s="27">
        <f t="shared" si="0"/>
        <v>16.8</v>
      </c>
      <c r="CU19" s="27"/>
      <c r="CV19" s="27">
        <v>8</v>
      </c>
      <c r="CW19" s="27">
        <v>54.6</v>
      </c>
      <c r="CX19" s="27">
        <v>25.7</v>
      </c>
      <c r="CY19" s="27"/>
      <c r="CZ19" s="27">
        <v>8</v>
      </c>
      <c r="DA19" s="27">
        <v>33.5</v>
      </c>
      <c r="DB19" s="27">
        <v>40.61</v>
      </c>
      <c r="DC19" s="27"/>
      <c r="DD19" s="27">
        <v>8</v>
      </c>
      <c r="DE19" s="27">
        <v>0</v>
      </c>
      <c r="DF19" s="27">
        <v>0</v>
      </c>
      <c r="DG19" s="27"/>
      <c r="DH19" s="27"/>
      <c r="DI19" s="27"/>
      <c r="DJ19" s="27"/>
      <c r="DK19" s="27"/>
      <c r="DL19" s="27">
        <v>39</v>
      </c>
      <c r="DM19" s="27"/>
      <c r="DN19" s="27"/>
      <c r="DO19" s="27"/>
      <c r="DP19" s="27"/>
      <c r="DQ19" s="27"/>
      <c r="DR19" s="27"/>
      <c r="DS19" s="27"/>
      <c r="DT19" s="27"/>
    </row>
    <row r="20" spans="2:124" ht="18" customHeight="1" x14ac:dyDescent="0.25">
      <c r="B20" s="53"/>
      <c r="C20" s="36"/>
      <c r="D20" s="209"/>
      <c r="E20" s="210"/>
      <c r="F20" s="27"/>
      <c r="G20" s="27" t="s">
        <v>196</v>
      </c>
      <c r="H20" s="27"/>
      <c r="I20" s="27"/>
      <c r="J20" s="27"/>
      <c r="K20" s="27"/>
      <c r="L20" s="27"/>
      <c r="M20" s="27"/>
      <c r="N20" s="27"/>
      <c r="O20" s="27" t="e">
        <f>D155*C9</f>
        <v>#N/A</v>
      </c>
      <c r="P20" s="27" t="s">
        <v>101</v>
      </c>
      <c r="Q20" s="27" t="e">
        <f>SUM(Q10:Q13)*BG68</f>
        <v>#REF!</v>
      </c>
      <c r="R20" s="27">
        <f>SUM(R10:R13)*BG68</f>
        <v>0</v>
      </c>
      <c r="S20" s="27" t="e">
        <f>#REF!</f>
        <v>#REF!</v>
      </c>
      <c r="T20" s="27" t="e">
        <f>SUM(T10:T13)*BG68</f>
        <v>#REF!</v>
      </c>
      <c r="U20" s="27"/>
      <c r="V20" s="27"/>
      <c r="W20" s="27" t="e">
        <f>IF(#REF!=AD20,#REF!,IF(OR(C5=CB16,C5=CC16,C5=CD16,AB20=AD21),C39,C39*X22))</f>
        <v>#REF!</v>
      </c>
      <c r="X20" s="27"/>
      <c r="Y20" s="27"/>
      <c r="Z20" s="27"/>
      <c r="AA20" s="27" t="s">
        <v>197</v>
      </c>
      <c r="AB20" s="27" t="s">
        <v>71</v>
      </c>
      <c r="AC20" s="27"/>
      <c r="AD20" s="27" t="s">
        <v>198</v>
      </c>
      <c r="AE20" s="27" t="s">
        <v>59</v>
      </c>
      <c r="AF20" s="27" t="s">
        <v>59</v>
      </c>
      <c r="AG20" s="27" t="s">
        <v>199</v>
      </c>
      <c r="AH20" s="27"/>
      <c r="AI20" s="27"/>
      <c r="AJ20" s="27" t="s">
        <v>200</v>
      </c>
      <c r="AK20" s="27"/>
      <c r="AL20" s="27" t="s">
        <v>201</v>
      </c>
      <c r="AM20" s="27">
        <v>39933</v>
      </c>
      <c r="AN20" s="27"/>
      <c r="AO20" s="27"/>
      <c r="AP20" s="27" t="s">
        <v>190</v>
      </c>
      <c r="AQ20" s="27">
        <v>21262</v>
      </c>
      <c r="AR20" s="27"/>
      <c r="AS20" s="27" t="s">
        <v>202</v>
      </c>
      <c r="AT20" s="27"/>
      <c r="AU20" s="27">
        <v>0</v>
      </c>
      <c r="AV20" s="27"/>
      <c r="AW20" s="27"/>
      <c r="AX20" s="27"/>
      <c r="AY20" s="27"/>
      <c r="AZ20" s="27"/>
      <c r="BA20" s="27" t="s">
        <v>203</v>
      </c>
      <c r="BB20" s="27">
        <f>VLOOKUP(B168,nihool,2,FALSE)</f>
        <v>0</v>
      </c>
      <c r="BC20" s="27"/>
      <c r="BD20" s="27"/>
      <c r="BE20" s="27" t="e">
        <f>#REF!/12/#REF!+#REF!+F159-BJ102</f>
        <v>#REF!</v>
      </c>
      <c r="BF20" s="27" t="e">
        <f>#REF!/12+#REF!+F159-BJ102</f>
        <v>#REF!</v>
      </c>
      <c r="BG20" s="27" t="s">
        <v>204</v>
      </c>
      <c r="BH20" s="27" t="e">
        <f>IF(BJ31=0,BG19+BH19+BL17-BJ102,-BJ102+((#REF!-1+(12-BJ32)/12)   *(BH19+BL17+BG19  )+  ( BJ31*(BJ19+BG19)  ))/12)</f>
        <v>#REF!</v>
      </c>
      <c r="BI20" s="27" t="e">
        <f>((BJ19+BI19)*BJ32+(12-BJ32)*(BL17+BH19+BI19))/12</f>
        <v>#REF!</v>
      </c>
      <c r="BJ20" s="27" t="e">
        <f>#REF!-BJ102</f>
        <v>#REF!</v>
      </c>
      <c r="BK20" s="27" t="e">
        <f>BK19-BJ102</f>
        <v>#REF!</v>
      </c>
      <c r="BL20" s="27" t="e">
        <f>#REF!-BJ102</f>
        <v>#REF!</v>
      </c>
      <c r="BM20" s="27">
        <f>BG77/12-BJ102</f>
        <v>11500</v>
      </c>
      <c r="BN20" s="27" t="e">
        <f>BO19*BO20</f>
        <v>#REF!</v>
      </c>
      <c r="BO20" s="27">
        <v>0.65</v>
      </c>
      <c r="BP20" s="27">
        <f>BJ99</f>
        <v>0</v>
      </c>
      <c r="BQ20" s="27">
        <v>1115773</v>
      </c>
      <c r="BR20" s="27">
        <f>BK104</f>
        <v>12640</v>
      </c>
      <c r="BS20" s="27" t="e">
        <f>1-#REF!</f>
        <v>#REF!</v>
      </c>
      <c r="BT20" s="27"/>
      <c r="BU20" s="27" t="s">
        <v>205</v>
      </c>
      <c r="BV20" s="27"/>
      <c r="BW20" s="27"/>
      <c r="BX20" s="27"/>
      <c r="BY20" s="27"/>
      <c r="BZ20" s="27" t="s">
        <v>206</v>
      </c>
      <c r="CA20" s="27"/>
      <c r="CB20" s="27">
        <v>1.302</v>
      </c>
      <c r="CC20" s="27">
        <v>1.23</v>
      </c>
      <c r="CD20" s="27">
        <v>1.1479999999999999</v>
      </c>
      <c r="CE20" s="27">
        <v>1.097</v>
      </c>
      <c r="CF20" s="27">
        <v>1</v>
      </c>
      <c r="CG20" s="27">
        <v>0.87</v>
      </c>
      <c r="CH20" s="27">
        <v>0.81499999999999995</v>
      </c>
      <c r="CI20" s="27">
        <v>0.79500000000000004</v>
      </c>
      <c r="CJ20" s="27">
        <v>0.77</v>
      </c>
      <c r="CK20" s="27">
        <v>1.097</v>
      </c>
      <c r="CL20" s="27">
        <v>1.02</v>
      </c>
      <c r="CM20" s="27">
        <v>0.87</v>
      </c>
      <c r="CN20" s="27">
        <v>1.0740000000000001</v>
      </c>
      <c r="CO20" s="27"/>
      <c r="CP20" s="27"/>
      <c r="CQ20" s="27" t="s">
        <v>207</v>
      </c>
      <c r="CR20" s="27"/>
      <c r="CS20" s="27">
        <v>9</v>
      </c>
      <c r="CT20" s="27">
        <f t="shared" si="0"/>
        <v>19.2</v>
      </c>
      <c r="CU20" s="27"/>
      <c r="CV20" s="27">
        <v>9</v>
      </c>
      <c r="CW20" s="27">
        <v>54.6</v>
      </c>
      <c r="CX20" s="27">
        <v>28.2</v>
      </c>
      <c r="CY20" s="27"/>
      <c r="CZ20" s="27">
        <v>9</v>
      </c>
      <c r="DA20" s="27">
        <v>35.299999999999997</v>
      </c>
      <c r="DB20" s="27">
        <v>42.86</v>
      </c>
      <c r="DC20" s="27"/>
      <c r="DD20" s="27">
        <v>9</v>
      </c>
      <c r="DE20" s="27">
        <v>0</v>
      </c>
      <c r="DF20" s="27">
        <v>0</v>
      </c>
      <c r="DG20" s="27"/>
      <c r="DH20" s="27"/>
      <c r="DI20" s="27"/>
      <c r="DJ20" s="27"/>
      <c r="DK20" s="27"/>
      <c r="DL20" s="27">
        <v>41.3</v>
      </c>
      <c r="DM20" s="27"/>
      <c r="DN20" s="27"/>
      <c r="DO20" s="27"/>
      <c r="DP20" s="27"/>
      <c r="DQ20" s="27"/>
      <c r="DR20" s="27"/>
      <c r="DS20" s="27"/>
      <c r="DT20" s="27"/>
    </row>
    <row r="21" spans="2:124" ht="15.75" customHeight="1" x14ac:dyDescent="0.25">
      <c r="B21" s="53"/>
      <c r="C21" s="51"/>
      <c r="D21" s="213"/>
      <c r="E21" s="214"/>
      <c r="F21" s="27"/>
      <c r="G21" s="27"/>
      <c r="H21" s="27"/>
      <c r="I21" s="27"/>
      <c r="J21" s="27"/>
      <c r="K21" s="27" t="s">
        <v>211</v>
      </c>
      <c r="L21" s="27"/>
      <c r="M21" s="27"/>
      <c r="N21" s="27"/>
      <c r="O21" s="27">
        <f>N21*C9</f>
        <v>0</v>
      </c>
      <c r="P21" s="27" t="s">
        <v>210</v>
      </c>
      <c r="Q21" s="27" t="e">
        <f>BB19*Q20</f>
        <v>#REF!</v>
      </c>
      <c r="R21" s="27">
        <f>BB19*R20</f>
        <v>0</v>
      </c>
      <c r="S21" s="27" t="e">
        <f>#REF!</f>
        <v>#REF!</v>
      </c>
      <c r="T21" s="27" t="e">
        <f>U21*T20</f>
        <v>#REF!</v>
      </c>
      <c r="U21" s="27">
        <f>IF(BB19=0,0,IF((BB19+V21)&gt;36%,36%,BB19+V21))</f>
        <v>0</v>
      </c>
      <c r="V21" s="27" t="e">
        <f>(G179-T7)*2.4%</f>
        <v>#REF!</v>
      </c>
      <c r="W21" s="27"/>
      <c r="X21" s="27"/>
      <c r="Y21" s="27"/>
      <c r="Z21" s="27"/>
      <c r="AA21" s="27" t="s">
        <v>212</v>
      </c>
      <c r="AB21" s="27" t="s">
        <v>200</v>
      </c>
      <c r="AC21" s="27"/>
      <c r="AD21" s="27" t="s">
        <v>27</v>
      </c>
      <c r="AE21" s="27" t="s">
        <v>59</v>
      </c>
      <c r="AF21" s="27" t="s">
        <v>59</v>
      </c>
      <c r="AG21" s="27" t="s">
        <v>213</v>
      </c>
      <c r="AH21" s="27"/>
      <c r="AI21" s="27"/>
      <c r="AJ21" s="27"/>
      <c r="AK21" s="27"/>
      <c r="AL21" s="27" t="s">
        <v>214</v>
      </c>
      <c r="AM21" s="27">
        <v>39964</v>
      </c>
      <c r="AN21" s="27"/>
      <c r="AO21" s="27"/>
      <c r="AP21" s="27" t="s">
        <v>215</v>
      </c>
      <c r="AQ21" s="27" t="s">
        <v>216</v>
      </c>
      <c r="AR21" s="27"/>
      <c r="AS21" s="27">
        <v>11</v>
      </c>
      <c r="AT21" s="27"/>
      <c r="AU21" s="27">
        <v>0.5</v>
      </c>
      <c r="AV21" s="27"/>
      <c r="AW21" s="27"/>
      <c r="AX21" s="27" t="s">
        <v>59</v>
      </c>
      <c r="AY21" s="27">
        <v>17288</v>
      </c>
      <c r="AZ21" s="27">
        <v>17288</v>
      </c>
      <c r="BA21" s="27"/>
      <c r="BB21" s="27" t="s">
        <v>217</v>
      </c>
      <c r="BC21" s="27"/>
      <c r="BD21" s="27"/>
      <c r="BE21" s="27" t="s">
        <v>218</v>
      </c>
      <c r="BF21" s="27"/>
      <c r="BG21" s="27"/>
      <c r="BH21" s="27" t="s">
        <v>219</v>
      </c>
      <c r="BI21" s="27" t="s">
        <v>220</v>
      </c>
      <c r="BJ21" s="27" t="s">
        <v>173</v>
      </c>
      <c r="BK21" s="27" t="s">
        <v>221</v>
      </c>
      <c r="BL21" s="27" t="s">
        <v>222</v>
      </c>
      <c r="BM21" s="27" t="s">
        <v>223</v>
      </c>
      <c r="BN21" s="27" t="s">
        <v>224</v>
      </c>
      <c r="BO21" s="27"/>
      <c r="BP21" s="27" t="s">
        <v>225</v>
      </c>
      <c r="BQ21" s="27"/>
      <c r="BR21" s="27"/>
      <c r="BS21" s="27" t="e">
        <f>BS20*BS19</f>
        <v>#REF!</v>
      </c>
      <c r="BT21" s="27"/>
      <c r="BU21" s="27" t="e">
        <f>BS19</f>
        <v>#REF!</v>
      </c>
      <c r="BV21" s="27"/>
      <c r="BW21" s="27"/>
      <c r="BX21" s="27"/>
      <c r="BY21" s="27"/>
      <c r="BZ21" s="27"/>
      <c r="CA21" s="27"/>
      <c r="CB21" s="27"/>
      <c r="CC21" s="27"/>
      <c r="CD21" s="27"/>
      <c r="CE21" s="27"/>
      <c r="CF21" s="27"/>
      <c r="CG21" s="27"/>
      <c r="CH21" s="27"/>
      <c r="CI21" s="27"/>
      <c r="CJ21" s="27"/>
      <c r="CK21" s="27"/>
      <c r="CL21" s="27"/>
      <c r="CM21" s="27"/>
      <c r="CN21" s="27"/>
      <c r="CO21" s="27"/>
      <c r="CP21" s="27"/>
      <c r="CQ21" s="27" t="s">
        <v>226</v>
      </c>
      <c r="CR21" s="27"/>
      <c r="CS21" s="27">
        <v>10</v>
      </c>
      <c r="CT21" s="27">
        <f t="shared" si="0"/>
        <v>21.599999999999998</v>
      </c>
      <c r="CU21" s="27"/>
      <c r="CV21" s="27">
        <v>10</v>
      </c>
      <c r="CW21" s="27">
        <v>54.6</v>
      </c>
      <c r="CX21" s="27">
        <v>30.7</v>
      </c>
      <c r="CY21" s="27"/>
      <c r="CZ21" s="27">
        <v>10</v>
      </c>
      <c r="DA21" s="27">
        <v>37</v>
      </c>
      <c r="DB21" s="27">
        <v>44.21</v>
      </c>
      <c r="DC21" s="27"/>
      <c r="DD21" s="27">
        <v>10</v>
      </c>
      <c r="DE21" s="27">
        <v>0</v>
      </c>
      <c r="DF21" s="27">
        <v>21.7</v>
      </c>
      <c r="DG21" s="27"/>
      <c r="DH21" s="27"/>
      <c r="DI21" s="27"/>
      <c r="DJ21" s="27"/>
      <c r="DK21" s="27" t="s">
        <v>227</v>
      </c>
      <c r="DL21" s="27">
        <v>43.7</v>
      </c>
      <c r="DM21" s="27"/>
      <c r="DN21" s="27"/>
      <c r="DO21" s="27"/>
      <c r="DP21" s="27"/>
      <c r="DQ21" s="27"/>
      <c r="DR21" s="27"/>
      <c r="DS21" s="27"/>
      <c r="DT21" s="27"/>
    </row>
    <row r="22" spans="2:124" ht="14.25" customHeight="1" x14ac:dyDescent="0.2">
      <c r="B22" s="27"/>
      <c r="C22" s="27"/>
      <c r="D22" s="27"/>
      <c r="E22" s="27"/>
      <c r="F22" s="27"/>
      <c r="G22" s="27"/>
      <c r="H22" s="27"/>
      <c r="I22" s="27"/>
      <c r="J22" s="27"/>
      <c r="K22" s="27" t="s">
        <v>211</v>
      </c>
      <c r="L22" s="27"/>
      <c r="M22" s="27"/>
      <c r="N22" s="27"/>
      <c r="O22" s="27">
        <f>J23</f>
        <v>0</v>
      </c>
      <c r="P22" s="27" t="s">
        <v>228</v>
      </c>
      <c r="Q22" s="27" t="e">
        <f>AB16*Q10</f>
        <v>#REF!</v>
      </c>
      <c r="R22" s="27">
        <f>AB16*R10</f>
        <v>0</v>
      </c>
      <c r="S22" s="27" t="e">
        <f>#REF!</f>
        <v>#REF!</v>
      </c>
      <c r="T22" s="27" t="e">
        <f>U22*T10</f>
        <v>#REF!</v>
      </c>
      <c r="U22" s="27">
        <f>VLOOKUP(INT(V22),ghad1,2,FALSE)</f>
        <v>0</v>
      </c>
      <c r="V22" s="27">
        <f>IF(AB16=0,0,IF(60-T7+BG70&gt;13,13,60-T7+BG70))</f>
        <v>0</v>
      </c>
      <c r="W22" s="27" t="s">
        <v>229</v>
      </c>
      <c r="X22" s="27">
        <f>IF(C39=16%,IF(OR(C5=CB16,C5=CC16,C5=CD16),0.8,0.9),0.8)</f>
        <v>0.8</v>
      </c>
      <c r="Y22" s="27"/>
      <c r="Z22" s="27"/>
      <c r="AA22" s="27" t="s">
        <v>230</v>
      </c>
      <c r="AB22" s="27"/>
      <c r="AC22" s="27"/>
      <c r="AD22" s="27"/>
      <c r="AE22" s="27" t="s">
        <v>59</v>
      </c>
      <c r="AF22" s="27" t="s">
        <v>59</v>
      </c>
      <c r="AG22" s="27" t="s">
        <v>231</v>
      </c>
      <c r="AH22" s="27" t="s">
        <v>59</v>
      </c>
      <c r="AI22" s="27"/>
      <c r="AJ22" s="27" t="s">
        <v>232</v>
      </c>
      <c r="AK22" s="27"/>
      <c r="AL22" s="27" t="s">
        <v>233</v>
      </c>
      <c r="AM22" s="27">
        <v>39994</v>
      </c>
      <c r="AN22" s="27"/>
      <c r="AO22" s="27"/>
      <c r="AP22" s="27" t="s">
        <v>234</v>
      </c>
      <c r="AQ22" s="27">
        <v>28734</v>
      </c>
      <c r="AR22" s="27"/>
      <c r="AS22" s="27" t="s">
        <v>235</v>
      </c>
      <c r="AT22" s="27"/>
      <c r="AU22" s="27">
        <v>1</v>
      </c>
      <c r="AV22" s="27"/>
      <c r="AW22" s="27"/>
      <c r="AX22" s="27" t="s">
        <v>59</v>
      </c>
      <c r="AY22" s="27">
        <v>18264</v>
      </c>
      <c r="AZ22" s="27">
        <v>18264</v>
      </c>
      <c r="BA22" s="27"/>
      <c r="BB22" s="27" t="str">
        <f>MID(BG59,1,2)</f>
        <v>ד"</v>
      </c>
      <c r="BC22" s="27"/>
      <c r="BD22" s="27"/>
      <c r="BE22" s="27" t="e">
        <f>IF((BE20&gt;='[1]נתוני מס'!H7)*AND(BE20&lt;'[1]נתוני מס'!H8),((BE20-'[1]נתוני מס'!H7)*'[1]נתוני מס'!I8+'[1]נתוני מס'!F7-AG32)*BE28,IF((BE20&lt;'[1]נתוני מס'!H7),(BE20*'[1]נתוני מס'!I7-AG32)*BE28,0))</f>
        <v>#REF!</v>
      </c>
      <c r="BF22" s="27" t="e">
        <f>IF((BF20&gt;='[1]נתוני מס'!H7)*AND(BF20&lt;'[1]נתוני מס'!H8),((BF20-'[1]נתוני מס'!H7)*'[1]נתוני מס'!I8+'[1]נתוני מס'!F7-AG32)*BF28,IF((BF20&lt;'[1]נתוני מס'!H7),(BF20*'[1]נתוני מס'!I7-AG32)*BF28,0))</f>
        <v>#REF!</v>
      </c>
      <c r="BG22" s="27"/>
      <c r="BH22" s="27" t="e">
        <f>IF((BH20&gt;='[1]נתוני מס'!H7)*AND(BH20&lt;'[1]נתוני מס'!H8),((BH20-'[1]נתוני מס'!H7)*'[1]נתוני מס'!I8+'[1]נתוני מס'!F7)*BH28,IF((BH20&lt;'[1]נתוני מס'!H7),(BH20*'[1]נתוני מס'!I7)*BH28,0))</f>
        <v>#REF!</v>
      </c>
      <c r="BI22" s="27" t="e">
        <f>IF((BI20&gt;='[1]נתוני מס'!H7)*AND(BI20&lt;'[1]נתוני מס'!H8),((BI20-'[1]נתוני מס'!H7)*'[1]נתוני מס'!I8+'[1]נתוני מס'!F7)*BI28,IF((BI20&lt;'[1]נתוני מס'!H7),(BI20*'[1]נתוני מס'!I7)*BI28,0))</f>
        <v>#REF!</v>
      </c>
      <c r="BJ22" s="27" t="e">
        <f>IF((#REF!&gt;='[1]נתוני מס'!H7)*AND(#REF!&lt;'[1]נתוני מס'!H8),(#REF!-'[1]נתוני מס'!H7)*'[1]נתוני מס'!I8+'[1]נתוני מס'!F7,IF((#REF!&lt;'[1]נתוני מס'!H7),#REF!*'[1]נתוני מס'!I7,0))</f>
        <v>#REF!</v>
      </c>
      <c r="BK22" s="27" t="e">
        <f>IF((BK20&gt;='[1]נתוני מס'!H7)*AND(BK20&lt;'[1]נתוני מס'!H8),(BK20-'[1]נתוני מס'!H7)*'[1]נתוני מס'!I8+'[1]נתוני מס'!F7,IF((BK20&lt;'[1]נתוני מס'!H7),BK20*'[1]נתוני מס'!I7,0))</f>
        <v>#REF!</v>
      </c>
      <c r="BL22" s="27" t="e">
        <f>IF((BL20&gt;='[1]נתוני מס'!H7)*AND(BL20&lt;'[1]נתוני מס'!H8),(BL20-'[1]נתוני מס'!H7)*'[1]נתוני מס'!I8+'[1]נתוני מס'!F7,IF((BL20&lt;'[1]נתוני מס'!H7),BL20*'[1]נתוני מס'!I7,0))</f>
        <v>#REF!</v>
      </c>
      <c r="BM22" s="27">
        <f>IF((BM20&gt;='[1]נתוני מס'!H7)*AND(BM20&lt;'[1]נתוני מס'!H8),(BM20-'[1]נתוני מס'!H7)*'[1]נתוני מס'!J8+'[1]נתוני מס'!F7,IF((BM20&lt;'[1]נתוני מס'!H7),BM20*'[1]נתוני מס'!J7,0))</f>
        <v>0</v>
      </c>
      <c r="BN22" s="27" t="e">
        <f>IF((BN20&gt;='[1]נתוני מס'!H7)*AND(BN20&lt;'[1]נתוני מס'!H8),(BN20-'[1]נתוני מס'!H7)*'[1]נתוני מס'!I8+'[1]נתוני מס'!F7,IF((BN20&lt;'[1]נתוני מס'!H7),BN20*'[1]נתוני מס'!I7,0))</f>
        <v>#REF!</v>
      </c>
      <c r="BO22" s="27"/>
      <c r="BP22" s="27">
        <f>IF((BP20&gt;='[1]נתוני מס'!H7)*AND(BP20&lt;'[1]נתוני מס'!H8),(BP20-'[1]נתוני מס'!H7)*'[1]נתוני מס'!J8+'[1]נתוני מס'!F7,IF((BP20&lt;'[1]נתוני מס'!H7),BP20*'[1]נתוני מס'!J7,0))</f>
        <v>0</v>
      </c>
      <c r="BQ22" s="27">
        <v>1101575</v>
      </c>
      <c r="BR22" s="27"/>
      <c r="BS22" s="27" t="e">
        <f>IF((BS21&gt;='[1]נתוני מס'!H7)*AND(BS21&lt;'[1]נתוני מס'!H8),(BS21-'[1]נתוני מס'!H7)*'[1]נתוני מס'!I8+'[1]נתוני מס'!F7,IF((BS21&lt;'[1]נתוני מס'!H7),BS21*'[1]נתוני מס'!I7,0))</f>
        <v>#REF!</v>
      </c>
      <c r="BT22" s="27"/>
      <c r="BU22" s="27" t="e">
        <f>IF((BU21&gt;='[1]נתוני מס'!H7)*AND(BU21&lt;'[1]נתוני מס'!H8),(BU21-'[1]נתוני מס'!H7)*'[1]נתוני מס'!I8+'[1]נתוני מס'!F7,IF((BU21&lt;'[1]נתוני מס'!H7),BU21*'[1]נתוני מס'!I7,0))</f>
        <v>#REF!</v>
      </c>
      <c r="BV22" s="27"/>
      <c r="BW22" s="27"/>
      <c r="BX22" s="27"/>
      <c r="BY22" s="27"/>
      <c r="BZ22" s="27">
        <v>1</v>
      </c>
      <c r="CA22" s="27"/>
      <c r="CB22" s="27">
        <v>3365.57</v>
      </c>
      <c r="CC22" s="27">
        <v>3179.46</v>
      </c>
      <c r="CD22" s="27">
        <v>2967.49</v>
      </c>
      <c r="CE22" s="27">
        <v>2835.66</v>
      </c>
      <c r="CF22" s="27">
        <v>2584.9299999999998</v>
      </c>
      <c r="CG22" s="27">
        <v>2248.89</v>
      </c>
      <c r="CH22" s="27">
        <v>2106.71</v>
      </c>
      <c r="CI22" s="27">
        <v>2055.0100000000002</v>
      </c>
      <c r="CJ22" s="27">
        <v>1990.39</v>
      </c>
      <c r="CK22" s="27">
        <v>2835.66</v>
      </c>
      <c r="CL22" s="27">
        <v>2636.63</v>
      </c>
      <c r="CM22" s="27">
        <v>2248.89</v>
      </c>
      <c r="CN22" s="27">
        <v>2776.21</v>
      </c>
      <c r="CO22" s="27"/>
      <c r="CP22" s="27"/>
      <c r="CQ22" s="27" t="s">
        <v>236</v>
      </c>
      <c r="CR22" s="27"/>
      <c r="CS22" s="27">
        <f t="shared" ref="CS22:CS27" si="1">CS21+1</f>
        <v>11</v>
      </c>
      <c r="CT22" s="27">
        <f t="shared" si="0"/>
        <v>23.999999999999996</v>
      </c>
      <c r="CU22" s="27"/>
      <c r="CV22" s="27">
        <v>11</v>
      </c>
      <c r="CW22" s="27">
        <v>54.6</v>
      </c>
      <c r="CX22" s="27">
        <v>33.5</v>
      </c>
      <c r="CY22" s="27"/>
      <c r="CZ22" s="27">
        <v>11</v>
      </c>
      <c r="DA22" s="27">
        <v>38.799999999999997</v>
      </c>
      <c r="DB22" s="27">
        <v>47.03</v>
      </c>
      <c r="DC22" s="27"/>
      <c r="DD22" s="27">
        <v>11</v>
      </c>
      <c r="DE22" s="27">
        <v>0</v>
      </c>
      <c r="DF22" s="27">
        <v>22.7</v>
      </c>
      <c r="DG22" s="27"/>
      <c r="DH22" s="27"/>
      <c r="DI22" s="27"/>
      <c r="DJ22" s="27"/>
      <c r="DK22" s="27">
        <v>23.4</v>
      </c>
      <c r="DL22" s="27" t="s">
        <v>237</v>
      </c>
      <c r="DM22" s="27"/>
      <c r="DN22" s="27"/>
      <c r="DO22" s="27"/>
      <c r="DP22" s="27"/>
      <c r="DQ22" s="27"/>
      <c r="DR22" s="27"/>
      <c r="DS22" s="27"/>
      <c r="DT22" s="27"/>
    </row>
    <row r="23" spans="2:124" ht="15.75" customHeight="1" thickBot="1" x14ac:dyDescent="0.25">
      <c r="B23" s="27"/>
      <c r="D23" s="54" t="s">
        <v>108</v>
      </c>
      <c r="F23" s="27"/>
      <c r="G23" s="27"/>
      <c r="H23" s="27"/>
      <c r="I23" s="27"/>
      <c r="J23" s="27"/>
      <c r="K23" s="27" t="s">
        <v>211</v>
      </c>
      <c r="L23" s="27"/>
      <c r="M23" s="27"/>
      <c r="N23" s="27"/>
      <c r="O23" s="27">
        <v>0</v>
      </c>
      <c r="P23" s="27" t="s">
        <v>238</v>
      </c>
      <c r="Q23" s="27" t="e">
        <f>SUM(Q10:Q13)*AB29</f>
        <v>#REF!</v>
      </c>
      <c r="R23" s="27">
        <f>SUM(R10:R13)*AB29</f>
        <v>0</v>
      </c>
      <c r="S23" s="27" t="str">
        <f>C229</f>
        <v>תוספת סמינרים  12%</v>
      </c>
      <c r="T23" s="27" t="e">
        <f>SUM(T10:T13)*AB29</f>
        <v>#REF!</v>
      </c>
      <c r="U23" s="27"/>
      <c r="V23" s="27"/>
      <c r="W23" s="27"/>
      <c r="X23" s="27">
        <f>IF(C39=16%,IF(OR(C5=CB16,C5=CC16,C5=CD16),0.8,0.9),0.8)</f>
        <v>0.8</v>
      </c>
      <c r="Y23" s="27"/>
      <c r="Z23" s="27" t="s">
        <v>239</v>
      </c>
      <c r="AA23" s="27"/>
      <c r="AB23" s="27">
        <v>0</v>
      </c>
      <c r="AC23" s="27"/>
      <c r="AD23" s="27"/>
      <c r="AE23" s="27" t="s">
        <v>59</v>
      </c>
      <c r="AF23" s="27" t="s">
        <v>240</v>
      </c>
      <c r="AG23" s="27" t="s">
        <v>241</v>
      </c>
      <c r="AH23" s="27"/>
      <c r="AI23" s="27"/>
      <c r="AJ23" s="27" t="s">
        <v>242</v>
      </c>
      <c r="AK23" s="27">
        <v>389</v>
      </c>
      <c r="AL23" s="27" t="s">
        <v>243</v>
      </c>
      <c r="AM23" s="27">
        <v>40025</v>
      </c>
      <c r="AN23" s="27"/>
      <c r="AO23" s="27"/>
      <c r="AP23" s="27">
        <v>16</v>
      </c>
      <c r="AQ23" s="27">
        <v>11</v>
      </c>
      <c r="AR23" s="27"/>
      <c r="AS23" s="27">
        <v>12</v>
      </c>
      <c r="AT23" s="27"/>
      <c r="AU23" s="27">
        <v>1.5</v>
      </c>
      <c r="AV23" s="27"/>
      <c r="AW23" s="27"/>
      <c r="AX23" s="27" t="s">
        <v>59</v>
      </c>
      <c r="AY23" s="27">
        <v>18476</v>
      </c>
      <c r="AZ23" s="27">
        <v>18476</v>
      </c>
      <c r="BA23" s="27"/>
      <c r="BB23" s="27"/>
      <c r="BC23" s="27"/>
      <c r="BD23" s="27"/>
      <c r="BE23" s="27" t="e">
        <f>IF((BE20&gt;='[1]נתוני מס'!H8)*AND(BE20&lt;'[1]נתוני מס'!H9),((BE20-'[1]נתוני מס'!H8)*'[1]נתוני מס'!I9+'[1]נתוני מס'!F8+'[1]נתוני מס'!F7-AG32)*BE28,0)</f>
        <v>#REF!</v>
      </c>
      <c r="BF23" s="27" t="e">
        <f>IF((BF20&gt;='[1]נתוני מס'!H8)*AND(BF20&lt;'[1]נתוני מס'!H9),((BF20-'[1]נתוני מס'!H8)*'[1]נתוני מס'!I9+'[1]נתוני מס'!F8+'[1]נתוני מס'!F7-AG32)*BF28,0)</f>
        <v>#REF!</v>
      </c>
      <c r="BG23" s="27"/>
      <c r="BH23" s="27" t="e">
        <f>IF((BH20&gt;='[1]נתוני מס'!H8)*AND(BH20&lt;'[1]נתוני מס'!H9),((BH20-'[1]נתוני מס'!H8)*'[1]נתוני מס'!I9+'[1]נתוני מס'!F8+'[1]נתוני מס'!F7)*BH28,0)</f>
        <v>#REF!</v>
      </c>
      <c r="BI23" s="27" t="e">
        <f>IF((BI20&gt;='[1]נתוני מס'!H8)*AND(BI20&lt;'[1]נתוני מס'!H9),((BI20-'[1]נתוני מס'!H8)*'[1]נתוני מס'!I9+'[1]נתוני מס'!F8+'[1]נתוני מס'!F7)*BI28,0)</f>
        <v>#REF!</v>
      </c>
      <c r="BJ23" s="27" t="e">
        <f>IF((#REF!&gt;='[1]נתוני מס'!H8)*AND(#REF!&lt;'[1]נתוני מס'!H9),(#REF!-'[1]נתוני מס'!H8)*'[1]נתוני מס'!I9+'[1]נתוני מס'!F8+'[1]נתוני מס'!F7,0)</f>
        <v>#REF!</v>
      </c>
      <c r="BK23" s="27" t="e">
        <f>IF((BK20&gt;='[1]נתוני מס'!H8)*AND(BK20&lt;'[1]נתוני מס'!H9),(BK20-'[1]נתוני מס'!H8)*'[1]נתוני מס'!I9+'[1]נתוני מס'!F8+'[1]נתוני מס'!F7,0)</f>
        <v>#REF!</v>
      </c>
      <c r="BL23" s="27" t="e">
        <f>IF((BL20&gt;='[1]נתוני מס'!H8)*AND(BL20&lt;'[1]נתוני מס'!H9),(BL20-'[1]נתוני מס'!H8)*'[1]נתוני מס'!I9+'[1]נתוני מס'!F8+'[1]נתוני מס'!F7,0)</f>
        <v>#REF!</v>
      </c>
      <c r="BM23" s="27">
        <f>IF((BM20&gt;='[1]נתוני מס'!H8)*AND(BM20&lt;'[1]נתוני מס'!H9),(BM20-'[1]נתוני מס'!H8)*'[1]נתוני מס'!J9+'[1]נתוני מס'!F8+'[1]נתוני מס'!F7,0)</f>
        <v>1662.8000000000002</v>
      </c>
      <c r="BN23" s="27" t="e">
        <f>IF((BN20&gt;='[1]נתוני מס'!H8)*AND(BN20&lt;'[1]נתוני מס'!H9),(BN20-'[1]נתוני מס'!H8)*'[1]נתוני מס'!I9+'[1]נתוני מס'!F8+'[1]נתוני מס'!F7,0)</f>
        <v>#REF!</v>
      </c>
      <c r="BO23" s="27"/>
      <c r="BP23" s="27">
        <f>IF((BP20&gt;='[1]נתוני מס'!H8)*AND(BP20&lt;'[1]נתוני מס'!H9),(BP20-'[1]נתוני מס'!H8)*'[1]נתוני מס'!J9+'[1]נתוני מס'!F8+'[1]נתוני מס'!F7,0)</f>
        <v>0</v>
      </c>
      <c r="BQ23" s="27"/>
      <c r="BR23" s="27"/>
      <c r="BS23" s="27" t="e">
        <f>IF((BS21&gt;='[1]נתוני מס'!H8)*AND(BS21&lt;'[1]נתוני מס'!H9),(BS21-'[1]נתוני מס'!H8)*'[1]נתוני מס'!I9+'[1]נתוני מס'!F8+'[1]נתוני מס'!F7,0)</f>
        <v>#REF!</v>
      </c>
      <c r="BT23" s="27"/>
      <c r="BU23" s="27" t="e">
        <f>IF((BU21&gt;='[1]נתוני מס'!H8)*AND(BU21&lt;'[1]נתוני מס'!H9),(BU21-'[1]נתוני מס'!H8)*'[1]נתוני מס'!I9+'[1]נתוני מס'!F8+'[1]נתוני מס'!F7,0)</f>
        <v>#REF!</v>
      </c>
      <c r="BV23" s="27"/>
      <c r="BW23" s="27"/>
      <c r="BX23" s="27"/>
      <c r="BY23" s="27"/>
      <c r="BZ23" s="27"/>
      <c r="CA23" s="27"/>
      <c r="CB23" s="27"/>
      <c r="CC23" s="27"/>
      <c r="CD23" s="27"/>
      <c r="CE23" s="27"/>
      <c r="CF23" s="27"/>
      <c r="CG23" s="27"/>
      <c r="CH23" s="27"/>
      <c r="CI23" s="27"/>
      <c r="CJ23" s="27"/>
      <c r="CK23" s="27"/>
      <c r="CL23" s="27"/>
      <c r="CM23" s="27"/>
      <c r="CN23" s="27"/>
      <c r="CO23" s="27"/>
      <c r="CP23" s="27"/>
      <c r="CQ23" s="27" t="s">
        <v>244</v>
      </c>
      <c r="CR23" s="27"/>
      <c r="CS23" s="27">
        <f t="shared" si="1"/>
        <v>12</v>
      </c>
      <c r="CT23" s="27">
        <f>CT22+2.4</f>
        <v>26.399999999999995</v>
      </c>
      <c r="CU23" s="27"/>
      <c r="CV23" s="27">
        <v>12</v>
      </c>
      <c r="CW23" s="27">
        <v>54.6</v>
      </c>
      <c r="CX23" s="27">
        <v>36.1</v>
      </c>
      <c r="CY23" s="27"/>
      <c r="CZ23" s="27">
        <v>12</v>
      </c>
      <c r="DA23" s="27">
        <v>40.6</v>
      </c>
      <c r="DB23" s="27">
        <v>47.03</v>
      </c>
      <c r="DC23" s="27"/>
      <c r="DD23" s="27">
        <v>12</v>
      </c>
      <c r="DE23" s="27">
        <v>21.7</v>
      </c>
      <c r="DF23" s="27">
        <v>23.7</v>
      </c>
      <c r="DG23" s="27"/>
      <c r="DH23" s="27"/>
      <c r="DI23" s="27"/>
      <c r="DJ23" s="27"/>
      <c r="DK23" s="27" t="s">
        <v>154</v>
      </c>
      <c r="DL23" s="27" t="s">
        <v>245</v>
      </c>
      <c r="DM23" s="27"/>
      <c r="DN23" s="27"/>
      <c r="DO23" s="27"/>
      <c r="DP23" s="27"/>
      <c r="DQ23" s="27"/>
      <c r="DR23" s="27"/>
      <c r="DS23" s="27"/>
      <c r="DT23" s="27"/>
    </row>
    <row r="24" spans="2:124" ht="15.75" customHeight="1" thickBot="1" x14ac:dyDescent="0.3">
      <c r="B24" s="27"/>
      <c r="C24" s="56" t="s">
        <v>246</v>
      </c>
      <c r="D24" s="56" t="s">
        <v>247</v>
      </c>
      <c r="E24" s="56" t="s">
        <v>248</v>
      </c>
      <c r="F24" s="57" t="s">
        <v>249</v>
      </c>
      <c r="G24" s="27"/>
      <c r="H24" s="27"/>
      <c r="I24" s="27"/>
      <c r="J24" s="27"/>
      <c r="K24" s="27" t="s">
        <v>211</v>
      </c>
      <c r="L24" s="27"/>
      <c r="M24" s="27"/>
      <c r="N24" s="27">
        <f>I25</f>
        <v>0</v>
      </c>
      <c r="O24" s="27">
        <f>J25</f>
        <v>0</v>
      </c>
      <c r="P24" s="27" t="s">
        <v>250</v>
      </c>
      <c r="Q24" s="27" t="e">
        <f>Q5*BG72</f>
        <v>#REF!</v>
      </c>
      <c r="R24" s="27">
        <f>Q25</f>
        <v>0</v>
      </c>
      <c r="S24" s="27" t="s">
        <v>251</v>
      </c>
      <c r="T24" s="27" t="e">
        <f>T5*BG72</f>
        <v>#REF!</v>
      </c>
      <c r="U24" s="27"/>
      <c r="V24" s="27"/>
      <c r="W24" s="27"/>
      <c r="X24" s="27" t="s">
        <v>252</v>
      </c>
      <c r="Y24" s="27"/>
      <c r="Z24" s="27"/>
      <c r="AA24" s="27"/>
      <c r="AB24" s="27"/>
      <c r="AC24" s="27"/>
      <c r="AD24" s="27"/>
      <c r="AE24" s="27" t="s">
        <v>59</v>
      </c>
      <c r="AF24" s="27"/>
      <c r="AG24" s="27" t="s">
        <v>59</v>
      </c>
      <c r="AH24" s="27"/>
      <c r="AI24" s="27"/>
      <c r="AJ24" s="27" t="s">
        <v>253</v>
      </c>
      <c r="AK24" s="27">
        <v>0.59709999999999996</v>
      </c>
      <c r="AL24" s="27" t="s">
        <v>254</v>
      </c>
      <c r="AM24" s="27">
        <v>40056</v>
      </c>
      <c r="AN24" s="27"/>
      <c r="AO24" s="27"/>
      <c r="AP24" s="27">
        <v>20</v>
      </c>
      <c r="AQ24" s="27">
        <v>12</v>
      </c>
      <c r="AR24" s="27"/>
      <c r="AS24" s="27" t="s">
        <v>255</v>
      </c>
      <c r="AT24" s="27" t="s">
        <v>256</v>
      </c>
      <c r="AU24" s="27">
        <v>2</v>
      </c>
      <c r="AV24" s="27"/>
      <c r="AW24" s="27"/>
      <c r="AX24" s="27" t="e">
        <f>IF(AQ21=#REF!,'[1]נתוני מס'!L6,IF(AY19&gt;=AY27,'[1]נתוני מס'!L7,IF(AY19&gt;=AY26,63.666,IF(AY19&gt;=AY25,63.333,IF(AY19&gt;=AY24,63,IF(AY19&gt;=AY23,62.666,IF(AY19&gt;=AY22,62.333,62)))))))</f>
        <v>#REF!</v>
      </c>
      <c r="AY24" s="27">
        <v>18749</v>
      </c>
      <c r="AZ24" s="27">
        <v>18749</v>
      </c>
      <c r="BA24" s="27"/>
      <c r="BB24" s="27" t="s">
        <v>257</v>
      </c>
      <c r="BC24" s="27">
        <f>AB42+(1/12)*AA35+(F158*100)/2</f>
        <v>33</v>
      </c>
      <c r="BD24" s="27"/>
      <c r="BE24" s="27" t="e">
        <f>IF((BE20&gt;='[1]נתוני מס'!H9)*AND(BE20&lt;'[1]נתוני מס'!H10),((BE20-'[1]נתוני מס'!H9)*'[1]נתוני מס'!I10+'[1]נתוני מס'!F9+'[1]נתוני מס'!F8+'[1]נתוני מס'!F7-AG32)*BE28,0)</f>
        <v>#REF!</v>
      </c>
      <c r="BF24" s="27" t="e">
        <f>IF((BF20&gt;='[1]נתוני מס'!H9)*AND(BF20&lt;'[1]נתוני מס'!H10),((BF20-'[1]נתוני מס'!H9)*'[1]נתוני מס'!I10+'[1]נתוני מס'!F9+'[1]נתוני מס'!F8+'[1]נתוני מס'!F7-AG32)*BF28,0)</f>
        <v>#REF!</v>
      </c>
      <c r="BG24" s="27"/>
      <c r="BH24" s="27" t="e">
        <f>IF((BH20&gt;='[1]נתוני מס'!H9)*AND(BH20&lt;'[1]נתוני מס'!H10),((BH20-'[1]נתוני מס'!H9)*'[1]נתוני מס'!I10+'[1]נתוני מס'!F9+'[1]נתוני מס'!F8+'[1]נתוני מס'!F7)*BH28,0)</f>
        <v>#REF!</v>
      </c>
      <c r="BI24" s="27" t="e">
        <f>IF((BI20&gt;='[1]נתוני מס'!H9)*AND(BI20&lt;'[1]נתוני מס'!H10),((BI20-'[1]נתוני מס'!H9)*'[1]נתוני מס'!I10+'[1]נתוני מס'!F9+'[1]נתוני מס'!F8+'[1]נתוני מס'!F7)*BI28,0)</f>
        <v>#REF!</v>
      </c>
      <c r="BJ24" s="27" t="e">
        <f>IF((#REF!&gt;='[1]נתוני מס'!H9)*AND(#REF!&lt;'[1]נתוני מס'!H10),(#REF!-'[1]נתוני מס'!H9)*'[1]נתוני מס'!I10+'[1]נתוני מס'!F9+'[1]נתוני מס'!F8+'[1]נתוני מס'!F7,0)</f>
        <v>#REF!</v>
      </c>
      <c r="BK24" s="27" t="e">
        <f>IF((BK20&gt;='[1]נתוני מס'!H9)*AND(BK20&lt;'[1]נתוני מס'!H10),(BK20-'[1]נתוני מס'!H9)*'[1]נתוני מס'!I10+'[1]נתוני מס'!F9+'[1]נתוני מס'!F8+'[1]נתוני מס'!F7,0)</f>
        <v>#REF!</v>
      </c>
      <c r="BL24" s="27" t="e">
        <f>IF((BL20&gt;='[1]נתוני מס'!H9)*AND(BL20&lt;'[1]נתוני מס'!H10),(BL20-'[1]נתוני מס'!H9)*'[1]נתוני מס'!I10+'[1]נתוני מס'!F9+'[1]נתוני מס'!F8+'[1]נתוני מס'!F7,0)</f>
        <v>#REF!</v>
      </c>
      <c r="BM24" s="27">
        <f>IF((BM20&gt;='[1]נתוני מס'!H9)*AND(BM20&lt;'[1]נתוני מס'!H10),(BM20-'[1]נתוני מס'!H9)*'[1]נתוני מס'!J10+'[1]נתוני מס'!F9+'[1]נתוני מס'!F8+'[1]נתוני מס'!F7,0)</f>
        <v>0</v>
      </c>
      <c r="BN24" s="27" t="e">
        <f>IF((BN20&gt;='[1]נתוני מס'!H9)*AND(BN20&lt;'[1]נתוני מס'!H10),(BN20-'[1]נתוני מס'!H9)*'[1]נתוני מס'!I10+'[1]נתוני מס'!F9+'[1]נתוני מס'!F8+'[1]נתוני מס'!F7,0)</f>
        <v>#REF!</v>
      </c>
      <c r="BO24" s="27"/>
      <c r="BP24" s="27">
        <f xml:space="preserve"> IF((BP20&gt;='[1]נתוני מס'!H9)*AND(BP20&lt;'[1]נתוני מס'!H10),(BP20-'[1]נתוני מס'!H9)*'[1]נתוני מס'!J10+'[1]נתוני מס'!F9+'[1]נתוני מס'!F8+'[1]נתוני מס'!F7,0)</f>
        <v>0</v>
      </c>
      <c r="BQ24" s="27">
        <v>1110907</v>
      </c>
      <c r="BR24" s="27"/>
      <c r="BS24" s="27" t="e">
        <f>IF((BS21&gt;='[1]נתוני מס'!H9)*AND(BS21&lt;'[1]נתוני מס'!H10),(BS21-'[1]נתוני מס'!H9)*'[1]נתוני מס'!I10+'[1]נתוני מס'!F9+'[1]נתוני מס'!F8+'[1]נתוני מס'!F7,0)</f>
        <v>#REF!</v>
      </c>
      <c r="BT24" s="27"/>
      <c r="BU24" s="27" t="e">
        <f>IF((BU21&gt;='[1]נתוני מס'!H9)*AND(BU21&lt;'[1]נתוני מס'!H10),(BU21-'[1]נתוני מס'!H9)*'[1]נתוני מס'!I10+'[1]נתוני מס'!F9+'[1]נתוני מס'!F8+'[1]נתוני מס'!F7,0)</f>
        <v>#REF!</v>
      </c>
      <c r="BV24" s="27"/>
      <c r="BW24" s="27"/>
      <c r="BX24" s="27"/>
      <c r="BY24" s="27"/>
      <c r="BZ24" s="27">
        <v>2</v>
      </c>
      <c r="CA24" s="27">
        <v>0.05</v>
      </c>
      <c r="CB24" s="27">
        <v>3533.84</v>
      </c>
      <c r="CC24" s="27">
        <v>3338.43</v>
      </c>
      <c r="CD24" s="27">
        <v>3115.86</v>
      </c>
      <c r="CE24" s="27">
        <v>2977.44</v>
      </c>
      <c r="CF24" s="27">
        <v>2714.17</v>
      </c>
      <c r="CG24" s="27">
        <v>2361.33</v>
      </c>
      <c r="CH24" s="27">
        <v>2212.04</v>
      </c>
      <c r="CI24" s="27">
        <v>2157.7600000000002</v>
      </c>
      <c r="CJ24" s="27">
        <v>2089.9</v>
      </c>
      <c r="CK24" s="27">
        <v>2977.44</v>
      </c>
      <c r="CL24" s="27">
        <v>2768.46</v>
      </c>
      <c r="CM24" s="27">
        <v>2361.33</v>
      </c>
      <c r="CN24" s="27">
        <v>2915.02</v>
      </c>
      <c r="CO24" s="27"/>
      <c r="CP24" s="27"/>
      <c r="CQ24" s="27" t="s">
        <v>258</v>
      </c>
      <c r="CR24" s="27"/>
      <c r="CS24" s="27">
        <f t="shared" si="1"/>
        <v>13</v>
      </c>
      <c r="CT24" s="27">
        <f t="shared" si="0"/>
        <v>28.799999999999994</v>
      </c>
      <c r="CU24" s="27"/>
      <c r="CV24" s="27">
        <v>13</v>
      </c>
      <c r="CW24" s="27">
        <v>59.6</v>
      </c>
      <c r="CX24" s="27">
        <v>38.799999999999997</v>
      </c>
      <c r="CY24" s="27"/>
      <c r="CZ24" s="27">
        <v>13</v>
      </c>
      <c r="DA24" s="27">
        <v>43</v>
      </c>
      <c r="DB24" s="27">
        <v>51.3</v>
      </c>
      <c r="DC24" s="27"/>
      <c r="DD24" s="27">
        <v>13</v>
      </c>
      <c r="DE24" s="27">
        <v>22.7</v>
      </c>
      <c r="DF24" s="27">
        <v>24.5</v>
      </c>
      <c r="DG24" s="27"/>
      <c r="DH24" s="27">
        <v>21.7</v>
      </c>
      <c r="DI24" s="27"/>
      <c r="DJ24" s="27"/>
      <c r="DK24" s="27" t="s">
        <v>259</v>
      </c>
      <c r="DL24" s="27" t="s">
        <v>260</v>
      </c>
      <c r="DM24" s="27"/>
      <c r="DN24" s="27"/>
      <c r="DO24" s="27"/>
      <c r="DP24" s="27"/>
      <c r="DQ24" s="27"/>
      <c r="DR24" s="27"/>
      <c r="DS24" s="27"/>
      <c r="DT24" s="27"/>
    </row>
    <row r="25" spans="2:124" ht="15" customHeight="1" x14ac:dyDescent="0.2">
      <c r="B25" s="58" t="s">
        <v>261</v>
      </c>
      <c r="C25" s="58">
        <v>1</v>
      </c>
      <c r="D25" s="58">
        <v>0</v>
      </c>
      <c r="E25" s="58">
        <v>0</v>
      </c>
      <c r="F25" s="207">
        <f>SUM(C25:E25)</f>
        <v>1</v>
      </c>
      <c r="G25" s="27" t="s">
        <v>262</v>
      </c>
      <c r="H25" s="27"/>
      <c r="I25" s="27"/>
      <c r="J25" s="27"/>
      <c r="K25" s="27" t="s">
        <v>211</v>
      </c>
      <c r="L25" s="27"/>
      <c r="M25" s="27"/>
      <c r="N25" s="27">
        <f>SUM(N7:N24)</f>
        <v>593</v>
      </c>
      <c r="O25" s="27" t="e">
        <f>SUM(O7:O24)</f>
        <v>#N/A</v>
      </c>
      <c r="P25" s="27" t="str">
        <f>BF73</f>
        <v>תוספת ערבה</v>
      </c>
      <c r="Q25" s="27">
        <f>BG73</f>
        <v>0</v>
      </c>
      <c r="R25" s="27">
        <f>SUM(R10:R24)*'[1]נתוני מס'!L23</f>
        <v>271.07985410316002</v>
      </c>
      <c r="S25" s="27" t="str">
        <f>P25</f>
        <v>תוספת ערבה</v>
      </c>
      <c r="T25" s="27">
        <f>BG73</f>
        <v>0</v>
      </c>
      <c r="U25" s="27"/>
      <c r="V25" s="27"/>
      <c r="W25" s="27">
        <f>IF(BG59=CB16,10%,IF(BG59=CC16,5%,0))</f>
        <v>0.1</v>
      </c>
      <c r="X25" s="27" t="s">
        <v>263</v>
      </c>
      <c r="Y25" s="27"/>
      <c r="Z25" s="27"/>
      <c r="AA25" s="27"/>
      <c r="AB25" s="27"/>
      <c r="AC25" s="27">
        <v>40147</v>
      </c>
      <c r="AD25" s="27"/>
      <c r="AE25" s="27" t="s">
        <v>264</v>
      </c>
      <c r="AF25" s="27" t="e">
        <f>IF(BF50&lt;60,MIN(BA43:BA45),0)</f>
        <v>#REF!</v>
      </c>
      <c r="AG25" s="27"/>
      <c r="AH25" s="27"/>
      <c r="AI25" s="27"/>
      <c r="AJ25" s="27" t="s">
        <v>265</v>
      </c>
      <c r="AK25" s="27">
        <v>40574</v>
      </c>
      <c r="AL25" s="27" t="s">
        <v>151</v>
      </c>
      <c r="AM25" s="27">
        <v>40086</v>
      </c>
      <c r="AN25" s="27"/>
      <c r="AO25" s="27"/>
      <c r="AP25" s="27">
        <v>25</v>
      </c>
      <c r="AQ25" s="27">
        <v>13</v>
      </c>
      <c r="AR25" s="27"/>
      <c r="AS25" s="27">
        <v>13</v>
      </c>
      <c r="AT25" s="27">
        <v>34</v>
      </c>
      <c r="AU25" s="27">
        <v>2.5</v>
      </c>
      <c r="AV25" s="27"/>
      <c r="AW25" s="27"/>
      <c r="AX25" s="27"/>
      <c r="AY25" s="27">
        <v>18994</v>
      </c>
      <c r="AZ25" s="27">
        <v>18994</v>
      </c>
      <c r="BA25" s="27"/>
      <c r="BB25" s="27" t="s">
        <v>138</v>
      </c>
      <c r="BC25" s="27">
        <f>BG61+(1/12)*AA35</f>
        <v>33</v>
      </c>
      <c r="BD25" s="27"/>
      <c r="BE25" s="27" t="e">
        <f>IF((BE20&gt;='[1]נתוני מס'!H10)*AND(BE20&lt;'[1]נתוני מס'!H11),((BE20-'[1]נתוני מס'!H10)*'[1]נתוני מס'!I11+'[1]נתוני מס'!F10+'[1]נתוני מס'!F9+'[1]נתוני מס'!F8+'[1]נתוני מס'!F7-AG32)*BE28,0)</f>
        <v>#REF!</v>
      </c>
      <c r="BF25" s="27" t="e">
        <f>IF((BF20&gt;='[1]נתוני מס'!H10)*AND(BF20&lt;'[1]נתוני מס'!H11),((BF20-'[1]נתוני מס'!H10)*'[1]נתוני מס'!I11+'[1]נתוני מס'!F10+'[1]נתוני מס'!F9+'[1]נתוני מס'!F8+'[1]נתוני מס'!F7-AG32)*BF28,0)</f>
        <v>#REF!</v>
      </c>
      <c r="BG25" s="27"/>
      <c r="BH25" s="27" t="e">
        <f>IF((BH20&gt;='[1]נתוני מס'!H10)*AND(BH20&lt;'[1]נתוני מס'!H11),((BH20-'[1]נתוני מס'!H10)*'[1]נתוני מס'!I11+'[1]נתוני מס'!F10+'[1]נתוני מס'!F9+'[1]נתוני מס'!F8+'[1]נתוני מס'!F7)*BH28,0)</f>
        <v>#REF!</v>
      </c>
      <c r="BI25" s="27" t="e">
        <f>IF((BI20&gt;='[1]נתוני מס'!H10)*AND(BI20&lt;'[1]נתוני מס'!H11),((BI20-'[1]נתוני מס'!H10)*'[1]נתוני מס'!I11+'[1]נתוני מס'!F10+'[1]נתוני מס'!F9+'[1]נתוני מס'!F8+'[1]נתוני מס'!F7)*BI28,0)</f>
        <v>#REF!</v>
      </c>
      <c r="BJ25" s="27" t="e">
        <f>IF((#REF!&gt;='[1]נתוני מס'!H10)*AND(#REF!&lt;'[1]נתוני מס'!H11),(#REF!-'[1]נתוני מס'!H10)*'[1]נתוני מס'!I11+'[1]נתוני מס'!F10+'[1]נתוני מס'!F9+'[1]נתוני מס'!F8+'[1]נתוני מס'!F7,0)</f>
        <v>#REF!</v>
      </c>
      <c r="BK25" s="27" t="e">
        <f>IF((BK20&gt;='[1]נתוני מס'!H10)*AND(BK20&lt;'[1]נתוני מס'!H11),(BK20-'[1]נתוני מס'!H10)*'[1]נתוני מס'!I11+'[1]נתוני מס'!F10+'[1]נתוני מס'!F9+'[1]נתוני מס'!F8+'[1]נתוני מס'!F7,0)</f>
        <v>#REF!</v>
      </c>
      <c r="BL25" s="27" t="e">
        <f>IF((BL20&gt;='[1]נתוני מס'!H10)*AND(BL20&lt;'[1]נתוני מס'!H11),(BL20-'[1]נתוני מס'!H10)*'[1]נתוני מס'!I11+'[1]נתוני מס'!F10+'[1]נתוני מס'!F9+'[1]נתוני מס'!F8+'[1]נתוני מס'!F7,0)</f>
        <v>#REF!</v>
      </c>
      <c r="BM25" s="27">
        <f>IF((BM20&gt;='[1]נתוני מס'!H10)*AND(BM20&lt;'[1]נתוני מס'!H11),(BM20-'[1]נתוני מס'!H10)*'[1]נתוני מס'!J11+'[1]נתוני מס'!F10+'[1]נתוני מס'!F9+'[1]נתוני מס'!F8+'[1]נתוני מס'!F7,0)</f>
        <v>0</v>
      </c>
      <c r="BN25" s="27" t="e">
        <f>IF((BN20&gt;='[1]נתוני מס'!H10)*AND(BN20&lt;'[1]נתוני מס'!H11),(BN20-'[1]נתוני מס'!H10)*'[1]נתוני מס'!I11+'[1]נתוני מס'!F10+'[1]נתוני מס'!F9+'[1]נתוני מס'!F8+'[1]נתוני מס'!F7,0)</f>
        <v>#REF!</v>
      </c>
      <c r="BO25" s="27"/>
      <c r="BP25" s="27">
        <f xml:space="preserve"> IF((BP20&gt;='[1]נתוני מס'!H10)*AND(BP20&lt;'[1]נתוני מס'!H11),(BP20-'[1]נתוני מס'!H10)*'[1]נתוני מס'!J11+'[1]נתוני מס'!F10+'[1]נתוני מס'!F9+'[1]נתוני מס'!F8+'[1]נתוני מס'!F7,0)</f>
        <v>0</v>
      </c>
      <c r="BQ25" s="27"/>
      <c r="BR25" s="27"/>
      <c r="BS25" s="27" t="e">
        <f>IF((BS21&gt;='[1]נתוני מס'!H10)*AND(BS21&lt;'[1]נתוני מס'!H11),(BS21-'[1]נתוני מס'!H10)*'[1]נתוני מס'!I11+'[1]נתוני מס'!F10+'[1]נתוני מס'!F9+'[1]נתוני מס'!F8+'[1]נתוני מס'!F7,0)</f>
        <v>#REF!</v>
      </c>
      <c r="BT25" s="27"/>
      <c r="BU25" s="27" t="e">
        <f>IF((BU21&gt;='[1]נתוני מס'!H10)*AND(BU21&lt;'[1]נתוני מס'!H11),(BU21-'[1]נתוני מס'!H10)*'[1]נתוני מס'!I11+'[1]נתוני מס'!F10+'[1]נתוני מס'!F9+'[1]נתוני מס'!F8+'[1]נתוני מס'!F7,0)</f>
        <v>#REF!</v>
      </c>
      <c r="BV25" s="27"/>
      <c r="BW25" s="27"/>
      <c r="BX25" s="27"/>
      <c r="BY25" s="27"/>
      <c r="BZ25" s="27"/>
      <c r="CA25" s="27"/>
      <c r="CB25" s="27"/>
      <c r="CC25" s="27"/>
      <c r="CD25" s="27"/>
      <c r="CE25" s="27"/>
      <c r="CF25" s="27"/>
      <c r="CG25" s="27"/>
      <c r="CH25" s="27"/>
      <c r="CI25" s="27"/>
      <c r="CJ25" s="27"/>
      <c r="CK25" s="27"/>
      <c r="CL25" s="27"/>
      <c r="CM25" s="27"/>
      <c r="CN25" s="27"/>
      <c r="CO25" s="27"/>
      <c r="CP25" s="27"/>
      <c r="CQ25" s="27" t="s">
        <v>266</v>
      </c>
      <c r="CR25" s="27"/>
      <c r="CS25" s="27">
        <f t="shared" si="1"/>
        <v>14</v>
      </c>
      <c r="CT25" s="27">
        <f t="shared" si="0"/>
        <v>31.199999999999992</v>
      </c>
      <c r="CU25" s="27"/>
      <c r="CV25" s="27">
        <v>14</v>
      </c>
      <c r="CW25" s="27">
        <v>59.6</v>
      </c>
      <c r="CX25" s="27"/>
      <c r="CY25" s="27"/>
      <c r="CZ25" s="27">
        <v>14</v>
      </c>
      <c r="DA25" s="27">
        <v>47</v>
      </c>
      <c r="DB25" s="27">
        <v>56.14</v>
      </c>
      <c r="DC25" s="27"/>
      <c r="DD25" s="27">
        <v>14</v>
      </c>
      <c r="DE25" s="27">
        <v>23.7</v>
      </c>
      <c r="DF25" s="27">
        <f>DF24+1</f>
        <v>25.5</v>
      </c>
      <c r="DG25" s="27"/>
      <c r="DH25" s="27">
        <v>22.7</v>
      </c>
      <c r="DI25" s="27"/>
      <c r="DJ25" s="27"/>
      <c r="DK25" s="27" t="s">
        <v>267</v>
      </c>
      <c r="DL25" s="27" t="s">
        <v>268</v>
      </c>
      <c r="DM25" s="27"/>
      <c r="DN25" s="27"/>
      <c r="DO25" s="27"/>
      <c r="DP25" s="27"/>
      <c r="DQ25" s="27"/>
      <c r="DR25" s="27"/>
      <c r="DS25" s="27"/>
      <c r="DT25" s="27"/>
    </row>
    <row r="26" spans="2:124" ht="18.75" customHeight="1" x14ac:dyDescent="0.2">
      <c r="B26" s="52" t="s">
        <v>269</v>
      </c>
      <c r="C26" s="55">
        <f>C25*1</f>
        <v>1</v>
      </c>
      <c r="D26" s="55">
        <f>D25*1.1</f>
        <v>0</v>
      </c>
      <c r="E26" s="55">
        <f>E25*2</f>
        <v>0</v>
      </c>
      <c r="F26" s="206">
        <f>SUM(C26:E26)</f>
        <v>1</v>
      </c>
      <c r="G26" s="27" t="s">
        <v>270</v>
      </c>
      <c r="H26" s="27"/>
      <c r="I26" s="27"/>
      <c r="J26" s="27"/>
      <c r="K26" s="27"/>
      <c r="L26" s="27"/>
      <c r="M26" s="27"/>
      <c r="N26" s="27"/>
      <c r="O26" s="27"/>
      <c r="P26" s="27"/>
      <c r="Q26" s="27" t="e">
        <f>SUM(Q10:Q25)</f>
        <v>#REF!</v>
      </c>
      <c r="R26" s="27">
        <f>SUM(R10:R24)*'[1]נתוני מס'!L22*(1+'[1]נתוני מס'!L23)</f>
        <v>366.65056266641858</v>
      </c>
      <c r="S26" s="27" t="s">
        <v>271</v>
      </c>
      <c r="T26" s="27" t="e">
        <f>SUM(T10:T25)</f>
        <v>#REF!</v>
      </c>
      <c r="U26" s="27"/>
      <c r="V26" s="27"/>
      <c r="W26" s="27"/>
      <c r="X26" s="27"/>
      <c r="Y26" s="27"/>
      <c r="Z26" s="27"/>
      <c r="AA26" s="27"/>
      <c r="AB26" s="27"/>
      <c r="AC26" s="27">
        <v>147.53</v>
      </c>
      <c r="AD26" s="27"/>
      <c r="AE26" s="27"/>
      <c r="AF26" s="27"/>
      <c r="AG26" s="27"/>
      <c r="AH26" s="27"/>
      <c r="AI26" s="27"/>
      <c r="AJ26" s="27" t="s">
        <v>216</v>
      </c>
      <c r="AK26" s="27"/>
      <c r="AL26" s="27" t="s">
        <v>272</v>
      </c>
      <c r="AM26" s="27">
        <v>40117</v>
      </c>
      <c r="AN26" s="27"/>
      <c r="AO26" s="27"/>
      <c r="AP26" s="27"/>
      <c r="AQ26" s="27"/>
      <c r="AR26" s="27"/>
      <c r="AS26" s="27" t="s">
        <v>273</v>
      </c>
      <c r="AT26" s="27" t="s">
        <v>274</v>
      </c>
      <c r="AU26" s="27">
        <v>3</v>
      </c>
      <c r="AV26" s="27"/>
      <c r="AW26" s="27"/>
      <c r="AX26" s="27"/>
      <c r="AY26" s="27">
        <v>19238</v>
      </c>
      <c r="AZ26" s="27">
        <v>19238</v>
      </c>
      <c r="BA26" s="27"/>
      <c r="BB26" s="27" t="s">
        <v>275</v>
      </c>
      <c r="BC26" s="27">
        <f>BG63+(1/12)*AA35+(F158*100)/2</f>
        <v>33</v>
      </c>
      <c r="BD26" s="27"/>
      <c r="BE26" s="27" t="e">
        <f>IF((BE20&gt;='[1]נתוני מס'!H11),((BE20-'[1]נתוני מס'!H11)*'[1]נתוני מס'!I12+'[1]נתוני מס'!F11+'[1]נתוני מס'!F10+'[1]נתוני מס'!F9+'[1]נתוני מס'!F8+'[1]נתוני מס'!F7-AG32)*BE28,0)</f>
        <v>#REF!</v>
      </c>
      <c r="BF26" s="27" t="e">
        <f>IF((BF20&gt;='[1]נתוני מס'!H11),((BF20-'[1]נתוני מס'!H11)*'[1]נתוני מס'!I12+'[1]נתוני מס'!F11+'[1]נתוני מס'!F10+'[1]נתוני מס'!F9+'[1]נתוני מס'!F8+'[1]נתוני מס'!F7-AG32)*BF28,0)</f>
        <v>#REF!</v>
      </c>
      <c r="BG26" s="27"/>
      <c r="BH26" s="27" t="e">
        <f>IF((BH20&gt;='[1]נתוני מס'!H11),((BH20-'[1]נתוני מס'!H11)*'[1]נתוני מס'!I12+'[1]נתוני מס'!F11+'[1]נתוני מס'!F10+'[1]נתוני מס'!F9+'[1]נתוני מס'!F8+'[1]נתוני מס'!F7)*BH28,0)</f>
        <v>#REF!</v>
      </c>
      <c r="BI26" s="27" t="e">
        <f>IF((BI20&gt;='[1]נתוני מס'!H11),((BI20-'[1]נתוני מס'!H11)*'[1]נתוני מס'!I12+'[1]נתוני מס'!F11+'[1]נתוני מס'!F10+'[1]נתוני מס'!F9+'[1]נתוני מס'!F8+'[1]נתוני מס'!F7)*BI28,0)</f>
        <v>#REF!</v>
      </c>
      <c r="BJ26" s="27" t="e">
        <f>IF((#REF!&gt;='[1]נתוני מס'!H11),(#REF!-'[1]נתוני מס'!H11)*'[1]נתוני מס'!I12+'[1]נתוני מס'!F11+'[1]נתוני מס'!F10+'[1]נתוני מס'!F9+'[1]נתוני מס'!F8+'[1]נתוני מס'!F7,0)</f>
        <v>#REF!</v>
      </c>
      <c r="BK26" s="27" t="e">
        <f>IF((BK20&gt;='[1]נתוני מס'!H11),(BK20-'[1]נתוני מס'!H11)*'[1]נתוני מס'!I12+'[1]נתוני מס'!F11+'[1]נתוני מס'!F10+'[1]נתוני מס'!F9+'[1]נתוני מס'!F8+'[1]נתוני מס'!F7,0)</f>
        <v>#REF!</v>
      </c>
      <c r="BL26" s="27" t="e">
        <f>IF((BL20&gt;='[1]נתוני מס'!H11),(BL20-'[1]נתוני מס'!H11)*'[1]נתוני מס'!I12+'[1]נתוני מס'!F11+'[1]נתוני מס'!F10+'[1]נתוני מס'!F9+'[1]נתוני מס'!F8+'[1]נתוני מס'!F7,0)</f>
        <v>#REF!</v>
      </c>
      <c r="BM26" s="27">
        <f>IF((BM20&gt;='[1]נתוני מס'!H11),(BM20-'[1]נתוני מס'!H11)*'[1]נתוני מס'!J12+'[1]נתוני מס'!F11+'[1]נתוני מס'!F10+'[1]נתוני מס'!F9+'[1]נתוני מס'!F8+'[1]נתוני מס'!F7,0)</f>
        <v>0</v>
      </c>
      <c r="BN26" s="27" t="e">
        <f>IF((BN20&gt;='[1]נתוני מס'!H11),(BN20-'[1]נתוני מס'!H11)*'[1]נתוני מס'!I12+'[1]נתוני מס'!F11+'[1]נתוני מס'!F10+'[1]נתוני מס'!F9+'[1]נתוני מס'!F8+'[1]נתוני מס'!F7,0)</f>
        <v>#REF!</v>
      </c>
      <c r="BO26" s="27"/>
      <c r="BP26" s="27">
        <f>IF((BP20&gt;='[1]נתוני מס'!H11),(BP20-'[1]נתוני מס'!H11)*'[1]נתוני מס'!J12+'[1]נתוני מס'!F11+'[1]נתוני מס'!F10+'[1]נתוני מס'!F9+'[1]נתוני מס'!F8+'[1]נתוני מס'!F7,0)</f>
        <v>0</v>
      </c>
      <c r="BQ26" s="27">
        <v>1112887</v>
      </c>
      <c r="BR26" s="27"/>
      <c r="BS26" s="27" t="e">
        <f>IF((BS21&gt;='[1]נתוני מס'!H11),(BS21-'[1]נתוני מס'!H11)*'[1]נתוני מס'!I12+'[1]נתוני מס'!F11+'[1]נתוני מס'!F10+'[1]נתוני מס'!F9+'[1]נתוני מס'!F8+'[1]נתוני מס'!F7,0)</f>
        <v>#REF!</v>
      </c>
      <c r="BT26" s="27"/>
      <c r="BU26" s="27" t="e">
        <f>IF((BU21&gt;='[1]נתוני מס'!H11),(BU21-'[1]נתוני מס'!H11)*'[1]נתוני מס'!I12+'[1]נתוני מס'!F11+'[1]נתוני מס'!F10+'[1]נתוני מס'!F9+'[1]נתוני מס'!F8+'[1]נתוני מס'!F7,0)</f>
        <v>#REF!</v>
      </c>
      <c r="BV26" s="27" t="s">
        <v>224</v>
      </c>
      <c r="BW26" s="27"/>
      <c r="BX26" s="27"/>
      <c r="BY26" s="27"/>
      <c r="BZ26" s="27">
        <v>3</v>
      </c>
      <c r="CA26" s="27">
        <v>0.05</v>
      </c>
      <c r="CB26" s="27">
        <v>3710.53</v>
      </c>
      <c r="CC26" s="27">
        <v>3505.35</v>
      </c>
      <c r="CD26" s="27">
        <v>3271.65</v>
      </c>
      <c r="CE26" s="27">
        <v>3126.31</v>
      </c>
      <c r="CF26" s="27">
        <v>2849.87</v>
      </c>
      <c r="CG26" s="27">
        <v>2479.39</v>
      </c>
      <c r="CH26" s="27">
        <v>2322.64</v>
      </c>
      <c r="CI26" s="27">
        <v>2265.64</v>
      </c>
      <c r="CJ26" s="27">
        <v>2194.39</v>
      </c>
      <c r="CK26" s="27">
        <v>3126.31</v>
      </c>
      <c r="CL26" s="27">
        <v>2906.88</v>
      </c>
      <c r="CM26" s="27">
        <v>2479.39</v>
      </c>
      <c r="CN26" s="27">
        <v>3060.77</v>
      </c>
      <c r="CO26" s="27"/>
      <c r="CP26" s="27"/>
      <c r="CQ26" s="27" t="s">
        <v>276</v>
      </c>
      <c r="CR26" s="27"/>
      <c r="CS26" s="27">
        <f t="shared" si="1"/>
        <v>15</v>
      </c>
      <c r="CT26" s="27">
        <f t="shared" si="0"/>
        <v>33.599999999999994</v>
      </c>
      <c r="CU26" s="27"/>
      <c r="CV26" s="27">
        <v>15</v>
      </c>
      <c r="CW26" s="27">
        <v>59.6</v>
      </c>
      <c r="CX26" s="27"/>
      <c r="CY26" s="27"/>
      <c r="CZ26" s="27">
        <v>15</v>
      </c>
      <c r="DA26" s="27">
        <v>47</v>
      </c>
      <c r="DB26" s="27">
        <v>56.14</v>
      </c>
      <c r="DC26" s="27"/>
      <c r="DD26" s="27">
        <v>15</v>
      </c>
      <c r="DE26" s="27">
        <v>24.5</v>
      </c>
      <c r="DF26" s="27">
        <v>26.4</v>
      </c>
      <c r="DG26" s="27"/>
      <c r="DH26" s="27">
        <v>23.7</v>
      </c>
      <c r="DI26" s="27"/>
      <c r="DJ26" s="27"/>
      <c r="DK26" s="27">
        <v>31.4</v>
      </c>
      <c r="DL26" s="27" t="s">
        <v>268</v>
      </c>
      <c r="DM26" s="27"/>
      <c r="DN26" s="27"/>
      <c r="DO26" s="27"/>
      <c r="DP26" s="27"/>
      <c r="DQ26" s="27"/>
      <c r="DR26" s="27"/>
      <c r="DS26" s="27"/>
      <c r="DT26" s="27"/>
    </row>
    <row r="27" spans="2:124" ht="23.25" customHeight="1" thickBot="1" x14ac:dyDescent="0.25">
      <c r="C27" s="61"/>
      <c r="D27" s="61" t="s">
        <v>182</v>
      </c>
      <c r="E27" s="61"/>
      <c r="G27" s="27"/>
      <c r="H27" s="27"/>
      <c r="I27" s="27"/>
      <c r="J27" s="27"/>
      <c r="K27" s="27"/>
      <c r="L27" s="27"/>
      <c r="M27" s="27"/>
      <c r="N27" s="27"/>
      <c r="O27" s="27"/>
      <c r="P27" s="27"/>
      <c r="Q27" s="27"/>
      <c r="R27" s="27">
        <f>SUM(R10:R26)</f>
        <v>8167.7263640795791</v>
      </c>
      <c r="S27" s="27" t="s">
        <v>279</v>
      </c>
      <c r="T27" s="27" t="e">
        <f>(T26*V8+D234*H193)/T9</f>
        <v>#REF!</v>
      </c>
      <c r="U27" s="27" t="s">
        <v>59</v>
      </c>
      <c r="V27" s="27"/>
      <c r="W27" s="27"/>
      <c r="X27" s="27"/>
      <c r="Y27" s="27"/>
      <c r="Z27" s="27"/>
      <c r="AA27" s="27"/>
      <c r="AB27" s="27"/>
      <c r="AC27" s="27"/>
      <c r="AD27" s="27"/>
      <c r="AE27" s="27" t="s">
        <v>275</v>
      </c>
      <c r="AF27" s="27">
        <f>YEAR(AK25)-YEAR(J4)+BC26</f>
        <v>144</v>
      </c>
      <c r="AG27" s="27"/>
      <c r="AH27" s="27"/>
      <c r="AI27" s="27" t="s">
        <v>280</v>
      </c>
      <c r="AJ27" s="27" t="s">
        <v>281</v>
      </c>
      <c r="AK27" s="27" t="s">
        <v>282</v>
      </c>
      <c r="AL27" s="27" t="s">
        <v>283</v>
      </c>
      <c r="AM27" s="27">
        <v>40147</v>
      </c>
      <c r="AN27" s="27"/>
      <c r="AO27" s="27"/>
      <c r="AP27" s="27"/>
      <c r="AQ27" s="27" t="s">
        <v>59</v>
      </c>
      <c r="AR27" s="27">
        <f>VLOOKUP(AF27,__HAV2,2,TRUE)</f>
        <v>13</v>
      </c>
      <c r="AS27" s="27">
        <v>14</v>
      </c>
      <c r="AT27" s="27">
        <v>35</v>
      </c>
      <c r="AU27" s="27"/>
      <c r="AV27" s="27"/>
      <c r="AW27" s="27"/>
      <c r="AX27" s="27"/>
      <c r="AY27" s="27">
        <v>19480</v>
      </c>
      <c r="AZ27" s="27">
        <v>19480</v>
      </c>
      <c r="BA27" s="27" t="s">
        <v>284</v>
      </c>
      <c r="BB27" s="27"/>
      <c r="BC27" s="27">
        <f>IF(AE14&lt;=100%/3,0,AE14)</f>
        <v>1</v>
      </c>
      <c r="BD27" s="27"/>
      <c r="BE27" s="27" t="e">
        <f>IF(SUM(BE22:BE26)&lt;0,0,SUM(BE22:BE26))</f>
        <v>#REF!</v>
      </c>
      <c r="BF27" s="27" t="e">
        <f>IF(SUM(BF22:BF26)&lt;0,0,SUM(BF22:BF26))</f>
        <v>#REF!</v>
      </c>
      <c r="BG27" s="27"/>
      <c r="BH27" s="27" t="e">
        <f>IF(SUM(BH22:BH26)&lt;0,0,(SUM(BH22:BH26)))</f>
        <v>#REF!</v>
      </c>
      <c r="BI27" s="27" t="e">
        <f>IF(SUM(BI22:BI26)&lt;0,0,SUM(BI22:BI26))</f>
        <v>#REF!</v>
      </c>
      <c r="BJ27" s="27" t="e">
        <f>IF(SUM(BJ22:BJ26)&lt;0,0,SUM(BJ22:BJ26))</f>
        <v>#REF!</v>
      </c>
      <c r="BK27" s="27" t="e">
        <f>IF(SUM(BK22:BK26)&lt;0,0,SUM(BK22:BK26))</f>
        <v>#REF!</v>
      </c>
      <c r="BL27" s="27" t="e">
        <f>IF(SUM(BL22:BL26)&lt;0,0,SUM(BL22:BL26))</f>
        <v>#REF!</v>
      </c>
      <c r="BM27" s="27">
        <f>IF(SUM(BM22:BM26)&lt;0,0,SUM(BM22:BM26))</f>
        <v>1662.8000000000002</v>
      </c>
      <c r="BN27" s="27" t="e">
        <f>SUM(BN22:BN26)</f>
        <v>#REF!</v>
      </c>
      <c r="BO27" s="27"/>
      <c r="BP27" s="27">
        <f>IF(SUM(BP22:BP26)&lt;0,0,SUM(BP22:BP26))</f>
        <v>0</v>
      </c>
      <c r="BQ27" s="27"/>
      <c r="BR27" s="27" t="s">
        <v>285</v>
      </c>
      <c r="BS27" s="27" t="e">
        <f>SUM(BS22:BS26)</f>
        <v>#REF!</v>
      </c>
      <c r="BT27" s="27"/>
      <c r="BU27" s="27" t="e">
        <f>SUM(BU22:BU26)</f>
        <v>#REF!</v>
      </c>
      <c r="BV27" s="27" t="e">
        <f>BU29-BN29</f>
        <v>#REF!</v>
      </c>
      <c r="BW27" s="27"/>
      <c r="BX27" s="27"/>
      <c r="BY27" s="27"/>
      <c r="BZ27" s="27"/>
      <c r="CA27" s="27"/>
      <c r="CB27" s="27"/>
      <c r="CC27" s="27"/>
      <c r="CD27" s="27"/>
      <c r="CE27" s="27"/>
      <c r="CF27" s="27"/>
      <c r="CG27" s="27"/>
      <c r="CH27" s="27"/>
      <c r="CI27" s="27"/>
      <c r="CJ27" s="27"/>
      <c r="CK27" s="27"/>
      <c r="CL27" s="27"/>
      <c r="CM27" s="27"/>
      <c r="CN27" s="27"/>
      <c r="CO27" s="27"/>
      <c r="CP27" s="27"/>
      <c r="CQ27" s="27" t="s">
        <v>286</v>
      </c>
      <c r="CR27" s="27"/>
      <c r="CS27" s="27">
        <f t="shared" si="1"/>
        <v>16</v>
      </c>
      <c r="CT27" s="27">
        <f t="shared" si="0"/>
        <v>35.999999999999993</v>
      </c>
      <c r="CU27" s="27"/>
      <c r="CV27" s="27">
        <v>16</v>
      </c>
      <c r="CW27" s="27">
        <v>59.6</v>
      </c>
      <c r="CX27" s="27"/>
      <c r="CY27" s="27"/>
      <c r="CZ27" s="27">
        <v>16</v>
      </c>
      <c r="DA27" s="27">
        <v>47</v>
      </c>
      <c r="DB27" s="27">
        <v>56.14</v>
      </c>
      <c r="DC27" s="27"/>
      <c r="DD27" s="27">
        <v>16</v>
      </c>
      <c r="DE27" s="27">
        <v>25.5</v>
      </c>
      <c r="DF27" s="27">
        <v>27.5</v>
      </c>
      <c r="DG27" s="27"/>
      <c r="DH27" s="27">
        <v>24.5</v>
      </c>
      <c r="DI27" s="27"/>
      <c r="DJ27" s="27"/>
      <c r="DK27" s="27">
        <v>33.6</v>
      </c>
      <c r="DL27" s="27" t="s">
        <v>268</v>
      </c>
      <c r="DM27" s="27"/>
      <c r="DN27" s="27"/>
      <c r="DO27" s="27"/>
      <c r="DP27" s="27"/>
      <c r="DQ27" s="27"/>
      <c r="DR27" s="27"/>
      <c r="DS27" s="27"/>
      <c r="DT27" s="27"/>
    </row>
    <row r="28" spans="2:124" ht="15" customHeight="1" thickBot="1" x14ac:dyDescent="0.3">
      <c r="C28" s="56" t="s">
        <v>287</v>
      </c>
      <c r="D28" s="56" t="s">
        <v>288</v>
      </c>
      <c r="E28" s="56" t="s">
        <v>289</v>
      </c>
      <c r="F28" s="57" t="s">
        <v>249</v>
      </c>
      <c r="G28" s="27"/>
      <c r="H28" s="27"/>
      <c r="I28" s="27"/>
      <c r="J28" s="27"/>
      <c r="K28" s="27"/>
      <c r="L28" s="27"/>
      <c r="M28" s="27"/>
      <c r="N28" s="27"/>
      <c r="O28" s="27" t="s">
        <v>277</v>
      </c>
      <c r="P28" s="27">
        <f>I27+I21</f>
        <v>0</v>
      </c>
      <c r="Q28" s="27">
        <f>J27+J21</f>
        <v>0</v>
      </c>
      <c r="R28" s="27"/>
      <c r="S28" s="27"/>
      <c r="T28" s="27"/>
      <c r="U28" s="27"/>
      <c r="V28" s="27"/>
      <c r="W28" s="27"/>
      <c r="X28" s="27"/>
      <c r="Y28" s="27"/>
      <c r="Z28" s="27"/>
      <c r="AA28" s="27"/>
      <c r="AB28" s="27"/>
      <c r="AC28" s="27">
        <v>164.07</v>
      </c>
      <c r="AD28" s="27"/>
      <c r="AE28" s="27" t="s">
        <v>292</v>
      </c>
      <c r="AF28" s="27">
        <f>BC24</f>
        <v>33</v>
      </c>
      <c r="AG28" s="27"/>
      <c r="AH28" s="27" t="s">
        <v>191</v>
      </c>
      <c r="AI28" s="27">
        <f>IF(BC24&gt;AF29,AF29,BC24)</f>
        <v>33</v>
      </c>
      <c r="AJ28" s="27" t="e">
        <f>IF(AB21=#REF!,1.5*AK28,1*AK28)</f>
        <v>#REF!</v>
      </c>
      <c r="AK28" s="27">
        <f>IF(AB21=AJ20,1,IF(BC24&gt;30,0.75,1))</f>
        <v>1</v>
      </c>
      <c r="AL28" s="27" t="s">
        <v>293</v>
      </c>
      <c r="AM28" s="27">
        <v>40178</v>
      </c>
      <c r="AN28" s="27"/>
      <c r="AO28" s="27"/>
      <c r="AP28" s="27"/>
      <c r="AQ28" s="27"/>
      <c r="AR28" s="27"/>
      <c r="AS28" s="27" t="s">
        <v>294</v>
      </c>
      <c r="AT28" s="27" t="s">
        <v>295</v>
      </c>
      <c r="AU28" s="27"/>
      <c r="AV28" s="27"/>
      <c r="AW28" s="27"/>
      <c r="AX28" s="27"/>
      <c r="AY28" s="27"/>
      <c r="AZ28" s="27"/>
      <c r="BA28" s="27"/>
      <c r="BB28" s="27" t="s">
        <v>59</v>
      </c>
      <c r="BC28" s="27"/>
      <c r="BD28" s="27"/>
      <c r="BE28" s="27">
        <v>1</v>
      </c>
      <c r="BF28" s="27">
        <v>1</v>
      </c>
      <c r="BG28" s="27"/>
      <c r="BH28" s="27" t="e">
        <f>BG19/BH20</f>
        <v>#REF!</v>
      </c>
      <c r="BI28" s="27" t="e">
        <f>BI19/BI20</f>
        <v>#REF!</v>
      </c>
      <c r="BJ28" s="27"/>
      <c r="BK28" s="27" t="e">
        <f>(#REF!/12)/BK19</f>
        <v>#REF!</v>
      </c>
      <c r="BL28" s="27"/>
      <c r="BM28" s="27"/>
      <c r="BN28" s="27"/>
      <c r="BO28" s="27"/>
      <c r="BP28" s="27">
        <f>IF(BP20&gt;BK104,BP27*(BR28-BI104)+95,BP27*BR28)</f>
        <v>0</v>
      </c>
      <c r="BQ28" s="27">
        <v>1107788</v>
      </c>
      <c r="BR28" s="27">
        <f>BI98</f>
        <v>0</v>
      </c>
      <c r="BS28" s="27"/>
      <c r="BT28" s="27"/>
      <c r="BU28" s="27"/>
      <c r="BV28" s="27"/>
      <c r="BW28" s="27"/>
      <c r="BX28" s="27"/>
      <c r="BY28" s="27"/>
      <c r="BZ28" s="27">
        <v>4</v>
      </c>
      <c r="CA28" s="27">
        <v>0.05</v>
      </c>
      <c r="CB28" s="27">
        <v>3896.05</v>
      </c>
      <c r="CC28" s="27">
        <v>3680.61</v>
      </c>
      <c r="CD28" s="27">
        <v>3435.23</v>
      </c>
      <c r="CE28" s="27">
        <v>3282.62</v>
      </c>
      <c r="CF28" s="27">
        <v>2992.36</v>
      </c>
      <c r="CG28" s="27">
        <v>2603.35</v>
      </c>
      <c r="CH28" s="27">
        <v>2438.77</v>
      </c>
      <c r="CI28" s="27">
        <v>2378.92</v>
      </c>
      <c r="CJ28" s="27">
        <v>2304.1</v>
      </c>
      <c r="CK28" s="27">
        <v>3282.62</v>
      </c>
      <c r="CL28" s="27">
        <v>3052.22</v>
      </c>
      <c r="CM28" s="27">
        <v>2603.35</v>
      </c>
      <c r="CN28" s="27">
        <v>3213.8</v>
      </c>
      <c r="CO28" s="27"/>
      <c r="CP28" s="27"/>
      <c r="CQ28" s="27" t="s">
        <v>296</v>
      </c>
      <c r="CR28" s="27"/>
      <c r="CS28" s="27"/>
      <c r="CT28" s="27"/>
      <c r="CU28" s="27"/>
      <c r="CV28" s="27">
        <v>17</v>
      </c>
      <c r="CW28" s="27">
        <v>59.6</v>
      </c>
      <c r="CX28" s="27"/>
      <c r="CY28" s="27"/>
      <c r="CZ28" s="27">
        <v>17</v>
      </c>
      <c r="DA28" s="27">
        <v>47</v>
      </c>
      <c r="DB28" s="27">
        <v>56.14</v>
      </c>
      <c r="DC28" s="27"/>
      <c r="DD28" s="27">
        <v>17</v>
      </c>
      <c r="DE28" s="27">
        <v>26.4</v>
      </c>
      <c r="DF28" s="27">
        <v>28.2</v>
      </c>
      <c r="DG28" s="27"/>
      <c r="DH28" s="27" t="s">
        <v>297</v>
      </c>
      <c r="DI28" s="27"/>
      <c r="DJ28" s="27"/>
      <c r="DK28" s="27" t="s">
        <v>298</v>
      </c>
      <c r="DL28" s="27" t="s">
        <v>268</v>
      </c>
      <c r="DM28" s="27"/>
      <c r="DN28" s="27"/>
      <c r="DO28" s="27"/>
      <c r="DP28" s="27"/>
      <c r="DQ28" s="27"/>
      <c r="DR28" s="27"/>
      <c r="DS28" s="27"/>
      <c r="DT28" s="27"/>
    </row>
    <row r="29" spans="2:124" ht="14.25" customHeight="1" x14ac:dyDescent="0.25">
      <c r="B29" s="36" t="s">
        <v>261</v>
      </c>
      <c r="C29" s="36">
        <v>15</v>
      </c>
      <c r="D29" s="36">
        <v>0</v>
      </c>
      <c r="E29" s="36">
        <v>0</v>
      </c>
      <c r="F29" s="61">
        <f>SUM(C29:E29)</f>
        <v>15</v>
      </c>
      <c r="G29" s="27"/>
      <c r="H29" s="27"/>
      <c r="I29" s="27"/>
      <c r="J29" s="27"/>
      <c r="K29" s="27"/>
      <c r="L29" s="27"/>
      <c r="M29" s="27"/>
      <c r="N29" s="27"/>
      <c r="O29" s="27" t="s">
        <v>290</v>
      </c>
      <c r="P29" s="27">
        <f>3.4%*P28</f>
        <v>0</v>
      </c>
      <c r="Q29" s="27" t="e">
        <f>(Q28*1.034*1.15-P33)/P33</f>
        <v>#N/A</v>
      </c>
      <c r="R29" s="27" t="s">
        <v>301</v>
      </c>
      <c r="S29" s="27">
        <f>C134</f>
        <v>35</v>
      </c>
      <c r="T29" s="27" t="e">
        <f>U32+W32</f>
        <v>#REF!</v>
      </c>
      <c r="U29" s="27" t="s">
        <v>31</v>
      </c>
      <c r="V29" s="27"/>
      <c r="W29" s="27"/>
      <c r="X29" s="27"/>
      <c r="Y29" s="27"/>
      <c r="Z29" s="27"/>
      <c r="AA29" s="27" t="s">
        <v>302</v>
      </c>
      <c r="AB29" s="27">
        <f>IF(BG71=AD20,12%,0)</f>
        <v>0</v>
      </c>
      <c r="AC29" s="27"/>
      <c r="AD29" s="27"/>
      <c r="AE29" s="27" t="s">
        <v>303</v>
      </c>
      <c r="AF29" s="27">
        <v>36</v>
      </c>
      <c r="AG29" s="27"/>
      <c r="AH29" s="27" t="s">
        <v>304</v>
      </c>
      <c r="AI29" s="27">
        <f>IF((AI28+AG38)&gt;AF29,AF29,AI28+AG38)</f>
        <v>36</v>
      </c>
      <c r="AJ29" s="27"/>
      <c r="AK29" s="27"/>
      <c r="AL29" s="27"/>
      <c r="AM29" s="27">
        <v>40209</v>
      </c>
      <c r="AN29" s="27"/>
      <c r="AO29" s="27"/>
      <c r="AP29" s="27"/>
      <c r="AQ29" s="27"/>
      <c r="AR29" s="27"/>
      <c r="AS29" s="27">
        <v>15</v>
      </c>
      <c r="AT29" s="27">
        <v>36</v>
      </c>
      <c r="AU29" s="27"/>
      <c r="AV29" s="27"/>
      <c r="AW29" s="27" t="s">
        <v>305</v>
      </c>
      <c r="AX29" s="27"/>
      <c r="AY29" s="27">
        <f>IF(MONTH(J4)=1,1,0)</f>
        <v>1</v>
      </c>
      <c r="AZ29" s="27"/>
      <c r="BA29" s="27" t="s">
        <v>306</v>
      </c>
      <c r="BB29" s="27" t="e">
        <f>(Q26-#REF!)*12</f>
        <v>#REF!</v>
      </c>
      <c r="BC29" s="27"/>
      <c r="BD29" s="27"/>
      <c r="BE29" s="27"/>
      <c r="BF29" s="27" t="s">
        <v>307</v>
      </c>
      <c r="BG29" s="27" t="s">
        <v>308</v>
      </c>
      <c r="BH29" s="27" t="e">
        <f>IF(BH20&lt;=0,0,IF($BR$28=0%,BH27-(AG32*BH28),IF(BH20&lt;$BP$20,BH27*$BI$99-AG32,BH27-($BP$28*BH28)-AG32)))</f>
        <v>#REF!</v>
      </c>
      <c r="BI29" s="27" t="e">
        <f>IF(BI20&lt;=0,0,IF($BR$28=0%,BI27,IF(BI20&lt;$BP$20,BI27*$BI$99-AH32,BI27-($BP$28*BI28)-AH32)))</f>
        <v>#REF!</v>
      </c>
      <c r="BJ29" s="27" t="e">
        <f>IF(BJ20&lt;=0,0,IF($BR$28=0%,BJ27,IF(BJ20&lt;$BP$20,BJ27*$BI$99-AI32,BJ27-($BP$28*BJ28)-AI32)))</f>
        <v>#REF!</v>
      </c>
      <c r="BK29" s="27" t="e">
        <f>IF(BK20&lt;=0,0,IF($BR$28=0%,BK27,IF(BK20&lt;$BP$20,BK27*$BI$99-AJ32,BK27-($BP$28*BK28)-AJ32)))</f>
        <v>#REF!</v>
      </c>
      <c r="BL29" s="27" t="e">
        <f>IF(BL20&lt;=0,0,IF($BR$28=0%,BL27,IF(BL20&lt;$BP$20,BL27*$BI$99-AK32,BL27-($BP$28*BL28)-AK32)))</f>
        <v>#REF!</v>
      </c>
      <c r="BM29" s="27">
        <f>IF(BM20&lt;=0,0,IF($BR$28=0%,BM27,IF(BM20&lt;$BP$20,BM27*$BI$99-AL32,BM27-($BP$28*BM28)-AL32)))</f>
        <v>1662.8000000000002</v>
      </c>
      <c r="BN29" s="27" t="e">
        <f>IF($BR$28=0%,BN27,IF(BN20&lt;$BP$20,BN27*$BI$99,BN27-($BP$28*BN28)))</f>
        <v>#REF!</v>
      </c>
      <c r="BO29" s="27"/>
      <c r="BP29" s="27" t="s">
        <v>309</v>
      </c>
      <c r="BQ29" s="27"/>
      <c r="BR29" s="27"/>
      <c r="BS29" s="27" t="e">
        <f>IF($BR$28=0%,BS27,IF(BS21&lt;$BP$20,BS27*$BI$99,BS27-($BP$28*BS28)))</f>
        <v>#REF!</v>
      </c>
      <c r="BT29" s="27"/>
      <c r="BU29" s="27" t="e">
        <f>IF($BR$28=0%,BU27,IF(BU21&lt;$BP$20,BU27*$BI$99,BU27-($BP$28*BU28)))</f>
        <v>#REF!</v>
      </c>
      <c r="BV29" s="27" t="s">
        <v>310</v>
      </c>
      <c r="BW29" s="27"/>
      <c r="BX29" s="27"/>
      <c r="BY29" s="27"/>
      <c r="BZ29" s="27"/>
      <c r="CA29" s="27"/>
      <c r="CB29" s="27"/>
      <c r="CC29" s="27"/>
      <c r="CD29" s="27"/>
      <c r="CE29" s="27"/>
      <c r="CF29" s="27"/>
      <c r="CG29" s="27"/>
      <c r="CH29" s="27"/>
      <c r="CI29" s="27"/>
      <c r="CJ29" s="27"/>
      <c r="CK29" s="27"/>
      <c r="CL29" s="27"/>
      <c r="CM29" s="27"/>
      <c r="CN29" s="27"/>
      <c r="CO29" s="27"/>
      <c r="CP29" s="27"/>
      <c r="CQ29" s="27"/>
      <c r="CR29" s="27"/>
      <c r="CS29" s="27"/>
      <c r="CT29" s="27"/>
      <c r="CU29" s="27"/>
      <c r="CV29" s="27">
        <v>18</v>
      </c>
      <c r="CW29" s="27">
        <v>63.5</v>
      </c>
      <c r="CX29" s="27"/>
      <c r="CY29" s="27"/>
      <c r="CZ29" s="27">
        <v>18</v>
      </c>
      <c r="DA29" s="27">
        <v>47</v>
      </c>
      <c r="DB29" s="27">
        <v>56.14</v>
      </c>
      <c r="DC29" s="27"/>
      <c r="DD29" s="27">
        <v>18</v>
      </c>
      <c r="DE29" s="27">
        <v>27.5</v>
      </c>
      <c r="DF29" s="27">
        <v>29.1</v>
      </c>
      <c r="DG29" s="27"/>
      <c r="DH29" s="27">
        <v>26.4</v>
      </c>
      <c r="DI29" s="27"/>
      <c r="DJ29" s="27"/>
      <c r="DK29" s="27">
        <v>37.6</v>
      </c>
      <c r="DL29" s="27" t="s">
        <v>268</v>
      </c>
      <c r="DM29" s="27"/>
      <c r="DN29" s="27"/>
      <c r="DO29" s="27"/>
      <c r="DP29" s="27"/>
      <c r="DQ29" s="27"/>
      <c r="DR29" s="27"/>
      <c r="DS29" s="27"/>
      <c r="DT29" s="27"/>
    </row>
    <row r="30" spans="2:124" ht="14.25" customHeight="1" x14ac:dyDescent="0.2">
      <c r="B30" s="52" t="s">
        <v>269</v>
      </c>
      <c r="C30" s="55">
        <f>C29*2.4</f>
        <v>36</v>
      </c>
      <c r="D30" s="55">
        <f>D29*2.2</f>
        <v>0</v>
      </c>
      <c r="E30" s="55">
        <f>E29*2</f>
        <v>0</v>
      </c>
      <c r="F30" s="186">
        <f>SUM(C30:E30)</f>
        <v>36</v>
      </c>
      <c r="G30" s="27"/>
      <c r="H30" s="27"/>
      <c r="I30" s="27"/>
      <c r="J30" s="27"/>
      <c r="K30" s="27"/>
      <c r="L30" s="27"/>
      <c r="M30" s="27"/>
      <c r="N30" s="27"/>
      <c r="O30" s="27" t="s">
        <v>299</v>
      </c>
      <c r="P30" s="27">
        <f>IF($C$21=$S$723,15%,15%*0.8)</f>
        <v>0.12</v>
      </c>
      <c r="Q30" s="27" t="e">
        <f>ROUND(Q29,2)</f>
        <v>#N/A</v>
      </c>
      <c r="R30" s="27" t="s">
        <v>313</v>
      </c>
      <c r="S30" s="27">
        <f>C135</f>
        <v>0</v>
      </c>
      <c r="T30" s="27" t="e">
        <f>U33+W33</f>
        <v>#REF!</v>
      </c>
      <c r="U30" s="27" t="s">
        <v>30</v>
      </c>
      <c r="V30" s="27"/>
      <c r="W30" s="27"/>
      <c r="X30" s="27"/>
      <c r="Y30" s="27"/>
      <c r="Z30" s="27"/>
      <c r="AA30" s="27"/>
      <c r="AB30" s="27"/>
      <c r="AC30" s="27"/>
      <c r="AD30" s="27"/>
      <c r="AE30" s="27"/>
      <c r="AF30" s="27"/>
      <c r="AG30" s="27" t="s">
        <v>314</v>
      </c>
      <c r="AH30" s="27"/>
      <c r="AI30" s="27"/>
      <c r="AJ30" s="27" t="e">
        <f>(100-AJ28)/100</f>
        <v>#REF!</v>
      </c>
      <c r="AK30" s="27"/>
      <c r="AL30" s="27"/>
      <c r="AM30" s="27">
        <v>40237</v>
      </c>
      <c r="AN30" s="27"/>
      <c r="AO30" s="27" t="s">
        <v>315</v>
      </c>
      <c r="AP30" s="27"/>
      <c r="AQ30" s="27"/>
      <c r="AR30" s="27"/>
      <c r="AS30" s="27" t="s">
        <v>316</v>
      </c>
      <c r="AT30" s="27" t="s">
        <v>317</v>
      </c>
      <c r="AU30" s="27"/>
      <c r="AV30" s="27"/>
      <c r="AW30" s="27"/>
      <c r="AX30" s="27"/>
      <c r="AY30" s="27" t="s">
        <v>59</v>
      </c>
      <c r="AZ30" s="27"/>
      <c r="BA30" s="27" t="s">
        <v>59</v>
      </c>
      <c r="BB30" s="27"/>
      <c r="BC30" s="27"/>
      <c r="BD30" s="27"/>
      <c r="BE30" s="27"/>
      <c r="BF30" s="27"/>
      <c r="BG30" s="27"/>
      <c r="BH30" s="27"/>
      <c r="BI30" s="27"/>
      <c r="BJ30" s="27"/>
      <c r="BK30" s="27" t="e">
        <f>(BK28*BK29)*12</f>
        <v>#REF!</v>
      </c>
      <c r="BL30" s="27"/>
      <c r="BM30" s="27">
        <f>12*BM29</f>
        <v>19953.600000000002</v>
      </c>
      <c r="BN30" s="27"/>
      <c r="BO30" s="27"/>
      <c r="BP30" s="27"/>
      <c r="BQ30" s="27">
        <v>1099456</v>
      </c>
      <c r="BR30" s="27" t="s">
        <v>318</v>
      </c>
      <c r="BS30" s="27"/>
      <c r="BT30" s="27"/>
      <c r="BU30" s="27"/>
      <c r="BV30" s="27" t="e">
        <f>BU29-BS29</f>
        <v>#REF!</v>
      </c>
      <c r="BW30" s="27"/>
      <c r="BX30" s="27"/>
      <c r="BY30" s="27"/>
      <c r="BZ30" s="27">
        <v>5</v>
      </c>
      <c r="CA30" s="27">
        <v>0.05</v>
      </c>
      <c r="CB30" s="27">
        <v>4090.85</v>
      </c>
      <c r="CC30" s="27">
        <v>3864.64</v>
      </c>
      <c r="CD30" s="27">
        <v>3606.99</v>
      </c>
      <c r="CE30" s="27">
        <v>3446.75</v>
      </c>
      <c r="CF30" s="27">
        <v>3141.97</v>
      </c>
      <c r="CG30" s="27">
        <v>2733.51</v>
      </c>
      <c r="CH30" s="27">
        <v>2560.6999999999998</v>
      </c>
      <c r="CI30" s="27">
        <v>2497.86</v>
      </c>
      <c r="CJ30" s="27">
        <v>2419.3000000000002</v>
      </c>
      <c r="CK30" s="27">
        <v>3446.75</v>
      </c>
      <c r="CL30" s="27">
        <v>3204.83</v>
      </c>
      <c r="CM30" s="27">
        <v>2733.51</v>
      </c>
      <c r="CN30" s="27">
        <v>3374.49</v>
      </c>
      <c r="CO30" s="27"/>
      <c r="CP30" s="27"/>
      <c r="CQ30" s="27"/>
      <c r="CR30" s="27"/>
      <c r="CS30" s="27"/>
      <c r="CT30" s="27"/>
      <c r="CU30" s="27"/>
      <c r="CV30" s="27">
        <v>19</v>
      </c>
      <c r="CW30" s="27">
        <v>63.5</v>
      </c>
      <c r="CX30" s="27"/>
      <c r="CY30" s="27"/>
      <c r="CZ30" s="27">
        <v>19</v>
      </c>
      <c r="DA30" s="27">
        <v>47</v>
      </c>
      <c r="DB30" s="27">
        <v>56.14</v>
      </c>
      <c r="DC30" s="27"/>
      <c r="DD30" s="27">
        <v>19</v>
      </c>
      <c r="DE30" s="27">
        <v>28.2</v>
      </c>
      <c r="DF30" s="27"/>
      <c r="DG30" s="27"/>
      <c r="DH30" s="27" t="s">
        <v>259</v>
      </c>
      <c r="DI30" s="27"/>
      <c r="DJ30" s="27"/>
      <c r="DK30" s="27"/>
      <c r="DL30" s="27" t="s">
        <v>268</v>
      </c>
      <c r="DM30" s="27"/>
      <c r="DN30" s="27"/>
      <c r="DO30" s="27"/>
      <c r="DP30" s="27"/>
      <c r="DQ30" s="27"/>
      <c r="DR30" s="27"/>
      <c r="DS30" s="27"/>
      <c r="DT30" s="27"/>
    </row>
    <row r="31" spans="2:124" ht="18.75" customHeight="1" x14ac:dyDescent="0.25">
      <c r="B31" s="61" t="s">
        <v>319</v>
      </c>
      <c r="E31" s="36">
        <v>0</v>
      </c>
      <c r="F31" s="62">
        <f>F30*0.05*E31</f>
        <v>0</v>
      </c>
      <c r="G31" s="27"/>
      <c r="H31" s="27"/>
      <c r="I31" s="27"/>
      <c r="J31" s="27"/>
      <c r="K31" s="27" t="s">
        <v>301</v>
      </c>
      <c r="L31" s="27"/>
      <c r="M31" s="27"/>
      <c r="N31" s="27"/>
      <c r="O31" s="27" t="s">
        <v>311</v>
      </c>
      <c r="P31" s="27">
        <f>(P28+P29)*(1+P30)</f>
        <v>0</v>
      </c>
      <c r="Q31" s="27"/>
      <c r="R31" s="27"/>
      <c r="S31" s="27"/>
      <c r="T31" s="27"/>
      <c r="U31" s="27"/>
      <c r="V31" s="27"/>
      <c r="W31" s="27"/>
      <c r="X31" s="27"/>
      <c r="Y31" s="27"/>
      <c r="Z31" s="27"/>
      <c r="AA31" s="27" t="s">
        <v>321</v>
      </c>
      <c r="AB31" s="27"/>
      <c r="AC31" s="27"/>
      <c r="AD31" s="27"/>
      <c r="AE31" s="27" t="s">
        <v>322</v>
      </c>
      <c r="AF31" s="27"/>
      <c r="AG31" s="27" t="s">
        <v>323</v>
      </c>
      <c r="AH31" s="27"/>
      <c r="AI31" s="27"/>
      <c r="AJ31" s="27"/>
      <c r="AK31" s="27"/>
      <c r="AL31" s="27"/>
      <c r="AM31" s="27">
        <v>40268</v>
      </c>
      <c r="AN31" s="27"/>
      <c r="AO31" s="27">
        <f>DATE(YEAR(J4),MONTH(J4)-MONTH(J4)+1,DAY(J4)-DAY(J4)+1)</f>
        <v>1</v>
      </c>
      <c r="AP31" s="27">
        <f>ROUND((AO31-AQ22)/365.25,2)</f>
        <v>-78.67</v>
      </c>
      <c r="AQ31" s="27"/>
      <c r="AR31" s="27"/>
      <c r="AS31" s="27">
        <v>16</v>
      </c>
      <c r="AT31" s="27">
        <v>37</v>
      </c>
      <c r="AU31" s="27" t="s">
        <v>59</v>
      </c>
      <c r="AV31" s="27"/>
      <c r="AW31" s="27"/>
      <c r="AX31" s="27"/>
      <c r="AY31" s="27"/>
      <c r="AZ31" s="27"/>
      <c r="BA31" s="27">
        <f>IF(24.75-BG61-BG62&lt;=0,0,IF((24.75-BG61-BG62)&gt;#REF!,#REF!*#REF!*0.6,(24.75-BG61-BG62)*#REF!*0.6))</f>
        <v>0</v>
      </c>
      <c r="BB31" s="27"/>
      <c r="BC31" s="27"/>
      <c r="BD31" s="27"/>
      <c r="BE31" s="27"/>
      <c r="BF31" s="27"/>
      <c r="BG31" s="27" t="s">
        <v>324</v>
      </c>
      <c r="BH31" s="27"/>
      <c r="BI31" s="27"/>
      <c r="BJ31" s="27">
        <f>IF(MONTH(AK25)&gt;9,0,MONTH(AK25)-1+DAY(AK25)/30)</f>
        <v>1.0333333333333334</v>
      </c>
      <c r="BK31" s="27"/>
      <c r="BL31" s="27" t="s">
        <v>325</v>
      </c>
      <c r="BM31" s="27" t="e">
        <f>IF(BM30=0,0,(BM30-(BG76*BM32)*12)-BP31)</f>
        <v>#REF!</v>
      </c>
      <c r="BN31" s="27" t="s">
        <v>326</v>
      </c>
      <c r="BO31" s="27" t="s">
        <v>327</v>
      </c>
      <c r="BP31" s="27" t="e">
        <f>((BG77-BB88)*0.35)/12</f>
        <v>#REF!</v>
      </c>
      <c r="BQ31" s="27"/>
      <c r="BR31" s="27"/>
      <c r="BS31" s="27"/>
      <c r="BT31" s="27"/>
      <c r="BU31" s="27"/>
      <c r="BV31" s="27"/>
      <c r="BW31" s="27"/>
      <c r="BX31" s="27"/>
      <c r="BY31" s="27"/>
      <c r="BZ31" s="27"/>
      <c r="CA31" s="27"/>
      <c r="CB31" s="27"/>
      <c r="CC31" s="27"/>
      <c r="CD31" s="27"/>
      <c r="CE31" s="27"/>
      <c r="CF31" s="27"/>
      <c r="CG31" s="27"/>
      <c r="CH31" s="27"/>
      <c r="CI31" s="27"/>
      <c r="CJ31" s="27"/>
      <c r="CK31" s="27"/>
      <c r="CL31" s="27"/>
      <c r="CM31" s="27"/>
      <c r="CN31" s="27"/>
      <c r="CO31" s="27"/>
      <c r="CP31" s="27"/>
      <c r="CQ31" s="27"/>
      <c r="CR31" s="27"/>
      <c r="CS31" s="27"/>
      <c r="CT31" s="27"/>
      <c r="CU31" s="27"/>
      <c r="CV31" s="27">
        <v>20</v>
      </c>
      <c r="CW31" s="27">
        <v>63.5</v>
      </c>
      <c r="CX31" s="27"/>
      <c r="CY31" s="27"/>
      <c r="CZ31" s="27">
        <v>20</v>
      </c>
      <c r="DA31" s="27">
        <v>47</v>
      </c>
      <c r="DB31" s="27">
        <v>56.14</v>
      </c>
      <c r="DC31" s="27"/>
      <c r="DD31" s="27">
        <v>20</v>
      </c>
      <c r="DE31" s="27">
        <v>29.1</v>
      </c>
      <c r="DF31" s="27"/>
      <c r="DG31" s="27"/>
      <c r="DH31" s="27">
        <v>28.2</v>
      </c>
      <c r="DI31" s="27"/>
      <c r="DJ31" s="27"/>
      <c r="DK31" s="27"/>
      <c r="DL31" s="27" t="s">
        <v>268</v>
      </c>
      <c r="DM31" s="27"/>
      <c r="DN31" s="27"/>
      <c r="DO31" s="27"/>
      <c r="DP31" s="27"/>
      <c r="DQ31" s="27"/>
      <c r="DR31" s="27"/>
      <c r="DS31" s="27"/>
      <c r="DT31" s="27"/>
    </row>
    <row r="32" spans="2:124" ht="17.25" customHeight="1" x14ac:dyDescent="0.25">
      <c r="B32" s="61" t="s">
        <v>328</v>
      </c>
      <c r="E32" s="36">
        <v>0</v>
      </c>
      <c r="F32" s="62">
        <f>F30*0.05*E32</f>
        <v>0</v>
      </c>
      <c r="G32" s="27"/>
      <c r="H32" s="27"/>
      <c r="I32" s="27"/>
      <c r="J32" s="27"/>
      <c r="K32" s="27" t="s">
        <v>330</v>
      </c>
      <c r="L32" s="27"/>
      <c r="M32" s="27"/>
      <c r="N32" s="27"/>
      <c r="O32" s="27" t="s">
        <v>62</v>
      </c>
      <c r="P32" s="27">
        <f>IF(P31&lt;$N$28,$M$28,IF(P31&lt;$N$29,$M$29,IF(P31&lt;$N$30,$M$30,IF(P31&lt;$N$31,$M$31,IF(P31&lt;$N$32,$M$32,IF(P31&lt;$N$33,$M$33,$M$34))))))</f>
        <v>0</v>
      </c>
      <c r="Q32" s="27"/>
      <c r="R32" s="27"/>
      <c r="S32" s="27"/>
      <c r="T32" s="27"/>
      <c r="U32" s="27">
        <f>C134/30</f>
        <v>1.1666666666666667</v>
      </c>
      <c r="V32" s="27">
        <f>U32/(U33+U32)</f>
        <v>1</v>
      </c>
      <c r="W32" s="27" t="e">
        <f>V32*T33</f>
        <v>#REF!</v>
      </c>
      <c r="X32" s="27"/>
      <c r="Y32" s="27"/>
      <c r="Z32" s="27" t="s">
        <v>59</v>
      </c>
      <c r="AA32" s="27" t="s">
        <v>332</v>
      </c>
      <c r="AB32" s="27" t="s">
        <v>252</v>
      </c>
      <c r="AC32" s="27"/>
      <c r="AD32" s="27"/>
      <c r="AE32" s="27" t="e">
        <f>#REF!</f>
        <v>#REF!</v>
      </c>
      <c r="AF32" s="27"/>
      <c r="AG32" s="27">
        <f>BG76*'[1]נתוני מס'!I14</f>
        <v>574.75</v>
      </c>
      <c r="AH32" s="27"/>
      <c r="AI32" s="27"/>
      <c r="AJ32" s="27"/>
      <c r="AK32" s="27"/>
      <c r="AL32" s="27"/>
      <c r="AM32" s="27">
        <v>40298</v>
      </c>
      <c r="AN32" s="27"/>
      <c r="AO32" s="27"/>
      <c r="AP32" s="27"/>
      <c r="AQ32" s="27"/>
      <c r="AR32" s="27"/>
      <c r="AS32" s="27" t="s">
        <v>333</v>
      </c>
      <c r="AT32" s="27" t="s">
        <v>334</v>
      </c>
      <c r="AU32" s="27"/>
      <c r="AV32" s="27"/>
      <c r="AW32" s="27"/>
      <c r="AX32" s="27" t="s">
        <v>335</v>
      </c>
      <c r="AY32" s="27">
        <f>ROUND(H154,0)</f>
        <v>113</v>
      </c>
      <c r="AZ32" s="27"/>
      <c r="BA32" s="27" t="e">
        <f>IF(H159&lt;70%,IF(#REF!* 2% &gt;70%-H159,70%-H159,#REF!*2%),IF(H157+H158-H159&lt;=0,0,H157+H158-H159))</f>
        <v>#REF!</v>
      </c>
      <c r="BB32" s="27"/>
      <c r="BC32" s="27"/>
      <c r="BD32" s="27"/>
      <c r="BE32" s="27"/>
      <c r="BF32" s="27"/>
      <c r="BG32" s="27" t="s">
        <v>336</v>
      </c>
      <c r="BH32" s="27"/>
      <c r="BI32" s="27"/>
      <c r="BJ32" s="27">
        <f>MONTH(AK25)-1+DAY(AK25)/30</f>
        <v>1.0333333333333334</v>
      </c>
      <c r="BK32" s="27"/>
      <c r="BL32" s="27" t="s">
        <v>337</v>
      </c>
      <c r="BM32" s="27">
        <f>'[1]נתוני מס'!I14</f>
        <v>209</v>
      </c>
      <c r="BN32" s="27"/>
      <c r="BO32" s="27"/>
      <c r="BP32" s="27"/>
      <c r="BQ32" s="27">
        <v>9266735</v>
      </c>
      <c r="BR32" s="27"/>
      <c r="BS32" s="27"/>
      <c r="BT32" s="27"/>
      <c r="BU32" s="27"/>
      <c r="BV32" s="27"/>
      <c r="BW32" s="27"/>
      <c r="BX32" s="27"/>
      <c r="BY32" s="27"/>
      <c r="BZ32" s="27">
        <v>6</v>
      </c>
      <c r="CA32" s="27">
        <v>0.05</v>
      </c>
      <c r="CB32" s="27">
        <v>4295.3900000000003</v>
      </c>
      <c r="CC32" s="27">
        <v>4057.87</v>
      </c>
      <c r="CD32" s="27">
        <v>3787.33</v>
      </c>
      <c r="CE32" s="27">
        <v>3619.08</v>
      </c>
      <c r="CF32" s="27">
        <v>3299.06</v>
      </c>
      <c r="CG32" s="27">
        <v>2870.18</v>
      </c>
      <c r="CH32" s="27">
        <v>2688.73</v>
      </c>
      <c r="CI32" s="27">
        <v>2622.75</v>
      </c>
      <c r="CJ32" s="27">
        <v>2540.2600000000002</v>
      </c>
      <c r="CK32" s="27">
        <v>3619.08</v>
      </c>
      <c r="CL32" s="27">
        <v>3365.07</v>
      </c>
      <c r="CM32" s="27">
        <v>2870.18</v>
      </c>
      <c r="CN32" s="27">
        <v>3543.21</v>
      </c>
      <c r="CO32" s="27"/>
      <c r="CP32" s="27"/>
      <c r="CQ32" s="27"/>
      <c r="CR32" s="27"/>
      <c r="CS32" s="27"/>
      <c r="CT32" s="27"/>
      <c r="CU32" s="27"/>
      <c r="CV32" s="27">
        <v>21</v>
      </c>
      <c r="CW32" s="27">
        <v>63.5</v>
      </c>
      <c r="CX32" s="27"/>
      <c r="CY32" s="27"/>
      <c r="CZ32" s="27">
        <v>21</v>
      </c>
      <c r="DA32" s="27">
        <v>47</v>
      </c>
      <c r="DB32" s="27">
        <v>56.14</v>
      </c>
      <c r="DC32" s="27"/>
      <c r="DD32" s="27"/>
      <c r="DE32" s="27"/>
      <c r="DF32" s="27"/>
      <c r="DG32" s="27"/>
      <c r="DH32" s="27">
        <v>29.1</v>
      </c>
      <c r="DI32" s="27"/>
      <c r="DJ32" s="27"/>
      <c r="DK32" s="27"/>
      <c r="DL32" s="27" t="s">
        <v>268</v>
      </c>
      <c r="DM32" s="27"/>
      <c r="DN32" s="27"/>
      <c r="DO32" s="27"/>
      <c r="DP32" s="27"/>
      <c r="DQ32" s="27"/>
      <c r="DR32" s="27"/>
      <c r="DS32" s="27"/>
      <c r="DT32" s="27"/>
    </row>
    <row r="33" spans="2:124" ht="21" customHeight="1" x14ac:dyDescent="0.2">
      <c r="B33" s="61"/>
      <c r="C33" s="61"/>
      <c r="D33" s="209" t="s">
        <v>149</v>
      </c>
      <c r="E33" s="210"/>
      <c r="F33" s="60">
        <f>SUM(F30:F32)</f>
        <v>36</v>
      </c>
      <c r="G33" s="27"/>
      <c r="H33" s="27"/>
      <c r="I33" s="27"/>
      <c r="J33" s="27"/>
      <c r="K33" s="27"/>
      <c r="L33" s="27"/>
      <c r="M33" s="27"/>
      <c r="N33" s="27"/>
      <c r="O33" s="27" t="s">
        <v>329</v>
      </c>
      <c r="P33" s="27" t="e">
        <f>VLOOKUP(P32,טור12,2,1)</f>
        <v>#N/A</v>
      </c>
      <c r="Q33" s="27"/>
      <c r="R33" s="27"/>
      <c r="S33" s="27"/>
      <c r="T33" s="27" t="e">
        <f>IF(#REF!="כן",10%,0)</f>
        <v>#REF!</v>
      </c>
      <c r="U33" s="27">
        <f>(C135/24)</f>
        <v>0</v>
      </c>
      <c r="V33" s="27">
        <f>U33/(U32+U33)</f>
        <v>0</v>
      </c>
      <c r="W33" s="27" t="e">
        <f>T33*V33</f>
        <v>#REF!</v>
      </c>
      <c r="X33" s="27"/>
      <c r="Y33" s="27"/>
      <c r="Z33" s="27"/>
      <c r="AA33" s="27" t="s">
        <v>339</v>
      </c>
      <c r="AB33" s="27" t="s">
        <v>130</v>
      </c>
      <c r="AC33" s="27"/>
      <c r="AD33" s="27"/>
      <c r="AE33" s="27" t="s">
        <v>59</v>
      </c>
      <c r="AF33" s="27"/>
      <c r="AG33" s="27"/>
      <c r="AH33" s="27"/>
      <c r="AI33" s="27" t="s">
        <v>340</v>
      </c>
      <c r="AJ33" s="27" t="e">
        <f>Q26*0.36</f>
        <v>#REF!</v>
      </c>
      <c r="AK33" s="27"/>
      <c r="AL33" s="27"/>
      <c r="AM33" s="27">
        <v>40329</v>
      </c>
      <c r="AN33" s="27"/>
      <c r="AO33" s="27" t="s">
        <v>341</v>
      </c>
      <c r="AP33" s="27" t="s">
        <v>342</v>
      </c>
      <c r="AQ33" s="27"/>
      <c r="AR33" s="27"/>
      <c r="AS33" s="27">
        <v>17</v>
      </c>
      <c r="AT33" s="27">
        <v>38</v>
      </c>
      <c r="AU33" s="27"/>
      <c r="AV33" s="27"/>
      <c r="AW33" s="27"/>
      <c r="AX33" s="27" t="s">
        <v>343</v>
      </c>
      <c r="AY33" s="27" t="s">
        <v>59</v>
      </c>
      <c r="AZ33" s="27"/>
      <c r="BA33" s="27"/>
      <c r="BB33" s="27"/>
      <c r="BC33" s="27"/>
      <c r="BD33" s="27"/>
      <c r="BE33" s="27"/>
      <c r="BF33" s="27"/>
      <c r="BG33" s="27"/>
      <c r="BH33" s="27"/>
      <c r="BI33" s="27"/>
      <c r="BJ33" s="27"/>
      <c r="BK33" s="27"/>
      <c r="BL33" s="27" t="s">
        <v>344</v>
      </c>
      <c r="BM33" s="27">
        <f>IF(BM35&gt;'[1]נתוני מס'!K33,'[1]נתוני מס'!H37+'[1]נתוני מס'!F37,IF(BM35&lt;='[1]נתוני מס'!L31,BM35*('[1]נתוני מס'!E37-AL45),(BM35-'[1]נתוני מס'!L31)*('[1]נתוני מס'!G37-AL46)+'[1]נתוני מס'!F37))</f>
        <v>476.04280000000006</v>
      </c>
      <c r="BN33" s="27">
        <f>BM33*12</f>
        <v>5712.5136000000002</v>
      </c>
      <c r="BO33" s="27" t="s">
        <v>59</v>
      </c>
      <c r="BP33" s="27"/>
      <c r="BQ33" s="27"/>
      <c r="BR33" s="27"/>
      <c r="BS33" s="27"/>
      <c r="BT33" s="27"/>
      <c r="BU33" s="27"/>
      <c r="BV33" s="27"/>
      <c r="BW33" s="27"/>
      <c r="BX33" s="27"/>
      <c r="BY33" s="27"/>
      <c r="BZ33" s="27"/>
      <c r="CA33" s="27"/>
      <c r="CB33" s="27"/>
      <c r="CC33" s="27"/>
      <c r="CD33" s="27"/>
      <c r="CE33" s="27"/>
      <c r="CF33" s="27"/>
      <c r="CG33" s="27"/>
      <c r="CH33" s="27"/>
      <c r="CI33" s="27"/>
      <c r="CJ33" s="27"/>
      <c r="CK33" s="27"/>
      <c r="CL33" s="27"/>
      <c r="CM33" s="27"/>
      <c r="CN33" s="27"/>
      <c r="CO33" s="27"/>
      <c r="CP33" s="27"/>
      <c r="CQ33" s="27"/>
      <c r="CR33" s="27"/>
      <c r="CS33" s="27"/>
      <c r="CT33" s="27"/>
      <c r="CU33" s="27"/>
      <c r="CV33" s="27">
        <v>22</v>
      </c>
      <c r="CW33" s="27">
        <v>63.5</v>
      </c>
      <c r="CX33" s="27"/>
      <c r="CY33" s="27"/>
      <c r="CZ33" s="27">
        <v>22</v>
      </c>
      <c r="DA33" s="27">
        <v>51.3</v>
      </c>
      <c r="DB33" s="27">
        <v>56.14</v>
      </c>
      <c r="DC33" s="27"/>
      <c r="DD33" s="27"/>
      <c r="DE33" s="27"/>
      <c r="DF33" s="27"/>
      <c r="DG33" s="27"/>
      <c r="DH33" s="27"/>
      <c r="DI33" s="27"/>
      <c r="DJ33" s="27"/>
      <c r="DK33" s="27"/>
      <c r="DL33" s="27" t="s">
        <v>345</v>
      </c>
      <c r="DM33" s="27"/>
      <c r="DN33" s="27"/>
      <c r="DO33" s="27"/>
      <c r="DP33" s="27"/>
      <c r="DQ33" s="27"/>
      <c r="DR33" s="27"/>
      <c r="DS33" s="27"/>
      <c r="DT33" s="27"/>
    </row>
    <row r="34" spans="2:124" ht="17.25" customHeight="1" x14ac:dyDescent="0.25">
      <c r="B34" s="53" t="s">
        <v>250</v>
      </c>
      <c r="C34" s="40">
        <v>0</v>
      </c>
      <c r="D34" s="27"/>
      <c r="E34" s="27"/>
      <c r="F34" s="27"/>
      <c r="G34" s="27"/>
      <c r="H34" s="27" t="s">
        <v>346</v>
      </c>
      <c r="I34" s="27" t="e">
        <f>#REF!+#REF!+#REF!*#REF!</f>
        <v>#REF!</v>
      </c>
      <c r="J34" s="27"/>
      <c r="K34" s="27"/>
      <c r="L34" s="27"/>
      <c r="M34" s="27"/>
      <c r="N34" s="27"/>
      <c r="O34" s="27"/>
      <c r="P34" s="27"/>
      <c r="Q34" s="27"/>
      <c r="R34" s="27"/>
      <c r="S34" s="27"/>
      <c r="T34" s="27"/>
      <c r="U34" s="27"/>
      <c r="V34" s="27"/>
      <c r="W34" s="27"/>
      <c r="X34" s="27"/>
      <c r="Y34" s="27"/>
      <c r="Z34" s="27"/>
      <c r="AA34" s="27"/>
      <c r="AB34" s="27"/>
      <c r="AC34" s="27"/>
      <c r="AD34" s="27"/>
      <c r="AE34" s="27"/>
      <c r="AF34" s="27"/>
      <c r="AG34" s="27"/>
      <c r="AH34" s="27"/>
      <c r="AI34" s="27"/>
      <c r="AJ34" s="27"/>
      <c r="AK34" s="27"/>
      <c r="AL34" s="27"/>
      <c r="AM34" s="27">
        <v>40359</v>
      </c>
      <c r="AN34" s="27"/>
      <c r="AO34" s="27">
        <f>DATE(YEAR(AK25),MONTH(AK25)-MONTH(AK25)+1,DAY(AK25)-DAY(AK25)+1)</f>
        <v>40544</v>
      </c>
      <c r="AP34" s="27"/>
      <c r="AQ34" s="27"/>
      <c r="AR34" s="27"/>
      <c r="AS34" s="27" t="s">
        <v>348</v>
      </c>
      <c r="AT34" s="27" t="s">
        <v>349</v>
      </c>
      <c r="AU34" s="27"/>
      <c r="AV34" s="27"/>
      <c r="AW34" s="27"/>
      <c r="AX34" s="27" t="s">
        <v>350</v>
      </c>
      <c r="AY34" s="27">
        <f>(AY36*2)/100</f>
        <v>0.18833333333333332</v>
      </c>
      <c r="AZ34" s="27"/>
      <c r="BA34" s="27"/>
      <c r="BB34" s="27"/>
      <c r="BC34" s="27"/>
      <c r="BD34" s="27"/>
      <c r="BE34" s="27"/>
      <c r="BF34" s="27"/>
      <c r="BG34" s="27"/>
      <c r="BH34" s="27"/>
      <c r="BI34" s="27"/>
      <c r="BJ34" s="27"/>
      <c r="BK34" s="27" t="s">
        <v>59</v>
      </c>
      <c r="BL34" s="27" t="s">
        <v>351</v>
      </c>
      <c r="BM34" s="27">
        <f>IF(BM35&lt;='[1]נתוני מס'!L31,BM35*'[1]נתוני מס'!E34,(BM35-'[1]נתוני מס'!L31)*'[1]נתוני מס'!G34+'[1]נתוני מס'!F34)</f>
        <v>480.30020000000002</v>
      </c>
      <c r="BN34" s="27">
        <f>12*BM34</f>
        <v>5763.6023999999998</v>
      </c>
      <c r="BO34" s="27"/>
      <c r="BP34" s="27"/>
      <c r="BQ34" s="27">
        <v>9268038</v>
      </c>
      <c r="BR34" s="27"/>
      <c r="BS34" s="27"/>
      <c r="BT34" s="27"/>
      <c r="BU34" s="27"/>
      <c r="BV34" s="27"/>
      <c r="BW34" s="27"/>
      <c r="BX34" s="27"/>
      <c r="BY34" s="27"/>
      <c r="BZ34" s="27">
        <v>7</v>
      </c>
      <c r="CA34" s="27">
        <v>0.05</v>
      </c>
      <c r="CB34" s="27">
        <v>4510.1499999999996</v>
      </c>
      <c r="CC34" s="27">
        <v>4260.76</v>
      </c>
      <c r="CD34" s="27">
        <v>3976.69</v>
      </c>
      <c r="CE34" s="27">
        <v>3800.03</v>
      </c>
      <c r="CF34" s="27">
        <v>3464.01</v>
      </c>
      <c r="CG34" s="27">
        <v>3013.68</v>
      </c>
      <c r="CH34" s="27">
        <v>2823.16</v>
      </c>
      <c r="CI34" s="27">
        <v>2753.88</v>
      </c>
      <c r="CJ34" s="27">
        <v>2667.27</v>
      </c>
      <c r="CK34" s="27">
        <v>3800.03</v>
      </c>
      <c r="CL34" s="27">
        <v>3533.32</v>
      </c>
      <c r="CM34" s="27">
        <v>3013.68</v>
      </c>
      <c r="CN34" s="27">
        <v>3720.37</v>
      </c>
      <c r="CO34" s="27"/>
      <c r="CP34" s="27"/>
      <c r="CQ34" s="27"/>
      <c r="CR34" s="27"/>
      <c r="CS34" s="27"/>
      <c r="CT34" s="27"/>
      <c r="CU34" s="27"/>
      <c r="CV34" s="27">
        <v>23</v>
      </c>
      <c r="CW34" s="27">
        <v>63.5</v>
      </c>
      <c r="CX34" s="27"/>
      <c r="CY34" s="27"/>
      <c r="CZ34" s="27">
        <v>23</v>
      </c>
      <c r="DA34" s="27">
        <v>51.3</v>
      </c>
      <c r="DB34" s="27">
        <v>56.14</v>
      </c>
      <c r="DC34" s="27"/>
      <c r="DD34" s="27"/>
      <c r="DE34" s="27"/>
      <c r="DF34" s="27"/>
      <c r="DG34" s="27"/>
      <c r="DH34" s="27"/>
      <c r="DI34" s="27"/>
      <c r="DJ34" s="27"/>
      <c r="DK34" s="27"/>
      <c r="DL34" s="27" t="s">
        <v>345</v>
      </c>
      <c r="DM34" s="27"/>
      <c r="DN34" s="27"/>
      <c r="DO34" s="27"/>
      <c r="DP34" s="27"/>
      <c r="DQ34" s="27"/>
      <c r="DR34" s="27"/>
      <c r="DS34" s="27"/>
      <c r="DT34" s="27"/>
    </row>
    <row r="35" spans="2:124" ht="12.75" customHeight="1" x14ac:dyDescent="0.2">
      <c r="B35" s="209"/>
      <c r="C35" s="210"/>
      <c r="D35" s="27"/>
      <c r="E35" s="27"/>
      <c r="F35" s="27"/>
      <c r="G35" s="27"/>
      <c r="H35" s="27">
        <f>IF(C14&gt;1%,"3%",0)</f>
        <v>0</v>
      </c>
      <c r="I35" s="27">
        <f>IF(C14&gt;1%,3,0)</f>
        <v>0</v>
      </c>
      <c r="J35" s="27" t="s">
        <v>352</v>
      </c>
      <c r="K35" s="27"/>
      <c r="L35" s="27"/>
      <c r="M35" s="27"/>
      <c r="N35" s="27"/>
      <c r="O35" s="27"/>
      <c r="P35" s="27"/>
      <c r="Q35" s="27"/>
      <c r="R35" s="27"/>
      <c r="S35" s="27"/>
      <c r="T35" s="27"/>
      <c r="U35" s="27"/>
      <c r="V35" s="27"/>
      <c r="W35" s="27"/>
      <c r="X35" s="27"/>
      <c r="Y35" s="27" t="s">
        <v>353</v>
      </c>
      <c r="Z35" s="27"/>
      <c r="AA35" s="27">
        <v>0</v>
      </c>
      <c r="AB35" s="27" t="s">
        <v>354</v>
      </c>
      <c r="AC35" s="27"/>
      <c r="AD35" s="27"/>
      <c r="AE35" s="27"/>
      <c r="AF35" s="27" t="s">
        <v>8</v>
      </c>
      <c r="AG35" s="27" t="s">
        <v>355</v>
      </c>
      <c r="AH35" s="27" t="s">
        <v>356</v>
      </c>
      <c r="AI35" s="27"/>
      <c r="AJ35" s="27"/>
      <c r="AK35" s="27"/>
      <c r="AL35" s="27"/>
      <c r="AM35" s="27">
        <v>40390</v>
      </c>
      <c r="AN35" s="27"/>
      <c r="AO35" s="27">
        <f>ROUND((AK25-AO34)/365.25,2)-1</f>
        <v>-0.92</v>
      </c>
      <c r="AP35" s="27"/>
      <c r="AQ35" s="27"/>
      <c r="AR35" s="27"/>
      <c r="AS35" s="27">
        <v>18</v>
      </c>
      <c r="AT35" s="27">
        <v>39</v>
      </c>
      <c r="AU35" s="27"/>
      <c r="AV35" s="27"/>
      <c r="AW35" s="27"/>
      <c r="AX35" s="27"/>
      <c r="AY35" s="27"/>
      <c r="AZ35" s="27"/>
      <c r="BA35" s="27"/>
      <c r="BB35" s="27"/>
      <c r="BC35" s="27"/>
      <c r="BD35" s="27"/>
      <c r="BE35" s="27"/>
      <c r="BF35" s="27"/>
      <c r="BG35" s="27"/>
      <c r="BH35" s="27"/>
      <c r="BI35" s="27"/>
      <c r="BJ35" s="27"/>
      <c r="BK35" s="27"/>
      <c r="BL35" s="27"/>
      <c r="BM35" s="27">
        <f>BM20+BJ102</f>
        <v>11500</v>
      </c>
      <c r="BN35" s="27"/>
      <c r="BO35" s="27"/>
      <c r="BP35" s="27"/>
      <c r="BQ35" s="27"/>
      <c r="BR35" s="27"/>
      <c r="BS35" s="27"/>
      <c r="BT35" s="27"/>
      <c r="BU35" s="27"/>
      <c r="BV35" s="27"/>
      <c r="BW35" s="27"/>
      <c r="BX35" s="27"/>
      <c r="BY35" s="27"/>
      <c r="BZ35" s="27"/>
      <c r="CA35" s="27"/>
      <c r="CB35" s="27"/>
      <c r="CC35" s="27"/>
      <c r="CD35" s="27"/>
      <c r="CE35" s="27"/>
      <c r="CF35" s="27"/>
      <c r="CG35" s="27"/>
      <c r="CH35" s="27"/>
      <c r="CI35" s="27"/>
      <c r="CJ35" s="27"/>
      <c r="CK35" s="27"/>
      <c r="CL35" s="27"/>
      <c r="CM35" s="27"/>
      <c r="CN35" s="27"/>
      <c r="CO35" s="27"/>
      <c r="CP35" s="27"/>
      <c r="CQ35" s="27"/>
      <c r="CR35" s="27"/>
      <c r="CS35" s="27"/>
      <c r="CT35" s="27"/>
      <c r="CU35" s="27"/>
      <c r="CV35" s="27">
        <v>24</v>
      </c>
      <c r="CW35" s="27">
        <v>63.5</v>
      </c>
      <c r="CX35" s="27"/>
      <c r="CY35" s="27"/>
      <c r="CZ35" s="27">
        <v>24</v>
      </c>
      <c r="DA35" s="27">
        <v>51.3</v>
      </c>
      <c r="DB35" s="27">
        <v>56.14</v>
      </c>
      <c r="DC35" s="27"/>
      <c r="DD35" s="27"/>
      <c r="DE35" s="27"/>
      <c r="DF35" s="27"/>
      <c r="DG35" s="27"/>
      <c r="DH35" s="27"/>
      <c r="DI35" s="27"/>
      <c r="DJ35" s="27"/>
      <c r="DK35" s="27"/>
      <c r="DL35" s="27" t="s">
        <v>345</v>
      </c>
      <c r="DM35" s="27"/>
      <c r="DN35" s="27"/>
      <c r="DO35" s="27"/>
      <c r="DP35" s="27"/>
      <c r="DQ35" s="27"/>
      <c r="DR35" s="27"/>
      <c r="DS35" s="27"/>
      <c r="DT35" s="27"/>
    </row>
    <row r="36" spans="2:124" ht="17.25" customHeight="1" x14ac:dyDescent="0.2">
      <c r="B36" s="27"/>
      <c r="C36" s="27"/>
      <c r="D36" s="27"/>
      <c r="E36" s="27"/>
      <c r="F36" s="27"/>
      <c r="G36" s="27"/>
      <c r="H36" s="27"/>
      <c r="I36" s="27"/>
      <c r="J36" s="27"/>
      <c r="K36" s="27">
        <v>12700</v>
      </c>
      <c r="L36" s="27">
        <f>ROW()</f>
        <v>36</v>
      </c>
      <c r="M36" s="27"/>
      <c r="N36" s="27"/>
      <c r="O36" s="27" t="e">
        <f>(C135/24)+R39</f>
        <v>#REF!</v>
      </c>
      <c r="P36" s="27" t="s">
        <v>30</v>
      </c>
      <c r="Q36" s="27"/>
      <c r="R36" s="27"/>
      <c r="S36" s="27"/>
      <c r="T36" s="27"/>
      <c r="U36" s="27"/>
      <c r="V36" s="27"/>
      <c r="W36" s="27"/>
      <c r="X36" s="27"/>
      <c r="Y36" s="27" t="s">
        <v>357</v>
      </c>
      <c r="Z36" s="27"/>
      <c r="AA36" s="27" t="s">
        <v>358</v>
      </c>
      <c r="AB36" s="27" t="s">
        <v>359</v>
      </c>
      <c r="AC36" s="27"/>
      <c r="AD36" s="27"/>
      <c r="AE36" s="27"/>
      <c r="AF36" s="27" t="s">
        <v>71</v>
      </c>
      <c r="AG36" s="27">
        <f>IF(BC24&lt;AF29,BC24-INT(BC24),0)</f>
        <v>0</v>
      </c>
      <c r="AH36" s="27" t="s">
        <v>360</v>
      </c>
      <c r="AI36" s="27">
        <f>IF((AH37=2)*AND(AI37&lt;16),0,AJ36)</f>
        <v>0</v>
      </c>
      <c r="AJ36" s="27">
        <f>IF(AH37&gt;11,1,IF((AH37=11)*AND(AI37&gt;15),1,IF(AH37&gt;8,0.75,IF((AH37=8)*AND(AI37&gt;15),0.75,IF(AH37&gt;5,0.5,IF((AH37=5)*AND(AI37&gt;15),0.5,IF(AH37&gt;2,0.25,IF(AH37=2,                0.25,0))))))))</f>
        <v>0</v>
      </c>
      <c r="AK36" s="27"/>
      <c r="AL36" s="27"/>
      <c r="AM36" s="27">
        <v>40421</v>
      </c>
      <c r="AN36" s="27"/>
      <c r="AO36" s="27">
        <f>AO35*30*BC27</f>
        <v>-27.6</v>
      </c>
      <c r="AP36" s="27">
        <f>AO35*22*BC27+AQ36*BC27</f>
        <v>1.759999999999998</v>
      </c>
      <c r="AQ36" s="27">
        <f>IF(YEAR(J4)=YEAR(AK25),0,22)</f>
        <v>22</v>
      </c>
      <c r="AR36" s="27"/>
      <c r="AS36" s="27" t="s">
        <v>361</v>
      </c>
      <c r="AT36" s="27" t="s">
        <v>362</v>
      </c>
      <c r="AU36" s="27"/>
      <c r="AV36" s="27"/>
      <c r="AW36" s="27"/>
      <c r="AX36" s="27" t="s">
        <v>363</v>
      </c>
      <c r="AY36" s="27">
        <f>AY32/12</f>
        <v>9.4166666666666661</v>
      </c>
      <c r="AZ36" s="27"/>
      <c r="BA36" s="27"/>
      <c r="BB36" s="27"/>
      <c r="BC36" s="27"/>
      <c r="BD36" s="27"/>
      <c r="BE36" s="27"/>
      <c r="BF36" s="27"/>
      <c r="BG36" s="27"/>
      <c r="BH36" s="27"/>
      <c r="BI36" s="27"/>
      <c r="BJ36" s="27"/>
      <c r="BK36" s="27"/>
      <c r="BL36" s="27"/>
      <c r="BM36" s="27"/>
      <c r="BN36" s="27"/>
      <c r="BO36" s="27"/>
      <c r="BP36" s="27"/>
      <c r="BQ36" s="27">
        <v>9268137</v>
      </c>
      <c r="BR36" s="27"/>
      <c r="BS36" s="27"/>
      <c r="BT36" s="27"/>
      <c r="BU36" s="27"/>
      <c r="BV36" s="27"/>
      <c r="BW36" s="27"/>
      <c r="BX36" s="27"/>
      <c r="BY36" s="27"/>
      <c r="BZ36" s="27">
        <v>8</v>
      </c>
      <c r="CA36" s="27">
        <v>0.02</v>
      </c>
      <c r="CB36" s="27">
        <v>4600.3500000000004</v>
      </c>
      <c r="CC36" s="27">
        <v>4345.97</v>
      </c>
      <c r="CD36" s="27">
        <v>4056.22</v>
      </c>
      <c r="CE36" s="27">
        <v>3876.03</v>
      </c>
      <c r="CF36" s="27">
        <v>3533.29</v>
      </c>
      <c r="CG36" s="27">
        <v>3073.95</v>
      </c>
      <c r="CH36" s="27">
        <v>2879.62</v>
      </c>
      <c r="CI36" s="27">
        <v>2808.95</v>
      </c>
      <c r="CJ36" s="27">
        <v>2720.61</v>
      </c>
      <c r="CK36" s="27">
        <v>3876.03</v>
      </c>
      <c r="CL36" s="27">
        <v>3603.98</v>
      </c>
      <c r="CM36" s="27">
        <v>3073.95</v>
      </c>
      <c r="CN36" s="27">
        <v>3794.77</v>
      </c>
      <c r="CO36" s="27"/>
      <c r="CP36" s="27"/>
      <c r="CQ36" s="27"/>
      <c r="CR36" s="27"/>
      <c r="CS36" s="27"/>
      <c r="CT36" s="27"/>
      <c r="CU36" s="27"/>
      <c r="CV36" s="27">
        <v>25</v>
      </c>
      <c r="CW36" s="27">
        <v>63.5</v>
      </c>
      <c r="CX36" s="27"/>
      <c r="CY36" s="27"/>
      <c r="CZ36" s="27">
        <v>25</v>
      </c>
      <c r="DA36" s="27">
        <v>51.3</v>
      </c>
      <c r="DB36" s="27">
        <v>56.14</v>
      </c>
      <c r="DC36" s="27"/>
      <c r="DD36" s="27"/>
      <c r="DE36" s="27"/>
      <c r="DF36" s="27"/>
      <c r="DG36" s="27"/>
      <c r="DH36" s="27"/>
      <c r="DI36" s="27"/>
      <c r="DJ36" s="27"/>
      <c r="DK36" s="27"/>
      <c r="DL36" s="27" t="s">
        <v>345</v>
      </c>
      <c r="DM36" s="27"/>
      <c r="DN36" s="27"/>
      <c r="DO36" s="27"/>
      <c r="DP36" s="27"/>
      <c r="DQ36" s="27"/>
      <c r="DR36" s="27"/>
      <c r="DS36" s="27"/>
      <c r="DT36" s="27"/>
    </row>
    <row r="37" spans="2:124" ht="17.25" customHeight="1" x14ac:dyDescent="0.2">
      <c r="B37" s="27" t="s">
        <v>364</v>
      </c>
      <c r="C37" s="27">
        <f>C18</f>
        <v>1</v>
      </c>
      <c r="D37" s="27"/>
      <c r="E37" s="27"/>
      <c r="F37" s="27"/>
      <c r="G37" s="27"/>
      <c r="H37" s="27"/>
      <c r="I37" s="27"/>
      <c r="J37" s="27"/>
      <c r="K37" s="27" t="e">
        <f>VLOOKUP(K36,N816:N832,1,1)</f>
        <v>#N/A</v>
      </c>
      <c r="L37" s="27"/>
      <c r="M37" s="27"/>
      <c r="N37" s="27"/>
      <c r="O37" s="27" t="e">
        <f>C134/30+R40</f>
        <v>#REF!</v>
      </c>
      <c r="P37" s="27" t="s">
        <v>31</v>
      </c>
      <c r="Q37" s="27"/>
      <c r="R37" s="27"/>
      <c r="S37" s="27"/>
      <c r="T37" s="27"/>
      <c r="U37" s="27"/>
      <c r="V37" s="27"/>
      <c r="W37" s="27"/>
      <c r="X37" s="27" t="str">
        <f>AA33</f>
        <v xml:space="preserve">גמול תואר </v>
      </c>
      <c r="Y37" s="27">
        <v>0</v>
      </c>
      <c r="Z37" s="27">
        <v>0</v>
      </c>
      <c r="AA37" s="27" t="str">
        <f>X37</f>
        <v xml:space="preserve">גמול תואר </v>
      </c>
      <c r="AB37" s="27">
        <v>0</v>
      </c>
      <c r="AC37" s="27"/>
      <c r="AD37" s="27"/>
      <c r="AE37" s="27"/>
      <c r="AF37" s="27" t="s">
        <v>304</v>
      </c>
      <c r="AG37" s="27">
        <f>IF(AF28&lt;AF29,AF28-INT(AF28),0)</f>
        <v>0</v>
      </c>
      <c r="AH37" s="27">
        <f>MONTH(AK25)</f>
        <v>1</v>
      </c>
      <c r="AI37" s="27">
        <f>DAY(AK25)</f>
        <v>31</v>
      </c>
      <c r="AJ37" s="27"/>
      <c r="AK37" s="27"/>
      <c r="AL37" s="27"/>
      <c r="AM37" s="27">
        <v>40451</v>
      </c>
      <c r="AN37" s="27"/>
      <c r="AO37" s="27"/>
      <c r="AP37" s="27"/>
      <c r="AQ37" s="27"/>
      <c r="AR37" s="27"/>
      <c r="AS37" s="27">
        <v>19</v>
      </c>
      <c r="AT37" s="27">
        <v>40</v>
      </c>
      <c r="AU37" s="27"/>
      <c r="AV37" s="27"/>
      <c r="AW37" s="27"/>
      <c r="AX37" s="27"/>
      <c r="AY37" s="27"/>
      <c r="AZ37" s="27"/>
      <c r="BA37" s="27" t="s">
        <v>365</v>
      </c>
      <c r="BB37" s="27" t="s">
        <v>366</v>
      </c>
      <c r="BC37" s="27"/>
      <c r="BD37" s="27"/>
      <c r="BE37" s="27"/>
      <c r="BF37" s="27"/>
      <c r="BG37" s="27"/>
      <c r="BH37" s="27"/>
      <c r="BI37" s="27"/>
      <c r="BJ37" s="27"/>
      <c r="BK37" s="27"/>
      <c r="BL37" s="27"/>
      <c r="BM37" s="27"/>
      <c r="BN37" s="27"/>
      <c r="BO37" s="27"/>
      <c r="BP37" s="27"/>
      <c r="BQ37" s="27"/>
      <c r="BR37" s="27"/>
      <c r="BS37" s="27"/>
      <c r="BT37" s="27"/>
      <c r="BU37" s="27"/>
      <c r="BV37" s="27"/>
      <c r="BW37" s="27"/>
      <c r="BX37" s="27"/>
      <c r="BY37" s="27"/>
      <c r="BZ37" s="27"/>
      <c r="CA37" s="27"/>
      <c r="CB37" s="27"/>
      <c r="CC37" s="27"/>
      <c r="CD37" s="27"/>
      <c r="CE37" s="27"/>
      <c r="CF37" s="27"/>
      <c r="CG37" s="27"/>
      <c r="CH37" s="27"/>
      <c r="CI37" s="27"/>
      <c r="CJ37" s="27"/>
      <c r="CK37" s="27"/>
      <c r="CL37" s="27"/>
      <c r="CM37" s="27"/>
      <c r="CN37" s="27"/>
      <c r="CO37" s="27"/>
      <c r="CP37" s="27"/>
      <c r="CQ37" s="27"/>
      <c r="CR37" s="27"/>
      <c r="CS37" s="27"/>
      <c r="CT37" s="27"/>
      <c r="CU37" s="27"/>
      <c r="CV37" s="27">
        <v>26</v>
      </c>
      <c r="CW37" s="27">
        <v>63.5</v>
      </c>
      <c r="CX37" s="27"/>
      <c r="CY37" s="27"/>
      <c r="CZ37" s="27">
        <v>26</v>
      </c>
      <c r="DA37" s="27">
        <v>51.3</v>
      </c>
      <c r="DB37" s="27">
        <v>56.14</v>
      </c>
      <c r="DC37" s="27"/>
      <c r="DD37" s="27"/>
      <c r="DE37" s="27"/>
      <c r="DF37" s="27"/>
      <c r="DG37" s="27"/>
      <c r="DH37" s="27"/>
      <c r="DI37" s="27"/>
      <c r="DJ37" s="27"/>
      <c r="DK37" s="27"/>
      <c r="DL37" s="27" t="s">
        <v>345</v>
      </c>
      <c r="DM37" s="27"/>
      <c r="DN37" s="27"/>
      <c r="DO37" s="27"/>
      <c r="DP37" s="27"/>
      <c r="DQ37" s="27"/>
      <c r="DR37" s="27"/>
      <c r="DS37" s="27"/>
      <c r="DT37" s="27"/>
    </row>
    <row r="38" spans="2:124" ht="7.5" customHeight="1" x14ac:dyDescent="0.2">
      <c r="B38" s="27" t="s">
        <v>367</v>
      </c>
      <c r="C38" s="27" t="s">
        <v>29</v>
      </c>
      <c r="D38" s="27" t="s">
        <v>368</v>
      </c>
      <c r="E38" s="27"/>
      <c r="F38" s="27"/>
      <c r="G38" s="27"/>
      <c r="H38" s="27"/>
      <c r="I38" s="27"/>
      <c r="J38" s="27" t="s">
        <v>59</v>
      </c>
      <c r="K38" s="27" t="s">
        <v>369</v>
      </c>
      <c r="L38" s="27"/>
      <c r="M38" s="27"/>
      <c r="N38" s="27"/>
      <c r="O38" s="27"/>
      <c r="P38" s="27"/>
      <c r="Q38" s="27"/>
      <c r="R38" s="27"/>
      <c r="S38" s="27"/>
      <c r="T38" s="27"/>
      <c r="U38" s="27"/>
      <c r="V38" s="27"/>
      <c r="W38" s="27"/>
      <c r="X38" s="27"/>
      <c r="Y38" s="27"/>
      <c r="Z38" s="27"/>
      <c r="AA38" s="27"/>
      <c r="AB38" s="27"/>
      <c r="AC38" s="27"/>
      <c r="AD38" s="27"/>
      <c r="AE38" s="27" t="e">
        <f>35%*AE39</f>
        <v>#REF!</v>
      </c>
      <c r="AF38" s="27" t="s">
        <v>370</v>
      </c>
      <c r="AG38" s="27">
        <f>YEAR(AK25)-YEAR(J4)</f>
        <v>111</v>
      </c>
      <c r="AH38" s="27"/>
      <c r="AI38" s="27"/>
      <c r="AJ38" s="27"/>
      <c r="AK38" s="27"/>
      <c r="AL38" s="27"/>
      <c r="AM38" s="27">
        <v>40482</v>
      </c>
      <c r="AN38" s="27"/>
      <c r="AO38" s="27"/>
      <c r="AP38" s="27"/>
      <c r="AQ38" s="27"/>
      <c r="AR38" s="27"/>
      <c r="AS38" s="27" t="s">
        <v>371</v>
      </c>
      <c r="AT38" s="27" t="s">
        <v>372</v>
      </c>
      <c r="AU38" s="27"/>
      <c r="AV38" s="27"/>
      <c r="AW38" s="27"/>
      <c r="AX38" s="27"/>
      <c r="AY38" s="27" t="s">
        <v>373</v>
      </c>
      <c r="AZ38" s="27" t="e">
        <f>IF(AB21=AJ20,(VLOOKUP(INT(AB42),__tav1,AK17+1,FALSE))*(1+AG36/100)*BC27,(VLOOKUP(INT(AB42),__tmh1,AK17+1,FALSE))*(1+AG36/100)*BC27)</f>
        <v>#REF!</v>
      </c>
      <c r="BA38" s="27"/>
      <c r="BB38" s="27"/>
      <c r="BC38" s="27"/>
      <c r="BD38" s="27"/>
      <c r="BE38" s="27"/>
      <c r="BF38" s="27"/>
      <c r="BG38" s="27"/>
      <c r="BH38" s="27"/>
      <c r="BI38" s="27"/>
      <c r="BJ38" s="27"/>
      <c r="BK38" s="27"/>
      <c r="BL38" s="27"/>
      <c r="BM38" s="27"/>
      <c r="BN38" s="27"/>
      <c r="BO38" s="27"/>
      <c r="BP38" s="27" t="s">
        <v>59</v>
      </c>
      <c r="BQ38" s="27">
        <v>9268236</v>
      </c>
      <c r="BR38" s="27"/>
      <c r="BS38" s="27"/>
      <c r="BT38" s="27"/>
      <c r="BU38" s="27"/>
      <c r="BV38" s="27"/>
      <c r="BW38" s="27"/>
      <c r="BX38" s="27"/>
      <c r="BY38" s="27"/>
      <c r="BZ38" s="27">
        <v>9</v>
      </c>
      <c r="CA38" s="27">
        <v>0.02</v>
      </c>
      <c r="CB38" s="27">
        <v>4692.3500000000004</v>
      </c>
      <c r="CC38" s="27">
        <v>4432.88</v>
      </c>
      <c r="CD38" s="27">
        <v>4137.34</v>
      </c>
      <c r="CE38" s="27">
        <v>3953.55</v>
      </c>
      <c r="CF38" s="27">
        <v>3603.95</v>
      </c>
      <c r="CG38" s="27">
        <v>3135.42</v>
      </c>
      <c r="CH38" s="27">
        <v>2937.21</v>
      </c>
      <c r="CI38" s="27">
        <v>2865.12</v>
      </c>
      <c r="CJ38" s="27">
        <v>2775.02</v>
      </c>
      <c r="CK38" s="27">
        <v>3953.55</v>
      </c>
      <c r="CL38" s="27">
        <v>3676.05</v>
      </c>
      <c r="CM38" s="27">
        <v>3135.42</v>
      </c>
      <c r="CN38" s="27">
        <v>3870.66</v>
      </c>
      <c r="CO38" s="27"/>
      <c r="CP38" s="27"/>
      <c r="CQ38" s="27"/>
      <c r="CR38" s="27"/>
      <c r="CS38" s="27"/>
      <c r="CT38" s="27"/>
      <c r="CU38" s="27"/>
      <c r="CV38" s="27">
        <v>27</v>
      </c>
      <c r="CW38" s="27">
        <v>63.5</v>
      </c>
      <c r="CX38" s="27"/>
      <c r="CY38" s="27"/>
      <c r="CZ38" s="27">
        <v>27</v>
      </c>
      <c r="DA38" s="27">
        <v>51.3</v>
      </c>
      <c r="DB38" s="27">
        <v>56.14</v>
      </c>
      <c r="DC38" s="27"/>
      <c r="DD38" s="27"/>
      <c r="DE38" s="27"/>
      <c r="DF38" s="27"/>
      <c r="DG38" s="27"/>
      <c r="DH38" s="27"/>
      <c r="DI38" s="27"/>
      <c r="DJ38" s="27"/>
      <c r="DK38" s="27"/>
      <c r="DL38" s="27" t="s">
        <v>345</v>
      </c>
      <c r="DM38" s="27"/>
      <c r="DN38" s="27"/>
      <c r="DO38" s="27"/>
      <c r="DP38" s="27"/>
      <c r="DQ38" s="27"/>
      <c r="DR38" s="27"/>
      <c r="DS38" s="27"/>
      <c r="DT38" s="27"/>
    </row>
    <row r="39" spans="2:124" ht="11.25" customHeight="1" x14ac:dyDescent="0.2">
      <c r="B39" s="27" t="s">
        <v>374</v>
      </c>
      <c r="C39" s="27">
        <f>IF($C$38="א-ו",J111,IF($C$38="ז-ח",J112,IF($C$38="חטיבת ביניים",J112-2.5%,#REF!)))</f>
        <v>0</v>
      </c>
      <c r="D39" s="27" t="s">
        <v>375</v>
      </c>
      <c r="E39" s="27"/>
      <c r="F39" s="27"/>
      <c r="G39" s="27"/>
      <c r="H39" s="27"/>
      <c r="I39" s="27">
        <v>3</v>
      </c>
      <c r="J39" s="27">
        <f>IF(C21=S723,1*L853,IF(C21=S724,0.75*L853,IF(C21=S725,0.6836*L853,0.5948*L853)))</f>
        <v>0.5948</v>
      </c>
      <c r="K39" s="27"/>
      <c r="L39" s="27" t="s">
        <v>291</v>
      </c>
      <c r="M39" s="27" t="s">
        <v>182</v>
      </c>
      <c r="N39" s="27"/>
      <c r="O39" s="27" t="e">
        <f>IF(#REF!="כן",10%,0)</f>
        <v>#REF!</v>
      </c>
      <c r="P39" s="27" t="e">
        <f>(#REF!/24)</f>
        <v>#REF!</v>
      </c>
      <c r="Q39" s="27" t="e">
        <f>P39/(P40+P39)</f>
        <v>#REF!</v>
      </c>
      <c r="R39" s="27" t="e">
        <f>O39*Q39</f>
        <v>#REF!</v>
      </c>
      <c r="S39" s="27"/>
      <c r="T39" s="27"/>
      <c r="U39" s="27"/>
      <c r="V39" s="27"/>
      <c r="W39" s="27"/>
      <c r="X39" s="27"/>
      <c r="Y39" s="27"/>
      <c r="Z39" s="27"/>
      <c r="AA39" s="27" t="s">
        <v>376</v>
      </c>
      <c r="AB39" s="27">
        <v>0</v>
      </c>
      <c r="AC39" s="27"/>
      <c r="AD39" s="27"/>
      <c r="AE39" s="27" t="e">
        <f>IF(#REF!&gt;'[1]נתוני מס'!N16,'[1]נתוני מס'!N16,#REF!)</f>
        <v>#REF!</v>
      </c>
      <c r="AF39" s="27"/>
      <c r="AG39" s="27"/>
      <c r="AH39" s="27">
        <f>MONTH(AQ20)</f>
        <v>3</v>
      </c>
      <c r="AI39" s="27">
        <f>DAY(AQ20)</f>
        <v>18</v>
      </c>
      <c r="AJ39" s="27"/>
      <c r="AK39" s="27"/>
      <c r="AL39" s="27"/>
      <c r="AM39" s="27">
        <v>40512</v>
      </c>
      <c r="AN39" s="27"/>
      <c r="AO39" s="27" t="s">
        <v>377</v>
      </c>
      <c r="AP39" s="27"/>
      <c r="AQ39" s="27"/>
      <c r="AR39" s="27"/>
      <c r="AS39" s="27">
        <v>20</v>
      </c>
      <c r="AT39" s="27">
        <v>41</v>
      </c>
      <c r="AU39" s="27"/>
      <c r="AV39" s="27"/>
      <c r="AW39" s="27"/>
      <c r="AX39" s="27"/>
      <c r="AY39" s="27"/>
      <c r="AZ39" s="27"/>
      <c r="BA39" s="27"/>
      <c r="BB39" s="27"/>
      <c r="BC39" s="27"/>
      <c r="BD39" s="27"/>
      <c r="BE39" s="27"/>
      <c r="BF39" s="27"/>
      <c r="BG39" s="27"/>
      <c r="BH39" s="27"/>
      <c r="BI39" s="27"/>
      <c r="BJ39" s="27">
        <f>AH17-G202</f>
        <v>14.130000000000003</v>
      </c>
      <c r="BK39" s="27" t="s">
        <v>378</v>
      </c>
      <c r="BL39" s="27" t="e">
        <f>#REF!</f>
        <v>#REF!</v>
      </c>
      <c r="BM39" s="27"/>
      <c r="BN39" s="27"/>
      <c r="BO39" s="27"/>
      <c r="BP39" s="27"/>
      <c r="BQ39" s="27"/>
      <c r="BR39" s="27"/>
      <c r="BS39" s="27"/>
      <c r="BT39" s="27"/>
      <c r="BU39" s="27"/>
      <c r="BV39" s="27"/>
      <c r="BW39" s="27"/>
      <c r="BX39" s="27"/>
      <c r="BY39" s="27"/>
      <c r="BZ39" s="27"/>
      <c r="CA39" s="27"/>
      <c r="CB39" s="27"/>
      <c r="CC39" s="27"/>
      <c r="CD39" s="27"/>
      <c r="CE39" s="27"/>
      <c r="CF39" s="27"/>
      <c r="CG39" s="27"/>
      <c r="CH39" s="27"/>
      <c r="CI39" s="27"/>
      <c r="CJ39" s="27"/>
      <c r="CK39" s="27"/>
      <c r="CL39" s="27"/>
      <c r="CM39" s="27"/>
      <c r="CN39" s="27"/>
      <c r="CO39" s="27"/>
      <c r="CP39" s="27"/>
      <c r="CQ39" s="27"/>
      <c r="CR39" s="27"/>
      <c r="CS39" s="27"/>
      <c r="CT39" s="27"/>
      <c r="CU39" s="27"/>
      <c r="CV39" s="27">
        <v>28</v>
      </c>
      <c r="CW39" s="27">
        <v>63.5</v>
      </c>
      <c r="CX39" s="27"/>
      <c r="CY39" s="27"/>
      <c r="CZ39" s="27">
        <v>28</v>
      </c>
      <c r="DA39" s="27">
        <v>51.3</v>
      </c>
      <c r="DB39" s="27">
        <v>56.14</v>
      </c>
      <c r="DC39" s="27"/>
      <c r="DD39" s="27"/>
      <c r="DE39" s="27"/>
      <c r="DF39" s="27"/>
      <c r="DG39" s="27"/>
      <c r="DH39" s="27"/>
      <c r="DI39" s="27"/>
      <c r="DJ39" s="27"/>
      <c r="DK39" s="27"/>
      <c r="DL39" s="27" t="s">
        <v>345</v>
      </c>
      <c r="DM39" s="27"/>
      <c r="DN39" s="27"/>
      <c r="DO39" s="27"/>
      <c r="DP39" s="27"/>
      <c r="DQ39" s="27"/>
      <c r="DR39" s="27"/>
      <c r="DS39" s="27"/>
      <c r="DT39" s="27"/>
    </row>
    <row r="40" spans="2:124" ht="11.25" customHeight="1" x14ac:dyDescent="0.2">
      <c r="B40" s="27"/>
      <c r="C40" s="27"/>
      <c r="D40" s="27"/>
      <c r="E40" s="27"/>
      <c r="F40" s="27"/>
      <c r="G40" s="27"/>
      <c r="H40" s="27"/>
      <c r="I40" s="27">
        <f t="shared" ref="I40:I45" si="2">I39+1</f>
        <v>4</v>
      </c>
      <c r="J40" s="27">
        <v>0</v>
      </c>
      <c r="K40" s="27"/>
      <c r="L40" s="27" t="s">
        <v>300</v>
      </c>
      <c r="M40" s="27" t="s">
        <v>288</v>
      </c>
      <c r="N40" s="27" t="s">
        <v>289</v>
      </c>
      <c r="O40" s="27"/>
      <c r="P40" s="27" t="e">
        <f>#REF!/30</f>
        <v>#REF!</v>
      </c>
      <c r="Q40" s="27" t="e">
        <f>P40/(P39+P40)</f>
        <v>#REF!</v>
      </c>
      <c r="R40" s="27" t="e">
        <f>Q40*O39</f>
        <v>#REF!</v>
      </c>
      <c r="S40" s="27"/>
      <c r="T40" s="27"/>
      <c r="U40" s="27"/>
      <c r="V40" s="27"/>
      <c r="W40" s="27"/>
      <c r="X40" s="27"/>
      <c r="Y40" s="27"/>
      <c r="Z40" s="27"/>
      <c r="AA40" s="27" t="s">
        <v>379</v>
      </c>
      <c r="AB40" s="27">
        <v>0</v>
      </c>
      <c r="AC40" s="27"/>
      <c r="AD40" s="27"/>
      <c r="AE40" s="27"/>
      <c r="AF40" s="27"/>
      <c r="AG40" s="27"/>
      <c r="AH40" s="27" t="s">
        <v>360</v>
      </c>
      <c r="AI40" s="27">
        <f>IF((AH39=2)*AND(AI39&lt;16),0,AJ40)</f>
        <v>0.25</v>
      </c>
      <c r="AJ40" s="27">
        <f>IF(AH39&gt;11,1,IF((AH39=11)*AND(AI39&gt;15),1,IF(AH39&gt;8,0.75,IF((AH39=8)*AND(AI39&gt;15),0.75,IF(AH39&gt;5,0.5,IF((AH39=5)*AND(AI39&gt;15),0.5,IF(AH39&gt;2,0.25,IF(AH39=2,                0.25,0))))))))</f>
        <v>0.25</v>
      </c>
      <c r="AK40" s="27"/>
      <c r="AL40" s="27"/>
      <c r="AM40" s="27">
        <v>40543</v>
      </c>
      <c r="AN40" s="27"/>
      <c r="AO40" s="27">
        <v>24.582999999999998</v>
      </c>
      <c r="AP40" s="27"/>
      <c r="AQ40" s="27"/>
      <c r="AR40" s="27"/>
      <c r="AS40" s="27" t="s">
        <v>380</v>
      </c>
      <c r="AT40" s="27" t="s">
        <v>381</v>
      </c>
      <c r="AU40" s="27"/>
      <c r="AV40" s="27"/>
      <c r="AW40" s="27"/>
      <c r="AX40" s="27"/>
      <c r="AY40" s="27"/>
      <c r="AZ40" s="27"/>
      <c r="BA40" s="27"/>
      <c r="BB40" s="27"/>
      <c r="BC40" s="27"/>
      <c r="BD40" s="27"/>
      <c r="BE40" s="27"/>
      <c r="BF40" s="27"/>
      <c r="BG40" s="27"/>
      <c r="BH40" s="27"/>
      <c r="BI40" s="27"/>
      <c r="BJ40" s="27" t="s">
        <v>59</v>
      </c>
      <c r="BK40" s="27" t="s">
        <v>382</v>
      </c>
      <c r="BL40" s="27" t="e">
        <f>#REF!</f>
        <v>#REF!</v>
      </c>
      <c r="BM40" s="27"/>
      <c r="BN40" s="27"/>
      <c r="BO40" s="27"/>
      <c r="BP40" s="27"/>
      <c r="BQ40" s="27"/>
      <c r="BR40" s="27"/>
      <c r="BS40" s="27"/>
      <c r="BT40" s="27"/>
      <c r="BU40" s="27"/>
      <c r="BV40" s="27"/>
      <c r="BW40" s="27"/>
      <c r="BX40" s="27"/>
      <c r="BY40" s="27"/>
      <c r="BZ40" s="27">
        <v>10</v>
      </c>
      <c r="CA40" s="27">
        <v>0.02</v>
      </c>
      <c r="CB40" s="27">
        <v>4786.1899999999996</v>
      </c>
      <c r="CC40" s="27">
        <v>4521.53</v>
      </c>
      <c r="CD40" s="27">
        <v>4220.08</v>
      </c>
      <c r="CE40" s="27">
        <v>4032.62</v>
      </c>
      <c r="CF40" s="27">
        <v>3676.02</v>
      </c>
      <c r="CG40" s="27">
        <v>3198.12</v>
      </c>
      <c r="CH40" s="27">
        <v>2995.95</v>
      </c>
      <c r="CI40" s="27">
        <v>2922.42</v>
      </c>
      <c r="CJ40" s="27">
        <v>2830.52</v>
      </c>
      <c r="CK40" s="27">
        <v>4032.62</v>
      </c>
      <c r="CL40" s="27">
        <v>3749.57</v>
      </c>
      <c r="CM40" s="27">
        <v>3198.12</v>
      </c>
      <c r="CN40" s="27">
        <v>3948.07</v>
      </c>
      <c r="CO40" s="27"/>
      <c r="CP40" s="27"/>
      <c r="CQ40" s="27"/>
      <c r="CR40" s="27"/>
      <c r="CS40" s="27"/>
      <c r="CT40" s="27"/>
      <c r="CU40" s="27"/>
      <c r="CV40" s="27">
        <v>29</v>
      </c>
      <c r="CW40" s="27">
        <v>63.5</v>
      </c>
      <c r="CX40" s="27"/>
      <c r="CY40" s="27"/>
      <c r="CZ40" s="27">
        <v>29</v>
      </c>
      <c r="DA40" s="27">
        <v>51.3</v>
      </c>
      <c r="DB40" s="27">
        <v>56.14</v>
      </c>
      <c r="DC40" s="27"/>
      <c r="DD40" s="27"/>
      <c r="DE40" s="27"/>
      <c r="DF40" s="27"/>
      <c r="DG40" s="27"/>
      <c r="DH40" s="27"/>
      <c r="DI40" s="27"/>
      <c r="DJ40" s="27"/>
      <c r="DK40" s="27"/>
      <c r="DL40" s="27" t="s">
        <v>345</v>
      </c>
      <c r="DM40" s="27"/>
      <c r="DN40" s="27"/>
      <c r="DO40" s="27"/>
      <c r="DP40" s="27"/>
      <c r="DQ40" s="27"/>
      <c r="DR40" s="27"/>
      <c r="DS40" s="27"/>
      <c r="DT40" s="27"/>
    </row>
    <row r="41" spans="2:124" ht="11.25" customHeight="1" x14ac:dyDescent="0.2">
      <c r="B41" s="27"/>
      <c r="C41" s="27"/>
      <c r="D41" s="27"/>
      <c r="E41" s="27"/>
      <c r="F41" s="27"/>
      <c r="G41" s="27"/>
      <c r="H41" s="27"/>
      <c r="I41" s="27">
        <f t="shared" si="2"/>
        <v>5</v>
      </c>
      <c r="J41" s="27" t="s">
        <v>59</v>
      </c>
      <c r="K41" s="27"/>
      <c r="L41" s="27" t="s">
        <v>312</v>
      </c>
      <c r="M41" s="27">
        <v>2</v>
      </c>
      <c r="N41" s="27">
        <v>3</v>
      </c>
      <c r="O41" s="27"/>
      <c r="P41" s="27"/>
      <c r="Q41" s="27"/>
      <c r="R41" s="27"/>
      <c r="S41" s="27"/>
      <c r="T41" s="27"/>
      <c r="U41" s="27"/>
      <c r="V41" s="27"/>
      <c r="W41" s="27"/>
      <c r="X41" s="27"/>
      <c r="Y41" s="27"/>
      <c r="Z41" s="27"/>
      <c r="AA41" s="27"/>
      <c r="AB41" s="27"/>
      <c r="AC41" s="27"/>
      <c r="AD41" s="27"/>
      <c r="AE41" s="27" t="s">
        <v>383</v>
      </c>
      <c r="AF41" s="27" t="e">
        <f>#REF!/#REF!</f>
        <v>#REF!</v>
      </c>
      <c r="AG41" s="27"/>
      <c r="AH41" s="27"/>
      <c r="AI41" s="27"/>
      <c r="AJ41" s="27"/>
      <c r="AK41" s="27"/>
      <c r="AL41" s="27"/>
      <c r="AM41" s="27">
        <v>40574</v>
      </c>
      <c r="AN41" s="27"/>
      <c r="AO41" s="27">
        <f>DATE(YEAR(AK25),MONTH(AK25)-MONTH(AK25)+1,DAY(AK25)-DAY(AK25)+1)</f>
        <v>40544</v>
      </c>
      <c r="AP41" s="27"/>
      <c r="AQ41" s="27"/>
      <c r="AR41" s="27"/>
      <c r="AS41" s="27">
        <v>21</v>
      </c>
      <c r="AT41" s="27">
        <v>42</v>
      </c>
      <c r="AU41" s="27"/>
      <c r="AV41" s="27"/>
      <c r="AW41" s="27"/>
      <c r="AX41" s="27"/>
      <c r="AY41" s="27" t="s">
        <v>384</v>
      </c>
      <c r="AZ41" s="27" t="s">
        <v>385</v>
      </c>
      <c r="BA41" s="27"/>
      <c r="BB41" s="27"/>
      <c r="BC41" s="27"/>
      <c r="BD41" s="27"/>
      <c r="BE41" s="27"/>
      <c r="BF41" s="27"/>
      <c r="BG41" s="27"/>
      <c r="BH41" s="27"/>
      <c r="BI41" s="27"/>
      <c r="BJ41" s="27"/>
      <c r="BK41" s="27" t="s">
        <v>386</v>
      </c>
      <c r="BL41" s="27" t="e">
        <f>BL39-BL40</f>
        <v>#REF!</v>
      </c>
      <c r="BM41" s="27"/>
      <c r="BN41" s="27"/>
      <c r="BO41" s="27"/>
      <c r="BP41" s="27"/>
      <c r="BQ41" s="27"/>
      <c r="BR41" s="27">
        <v>9268335</v>
      </c>
      <c r="BS41" s="27"/>
      <c r="BT41" s="27"/>
      <c r="BU41" s="27"/>
      <c r="BV41" s="27"/>
      <c r="BW41" s="27"/>
      <c r="BX41" s="27"/>
      <c r="BY41" s="27"/>
      <c r="BZ41" s="27"/>
      <c r="CA41" s="27"/>
      <c r="CB41" s="27"/>
      <c r="CC41" s="27"/>
      <c r="CD41" s="27"/>
      <c r="CE41" s="27"/>
      <c r="CF41" s="27"/>
      <c r="CG41" s="27"/>
      <c r="CH41" s="27"/>
      <c r="CI41" s="27"/>
      <c r="CJ41" s="27"/>
      <c r="CK41" s="27"/>
      <c r="CL41" s="27"/>
      <c r="CM41" s="27"/>
      <c r="CN41" s="27"/>
      <c r="CO41" s="27"/>
      <c r="CP41" s="27"/>
      <c r="CQ41" s="27"/>
      <c r="CR41" s="27"/>
      <c r="CS41" s="27"/>
      <c r="CT41" s="27"/>
      <c r="CU41" s="27"/>
      <c r="CV41" s="27">
        <v>30</v>
      </c>
      <c r="CW41" s="27">
        <v>63.5</v>
      </c>
      <c r="CX41" s="27"/>
      <c r="CY41" s="27"/>
      <c r="CZ41" s="27">
        <v>30</v>
      </c>
      <c r="DA41" s="27">
        <v>51.3</v>
      </c>
      <c r="DB41" s="27">
        <v>56.14</v>
      </c>
      <c r="DC41" s="27"/>
      <c r="DD41" s="27"/>
      <c r="DE41" s="27"/>
      <c r="DF41" s="27"/>
      <c r="DG41" s="27"/>
      <c r="DH41" s="27"/>
      <c r="DI41" s="27"/>
      <c r="DJ41" s="27"/>
      <c r="DK41" s="27"/>
      <c r="DL41" s="27" t="s">
        <v>345</v>
      </c>
      <c r="DM41" s="27"/>
      <c r="DN41" s="27"/>
      <c r="DO41" s="27"/>
      <c r="DP41" s="27"/>
      <c r="DQ41" s="27"/>
      <c r="DR41" s="27"/>
      <c r="DS41" s="27"/>
      <c r="DT41" s="27"/>
    </row>
    <row r="42" spans="2:124" ht="11.25" customHeight="1" x14ac:dyDescent="0.2">
      <c r="B42" s="27"/>
      <c r="C42" s="27"/>
      <c r="D42" s="27"/>
      <c r="E42" s="27"/>
      <c r="F42" s="27"/>
      <c r="G42" s="27"/>
      <c r="H42" s="27"/>
      <c r="I42" s="27">
        <f t="shared" si="2"/>
        <v>6</v>
      </c>
      <c r="J42" s="27" t="s">
        <v>59</v>
      </c>
      <c r="K42" s="27"/>
      <c r="L42" s="27" t="s">
        <v>320</v>
      </c>
      <c r="M42" s="27">
        <f>M41*2.2</f>
        <v>4.4000000000000004</v>
      </c>
      <c r="N42" s="27">
        <f>N41*2</f>
        <v>6</v>
      </c>
      <c r="O42" s="27"/>
      <c r="P42" s="27"/>
      <c r="Q42" s="27"/>
      <c r="R42" s="27"/>
      <c r="S42" s="27"/>
      <c r="T42" s="27"/>
      <c r="U42" s="27"/>
      <c r="V42" s="27"/>
      <c r="W42" s="27"/>
      <c r="X42" s="27"/>
      <c r="Y42" s="27"/>
      <c r="Z42" s="27"/>
      <c r="AA42" s="27" t="s">
        <v>257</v>
      </c>
      <c r="AB42" s="27">
        <f>BG61</f>
        <v>33</v>
      </c>
      <c r="AC42" s="27"/>
      <c r="AD42" s="27"/>
      <c r="AE42" s="27" t="s">
        <v>387</v>
      </c>
      <c r="AF42" s="27" t="e">
        <f>#REF!*AF41</f>
        <v>#REF!</v>
      </c>
      <c r="AG42" s="27"/>
      <c r="AH42" s="27"/>
      <c r="AI42" s="27"/>
      <c r="AJ42" s="27"/>
      <c r="AK42" s="27"/>
      <c r="AL42" s="27"/>
      <c r="AM42" s="27"/>
      <c r="AN42" s="27"/>
      <c r="AO42" s="27">
        <f>ROUND((AK25-AO41)/365.25,2)</f>
        <v>0.08</v>
      </c>
      <c r="AP42" s="27"/>
      <c r="AQ42" s="27"/>
      <c r="AR42" s="27"/>
      <c r="AS42" s="27" t="s">
        <v>388</v>
      </c>
      <c r="AT42" s="27" t="s">
        <v>389</v>
      </c>
      <c r="AU42" s="27"/>
      <c r="AV42" s="27"/>
      <c r="AW42" s="27"/>
      <c r="AX42" s="27" t="s">
        <v>390</v>
      </c>
      <c r="AY42" s="27"/>
      <c r="AZ42" s="27" t="e">
        <f>#REF!</f>
        <v>#REF!</v>
      </c>
      <c r="BA42" s="27" t="s">
        <v>391</v>
      </c>
      <c r="BB42" s="27"/>
      <c r="BC42" s="27"/>
      <c r="BD42" s="27"/>
      <c r="BE42" s="27"/>
      <c r="BF42" s="27"/>
      <c r="BG42" s="27"/>
      <c r="BH42" s="27"/>
      <c r="BI42" s="27"/>
      <c r="BJ42" s="27"/>
      <c r="BK42" s="27"/>
      <c r="BL42" s="27" t="e">
        <f>BL41/BL39</f>
        <v>#REF!</v>
      </c>
      <c r="BM42" s="27"/>
      <c r="BN42" s="27"/>
      <c r="BO42" s="27"/>
      <c r="BP42" s="27"/>
      <c r="BQ42" s="27"/>
      <c r="BR42" s="27"/>
      <c r="BS42" s="27"/>
      <c r="BT42" s="27"/>
      <c r="BU42" s="27"/>
      <c r="BV42" s="27"/>
      <c r="BW42" s="27"/>
      <c r="BX42" s="27"/>
      <c r="BY42" s="27"/>
      <c r="BZ42" s="27">
        <v>11</v>
      </c>
      <c r="CA42" s="27">
        <v>0.02</v>
      </c>
      <c r="CB42" s="27">
        <v>4881.91</v>
      </c>
      <c r="CC42" s="27">
        <v>4611.96</v>
      </c>
      <c r="CD42" s="27">
        <v>4304.4799999999996</v>
      </c>
      <c r="CE42" s="27">
        <v>4113.2700000000004</v>
      </c>
      <c r="CF42" s="27">
        <v>3749.54</v>
      </c>
      <c r="CG42" s="27">
        <v>3262.08</v>
      </c>
      <c r="CH42" s="27">
        <v>3055.86</v>
      </c>
      <c r="CI42" s="27">
        <v>2980.86</v>
      </c>
      <c r="CJ42" s="27">
        <v>2887.13</v>
      </c>
      <c r="CK42" s="27">
        <v>4113.2700000000004</v>
      </c>
      <c r="CL42" s="27">
        <v>3824.56</v>
      </c>
      <c r="CM42" s="27">
        <v>3262.08</v>
      </c>
      <c r="CN42" s="27">
        <v>4027.03</v>
      </c>
      <c r="CO42" s="27"/>
      <c r="CP42" s="27"/>
      <c r="CQ42" s="27"/>
      <c r="CR42" s="27"/>
      <c r="CS42" s="27"/>
      <c r="CT42" s="27"/>
      <c r="CU42" s="27"/>
      <c r="CV42" s="27">
        <v>31</v>
      </c>
      <c r="CW42" s="27">
        <v>63.5</v>
      </c>
      <c r="CX42" s="27"/>
      <c r="CY42" s="27"/>
      <c r="CZ42" s="27">
        <v>31</v>
      </c>
      <c r="DA42" s="27">
        <v>51.3</v>
      </c>
      <c r="DB42" s="27">
        <v>56.14</v>
      </c>
      <c r="DC42" s="27"/>
      <c r="DD42" s="27"/>
      <c r="DE42" s="27"/>
      <c r="DF42" s="27"/>
      <c r="DG42" s="27"/>
      <c r="DH42" s="27"/>
      <c r="DI42" s="27"/>
      <c r="DJ42" s="27"/>
      <c r="DK42" s="27"/>
      <c r="DL42" s="27" t="s">
        <v>345</v>
      </c>
      <c r="DM42" s="27"/>
      <c r="DN42" s="27"/>
      <c r="DO42" s="27"/>
      <c r="DP42" s="27"/>
      <c r="DQ42" s="27"/>
      <c r="DR42" s="27"/>
      <c r="DS42" s="27"/>
      <c r="DT42" s="27"/>
    </row>
    <row r="43" spans="2:124" ht="11.25" customHeight="1" x14ac:dyDescent="0.2">
      <c r="B43" s="27"/>
      <c r="C43" s="27"/>
      <c r="D43" s="27"/>
      <c r="E43" s="27"/>
      <c r="F43" s="27"/>
      <c r="G43" s="27"/>
      <c r="H43" s="27"/>
      <c r="I43" s="27">
        <f t="shared" si="2"/>
        <v>7</v>
      </c>
      <c r="J43" s="27" t="s">
        <v>59</v>
      </c>
      <c r="K43" s="27"/>
      <c r="L43" s="27" t="s">
        <v>331</v>
      </c>
      <c r="M43" s="27"/>
      <c r="N43" s="27"/>
      <c r="O43" s="27"/>
      <c r="P43" s="27" t="s">
        <v>59</v>
      </c>
      <c r="Q43" s="27"/>
      <c r="R43" s="27"/>
      <c r="S43" s="27"/>
      <c r="T43" s="27"/>
      <c r="U43" s="27"/>
      <c r="V43" s="27"/>
      <c r="W43" s="27"/>
      <c r="X43" s="27"/>
      <c r="Y43" s="27"/>
      <c r="Z43" s="27"/>
      <c r="AA43" s="27" t="s">
        <v>2</v>
      </c>
      <c r="AB43" s="27">
        <f>IF(W18&gt;36,36,W18)</f>
        <v>0</v>
      </c>
      <c r="AC43" s="27"/>
      <c r="AD43" s="27"/>
      <c r="AE43" s="27" t="s">
        <v>392</v>
      </c>
      <c r="AF43" s="27"/>
      <c r="AG43" s="27"/>
      <c r="AH43" s="27"/>
      <c r="AI43" s="27" t="s">
        <v>393</v>
      </c>
      <c r="AJ43" s="27" t="s">
        <v>394</v>
      </c>
      <c r="AK43" s="27"/>
      <c r="AL43" s="27"/>
      <c r="AM43" s="27"/>
      <c r="AN43" s="27"/>
      <c r="AO43" s="27"/>
      <c r="AP43" s="27"/>
      <c r="AQ43" s="27"/>
      <c r="AR43" s="27"/>
      <c r="AS43" s="27">
        <v>22</v>
      </c>
      <c r="AT43" s="27">
        <v>43</v>
      </c>
      <c r="AU43" s="27"/>
      <c r="AV43" s="27"/>
      <c r="AW43" s="27"/>
      <c r="AX43" s="27" t="s">
        <v>59</v>
      </c>
      <c r="AY43" s="27">
        <v>12</v>
      </c>
      <c r="AZ43" s="27" t="s">
        <v>395</v>
      </c>
      <c r="BA43" s="27" t="e">
        <f>12*AZ42</f>
        <v>#REF!</v>
      </c>
      <c r="BB43" s="27"/>
      <c r="BC43" s="27"/>
      <c r="BD43" s="27"/>
      <c r="BE43" s="27"/>
      <c r="BF43" s="27" t="s">
        <v>59</v>
      </c>
      <c r="BG43" s="27"/>
      <c r="BH43" s="27"/>
      <c r="BI43" s="27"/>
      <c r="BJ43" s="27" t="s">
        <v>396</v>
      </c>
      <c r="BK43" s="27"/>
      <c r="BL43" s="27"/>
      <c r="BM43" s="27"/>
      <c r="BN43" s="27"/>
      <c r="BO43" s="27"/>
      <c r="BP43" s="27"/>
      <c r="BQ43" s="27" t="s">
        <v>397</v>
      </c>
      <c r="BR43" s="27"/>
      <c r="BS43" s="27"/>
      <c r="BT43" s="27"/>
      <c r="BU43" s="27"/>
      <c r="BV43" s="27"/>
      <c r="BW43" s="27"/>
      <c r="BX43" s="27"/>
      <c r="BY43" s="27"/>
      <c r="BZ43" s="27"/>
      <c r="CA43" s="27"/>
      <c r="CB43" s="27"/>
      <c r="CC43" s="27"/>
      <c r="CD43" s="27"/>
      <c r="CE43" s="27"/>
      <c r="CF43" s="27"/>
      <c r="CG43" s="27"/>
      <c r="CH43" s="27"/>
      <c r="CI43" s="27"/>
      <c r="CJ43" s="27"/>
      <c r="CK43" s="27"/>
      <c r="CL43" s="27"/>
      <c r="CM43" s="27"/>
      <c r="CN43" s="27"/>
      <c r="CO43" s="27"/>
      <c r="CP43" s="27"/>
      <c r="CQ43" s="27"/>
      <c r="CR43" s="27"/>
      <c r="CS43" s="27"/>
      <c r="CT43" s="27"/>
      <c r="CU43" s="27"/>
      <c r="CV43" s="27" t="s">
        <v>398</v>
      </c>
      <c r="CW43" s="27">
        <v>63.5</v>
      </c>
      <c r="CX43" s="27"/>
      <c r="CY43" s="27"/>
      <c r="CZ43" s="27">
        <v>32</v>
      </c>
      <c r="DA43" s="27">
        <v>56.1</v>
      </c>
      <c r="DB43" s="27">
        <v>56.14</v>
      </c>
      <c r="DC43" s="27"/>
      <c r="DD43" s="27"/>
      <c r="DE43" s="27"/>
      <c r="DF43" s="27"/>
      <c r="DG43" s="27"/>
      <c r="DH43" s="27"/>
      <c r="DI43" s="27"/>
      <c r="DJ43" s="27"/>
      <c r="DK43" s="27"/>
      <c r="DL43" s="27" t="s">
        <v>399</v>
      </c>
      <c r="DM43" s="27"/>
      <c r="DN43" s="27"/>
      <c r="DO43" s="27"/>
      <c r="DP43" s="27"/>
      <c r="DQ43" s="27"/>
      <c r="DR43" s="27"/>
      <c r="DS43" s="27"/>
      <c r="DT43" s="27"/>
    </row>
    <row r="44" spans="2:124" ht="11.25" customHeight="1" x14ac:dyDescent="0.2">
      <c r="B44" s="27"/>
      <c r="C44" s="27"/>
      <c r="D44" s="27"/>
      <c r="E44" s="27"/>
      <c r="F44" s="27"/>
      <c r="G44" s="27"/>
      <c r="H44" s="27"/>
      <c r="I44" s="27">
        <f t="shared" si="2"/>
        <v>8</v>
      </c>
      <c r="J44" s="27" t="s">
        <v>59</v>
      </c>
      <c r="K44" s="27"/>
      <c r="L44" s="27" t="s">
        <v>338</v>
      </c>
      <c r="M44" s="27"/>
      <c r="N44" s="27"/>
      <c r="O44" s="27" t="s">
        <v>278</v>
      </c>
      <c r="P44" s="27" t="e">
        <f t="shared" ref="P44:P61" si="3">HLOOKUP($C$5,$G$115:$L$132,ROW()-43,0)</f>
        <v>#N/A</v>
      </c>
      <c r="Q44" s="27"/>
      <c r="R44" s="27" t="s">
        <v>278</v>
      </c>
      <c r="S44" s="27"/>
      <c r="T44" s="27"/>
      <c r="U44" s="27"/>
      <c r="V44" s="27"/>
      <c r="W44" s="27"/>
      <c r="X44" s="27"/>
      <c r="Y44" s="27"/>
      <c r="Z44" s="27"/>
      <c r="AA44" s="27" t="s">
        <v>400</v>
      </c>
      <c r="AB44" s="27">
        <v>1</v>
      </c>
      <c r="AC44" s="27"/>
      <c r="AD44" s="27"/>
      <c r="AE44" s="27" t="e">
        <f>IF(#REF!&gt;0,#REF!/'[1]נתוני מס'!N16,0)</f>
        <v>#REF!</v>
      </c>
      <c r="AF44" s="27" t="s">
        <v>401</v>
      </c>
      <c r="AG44" s="27" t="s">
        <v>402</v>
      </c>
      <c r="AH44" s="27" t="s">
        <v>198</v>
      </c>
      <c r="AI44" s="27"/>
      <c r="AJ44" s="27">
        <f>C151</f>
        <v>174.47</v>
      </c>
      <c r="AK44" s="27"/>
      <c r="AL44" s="27"/>
      <c r="AM44" s="27"/>
      <c r="AN44" s="27"/>
      <c r="AO44" s="27"/>
      <c r="AP44" s="27"/>
      <c r="AQ44" s="27"/>
      <c r="AR44" s="27"/>
      <c r="AS44" s="27" t="s">
        <v>403</v>
      </c>
      <c r="AT44" s="27" t="s">
        <v>404</v>
      </c>
      <c r="AU44" s="27"/>
      <c r="AV44" s="27"/>
      <c r="AW44" s="27"/>
      <c r="AX44" s="27" t="s">
        <v>405</v>
      </c>
      <c r="AY44" s="27"/>
      <c r="AZ44" s="27"/>
      <c r="BA44" s="27" t="e">
        <f>AZ42/2*H156</f>
        <v>#REF!</v>
      </c>
      <c r="BB44" s="27"/>
      <c r="BC44" s="27"/>
      <c r="BD44" s="27"/>
      <c r="BE44" s="27"/>
      <c r="BF44" s="27">
        <f>IF((((60-G202)*2+(H156*2))/100+F158)&gt;70%,70%,(((60-G202)*2+(H156*2))/100+F158))</f>
        <v>0.7</v>
      </c>
      <c r="BG44" s="27"/>
      <c r="BH44" s="27"/>
      <c r="BI44" s="27"/>
      <c r="BJ44" s="27"/>
      <c r="BK44" s="27"/>
      <c r="BL44" s="27"/>
      <c r="BM44" s="27"/>
      <c r="BN44" s="27"/>
      <c r="BO44" s="27"/>
      <c r="BP44" s="27"/>
      <c r="BQ44" s="27" t="s">
        <v>406</v>
      </c>
      <c r="BR44" s="27"/>
      <c r="BS44" s="27"/>
      <c r="BT44" s="27"/>
      <c r="BU44" s="27"/>
      <c r="BV44" s="27"/>
      <c r="BW44" s="27"/>
      <c r="BX44" s="27"/>
      <c r="BY44" s="27"/>
      <c r="BZ44" s="27">
        <v>12</v>
      </c>
      <c r="CA44" s="27">
        <v>0.02</v>
      </c>
      <c r="CB44" s="27">
        <v>4979.54</v>
      </c>
      <c r="CC44" s="27">
        <v>4704.1899999999996</v>
      </c>
      <c r="CD44" s="27">
        <v>4390.5600000000004</v>
      </c>
      <c r="CE44" s="27">
        <v>4195.53</v>
      </c>
      <c r="CF44" s="27">
        <v>3824.53</v>
      </c>
      <c r="CG44" s="27">
        <v>3327.32</v>
      </c>
      <c r="CH44" s="27">
        <v>3116.97</v>
      </c>
      <c r="CI44" s="27">
        <v>3040.47</v>
      </c>
      <c r="CJ44" s="27">
        <v>2944.87</v>
      </c>
      <c r="CK44" s="27">
        <v>4195.53</v>
      </c>
      <c r="CL44" s="27">
        <v>3901.05</v>
      </c>
      <c r="CM44" s="27">
        <v>3327.32</v>
      </c>
      <c r="CN44" s="27">
        <v>4107.57</v>
      </c>
      <c r="CO44" s="27"/>
      <c r="CP44" s="27"/>
      <c r="CQ44" s="27"/>
      <c r="CR44" s="27"/>
      <c r="CS44" s="27"/>
      <c r="CT44" s="27"/>
      <c r="CU44" s="27"/>
      <c r="CV44" s="27"/>
      <c r="CW44" s="27"/>
      <c r="CX44" s="27"/>
      <c r="CY44" s="27"/>
      <c r="CZ44" s="27"/>
      <c r="DA44" s="27"/>
      <c r="DB44" s="27"/>
      <c r="DC44" s="27"/>
      <c r="DD44" s="27"/>
      <c r="DE44" s="27"/>
      <c r="DF44" s="27"/>
      <c r="DG44" s="27"/>
      <c r="DH44" s="27"/>
      <c r="DI44" s="27"/>
      <c r="DJ44" s="27"/>
      <c r="DK44" s="27"/>
      <c r="DL44" s="27"/>
      <c r="DM44" s="27"/>
      <c r="DN44" s="27"/>
      <c r="DO44" s="27"/>
      <c r="DP44" s="27"/>
      <c r="DQ44" s="27"/>
      <c r="DR44" s="27"/>
      <c r="DS44" s="27"/>
      <c r="DT44" s="27"/>
    </row>
    <row r="45" spans="2:124" ht="11.25" customHeight="1" x14ac:dyDescent="0.2">
      <c r="B45" s="27"/>
      <c r="C45" s="27"/>
      <c r="D45" s="27"/>
      <c r="E45" s="27"/>
      <c r="F45" s="27"/>
      <c r="G45" s="27"/>
      <c r="H45" s="27"/>
      <c r="I45" s="27">
        <f t="shared" si="2"/>
        <v>9</v>
      </c>
      <c r="J45" s="27" t="s">
        <v>59</v>
      </c>
      <c r="K45" s="27"/>
      <c r="L45" s="27" t="s">
        <v>347</v>
      </c>
      <c r="M45" s="27"/>
      <c r="N45" s="27"/>
      <c r="O45" s="27">
        <v>1</v>
      </c>
      <c r="P45" s="27" t="e">
        <f t="shared" si="3"/>
        <v>#N/A</v>
      </c>
      <c r="Q45" s="27"/>
      <c r="R45" s="27">
        <v>1</v>
      </c>
      <c r="S45" s="27">
        <v>1173.52</v>
      </c>
      <c r="T45" s="27"/>
      <c r="U45" s="27"/>
      <c r="V45" s="27"/>
      <c r="W45" s="27"/>
      <c r="X45" s="27"/>
      <c r="Y45" s="27"/>
      <c r="Z45" s="27"/>
      <c r="AA45" s="27"/>
      <c r="AB45" s="27"/>
      <c r="AC45" s="27"/>
      <c r="AD45" s="27"/>
      <c r="AE45" s="27"/>
      <c r="AF45" s="27" t="s">
        <v>407</v>
      </c>
      <c r="AG45" s="27" t="s">
        <v>408</v>
      </c>
      <c r="AH45" s="27" t="s">
        <v>71</v>
      </c>
      <c r="AI45" s="27"/>
      <c r="AJ45" s="27"/>
      <c r="AK45" s="27" t="s">
        <v>409</v>
      </c>
      <c r="AL45" s="27">
        <f>IF(AB17=AH44,0.01%,0)</f>
        <v>0</v>
      </c>
      <c r="AM45" s="27"/>
      <c r="AN45" s="27"/>
      <c r="AO45" s="27" t="s">
        <v>351</v>
      </c>
      <c r="AP45" s="27"/>
      <c r="AQ45" s="27"/>
      <c r="AR45" s="27"/>
      <c r="AS45" s="27">
        <v>23</v>
      </c>
      <c r="AT45" s="27">
        <v>44</v>
      </c>
      <c r="AU45" s="27"/>
      <c r="AV45" s="27"/>
      <c r="AW45" s="27"/>
      <c r="AX45" s="27"/>
      <c r="AY45" s="27"/>
      <c r="AZ45" s="27" t="s">
        <v>410</v>
      </c>
      <c r="BA45" s="27" t="e">
        <f>BF48</f>
        <v>#REF!</v>
      </c>
      <c r="BB45" s="27"/>
      <c r="BC45" s="27" t="s">
        <v>411</v>
      </c>
      <c r="BD45" s="27"/>
      <c r="BE45" s="27"/>
      <c r="BF45" s="27" t="e">
        <f>T27*BF44</f>
        <v>#REF!</v>
      </c>
      <c r="BG45" s="27"/>
      <c r="BH45" s="27"/>
      <c r="BI45" s="27"/>
      <c r="BJ45" s="27"/>
      <c r="BK45" s="27"/>
      <c r="BL45" s="27"/>
      <c r="BM45" s="27"/>
      <c r="BN45" s="27"/>
      <c r="BO45" s="27"/>
      <c r="BP45" s="27"/>
      <c r="BQ45" s="27"/>
      <c r="BR45" s="27"/>
      <c r="BS45" s="27"/>
      <c r="BT45" s="27"/>
      <c r="BU45" s="27"/>
      <c r="BV45" s="27"/>
      <c r="BW45" s="27"/>
      <c r="BX45" s="27"/>
      <c r="BY45" s="27"/>
      <c r="BZ45" s="27"/>
      <c r="CA45" s="27"/>
      <c r="CB45" s="27"/>
      <c r="CC45" s="27"/>
      <c r="CD45" s="27"/>
      <c r="CE45" s="27"/>
      <c r="CF45" s="27"/>
      <c r="CG45" s="27"/>
      <c r="CH45" s="27"/>
      <c r="CI45" s="27"/>
      <c r="CJ45" s="27"/>
      <c r="CK45" s="27"/>
      <c r="CL45" s="27"/>
      <c r="CM45" s="27"/>
      <c r="CN45" s="27"/>
      <c r="CO45" s="27"/>
      <c r="CP45" s="27"/>
      <c r="CQ45" s="27"/>
      <c r="CR45" s="27"/>
      <c r="CS45" s="27"/>
      <c r="CT45" s="27"/>
      <c r="CU45" s="27"/>
      <c r="CV45" s="27"/>
      <c r="CW45" s="27"/>
      <c r="CX45" s="27"/>
      <c r="CY45" s="27"/>
      <c r="CZ45" s="27"/>
      <c r="DA45" s="27"/>
      <c r="DB45" s="27"/>
      <c r="DC45" s="27"/>
      <c r="DD45" s="27"/>
      <c r="DE45" s="27"/>
      <c r="DF45" s="27"/>
      <c r="DG45" s="27"/>
      <c r="DH45" s="27"/>
      <c r="DI45" s="27"/>
      <c r="DJ45" s="27"/>
      <c r="DK45" s="27"/>
      <c r="DL45" s="27"/>
      <c r="DM45" s="27"/>
      <c r="DN45" s="27"/>
      <c r="DO45" s="27"/>
      <c r="DP45" s="27"/>
      <c r="DQ45" s="27"/>
      <c r="DR45" s="27"/>
      <c r="DS45" s="27"/>
      <c r="DT45" s="27"/>
    </row>
    <row r="46" spans="2:124" ht="11.25" customHeight="1" x14ac:dyDescent="0.2">
      <c r="B46" s="27"/>
      <c r="C46" s="27"/>
      <c r="D46" s="27"/>
      <c r="E46" s="27"/>
      <c r="F46" s="27"/>
      <c r="G46" s="27"/>
      <c r="H46" s="27"/>
      <c r="I46" s="27"/>
      <c r="J46" s="27" t="s">
        <v>328</v>
      </c>
      <c r="K46" s="27" t="e">
        <f>#REF!*0.05*L46</f>
        <v>#REF!</v>
      </c>
      <c r="L46" s="27">
        <v>0</v>
      </c>
      <c r="M46" s="27"/>
      <c r="N46" s="27"/>
      <c r="O46" s="27">
        <v>1.5</v>
      </c>
      <c r="P46" s="27" t="e">
        <f t="shared" si="3"/>
        <v>#N/A</v>
      </c>
      <c r="Q46" s="27"/>
      <c r="R46" s="27">
        <v>1.5</v>
      </c>
      <c r="S46" s="27">
        <v>1104.83</v>
      </c>
      <c r="T46" s="27"/>
      <c r="U46" s="27"/>
      <c r="V46" s="27"/>
      <c r="W46" s="27"/>
      <c r="X46" s="27"/>
      <c r="Y46" s="27"/>
      <c r="Z46" s="27"/>
      <c r="AA46" s="27" t="s">
        <v>412</v>
      </c>
      <c r="AB46" s="27"/>
      <c r="AC46" s="27"/>
      <c r="AD46" s="27"/>
      <c r="AE46" s="27"/>
      <c r="AF46" s="27"/>
      <c r="AG46" s="27"/>
      <c r="AH46" s="27"/>
      <c r="AI46" s="27"/>
      <c r="AJ46" s="27"/>
      <c r="AK46" s="27"/>
      <c r="AL46" s="27">
        <f>IF(AB17=AH44,0.21%,0)</f>
        <v>0</v>
      </c>
      <c r="AM46" s="27"/>
      <c r="AN46" s="27"/>
      <c r="AO46" s="27" t="e">
        <f>IF(#REF!-'[1]נתוני מס'!J42&lt;0,0,#REF!-'[1]נתוני מס'!J42)</f>
        <v>#REF!</v>
      </c>
      <c r="AP46" s="27"/>
      <c r="AQ46" s="27"/>
      <c r="AR46" s="27"/>
      <c r="AS46" s="27" t="s">
        <v>413</v>
      </c>
      <c r="AT46" s="27" t="s">
        <v>414</v>
      </c>
      <c r="AU46" s="27"/>
      <c r="AV46" s="27"/>
      <c r="AW46" s="27"/>
      <c r="AX46" s="27"/>
      <c r="AY46" s="27"/>
      <c r="AZ46" s="27"/>
      <c r="BA46" s="27"/>
      <c r="BB46" s="27"/>
      <c r="BC46" s="27" t="s">
        <v>415</v>
      </c>
      <c r="BD46" s="27"/>
      <c r="BE46" s="27"/>
      <c r="BF46" s="27" t="e">
        <f>#REF!*#REF!</f>
        <v>#REF!</v>
      </c>
      <c r="BG46" s="27"/>
      <c r="BH46" s="27"/>
      <c r="BI46" s="27"/>
      <c r="BJ46" s="27"/>
      <c r="BK46" s="27"/>
      <c r="BL46" s="27"/>
      <c r="BM46" s="27"/>
      <c r="BN46" s="27"/>
      <c r="BO46" s="27"/>
      <c r="BP46" s="27"/>
      <c r="BQ46" s="27"/>
      <c r="BR46" s="27"/>
      <c r="BS46" s="27"/>
      <c r="BT46" s="27"/>
      <c r="BU46" s="27"/>
      <c r="BV46" s="27"/>
      <c r="BW46" s="27"/>
      <c r="BX46" s="27"/>
      <c r="BY46" s="27"/>
      <c r="BZ46" s="27">
        <v>13</v>
      </c>
      <c r="CA46" s="27">
        <v>0.02</v>
      </c>
      <c r="CB46" s="27">
        <v>5079.13</v>
      </c>
      <c r="CC46" s="27">
        <v>4798.2700000000004</v>
      </c>
      <c r="CD46" s="27">
        <v>4478.37</v>
      </c>
      <c r="CE46" s="27">
        <v>4279.4399999999996</v>
      </c>
      <c r="CF46" s="27">
        <v>3901.02</v>
      </c>
      <c r="CG46" s="27">
        <v>3393.86</v>
      </c>
      <c r="CH46" s="27">
        <v>3179.3</v>
      </c>
      <c r="CI46" s="27">
        <v>3101.27</v>
      </c>
      <c r="CJ46" s="27">
        <v>3003.76</v>
      </c>
      <c r="CK46" s="27">
        <v>4279.4399999999996</v>
      </c>
      <c r="CL46" s="27">
        <v>3979.07</v>
      </c>
      <c r="CM46" s="27">
        <v>3393.86</v>
      </c>
      <c r="CN46" s="27">
        <v>4189.72</v>
      </c>
      <c r="CO46" s="27"/>
      <c r="CP46" s="27"/>
      <c r="CQ46" s="27"/>
      <c r="CR46" s="27"/>
      <c r="CS46" s="27"/>
      <c r="CT46" s="27"/>
      <c r="CU46" s="27"/>
      <c r="CV46" s="27"/>
      <c r="CW46" s="27"/>
      <c r="CX46" s="27"/>
      <c r="CY46" s="27"/>
      <c r="CZ46" s="27"/>
      <c r="DA46" s="27"/>
      <c r="DB46" s="27"/>
      <c r="DC46" s="27"/>
      <c r="DD46" s="27"/>
      <c r="DE46" s="27"/>
      <c r="DF46" s="27"/>
      <c r="DG46" s="27"/>
      <c r="DH46" s="27"/>
      <c r="DI46" s="27"/>
      <c r="DJ46" s="27"/>
      <c r="DK46" s="27"/>
      <c r="DL46" s="27"/>
      <c r="DM46" s="27"/>
      <c r="DN46" s="27"/>
      <c r="DO46" s="27"/>
      <c r="DP46" s="27"/>
      <c r="DQ46" s="27"/>
      <c r="DR46" s="27"/>
      <c r="DS46" s="27"/>
      <c r="DT46" s="27"/>
    </row>
    <row r="47" spans="2:124" ht="15" customHeight="1" x14ac:dyDescent="0.2">
      <c r="B47" s="27"/>
      <c r="C47" s="27"/>
      <c r="D47" s="27"/>
      <c r="E47" s="27"/>
      <c r="F47" s="27"/>
      <c r="G47" s="27"/>
      <c r="H47" s="27"/>
      <c r="I47" s="27"/>
      <c r="J47" s="27"/>
      <c r="K47" s="27" t="e">
        <f>SUM(K46:K46)</f>
        <v>#REF!</v>
      </c>
      <c r="L47" s="27" t="s">
        <v>416</v>
      </c>
      <c r="M47" s="27" t="e">
        <f>VLOOKUP(I31,טור12,2,0)</f>
        <v>#N/A</v>
      </c>
      <c r="N47" s="27"/>
      <c r="O47" s="27">
        <v>2</v>
      </c>
      <c r="P47" s="27" t="e">
        <f t="shared" si="3"/>
        <v>#N/A</v>
      </c>
      <c r="Q47" s="27"/>
      <c r="R47" s="27">
        <v>2</v>
      </c>
      <c r="S47" s="27">
        <v>1036.1400000000001</v>
      </c>
      <c r="T47" s="27"/>
      <c r="U47" s="27"/>
      <c r="V47" s="27"/>
      <c r="W47" s="27"/>
      <c r="X47" s="27"/>
      <c r="Y47" s="27"/>
      <c r="Z47" s="27" t="s">
        <v>417</v>
      </c>
      <c r="AA47" s="27"/>
      <c r="AB47" s="27"/>
      <c r="AC47" s="27"/>
      <c r="AD47" s="27"/>
      <c r="AE47" s="27"/>
      <c r="AF47" s="27" t="s">
        <v>418</v>
      </c>
      <c r="AG47" s="27">
        <f>'[1]נתוני מס'!I15</f>
        <v>11650</v>
      </c>
      <c r="AH47" s="27"/>
      <c r="AI47" s="27"/>
      <c r="AJ47" s="27"/>
      <c r="AK47" s="27"/>
      <c r="AL47" s="27"/>
      <c r="AM47" s="27"/>
      <c r="AN47" s="27"/>
      <c r="AO47" s="27"/>
      <c r="AP47" s="27"/>
      <c r="AQ47" s="27"/>
      <c r="AR47" s="27"/>
      <c r="AS47" s="27"/>
      <c r="AT47" s="27"/>
      <c r="AU47" s="27"/>
      <c r="AV47" s="27"/>
      <c r="AW47" s="27"/>
      <c r="AX47" s="27"/>
      <c r="AY47" s="27"/>
      <c r="AZ47" s="27"/>
      <c r="BA47" s="27"/>
      <c r="BB47" s="27"/>
      <c r="BC47" s="27" t="s">
        <v>386</v>
      </c>
      <c r="BD47" s="27"/>
      <c r="BE47" s="27"/>
      <c r="BF47" s="27" t="e">
        <f>IF(BF45-BF46&lt;0,0,BF45-BF46)</f>
        <v>#REF!</v>
      </c>
      <c r="BG47" s="27"/>
      <c r="BH47" s="27"/>
      <c r="BI47" s="27"/>
      <c r="BJ47" s="27"/>
      <c r="BK47" s="27"/>
      <c r="BL47" s="27"/>
      <c r="BM47" s="27"/>
      <c r="BN47" s="27"/>
      <c r="BO47" s="27"/>
      <c r="BP47" s="27"/>
      <c r="BQ47" s="27"/>
      <c r="BR47" s="27"/>
      <c r="BS47" s="27"/>
      <c r="BT47" s="27"/>
      <c r="BU47" s="27"/>
      <c r="BV47" s="27"/>
      <c r="BW47" s="27"/>
      <c r="BX47" s="27"/>
      <c r="BY47" s="27"/>
      <c r="BZ47" s="27"/>
      <c r="CA47" s="27"/>
      <c r="CB47" s="27"/>
      <c r="CC47" s="27"/>
      <c r="CD47" s="27"/>
      <c r="CE47" s="27"/>
      <c r="CF47" s="27"/>
      <c r="CG47" s="27"/>
      <c r="CH47" s="27"/>
      <c r="CI47" s="27"/>
      <c r="CJ47" s="27"/>
      <c r="CK47" s="27"/>
      <c r="CL47" s="27"/>
      <c r="CM47" s="27"/>
      <c r="CN47" s="27"/>
      <c r="CO47" s="27"/>
      <c r="CP47" s="27"/>
      <c r="CQ47" s="27"/>
      <c r="CR47" s="27"/>
      <c r="CS47" s="27"/>
      <c r="CT47" s="27"/>
      <c r="CU47" s="27"/>
      <c r="CV47" s="27"/>
      <c r="CW47" s="27"/>
      <c r="CX47" s="27"/>
      <c r="CY47" s="27"/>
      <c r="CZ47" s="27"/>
      <c r="DA47" s="27"/>
      <c r="DB47" s="27"/>
      <c r="DC47" s="27"/>
      <c r="DD47" s="27"/>
      <c r="DE47" s="27"/>
      <c r="DF47" s="27"/>
      <c r="DG47" s="27"/>
      <c r="DH47" s="27"/>
      <c r="DI47" s="27"/>
      <c r="DJ47" s="27"/>
      <c r="DK47" s="27"/>
      <c r="DL47" s="27"/>
      <c r="DM47" s="27"/>
      <c r="DN47" s="27"/>
      <c r="DO47" s="27"/>
      <c r="DP47" s="27"/>
      <c r="DQ47" s="27"/>
      <c r="DR47" s="27"/>
      <c r="DS47" s="27"/>
      <c r="DT47" s="27"/>
    </row>
    <row r="48" spans="2:124" ht="15" customHeight="1" x14ac:dyDescent="0.2">
      <c r="B48" s="27"/>
      <c r="C48" s="27"/>
      <c r="D48" s="27"/>
      <c r="E48" s="27"/>
      <c r="F48" s="27"/>
      <c r="G48" s="27"/>
      <c r="H48" s="27"/>
      <c r="I48" s="27"/>
      <c r="J48" s="27"/>
      <c r="K48" s="27"/>
      <c r="L48" s="27" t="s">
        <v>301</v>
      </c>
      <c r="M48" s="27">
        <f>IF(H42=0,0,H44-M47)</f>
        <v>0</v>
      </c>
      <c r="N48" s="27"/>
      <c r="O48" s="27">
        <v>2.5</v>
      </c>
      <c r="P48" s="27" t="e">
        <f t="shared" si="3"/>
        <v>#N/A</v>
      </c>
      <c r="Q48" s="27"/>
      <c r="R48" s="27">
        <v>2.5</v>
      </c>
      <c r="S48" s="27">
        <v>952.99</v>
      </c>
      <c r="T48" s="27"/>
      <c r="U48" s="27"/>
      <c r="V48" s="27"/>
      <c r="W48" s="27"/>
      <c r="X48" s="27"/>
      <c r="Y48" s="27"/>
      <c r="Z48" s="27"/>
      <c r="AA48" s="27" t="s">
        <v>419</v>
      </c>
      <c r="AB48" s="27" t="e">
        <f>#REF!+(#REF!+#REF!+#REF!)/12</f>
        <v>#REF!</v>
      </c>
      <c r="AC48" s="27"/>
      <c r="AD48" s="27"/>
      <c r="AE48" s="27"/>
      <c r="AF48" s="27"/>
      <c r="AG48" s="27" t="s">
        <v>59</v>
      </c>
      <c r="AH48" s="27"/>
      <c r="AI48" s="27"/>
      <c r="AJ48" s="27"/>
      <c r="AK48" s="27"/>
      <c r="AL48" s="27"/>
      <c r="AM48" s="27"/>
      <c r="AN48" s="27"/>
      <c r="AO48" s="27"/>
      <c r="AP48" s="27"/>
      <c r="AQ48" s="27"/>
      <c r="AR48" s="27"/>
      <c r="AS48" s="27">
        <v>24</v>
      </c>
      <c r="AT48" s="27">
        <v>45</v>
      </c>
      <c r="AU48" s="27"/>
      <c r="AV48" s="27"/>
      <c r="AW48" s="27"/>
      <c r="AX48" s="27"/>
      <c r="AY48" s="27"/>
      <c r="AZ48" s="27"/>
      <c r="BA48" s="27"/>
      <c r="BB48" s="27"/>
      <c r="BC48" s="27"/>
      <c r="BD48" s="27"/>
      <c r="BE48" s="27"/>
      <c r="BF48" s="27" t="e">
        <f>BF47*12*BF51</f>
        <v>#REF!</v>
      </c>
      <c r="BG48" s="27"/>
      <c r="BH48" s="27"/>
      <c r="BI48" s="27"/>
      <c r="BJ48" s="27"/>
      <c r="BK48" s="27"/>
      <c r="BL48" s="27"/>
      <c r="BM48" s="27"/>
      <c r="BN48" s="27"/>
      <c r="BO48" s="27"/>
      <c r="BP48" s="27"/>
      <c r="BQ48" s="27"/>
      <c r="BR48" s="27"/>
      <c r="BS48" s="27"/>
      <c r="BT48" s="27"/>
      <c r="BU48" s="27"/>
      <c r="BV48" s="27"/>
      <c r="BW48" s="27"/>
      <c r="BX48" s="27"/>
      <c r="BY48" s="27"/>
      <c r="BZ48" s="27">
        <v>14</v>
      </c>
      <c r="CA48" s="27">
        <v>0.02</v>
      </c>
      <c r="CB48" s="27">
        <v>5180.71</v>
      </c>
      <c r="CC48" s="27">
        <v>4894.2299999999996</v>
      </c>
      <c r="CD48" s="27">
        <v>4567.93</v>
      </c>
      <c r="CE48" s="27">
        <v>4365.0200000000004</v>
      </c>
      <c r="CF48" s="27">
        <v>3979.04</v>
      </c>
      <c r="CG48" s="27">
        <v>3461.73</v>
      </c>
      <c r="CH48" s="27">
        <v>3242.88</v>
      </c>
      <c r="CI48" s="27">
        <v>3163.29</v>
      </c>
      <c r="CJ48" s="27">
        <v>3063.83</v>
      </c>
      <c r="CK48" s="27">
        <v>4365.0200000000004</v>
      </c>
      <c r="CL48" s="27">
        <v>4058.65</v>
      </c>
      <c r="CM48" s="27">
        <v>3461.73</v>
      </c>
      <c r="CN48" s="27">
        <v>4273.51</v>
      </c>
      <c r="CO48" s="27"/>
      <c r="CP48" s="27"/>
      <c r="CQ48" s="27"/>
      <c r="CR48" s="27"/>
      <c r="CS48" s="27"/>
      <c r="CT48" s="27"/>
      <c r="CU48" s="27"/>
      <c r="CV48" s="27"/>
      <c r="CW48" s="27"/>
      <c r="CX48" s="27"/>
      <c r="CY48" s="27"/>
      <c r="CZ48" s="27"/>
      <c r="DA48" s="27"/>
      <c r="DB48" s="27"/>
      <c r="DC48" s="27"/>
      <c r="DD48" s="27"/>
      <c r="DE48" s="27"/>
      <c r="DF48" s="27"/>
      <c r="DG48" s="27"/>
      <c r="DH48" s="27"/>
      <c r="DI48" s="27"/>
      <c r="DJ48" s="27"/>
      <c r="DK48" s="27"/>
      <c r="DL48" s="27"/>
      <c r="DM48" s="27"/>
      <c r="DN48" s="27"/>
      <c r="DO48" s="27"/>
      <c r="DP48" s="27"/>
      <c r="DQ48" s="27"/>
      <c r="DR48" s="27"/>
      <c r="DS48" s="27"/>
      <c r="DT48" s="27"/>
    </row>
    <row r="49" spans="2:124" ht="14.25" customHeight="1" x14ac:dyDescent="0.2">
      <c r="B49" s="27"/>
      <c r="C49" s="27"/>
      <c r="D49" s="27"/>
      <c r="E49" s="27"/>
      <c r="F49" s="27"/>
      <c r="G49" s="27"/>
      <c r="H49" s="27"/>
      <c r="I49" s="27"/>
      <c r="J49" s="27"/>
      <c r="K49" s="27"/>
      <c r="L49" s="27" t="s">
        <v>420</v>
      </c>
      <c r="M49" s="27" t="e">
        <f>M47+M48</f>
        <v>#N/A</v>
      </c>
      <c r="N49" s="27"/>
      <c r="O49" s="27">
        <v>3</v>
      </c>
      <c r="P49" s="27" t="e">
        <f t="shared" si="3"/>
        <v>#N/A</v>
      </c>
      <c r="Q49" s="27"/>
      <c r="R49" s="27">
        <v>3</v>
      </c>
      <c r="S49" s="27">
        <v>869.86</v>
      </c>
      <c r="T49" s="27"/>
      <c r="U49" s="27"/>
      <c r="V49" s="27" t="s">
        <v>59</v>
      </c>
      <c r="W49" s="27"/>
      <c r="X49" s="27"/>
      <c r="Y49" s="27"/>
      <c r="Z49" s="27" t="e">
        <f>(1-#REF!/#REF!)*#REF!</f>
        <v>#REF!</v>
      </c>
      <c r="AA49" s="27" t="s">
        <v>421</v>
      </c>
      <c r="AB49" s="27" t="e">
        <f>#REF!+(#REF!+#REF!)/12</f>
        <v>#REF!</v>
      </c>
      <c r="AC49" s="27"/>
      <c r="AD49" s="27"/>
      <c r="AE49" s="27"/>
      <c r="AF49" s="27"/>
      <c r="AG49" s="27" t="s">
        <v>59</v>
      </c>
      <c r="AH49" s="27"/>
      <c r="AI49" s="27"/>
      <c r="AJ49" s="27"/>
      <c r="AK49" s="27"/>
      <c r="AL49" s="27"/>
      <c r="AM49" s="27"/>
      <c r="AN49" s="27"/>
      <c r="AO49" s="27"/>
      <c r="AP49" s="27"/>
      <c r="AQ49" s="27"/>
      <c r="AR49" s="27"/>
      <c r="AS49" s="27" t="s">
        <v>422</v>
      </c>
      <c r="AT49" s="27" t="s">
        <v>423</v>
      </c>
      <c r="AU49" s="27"/>
      <c r="AV49" s="27"/>
      <c r="AW49" s="27"/>
      <c r="AX49" s="27"/>
      <c r="AY49" s="27"/>
      <c r="AZ49" s="27"/>
      <c r="BA49" s="27"/>
      <c r="BB49" s="27"/>
      <c r="BC49" s="27"/>
      <c r="BD49" s="27"/>
      <c r="BE49" s="27"/>
      <c r="BF49" s="27"/>
      <c r="BG49" s="27"/>
      <c r="BH49" s="27"/>
      <c r="BI49" s="27"/>
      <c r="BJ49" s="27"/>
      <c r="BK49" s="27"/>
      <c r="BL49" s="27"/>
      <c r="BM49" s="27"/>
      <c r="BN49" s="27"/>
      <c r="BO49" s="27"/>
      <c r="BP49" s="27"/>
      <c r="BQ49" s="27"/>
      <c r="BR49" s="27"/>
      <c r="BS49" s="27"/>
      <c r="BT49" s="27"/>
      <c r="BU49" s="27"/>
      <c r="BV49" s="27"/>
      <c r="BW49" s="27"/>
      <c r="BX49" s="27"/>
      <c r="BY49" s="27"/>
      <c r="BZ49" s="27"/>
      <c r="CA49" s="27"/>
      <c r="CB49" s="27"/>
      <c r="CC49" s="27"/>
      <c r="CD49" s="27"/>
      <c r="CE49" s="27"/>
      <c r="CF49" s="27"/>
      <c r="CG49" s="27"/>
      <c r="CH49" s="27"/>
      <c r="CI49" s="27"/>
      <c r="CJ49" s="27"/>
      <c r="CK49" s="27"/>
      <c r="CL49" s="27"/>
      <c r="CM49" s="27"/>
      <c r="CN49" s="27"/>
      <c r="CO49" s="27"/>
      <c r="CP49" s="27"/>
      <c r="CQ49" s="27"/>
      <c r="CR49" s="27"/>
      <c r="CS49" s="27"/>
      <c r="CT49" s="27"/>
      <c r="CU49" s="27"/>
      <c r="CV49" s="27"/>
      <c r="CW49" s="27"/>
      <c r="CX49" s="27"/>
      <c r="CY49" s="27"/>
      <c r="CZ49" s="27"/>
      <c r="DA49" s="27"/>
      <c r="DB49" s="27"/>
      <c r="DC49" s="27"/>
      <c r="DD49" s="27"/>
      <c r="DE49" s="27"/>
      <c r="DF49" s="27"/>
      <c r="DG49" s="27"/>
      <c r="DH49" s="27"/>
      <c r="DI49" s="27"/>
      <c r="DJ49" s="27"/>
      <c r="DK49" s="27"/>
      <c r="DL49" s="27"/>
      <c r="DM49" s="27"/>
      <c r="DN49" s="27"/>
      <c r="DO49" s="27"/>
      <c r="DP49" s="27"/>
      <c r="DQ49" s="27"/>
      <c r="DR49" s="27"/>
      <c r="DS49" s="27"/>
      <c r="DT49" s="27"/>
    </row>
    <row r="50" spans="2:124" ht="13.5" customHeight="1" x14ac:dyDescent="0.2">
      <c r="B50" s="27"/>
      <c r="C50" s="27"/>
      <c r="D50" s="27"/>
      <c r="E50" s="27"/>
      <c r="F50" s="27"/>
      <c r="G50" s="27"/>
      <c r="H50" s="27"/>
      <c r="I50" s="27"/>
      <c r="J50" s="27"/>
      <c r="K50" s="27"/>
      <c r="L50" s="27"/>
      <c r="M50" s="27"/>
      <c r="N50" s="27"/>
      <c r="O50" s="27">
        <v>3.5</v>
      </c>
      <c r="P50" s="27" t="e">
        <f t="shared" si="3"/>
        <v>#N/A</v>
      </c>
      <c r="Q50" s="27"/>
      <c r="R50" s="27">
        <v>3.5</v>
      </c>
      <c r="S50" s="27">
        <v>825.34</v>
      </c>
      <c r="T50" s="27"/>
      <c r="U50" s="27"/>
      <c r="V50" s="27"/>
      <c r="W50" s="27"/>
      <c r="X50" s="27"/>
      <c r="Y50" s="27"/>
      <c r="Z50" s="27" t="e">
        <f>IF(#REF!&lt;AG47,#REF!,AG47)</f>
        <v>#REF!</v>
      </c>
      <c r="AA50" s="27" t="s">
        <v>424</v>
      </c>
      <c r="AB50" s="27" t="e">
        <f>#REF!</f>
        <v>#REF!</v>
      </c>
      <c r="AC50" s="27"/>
      <c r="AD50" s="27"/>
      <c r="AE50" s="27"/>
      <c r="AF50" s="27"/>
      <c r="AG50" s="27" t="s">
        <v>59</v>
      </c>
      <c r="AH50" s="27"/>
      <c r="AI50" s="27"/>
      <c r="AJ50" s="27"/>
      <c r="AK50" s="27"/>
      <c r="AL50" s="27"/>
      <c r="AM50" s="27"/>
      <c r="AN50" s="27"/>
      <c r="AO50" s="27"/>
      <c r="AP50" s="27"/>
      <c r="AQ50" s="27"/>
      <c r="AR50" s="27"/>
      <c r="AS50" s="27">
        <v>25</v>
      </c>
      <c r="AT50" s="27">
        <v>46</v>
      </c>
      <c r="AU50" s="27"/>
      <c r="AV50" s="27"/>
      <c r="AW50" s="27"/>
      <c r="AX50" s="27"/>
      <c r="AY50" s="27"/>
      <c r="AZ50" s="27"/>
      <c r="BA50" s="27"/>
      <c r="BB50" s="27"/>
      <c r="BC50" s="27"/>
      <c r="BD50" s="27"/>
      <c r="BE50" s="27" t="str">
        <f>AQ21</f>
        <v>אשה נשואה</v>
      </c>
      <c r="BF50" s="27">
        <f>G202</f>
        <v>52.87</v>
      </c>
      <c r="BG50" s="27"/>
      <c r="BH50" s="27"/>
      <c r="BI50" s="27"/>
      <c r="BJ50" s="27"/>
      <c r="BK50" s="27"/>
      <c r="BL50" s="27"/>
      <c r="BM50" s="27"/>
      <c r="BN50" s="27"/>
      <c r="BO50" s="27"/>
      <c r="BP50" s="27"/>
      <c r="BQ50" s="27"/>
      <c r="BR50" s="27"/>
      <c r="BS50" s="27"/>
      <c r="BT50" s="27"/>
      <c r="BU50" s="27"/>
      <c r="BV50" s="27"/>
      <c r="BW50" s="27"/>
      <c r="BX50" s="27"/>
      <c r="BY50" s="27"/>
      <c r="BZ50" s="27">
        <v>15</v>
      </c>
      <c r="CA50" s="27">
        <v>0.02</v>
      </c>
      <c r="CB50" s="27">
        <v>5284.32</v>
      </c>
      <c r="CC50" s="27">
        <v>4992.1099999999997</v>
      </c>
      <c r="CD50" s="27">
        <v>4659.28</v>
      </c>
      <c r="CE50" s="27">
        <v>4452.32</v>
      </c>
      <c r="CF50" s="27">
        <v>4058.62</v>
      </c>
      <c r="CG50" s="27">
        <v>3530.96</v>
      </c>
      <c r="CH50" s="27">
        <v>3307.73</v>
      </c>
      <c r="CI50" s="27">
        <v>3226.55</v>
      </c>
      <c r="CJ50" s="27">
        <v>3125.1</v>
      </c>
      <c r="CK50" s="27">
        <v>4452.32</v>
      </c>
      <c r="CL50" s="27">
        <v>4139.82</v>
      </c>
      <c r="CM50" s="27">
        <v>3530.96</v>
      </c>
      <c r="CN50" s="27">
        <v>4358.9799999999996</v>
      </c>
      <c r="CO50" s="27"/>
      <c r="CP50" s="27"/>
      <c r="CQ50" s="27"/>
      <c r="CR50" s="27"/>
      <c r="CS50" s="27"/>
      <c r="CT50" s="27"/>
      <c r="CU50" s="27"/>
      <c r="CV50" s="27"/>
      <c r="CW50" s="27"/>
      <c r="CX50" s="27"/>
      <c r="CY50" s="27"/>
      <c r="CZ50" s="27"/>
      <c r="DA50" s="27"/>
      <c r="DB50" s="27"/>
      <c r="DC50" s="27"/>
      <c r="DD50" s="27"/>
      <c r="DE50" s="27"/>
      <c r="DF50" s="27"/>
      <c r="DG50" s="27"/>
      <c r="DH50" s="27"/>
      <c r="DI50" s="27"/>
      <c r="DJ50" s="27"/>
      <c r="DK50" s="27"/>
      <c r="DL50" s="27"/>
      <c r="DM50" s="27"/>
      <c r="DN50" s="27"/>
      <c r="DO50" s="27"/>
      <c r="DP50" s="27"/>
      <c r="DQ50" s="27"/>
      <c r="DR50" s="27"/>
      <c r="DS50" s="27"/>
      <c r="DT50" s="27"/>
    </row>
    <row r="51" spans="2:124" ht="13.5" customHeight="1" x14ac:dyDescent="0.2">
      <c r="B51" s="27"/>
      <c r="C51" s="27"/>
      <c r="D51" s="27"/>
      <c r="E51" s="27"/>
      <c r="F51" s="27"/>
      <c r="G51" s="27"/>
      <c r="H51" s="27"/>
      <c r="I51" s="27"/>
      <c r="J51" s="27"/>
      <c r="K51" s="27"/>
      <c r="L51" s="27"/>
      <c r="M51" s="27"/>
      <c r="N51" s="27"/>
      <c r="O51" s="27">
        <v>4</v>
      </c>
      <c r="P51" s="27" t="e">
        <f t="shared" si="3"/>
        <v>#N/A</v>
      </c>
      <c r="Q51" s="27"/>
      <c r="R51" s="27">
        <v>4</v>
      </c>
      <c r="S51" s="27">
        <v>780.83</v>
      </c>
      <c r="T51" s="27"/>
      <c r="U51" s="27"/>
      <c r="V51" s="27"/>
      <c r="W51" s="27"/>
      <c r="X51" s="27"/>
      <c r="Y51" s="27"/>
      <c r="Z51" s="27" t="e">
        <f>Z50*2</f>
        <v>#REF!</v>
      </c>
      <c r="AA51" s="27" t="s">
        <v>59</v>
      </c>
      <c r="AB51" s="27"/>
      <c r="AC51" s="27"/>
      <c r="AD51" s="27"/>
      <c r="AE51" s="27"/>
      <c r="AF51" s="27"/>
      <c r="AG51" s="27" t="s">
        <v>59</v>
      </c>
      <c r="AH51" s="27"/>
      <c r="AI51" s="27"/>
      <c r="AJ51" s="27"/>
      <c r="AK51" s="27"/>
      <c r="AL51" s="27"/>
      <c r="AM51" s="27"/>
      <c r="AN51" s="27"/>
      <c r="AO51" s="27"/>
      <c r="AP51" s="27"/>
      <c r="AQ51" s="27"/>
      <c r="AR51" s="27"/>
      <c r="AS51" s="27" t="s">
        <v>425</v>
      </c>
      <c r="AT51" s="27" t="s">
        <v>426</v>
      </c>
      <c r="AU51" s="27"/>
      <c r="AV51" s="27"/>
      <c r="AW51" s="27"/>
      <c r="AX51" s="27"/>
      <c r="AY51" s="27"/>
      <c r="AZ51" s="27"/>
      <c r="BA51" s="27"/>
      <c r="BB51" s="27"/>
      <c r="BC51" s="27"/>
      <c r="BD51" s="27"/>
      <c r="BE51" s="27" t="s">
        <v>427</v>
      </c>
      <c r="BF51" s="27">
        <v>0</v>
      </c>
      <c r="BG51" s="27"/>
      <c r="BH51" s="27"/>
      <c r="BI51" s="27"/>
      <c r="BJ51" s="27"/>
      <c r="BK51" s="27"/>
      <c r="BL51" s="27"/>
      <c r="BM51" s="27"/>
      <c r="BN51" s="27"/>
      <c r="BO51" s="27"/>
      <c r="BP51" s="27"/>
      <c r="BQ51" s="27"/>
      <c r="BR51" s="27"/>
      <c r="BS51" s="27"/>
      <c r="BT51" s="27"/>
      <c r="BU51" s="27"/>
      <c r="BV51" s="27"/>
      <c r="BW51" s="27"/>
      <c r="BX51" s="27"/>
      <c r="BY51" s="27"/>
      <c r="BZ51" s="27"/>
      <c r="CA51" s="27"/>
      <c r="CB51" s="27"/>
      <c r="CC51" s="27"/>
      <c r="CD51" s="27"/>
      <c r="CE51" s="27"/>
      <c r="CF51" s="27"/>
      <c r="CG51" s="27"/>
      <c r="CH51" s="27"/>
      <c r="CI51" s="27"/>
      <c r="CJ51" s="27"/>
      <c r="CK51" s="27"/>
      <c r="CL51" s="27"/>
      <c r="CM51" s="27"/>
      <c r="CN51" s="27"/>
      <c r="CO51" s="27"/>
      <c r="CP51" s="27"/>
      <c r="CQ51" s="27"/>
      <c r="CR51" s="27"/>
      <c r="CS51" s="27"/>
      <c r="CT51" s="27"/>
      <c r="CU51" s="27"/>
      <c r="CV51" s="27"/>
      <c r="CW51" s="27"/>
      <c r="CX51" s="27"/>
      <c r="CY51" s="27"/>
      <c r="CZ51" s="27"/>
      <c r="DA51" s="27"/>
      <c r="DB51" s="27"/>
      <c r="DC51" s="27"/>
      <c r="DD51" s="27"/>
      <c r="DE51" s="27"/>
      <c r="DF51" s="27"/>
      <c r="DG51" s="27"/>
      <c r="DH51" s="27"/>
      <c r="DI51" s="27"/>
      <c r="DJ51" s="27"/>
      <c r="DK51" s="27"/>
      <c r="DL51" s="27"/>
      <c r="DM51" s="27"/>
      <c r="DN51" s="27"/>
      <c r="DO51" s="27"/>
      <c r="DP51" s="27"/>
      <c r="DQ51" s="27"/>
      <c r="DR51" s="27"/>
      <c r="DS51" s="27"/>
      <c r="DT51" s="27"/>
    </row>
    <row r="52" spans="2:124" ht="15" customHeight="1" x14ac:dyDescent="0.2">
      <c r="B52" s="27"/>
      <c r="C52" s="27"/>
      <c r="D52" s="27"/>
      <c r="E52" s="27"/>
      <c r="F52" s="27"/>
      <c r="G52" s="27"/>
      <c r="H52" s="27"/>
      <c r="I52" s="27"/>
      <c r="J52" s="27"/>
      <c r="K52" s="27"/>
      <c r="L52" s="27"/>
      <c r="M52" s="27"/>
      <c r="N52" s="27"/>
      <c r="O52" s="27">
        <v>4.5</v>
      </c>
      <c r="P52" s="27" t="e">
        <f t="shared" si="3"/>
        <v>#N/A</v>
      </c>
      <c r="Q52" s="27"/>
      <c r="R52" s="27">
        <v>4.5</v>
      </c>
      <c r="S52" s="27">
        <v>687.01</v>
      </c>
      <c r="T52" s="27"/>
      <c r="U52" s="27"/>
      <c r="V52" s="27"/>
      <c r="W52" s="27"/>
      <c r="X52" s="27"/>
      <c r="Y52" s="27"/>
      <c r="Z52" s="27"/>
      <c r="AA52" s="27"/>
      <c r="AB52" s="27"/>
      <c r="AC52" s="27"/>
      <c r="AD52" s="27"/>
      <c r="AE52" s="27"/>
      <c r="AF52" s="27"/>
      <c r="AG52" s="27"/>
      <c r="AH52" s="27"/>
      <c r="AI52" s="27"/>
      <c r="AJ52" s="27"/>
      <c r="AK52" s="27"/>
      <c r="AL52" s="27"/>
      <c r="AM52" s="27"/>
      <c r="AN52" s="27"/>
      <c r="AO52" s="27"/>
      <c r="AP52" s="27"/>
      <c r="AQ52" s="27"/>
      <c r="AR52" s="27"/>
      <c r="AS52" s="27"/>
      <c r="AT52" s="27"/>
      <c r="AU52" s="27"/>
      <c r="AV52" s="27"/>
      <c r="AW52" s="27"/>
      <c r="AX52" s="27"/>
      <c r="AY52" s="27"/>
      <c r="AZ52" s="27"/>
      <c r="BA52" s="27"/>
      <c r="BB52" s="27"/>
      <c r="BC52" s="27"/>
      <c r="BD52" s="27"/>
      <c r="BE52" s="27"/>
      <c r="BF52" s="27"/>
      <c r="BG52" s="27"/>
      <c r="BH52" s="27"/>
      <c r="BI52" s="27"/>
      <c r="BJ52" s="27"/>
      <c r="BK52" s="27"/>
      <c r="BL52" s="27"/>
      <c r="BM52" s="27"/>
      <c r="BN52" s="27"/>
      <c r="BO52" s="27"/>
      <c r="BP52" s="27"/>
      <c r="BQ52" s="27"/>
      <c r="BR52" s="27"/>
      <c r="BS52" s="27"/>
      <c r="BT52" s="27"/>
      <c r="BU52" s="27"/>
      <c r="BV52" s="27"/>
      <c r="BW52" s="27"/>
      <c r="BX52" s="27"/>
      <c r="BY52" s="27"/>
      <c r="BZ52" s="27">
        <v>16</v>
      </c>
      <c r="CA52" s="27">
        <v>0.02</v>
      </c>
      <c r="CB52" s="27">
        <v>5390</v>
      </c>
      <c r="CC52" s="27">
        <v>5091.95</v>
      </c>
      <c r="CD52" s="27">
        <v>4752.46</v>
      </c>
      <c r="CE52" s="27">
        <v>4541.3599999999997</v>
      </c>
      <c r="CF52" s="27">
        <v>4139.79</v>
      </c>
      <c r="CG52" s="27">
        <v>3601.57</v>
      </c>
      <c r="CH52" s="27">
        <v>3373.88</v>
      </c>
      <c r="CI52" s="27">
        <v>3291.08</v>
      </c>
      <c r="CJ52" s="27">
        <v>3187.6</v>
      </c>
      <c r="CK52" s="27">
        <v>4541.3599999999997</v>
      </c>
      <c r="CL52" s="27">
        <v>4222.6099999999997</v>
      </c>
      <c r="CM52" s="27">
        <v>3601.57</v>
      </c>
      <c r="CN52" s="27">
        <v>4446.1499999999996</v>
      </c>
      <c r="CO52" s="27"/>
      <c r="CP52" s="27"/>
      <c r="CQ52" s="27"/>
      <c r="CR52" s="27"/>
      <c r="CS52" s="27"/>
      <c r="CT52" s="27"/>
      <c r="CU52" s="27"/>
      <c r="CV52" s="27"/>
      <c r="CW52" s="27"/>
      <c r="CX52" s="27"/>
      <c r="CY52" s="27"/>
      <c r="CZ52" s="27"/>
      <c r="DA52" s="27"/>
      <c r="DB52" s="27"/>
      <c r="DC52" s="27"/>
      <c r="DD52" s="27"/>
      <c r="DE52" s="27"/>
      <c r="DF52" s="27"/>
      <c r="DG52" s="27"/>
      <c r="DH52" s="27"/>
      <c r="DI52" s="27"/>
      <c r="DJ52" s="27"/>
      <c r="DK52" s="27"/>
      <c r="DL52" s="27"/>
      <c r="DM52" s="27"/>
      <c r="DN52" s="27"/>
      <c r="DO52" s="27"/>
      <c r="DP52" s="27"/>
      <c r="DQ52" s="27"/>
      <c r="DR52" s="27"/>
      <c r="DS52" s="27"/>
      <c r="DT52" s="27"/>
    </row>
    <row r="53" spans="2:124" ht="15" customHeight="1" x14ac:dyDescent="0.2">
      <c r="B53" s="27"/>
      <c r="C53" s="27"/>
      <c r="D53" s="27"/>
      <c r="E53" s="27"/>
      <c r="F53" s="27"/>
      <c r="G53" s="27"/>
      <c r="H53" s="27"/>
      <c r="I53" s="27"/>
      <c r="J53" s="27"/>
      <c r="K53" s="27" t="s">
        <v>428</v>
      </c>
      <c r="L53" s="27" t="s">
        <v>429</v>
      </c>
      <c r="M53" s="27"/>
      <c r="N53" s="27"/>
      <c r="O53" s="27">
        <v>5</v>
      </c>
      <c r="P53" s="27" t="e">
        <f t="shared" si="3"/>
        <v>#N/A</v>
      </c>
      <c r="Q53" s="27"/>
      <c r="R53" s="27">
        <v>5</v>
      </c>
      <c r="S53" s="27">
        <v>593.47</v>
      </c>
      <c r="T53" s="27"/>
      <c r="U53" s="27"/>
      <c r="V53" s="27"/>
      <c r="W53" s="27"/>
      <c r="X53" s="27"/>
      <c r="Y53" s="27"/>
      <c r="Z53" s="27"/>
      <c r="AA53" s="27" t="s">
        <v>430</v>
      </c>
      <c r="AB53" s="27"/>
      <c r="AC53" s="27" t="s">
        <v>424</v>
      </c>
      <c r="AD53" s="27"/>
      <c r="AE53" s="27"/>
      <c r="AF53" s="27"/>
      <c r="AG53" s="27"/>
      <c r="AH53" s="27"/>
      <c r="AI53" s="27"/>
      <c r="AJ53" s="27"/>
      <c r="AK53" s="27"/>
      <c r="AL53" s="27"/>
      <c r="AM53" s="27"/>
      <c r="AN53" s="27"/>
      <c r="AO53" s="27"/>
      <c r="AP53" s="27"/>
      <c r="AQ53" s="27"/>
      <c r="AR53" s="27"/>
      <c r="AS53" s="27"/>
      <c r="AT53" s="27"/>
      <c r="AU53" s="27"/>
      <c r="AV53" s="27"/>
      <c r="AW53" s="27"/>
      <c r="AX53" s="27"/>
      <c r="AY53" s="27"/>
      <c r="AZ53" s="27"/>
      <c r="BA53" s="27"/>
      <c r="BB53" s="27"/>
      <c r="BC53" s="27"/>
      <c r="BD53" s="27"/>
      <c r="BE53" s="27"/>
      <c r="BF53" s="27"/>
      <c r="BG53" s="27"/>
      <c r="BH53" s="27"/>
      <c r="BI53" s="27"/>
      <c r="BJ53" s="27"/>
      <c r="BK53" s="27"/>
      <c r="BL53" s="27"/>
      <c r="BM53" s="27"/>
      <c r="BN53" s="27"/>
      <c r="BO53" s="27"/>
      <c r="BP53" s="27"/>
      <c r="BQ53" s="27"/>
      <c r="BR53" s="27"/>
      <c r="BS53" s="27"/>
      <c r="BT53" s="27"/>
      <c r="BU53" s="27"/>
      <c r="BV53" s="27"/>
      <c r="BW53" s="27"/>
      <c r="BX53" s="27"/>
      <c r="BY53" s="27"/>
      <c r="BZ53" s="27"/>
      <c r="CA53" s="27"/>
      <c r="CB53" s="27"/>
      <c r="CC53" s="27"/>
      <c r="CD53" s="27"/>
      <c r="CE53" s="27"/>
      <c r="CF53" s="27"/>
      <c r="CG53" s="27"/>
      <c r="CH53" s="27"/>
      <c r="CI53" s="27"/>
      <c r="CJ53" s="27"/>
      <c r="CK53" s="27"/>
      <c r="CL53" s="27"/>
      <c r="CM53" s="27"/>
      <c r="CN53" s="27"/>
      <c r="CO53" s="27"/>
      <c r="CP53" s="27"/>
      <c r="CQ53" s="27"/>
      <c r="CR53" s="27"/>
      <c r="CS53" s="27"/>
      <c r="CT53" s="27"/>
      <c r="CU53" s="27"/>
      <c r="CV53" s="27"/>
      <c r="CW53" s="27"/>
      <c r="CX53" s="27"/>
      <c r="CY53" s="27"/>
      <c r="CZ53" s="27"/>
      <c r="DA53" s="27"/>
      <c r="DB53" s="27"/>
      <c r="DC53" s="27"/>
      <c r="DD53" s="27"/>
      <c r="DE53" s="27"/>
      <c r="DF53" s="27"/>
      <c r="DG53" s="27"/>
      <c r="DH53" s="27"/>
      <c r="DI53" s="27"/>
      <c r="DJ53" s="27"/>
      <c r="DK53" s="27"/>
      <c r="DL53" s="27"/>
      <c r="DM53" s="27"/>
      <c r="DN53" s="27"/>
      <c r="DO53" s="27"/>
      <c r="DP53" s="27"/>
      <c r="DQ53" s="27"/>
      <c r="DR53" s="27"/>
      <c r="DS53" s="27"/>
      <c r="DT53" s="27"/>
    </row>
    <row r="54" spans="2:124" ht="14.25" customHeight="1" x14ac:dyDescent="0.2">
      <c r="B54" s="27"/>
      <c r="C54" s="27"/>
      <c r="D54" s="27"/>
      <c r="E54" s="27"/>
      <c r="F54" s="27"/>
      <c r="G54" s="27"/>
      <c r="H54" s="27"/>
      <c r="I54" s="27"/>
      <c r="J54" s="27"/>
      <c r="K54" s="27">
        <v>6</v>
      </c>
      <c r="L54" s="27">
        <v>0</v>
      </c>
      <c r="M54" s="27">
        <v>1</v>
      </c>
      <c r="N54" s="27"/>
      <c r="O54" s="27">
        <v>5.5</v>
      </c>
      <c r="P54" s="27" t="e">
        <f t="shared" si="3"/>
        <v>#N/A</v>
      </c>
      <c r="Q54" s="27"/>
      <c r="R54" s="27">
        <v>5.5</v>
      </c>
      <c r="S54" s="27">
        <v>593.47</v>
      </c>
      <c r="T54" s="27"/>
      <c r="U54" s="27"/>
      <c r="V54" s="27"/>
      <c r="W54" s="27"/>
      <c r="X54" s="27"/>
      <c r="Y54" s="27"/>
      <c r="Z54" s="27"/>
      <c r="AA54" s="27"/>
      <c r="AB54" s="27"/>
      <c r="AC54" s="27"/>
      <c r="AD54" s="27"/>
      <c r="AE54" s="27"/>
      <c r="AF54" s="27"/>
      <c r="AG54" s="27"/>
      <c r="AH54" s="27"/>
      <c r="AI54" s="27"/>
      <c r="AJ54" s="27"/>
      <c r="AK54" s="27"/>
      <c r="AL54" s="27"/>
      <c r="AM54" s="27"/>
      <c r="AN54" s="27"/>
      <c r="AO54" s="27"/>
      <c r="AP54" s="27"/>
      <c r="AQ54" s="27"/>
      <c r="AR54" s="27"/>
      <c r="AS54" s="27"/>
      <c r="AT54" s="27"/>
      <c r="AU54" s="27"/>
      <c r="AV54" s="27"/>
      <c r="AW54" s="27"/>
      <c r="AX54" s="27"/>
      <c r="AY54" s="27"/>
      <c r="AZ54" s="27"/>
      <c r="BA54" s="27"/>
      <c r="BB54" s="27"/>
      <c r="BC54" s="27"/>
      <c r="BD54" s="27"/>
      <c r="BE54" s="27"/>
      <c r="BF54" s="27"/>
      <c r="BG54" s="27"/>
      <c r="BH54" s="27"/>
      <c r="BI54" s="27"/>
      <c r="BJ54" s="27"/>
      <c r="BK54" s="27"/>
      <c r="BL54" s="27"/>
      <c r="BM54" s="27"/>
      <c r="BN54" s="27"/>
      <c r="BO54" s="27"/>
      <c r="BP54" s="27"/>
      <c r="BQ54" s="27"/>
      <c r="BR54" s="27"/>
      <c r="BS54" s="27"/>
      <c r="BT54" s="27"/>
      <c r="BU54" s="27"/>
      <c r="BV54" s="27"/>
      <c r="BW54" s="27"/>
      <c r="BX54" s="27"/>
      <c r="BY54" s="27"/>
      <c r="BZ54" s="27">
        <v>17</v>
      </c>
      <c r="CA54" s="27">
        <v>0.02</v>
      </c>
      <c r="CB54" s="27">
        <v>5497.8</v>
      </c>
      <c r="CC54" s="27">
        <v>5193.78</v>
      </c>
      <c r="CD54" s="27">
        <v>4847.5</v>
      </c>
      <c r="CE54" s="27">
        <v>4632.18</v>
      </c>
      <c r="CF54" s="27">
        <v>4222.58</v>
      </c>
      <c r="CG54" s="27">
        <v>3673.6</v>
      </c>
      <c r="CH54" s="27">
        <v>3441.35</v>
      </c>
      <c r="CI54" s="27">
        <v>3356.9</v>
      </c>
      <c r="CJ54" s="27">
        <v>3251.35</v>
      </c>
      <c r="CK54" s="27">
        <v>4632.18</v>
      </c>
      <c r="CL54" s="27">
        <v>4307.0600000000004</v>
      </c>
      <c r="CM54" s="27">
        <v>3673.6</v>
      </c>
      <c r="CN54" s="27">
        <v>4535.07</v>
      </c>
      <c r="CO54" s="27"/>
      <c r="CP54" s="27"/>
      <c r="CQ54" s="27"/>
      <c r="CR54" s="27"/>
      <c r="CS54" s="27"/>
      <c r="CT54" s="27"/>
      <c r="CU54" s="27"/>
      <c r="CV54" s="27"/>
      <c r="CW54" s="27"/>
      <c r="CX54" s="27"/>
      <c r="CY54" s="27"/>
      <c r="CZ54" s="27"/>
      <c r="DA54" s="27"/>
      <c r="DB54" s="27"/>
      <c r="DC54" s="27"/>
      <c r="DD54" s="27"/>
      <c r="DE54" s="27"/>
      <c r="DF54" s="27"/>
      <c r="DG54" s="27"/>
      <c r="DH54" s="27"/>
      <c r="DI54" s="27"/>
      <c r="DJ54" s="27"/>
      <c r="DK54" s="27"/>
      <c r="DL54" s="27"/>
      <c r="DM54" s="27"/>
      <c r="DN54" s="27"/>
      <c r="DO54" s="27"/>
      <c r="DP54" s="27"/>
      <c r="DQ54" s="27"/>
      <c r="DR54" s="27"/>
      <c r="DS54" s="27"/>
      <c r="DT54" s="27"/>
    </row>
    <row r="55" spans="2:124" ht="15" customHeight="1" x14ac:dyDescent="0.2">
      <c r="B55" s="27"/>
      <c r="C55" s="27"/>
      <c r="D55" s="27"/>
      <c r="E55" s="27"/>
      <c r="F55" s="27"/>
      <c r="G55" s="27"/>
      <c r="H55" s="27"/>
      <c r="I55" s="27"/>
      <c r="J55" s="27"/>
      <c r="K55" s="27">
        <v>9</v>
      </c>
      <c r="L55" s="27">
        <f t="shared" ref="L55:L61" si="4">K54+1</f>
        <v>7</v>
      </c>
      <c r="M55" s="27">
        <v>2</v>
      </c>
      <c r="N55" s="27"/>
      <c r="O55" s="27">
        <v>6</v>
      </c>
      <c r="P55" s="27" t="e">
        <f t="shared" si="3"/>
        <v>#N/A</v>
      </c>
      <c r="Q55" s="27"/>
      <c r="R55" s="27">
        <v>6</v>
      </c>
      <c r="S55" s="27">
        <v>593.47</v>
      </c>
      <c r="T55" s="27"/>
      <c r="U55" s="27"/>
      <c r="V55" s="27"/>
      <c r="W55" s="27"/>
      <c r="X55" s="27"/>
      <c r="Y55" s="27"/>
      <c r="Z55" s="27"/>
      <c r="AA55" s="27"/>
      <c r="AB55" s="27"/>
      <c r="AC55" s="27"/>
      <c r="AD55" s="27"/>
      <c r="AE55" s="27"/>
      <c r="AF55" s="27"/>
      <c r="AG55" s="27"/>
      <c r="AH55" s="27"/>
      <c r="AI55" s="27"/>
      <c r="AJ55" s="27"/>
      <c r="AK55" s="27"/>
      <c r="AL55" s="27"/>
      <c r="AM55" s="27"/>
      <c r="AN55" s="27"/>
      <c r="AO55" s="27"/>
      <c r="AP55" s="27"/>
      <c r="AQ55" s="27"/>
      <c r="AR55" s="27"/>
      <c r="AS55" s="27"/>
      <c r="AT55" s="27"/>
      <c r="AU55" s="27"/>
      <c r="AV55" s="27"/>
      <c r="AW55" s="27"/>
      <c r="AX55" s="27"/>
      <c r="AY55" s="27"/>
      <c r="AZ55" s="27"/>
      <c r="BA55" s="27"/>
      <c r="BB55" s="27"/>
      <c r="BC55" s="27"/>
      <c r="BD55" s="27"/>
      <c r="BE55" s="27"/>
      <c r="BF55" s="27"/>
      <c r="BG55" s="27"/>
      <c r="BH55" s="27"/>
      <c r="BI55" s="27"/>
      <c r="BJ55" s="27"/>
      <c r="BK55" s="27"/>
      <c r="BL55" s="27"/>
      <c r="BM55" s="27"/>
      <c r="BN55" s="27"/>
      <c r="BO55" s="27"/>
      <c r="BP55" s="27"/>
      <c r="BQ55" s="27"/>
      <c r="BR55" s="27"/>
      <c r="BS55" s="27"/>
      <c r="BT55" s="27"/>
      <c r="BU55" s="27"/>
      <c r="BV55" s="27"/>
      <c r="BW55" s="27"/>
      <c r="BX55" s="27"/>
      <c r="BY55" s="27"/>
      <c r="BZ55" s="27"/>
      <c r="CA55" s="27"/>
      <c r="CB55" s="27"/>
      <c r="CC55" s="27"/>
      <c r="CD55" s="27"/>
      <c r="CE55" s="27"/>
      <c r="CF55" s="27"/>
      <c r="CG55" s="27"/>
      <c r="CH55" s="27"/>
      <c r="CI55" s="27"/>
      <c r="CJ55" s="27"/>
      <c r="CK55" s="27"/>
      <c r="CL55" s="27"/>
      <c r="CM55" s="27"/>
      <c r="CN55" s="27"/>
      <c r="CO55" s="27"/>
      <c r="CP55" s="27"/>
      <c r="CQ55" s="27"/>
      <c r="CR55" s="27"/>
      <c r="CS55" s="27"/>
      <c r="CT55" s="27"/>
      <c r="CU55" s="27"/>
      <c r="CV55" s="27"/>
      <c r="CW55" s="27"/>
      <c r="CX55" s="27"/>
      <c r="CY55" s="27"/>
      <c r="CZ55" s="27"/>
      <c r="DA55" s="27"/>
      <c r="DB55" s="27"/>
      <c r="DC55" s="27"/>
      <c r="DD55" s="27"/>
      <c r="DE55" s="27"/>
      <c r="DF55" s="27"/>
      <c r="DG55" s="27"/>
      <c r="DH55" s="27"/>
      <c r="DI55" s="27"/>
      <c r="DJ55" s="27"/>
      <c r="DK55" s="27"/>
      <c r="DL55" s="27"/>
      <c r="DM55" s="27"/>
      <c r="DN55" s="27"/>
      <c r="DO55" s="27"/>
      <c r="DP55" s="27"/>
      <c r="DQ55" s="27"/>
      <c r="DR55" s="27"/>
      <c r="DS55" s="27"/>
      <c r="DT55" s="27"/>
    </row>
    <row r="56" spans="2:124" ht="21.75" customHeight="1" x14ac:dyDescent="0.2">
      <c r="B56" s="27"/>
      <c r="C56" s="27"/>
      <c r="D56" s="27"/>
      <c r="E56" s="27"/>
      <c r="F56" s="27"/>
      <c r="G56" s="27"/>
      <c r="H56" s="27"/>
      <c r="I56" s="27"/>
      <c r="J56" s="27"/>
      <c r="K56" s="27">
        <v>12</v>
      </c>
      <c r="L56" s="27">
        <f t="shared" si="4"/>
        <v>10</v>
      </c>
      <c r="M56" s="27">
        <v>3</v>
      </c>
      <c r="N56" s="27"/>
      <c r="O56" s="27">
        <v>6.5</v>
      </c>
      <c r="P56" s="27" t="e">
        <f t="shared" si="3"/>
        <v>#N/A</v>
      </c>
      <c r="Q56" s="27"/>
      <c r="R56" s="27">
        <v>6.5</v>
      </c>
      <c r="S56" s="27">
        <v>593.47</v>
      </c>
      <c r="T56" s="27"/>
      <c r="U56" s="27"/>
      <c r="V56" s="27"/>
      <c r="W56" s="27"/>
      <c r="X56" s="27"/>
      <c r="Y56" s="27"/>
      <c r="Z56" s="27"/>
      <c r="AA56" s="27"/>
      <c r="AB56" s="27"/>
      <c r="AC56" s="27"/>
      <c r="AD56" s="27"/>
      <c r="AE56" s="27"/>
      <c r="AF56" s="27"/>
      <c r="AG56" s="27"/>
      <c r="AH56" s="27"/>
      <c r="AI56" s="27"/>
      <c r="AJ56" s="27"/>
      <c r="AK56" s="27"/>
      <c r="AL56" s="27"/>
      <c r="AM56" s="27"/>
      <c r="AN56" s="27"/>
      <c r="AO56" s="27"/>
      <c r="AP56" s="27"/>
      <c r="AQ56" s="27"/>
      <c r="AR56" s="27"/>
      <c r="AS56" s="27"/>
      <c r="AT56" s="27"/>
      <c r="AU56" s="27"/>
      <c r="AV56" s="27"/>
      <c r="AW56" s="27"/>
      <c r="AX56" s="27"/>
      <c r="AY56" s="27"/>
      <c r="AZ56" s="27"/>
      <c r="BA56" s="27"/>
      <c r="BB56" s="27"/>
      <c r="BC56" s="27"/>
      <c r="BD56" s="27"/>
      <c r="BE56" s="27"/>
      <c r="BF56" s="27"/>
      <c r="BG56" s="27"/>
      <c r="BH56" s="27"/>
      <c r="BI56" s="27"/>
      <c r="BJ56" s="27"/>
      <c r="BK56" s="27"/>
      <c r="BL56" s="27"/>
      <c r="BM56" s="27"/>
      <c r="BN56" s="27"/>
      <c r="BO56" s="27"/>
      <c r="BP56" s="27"/>
      <c r="BQ56" s="27"/>
      <c r="BR56" s="27"/>
      <c r="BS56" s="27"/>
      <c r="BT56" s="27"/>
      <c r="BU56" s="27"/>
      <c r="BV56" s="27"/>
      <c r="BW56" s="27"/>
      <c r="BX56" s="27"/>
      <c r="BY56" s="27"/>
      <c r="BZ56" s="27">
        <v>18</v>
      </c>
      <c r="CA56" s="27">
        <v>0.02</v>
      </c>
      <c r="CB56" s="27">
        <v>5607.75</v>
      </c>
      <c r="CC56" s="27">
        <v>5297.65</v>
      </c>
      <c r="CD56" s="27">
        <v>4944.45</v>
      </c>
      <c r="CE56" s="27">
        <v>4724.82</v>
      </c>
      <c r="CF56" s="27">
        <v>4307.03</v>
      </c>
      <c r="CG56" s="27">
        <v>3747.07</v>
      </c>
      <c r="CH56" s="27">
        <v>3510.17</v>
      </c>
      <c r="CI56" s="27">
        <v>3424.03</v>
      </c>
      <c r="CJ56" s="27">
        <v>3316.37</v>
      </c>
      <c r="CK56" s="27">
        <v>4724.82</v>
      </c>
      <c r="CL56" s="27">
        <v>4393.2</v>
      </c>
      <c r="CM56" s="27">
        <v>3747.07</v>
      </c>
      <c r="CN56" s="27">
        <v>4625.7700000000004</v>
      </c>
      <c r="CO56" s="27"/>
      <c r="CP56" s="27"/>
      <c r="CQ56" s="27"/>
      <c r="CR56" s="27"/>
      <c r="CS56" s="27"/>
      <c r="CT56" s="27"/>
      <c r="CU56" s="27"/>
      <c r="CV56" s="27"/>
      <c r="CW56" s="27"/>
      <c r="CX56" s="27"/>
      <c r="CY56" s="27"/>
      <c r="CZ56" s="27"/>
      <c r="DA56" s="27"/>
      <c r="DB56" s="27"/>
      <c r="DC56" s="27"/>
      <c r="DD56" s="27"/>
      <c r="DE56" s="27"/>
      <c r="DF56" s="27"/>
      <c r="DG56" s="27"/>
      <c r="DH56" s="27"/>
      <c r="DI56" s="27"/>
      <c r="DJ56" s="27"/>
      <c r="DK56" s="27"/>
      <c r="DL56" s="27"/>
      <c r="DM56" s="27"/>
      <c r="DN56" s="27"/>
      <c r="DO56" s="27"/>
      <c r="DP56" s="27"/>
      <c r="DQ56" s="27"/>
      <c r="DR56" s="27"/>
      <c r="DS56" s="27"/>
      <c r="DT56" s="27"/>
    </row>
    <row r="57" spans="2:124" ht="16.5" customHeight="1" x14ac:dyDescent="0.2">
      <c r="B57" s="27"/>
      <c r="C57" s="27"/>
      <c r="D57" s="27"/>
      <c r="E57" s="27"/>
      <c r="F57" s="27"/>
      <c r="G57" s="27"/>
      <c r="H57" s="27"/>
      <c r="I57" s="27"/>
      <c r="J57" s="27"/>
      <c r="K57" s="27">
        <v>14</v>
      </c>
      <c r="L57" s="27">
        <f t="shared" si="4"/>
        <v>13</v>
      </c>
      <c r="M57" s="27">
        <v>4</v>
      </c>
      <c r="N57" s="27"/>
      <c r="O57" s="27">
        <v>7</v>
      </c>
      <c r="P57" s="27" t="e">
        <f t="shared" si="3"/>
        <v>#N/A</v>
      </c>
      <c r="Q57" s="27"/>
      <c r="R57" s="27">
        <v>7</v>
      </c>
      <c r="S57" s="27">
        <v>593.47</v>
      </c>
      <c r="T57" s="27"/>
      <c r="U57" s="27"/>
      <c r="V57" s="27"/>
      <c r="W57" s="27"/>
      <c r="X57" s="27"/>
      <c r="Y57" s="27"/>
      <c r="Z57" s="27"/>
      <c r="AA57" s="27"/>
      <c r="AB57" s="27"/>
      <c r="AC57" s="27"/>
      <c r="AD57" s="27"/>
      <c r="AE57" s="27"/>
      <c r="AF57" s="27"/>
      <c r="AG57" s="27"/>
      <c r="AH57" s="27"/>
      <c r="AI57" s="27"/>
      <c r="AJ57" s="27"/>
      <c r="AK57" s="27"/>
      <c r="AL57" s="27"/>
      <c r="AM57" s="27"/>
      <c r="AN57" s="27"/>
      <c r="AO57" s="27"/>
      <c r="AP57" s="27"/>
      <c r="AQ57" s="27"/>
      <c r="AR57" s="27"/>
      <c r="AS57" s="27"/>
      <c r="AT57" s="27"/>
      <c r="AU57" s="27"/>
      <c r="AV57" s="27"/>
      <c r="AW57" s="27"/>
      <c r="AX57" s="27"/>
      <c r="AY57" s="27"/>
      <c r="AZ57" s="27"/>
      <c r="BA57" s="27"/>
      <c r="BB57" s="27"/>
      <c r="BC57" s="27"/>
      <c r="BD57" s="27"/>
      <c r="BE57" s="27"/>
      <c r="BF57" s="27"/>
      <c r="BG57" s="27"/>
      <c r="BH57" s="27"/>
      <c r="BI57" s="27"/>
      <c r="BJ57" s="27"/>
      <c r="BK57" s="27"/>
      <c r="BL57" s="27"/>
      <c r="BM57" s="27"/>
      <c r="BN57" s="27"/>
      <c r="BO57" s="27"/>
      <c r="BP57" s="27"/>
      <c r="BQ57" s="27"/>
      <c r="BR57" s="27"/>
      <c r="BS57" s="27"/>
      <c r="BT57" s="27"/>
      <c r="BU57" s="27"/>
      <c r="BV57" s="27"/>
      <c r="BW57" s="27"/>
      <c r="BX57" s="27"/>
      <c r="BY57" s="27"/>
      <c r="BZ57" s="27"/>
      <c r="CA57" s="27"/>
      <c r="CB57" s="27"/>
      <c r="CC57" s="27"/>
      <c r="CD57" s="27"/>
      <c r="CE57" s="27"/>
      <c r="CF57" s="27"/>
      <c r="CG57" s="27"/>
      <c r="CH57" s="27"/>
      <c r="CI57" s="27"/>
      <c r="CJ57" s="27"/>
      <c r="CK57" s="27"/>
      <c r="CL57" s="27"/>
      <c r="CM57" s="27"/>
      <c r="CN57" s="27"/>
      <c r="CO57" s="27"/>
      <c r="CP57" s="27"/>
      <c r="CQ57" s="27"/>
      <c r="CR57" s="27"/>
      <c r="CS57" s="27"/>
      <c r="CT57" s="27"/>
      <c r="CU57" s="27"/>
      <c r="CV57" s="27"/>
      <c r="CW57" s="27"/>
      <c r="CX57" s="27"/>
      <c r="CY57" s="27"/>
      <c r="CZ57" s="27"/>
      <c r="DA57" s="27"/>
      <c r="DB57" s="27"/>
      <c r="DC57" s="27"/>
      <c r="DD57" s="27"/>
      <c r="DE57" s="27"/>
      <c r="DF57" s="27"/>
      <c r="DG57" s="27"/>
      <c r="DH57" s="27"/>
      <c r="DI57" s="27"/>
      <c r="DJ57" s="27"/>
      <c r="DK57" s="27"/>
      <c r="DL57" s="27"/>
      <c r="DM57" s="27"/>
      <c r="DN57" s="27"/>
      <c r="DO57" s="27"/>
      <c r="DP57" s="27"/>
      <c r="DQ57" s="27"/>
      <c r="DR57" s="27"/>
      <c r="DS57" s="27"/>
      <c r="DT57" s="27"/>
    </row>
    <row r="58" spans="2:124" ht="9.75" customHeight="1" x14ac:dyDescent="0.2">
      <c r="B58" s="27"/>
      <c r="C58" s="27"/>
      <c r="D58" s="27"/>
      <c r="E58" s="27"/>
      <c r="F58" s="27"/>
      <c r="G58" s="27"/>
      <c r="H58" s="27"/>
      <c r="I58" s="27"/>
      <c r="J58" s="27"/>
      <c r="K58" s="27">
        <v>17</v>
      </c>
      <c r="L58" s="27">
        <f t="shared" si="4"/>
        <v>15</v>
      </c>
      <c r="M58" s="27">
        <v>5</v>
      </c>
      <c r="N58" s="27"/>
      <c r="O58" s="27">
        <v>7.5</v>
      </c>
      <c r="P58" s="27" t="e">
        <f t="shared" si="3"/>
        <v>#N/A</v>
      </c>
      <c r="Q58" s="27"/>
      <c r="R58" s="27">
        <v>7.5</v>
      </c>
      <c r="S58" s="27">
        <v>593.47</v>
      </c>
      <c r="T58" s="27"/>
      <c r="U58" s="27"/>
      <c r="V58" s="27"/>
      <c r="W58" s="27"/>
      <c r="X58" s="27"/>
      <c r="Y58" s="27"/>
      <c r="Z58" s="27"/>
      <c r="AA58" s="27"/>
      <c r="AB58" s="27"/>
      <c r="AC58" s="27"/>
      <c r="AD58" s="27"/>
      <c r="AE58" s="27"/>
      <c r="AF58" s="27"/>
      <c r="AG58" s="27"/>
      <c r="AH58" s="27"/>
      <c r="AI58" s="27"/>
      <c r="AJ58" s="27"/>
      <c r="AK58" s="27"/>
      <c r="AL58" s="27"/>
      <c r="AM58" s="27"/>
      <c r="AN58" s="27"/>
      <c r="AO58" s="27"/>
      <c r="AP58" s="27"/>
      <c r="AQ58" s="27"/>
      <c r="AR58" s="27"/>
      <c r="AS58" s="27"/>
      <c r="AT58" s="27"/>
      <c r="AU58" s="27"/>
      <c r="AV58" s="27"/>
      <c r="AW58" s="27"/>
      <c r="AX58" s="27"/>
      <c r="AY58" s="27"/>
      <c r="AZ58" s="27"/>
      <c r="BA58" s="27"/>
      <c r="BB58" s="27"/>
      <c r="BC58" s="27"/>
      <c r="BD58" s="27"/>
      <c r="BE58" s="27"/>
      <c r="BF58" s="27" t="s">
        <v>431</v>
      </c>
      <c r="BG58" s="27"/>
      <c r="BH58" s="27"/>
      <c r="BI58" s="27"/>
      <c r="BJ58" s="27"/>
      <c r="BK58" s="27"/>
      <c r="BL58" s="27"/>
      <c r="BM58" s="27"/>
      <c r="BN58" s="27"/>
      <c r="BO58" s="27"/>
      <c r="BP58" s="27"/>
      <c r="BQ58" s="27"/>
      <c r="BR58" s="27"/>
      <c r="BS58" s="27"/>
      <c r="BT58" s="27"/>
      <c r="BU58" s="27"/>
      <c r="BV58" s="27"/>
      <c r="BW58" s="27"/>
      <c r="BX58" s="27"/>
      <c r="BY58" s="27"/>
      <c r="BZ58" s="27">
        <v>19</v>
      </c>
      <c r="CA58" s="27">
        <v>0.02</v>
      </c>
      <c r="CB58" s="27">
        <v>5719.9</v>
      </c>
      <c r="CC58" s="27">
        <v>5403.6</v>
      </c>
      <c r="CD58" s="27">
        <v>5043.33</v>
      </c>
      <c r="CE58" s="27">
        <v>4819.3100000000004</v>
      </c>
      <c r="CF58" s="27">
        <v>4393.17</v>
      </c>
      <c r="CG58" s="27">
        <v>3822.01</v>
      </c>
      <c r="CH58" s="27">
        <v>3580.37</v>
      </c>
      <c r="CI58" s="27">
        <v>3492.51</v>
      </c>
      <c r="CJ58" s="27">
        <v>3382.69</v>
      </c>
      <c r="CK58" s="27">
        <v>4819.3100000000004</v>
      </c>
      <c r="CL58" s="27">
        <v>4481.0600000000004</v>
      </c>
      <c r="CM58" s="27">
        <v>3822.01</v>
      </c>
      <c r="CN58" s="27">
        <v>4718.28</v>
      </c>
      <c r="CO58" s="27"/>
      <c r="CP58" s="27"/>
      <c r="CQ58" s="27"/>
      <c r="CR58" s="27"/>
      <c r="CS58" s="27"/>
      <c r="CT58" s="27"/>
      <c r="CU58" s="27"/>
      <c r="CV58" s="27"/>
      <c r="CW58" s="27"/>
      <c r="CX58" s="27"/>
      <c r="CY58" s="27"/>
      <c r="CZ58" s="27"/>
      <c r="DA58" s="27"/>
      <c r="DB58" s="27"/>
      <c r="DC58" s="27"/>
      <c r="DD58" s="27"/>
      <c r="DE58" s="27"/>
      <c r="DF58" s="27"/>
      <c r="DG58" s="27"/>
      <c r="DH58" s="27"/>
      <c r="DI58" s="27"/>
      <c r="DJ58" s="27"/>
      <c r="DK58" s="27"/>
      <c r="DL58" s="27"/>
      <c r="DM58" s="27"/>
      <c r="DN58" s="27"/>
      <c r="DO58" s="27"/>
      <c r="DP58" s="27"/>
      <c r="DQ58" s="27"/>
      <c r="DR58" s="27"/>
      <c r="DS58" s="27"/>
      <c r="DT58" s="27"/>
    </row>
    <row r="59" spans="2:124" ht="9.75" customHeight="1" x14ac:dyDescent="0.2">
      <c r="B59" s="27"/>
      <c r="C59" s="27"/>
      <c r="D59" s="27"/>
      <c r="E59" s="27"/>
      <c r="F59" s="27"/>
      <c r="G59" s="27"/>
      <c r="H59" s="27"/>
      <c r="I59" s="27"/>
      <c r="J59" s="27"/>
      <c r="K59" s="27">
        <v>20</v>
      </c>
      <c r="L59" s="27">
        <f t="shared" si="4"/>
        <v>18</v>
      </c>
      <c r="M59" s="27">
        <v>6</v>
      </c>
      <c r="N59" s="27"/>
      <c r="O59" s="27">
        <v>8</v>
      </c>
      <c r="P59" s="27" t="e">
        <f t="shared" si="3"/>
        <v>#N/A</v>
      </c>
      <c r="Q59" s="27"/>
      <c r="R59" s="27">
        <v>8</v>
      </c>
      <c r="S59" s="27">
        <v>593.47</v>
      </c>
      <c r="T59" s="27"/>
      <c r="U59" s="27"/>
      <c r="V59" s="27"/>
      <c r="W59" s="27"/>
      <c r="X59" s="27"/>
      <c r="Y59" s="27"/>
      <c r="Z59" s="27"/>
      <c r="AA59" s="27"/>
      <c r="AB59" s="27"/>
      <c r="AC59" s="27"/>
      <c r="AD59" s="27"/>
      <c r="AE59" s="27"/>
      <c r="AF59" s="27"/>
      <c r="AG59" s="27"/>
      <c r="AH59" s="27"/>
      <c r="AI59" s="27"/>
      <c r="AJ59" s="27"/>
      <c r="AK59" s="27"/>
      <c r="AL59" s="27"/>
      <c r="AM59" s="27"/>
      <c r="AN59" s="27"/>
      <c r="AO59" s="27"/>
      <c r="AP59" s="27"/>
      <c r="AQ59" s="27"/>
      <c r="AR59" s="27"/>
      <c r="AS59" s="27"/>
      <c r="AT59" s="27"/>
      <c r="AU59" s="27"/>
      <c r="AV59" s="27"/>
      <c r="AW59" s="27"/>
      <c r="AX59" s="27"/>
      <c r="AY59" s="27"/>
      <c r="AZ59" s="27"/>
      <c r="BA59" s="27"/>
      <c r="BB59" s="27"/>
      <c r="BC59" s="27"/>
      <c r="BD59" s="27"/>
      <c r="BE59" s="27"/>
      <c r="BF59" s="27" t="s">
        <v>0</v>
      </c>
      <c r="BG59" s="27" t="s">
        <v>10</v>
      </c>
      <c r="BH59" s="27"/>
      <c r="BI59" s="27"/>
      <c r="BJ59" s="27"/>
      <c r="BK59" s="27"/>
      <c r="BL59" s="27"/>
      <c r="BM59" s="27"/>
      <c r="BN59" s="27"/>
      <c r="BO59" s="27"/>
      <c r="BP59" s="27"/>
      <c r="BQ59" s="27"/>
      <c r="BR59" s="27"/>
      <c r="BS59" s="27"/>
      <c r="BT59" s="27"/>
      <c r="BU59" s="27"/>
      <c r="BV59" s="27"/>
      <c r="BW59" s="27"/>
      <c r="BX59" s="27"/>
      <c r="BY59" s="27"/>
      <c r="BZ59" s="27"/>
      <c r="CA59" s="27"/>
      <c r="CB59" s="27"/>
      <c r="CC59" s="27"/>
      <c r="CD59" s="27"/>
      <c r="CE59" s="27"/>
      <c r="CF59" s="27"/>
      <c r="CG59" s="27"/>
      <c r="CH59" s="27"/>
      <c r="CI59" s="27"/>
      <c r="CJ59" s="27"/>
      <c r="CK59" s="27"/>
      <c r="CL59" s="27"/>
      <c r="CM59" s="27"/>
      <c r="CN59" s="27"/>
      <c r="CO59" s="27"/>
      <c r="CP59" s="27"/>
      <c r="CQ59" s="27"/>
      <c r="CR59" s="27"/>
      <c r="CS59" s="27"/>
      <c r="CT59" s="27"/>
      <c r="CU59" s="27"/>
      <c r="CV59" s="27"/>
      <c r="CW59" s="27"/>
      <c r="CX59" s="27"/>
      <c r="CY59" s="27"/>
      <c r="CZ59" s="27"/>
      <c r="DA59" s="27"/>
      <c r="DB59" s="27"/>
      <c r="DC59" s="27"/>
      <c r="DD59" s="27"/>
      <c r="DE59" s="27"/>
      <c r="DF59" s="27"/>
      <c r="DG59" s="27"/>
      <c r="DH59" s="27"/>
      <c r="DI59" s="27"/>
      <c r="DJ59" s="27"/>
      <c r="DK59" s="27"/>
      <c r="DL59" s="27"/>
      <c r="DM59" s="27"/>
      <c r="DN59" s="27"/>
      <c r="DO59" s="27"/>
      <c r="DP59" s="27"/>
      <c r="DQ59" s="27"/>
      <c r="DR59" s="27"/>
      <c r="DS59" s="27"/>
      <c r="DT59" s="27"/>
    </row>
    <row r="60" spans="2:124" ht="9.75" customHeight="1" x14ac:dyDescent="0.2">
      <c r="B60" s="27"/>
      <c r="C60" s="27"/>
      <c r="D60" s="27"/>
      <c r="E60" s="27"/>
      <c r="F60" s="27"/>
      <c r="G60" s="27"/>
      <c r="H60" s="27"/>
      <c r="I60" s="27"/>
      <c r="J60" s="27"/>
      <c r="K60" s="27">
        <v>24</v>
      </c>
      <c r="L60" s="27">
        <f t="shared" si="4"/>
        <v>21</v>
      </c>
      <c r="M60" s="27">
        <v>7</v>
      </c>
      <c r="N60" s="27"/>
      <c r="O60" s="27">
        <v>8.5</v>
      </c>
      <c r="P60" s="27" t="e">
        <f t="shared" si="3"/>
        <v>#N/A</v>
      </c>
      <c r="Q60" s="27"/>
      <c r="R60" s="27">
        <v>8.5</v>
      </c>
      <c r="S60" s="27">
        <v>593.47</v>
      </c>
      <c r="T60" s="27"/>
      <c r="U60" s="27"/>
      <c r="V60" s="27"/>
      <c r="W60" s="27" t="s">
        <v>432</v>
      </c>
      <c r="X60" s="27"/>
      <c r="Y60" s="27"/>
      <c r="Z60" s="27"/>
      <c r="AA60" s="27"/>
      <c r="AB60" s="27"/>
      <c r="AC60" s="27"/>
      <c r="AD60" s="27"/>
      <c r="AE60" s="27"/>
      <c r="AF60" s="27"/>
      <c r="AG60" s="27"/>
      <c r="AH60" s="27"/>
      <c r="AI60" s="27"/>
      <c r="AJ60" s="27"/>
      <c r="AK60" s="27"/>
      <c r="AL60" s="27"/>
      <c r="AM60" s="27"/>
      <c r="AN60" s="27"/>
      <c r="AO60" s="27"/>
      <c r="AP60" s="27"/>
      <c r="AQ60" s="27"/>
      <c r="AR60" s="27"/>
      <c r="AS60" s="27"/>
      <c r="AT60" s="27"/>
      <c r="AU60" s="27"/>
      <c r="AV60" s="27"/>
      <c r="AW60" s="27"/>
      <c r="AX60" s="27"/>
      <c r="AY60" s="27"/>
      <c r="AZ60" s="27"/>
      <c r="BA60" s="27"/>
      <c r="BB60" s="27"/>
      <c r="BC60" s="27"/>
      <c r="BD60" s="27"/>
      <c r="BE60" s="27"/>
      <c r="BF60" s="27" t="s">
        <v>433</v>
      </c>
      <c r="BG60" s="27">
        <v>6</v>
      </c>
      <c r="BH60" s="27"/>
      <c r="BI60" s="27"/>
      <c r="BJ60" s="27"/>
      <c r="BK60" s="27"/>
      <c r="BL60" s="27"/>
      <c r="BM60" s="27"/>
      <c r="BN60" s="27"/>
      <c r="BO60" s="27"/>
      <c r="BP60" s="27"/>
      <c r="BQ60" s="27"/>
      <c r="BR60" s="27"/>
      <c r="BS60" s="27"/>
      <c r="BT60" s="27"/>
      <c r="BU60" s="27"/>
      <c r="BV60" s="27"/>
      <c r="BW60" s="27"/>
      <c r="BX60" s="27"/>
      <c r="BY60" s="27"/>
      <c r="BZ60" s="27">
        <v>20</v>
      </c>
      <c r="CA60" s="27">
        <v>0.02</v>
      </c>
      <c r="CB60" s="27">
        <v>5834.29</v>
      </c>
      <c r="CC60" s="27">
        <v>5511.67</v>
      </c>
      <c r="CD60" s="27">
        <v>5144.1899999999996</v>
      </c>
      <c r="CE60" s="27">
        <v>4915.6899999999996</v>
      </c>
      <c r="CF60" s="27">
        <v>4481.03</v>
      </c>
      <c r="CG60" s="27">
        <v>3898.45</v>
      </c>
      <c r="CH60" s="27">
        <v>3651.97</v>
      </c>
      <c r="CI60" s="27">
        <v>3562.36</v>
      </c>
      <c r="CJ60" s="27">
        <v>3450.34</v>
      </c>
      <c r="CK60" s="27">
        <v>4915.6899999999996</v>
      </c>
      <c r="CL60" s="27">
        <v>4570.68</v>
      </c>
      <c r="CM60" s="27">
        <v>3898.45</v>
      </c>
      <c r="CN60" s="27">
        <v>4812.6400000000003</v>
      </c>
      <c r="CO60" s="27"/>
      <c r="CP60" s="27"/>
      <c r="CQ60" s="27"/>
      <c r="CR60" s="27"/>
      <c r="CS60" s="27"/>
      <c r="CT60" s="27"/>
      <c r="CU60" s="27"/>
      <c r="CV60" s="27"/>
      <c r="CW60" s="27"/>
      <c r="CX60" s="27"/>
      <c r="CY60" s="27"/>
      <c r="CZ60" s="27"/>
      <c r="DA60" s="27"/>
      <c r="DB60" s="27"/>
      <c r="DC60" s="27"/>
      <c r="DD60" s="27"/>
      <c r="DE60" s="27"/>
      <c r="DF60" s="27"/>
      <c r="DG60" s="27"/>
      <c r="DH60" s="27"/>
      <c r="DI60" s="27"/>
      <c r="DJ60" s="27"/>
      <c r="DK60" s="27"/>
      <c r="DL60" s="27"/>
      <c r="DM60" s="27"/>
      <c r="DN60" s="27"/>
      <c r="DO60" s="27"/>
      <c r="DP60" s="27"/>
      <c r="DQ60" s="27"/>
      <c r="DR60" s="27"/>
      <c r="DS60" s="27"/>
      <c r="DT60" s="27"/>
    </row>
    <row r="61" spans="2:124" ht="9.75" customHeight="1" x14ac:dyDescent="0.2">
      <c r="B61" s="27"/>
      <c r="C61" s="27"/>
      <c r="D61" s="27"/>
      <c r="E61" s="27"/>
      <c r="F61" s="27"/>
      <c r="G61" s="27"/>
      <c r="H61" s="27"/>
      <c r="I61" s="27"/>
      <c r="J61" s="27"/>
      <c r="K61" s="27"/>
      <c r="L61" s="27">
        <f t="shared" si="4"/>
        <v>25</v>
      </c>
      <c r="M61" s="27">
        <v>8</v>
      </c>
      <c r="N61" s="27"/>
      <c r="O61" s="27">
        <v>9</v>
      </c>
      <c r="P61" s="27" t="e">
        <f t="shared" si="3"/>
        <v>#N/A</v>
      </c>
      <c r="Q61" s="27"/>
      <c r="R61" s="27">
        <v>9</v>
      </c>
      <c r="S61" s="27">
        <v>593.47</v>
      </c>
      <c r="T61" s="27">
        <f>5581.83</f>
        <v>5581.83</v>
      </c>
      <c r="U61" s="27"/>
      <c r="V61" s="27"/>
      <c r="W61" s="27" t="s">
        <v>59</v>
      </c>
      <c r="X61" s="27"/>
      <c r="Y61" s="27"/>
      <c r="Z61" s="27"/>
      <c r="AA61" s="27"/>
      <c r="AB61" s="27"/>
      <c r="AC61" s="27"/>
      <c r="AD61" s="27"/>
      <c r="AE61" s="27"/>
      <c r="AF61" s="27"/>
      <c r="AG61" s="27"/>
      <c r="AH61" s="27"/>
      <c r="AI61" s="27"/>
      <c r="AJ61" s="27"/>
      <c r="AK61" s="27"/>
      <c r="AL61" s="27"/>
      <c r="AM61" s="27"/>
      <c r="AN61" s="27"/>
      <c r="AO61" s="27"/>
      <c r="AP61" s="27"/>
      <c r="AQ61" s="27"/>
      <c r="AR61" s="27"/>
      <c r="AS61" s="27"/>
      <c r="AT61" s="27"/>
      <c r="AU61" s="27"/>
      <c r="AV61" s="27"/>
      <c r="AW61" s="27"/>
      <c r="AX61" s="27"/>
      <c r="AY61" s="27"/>
      <c r="AZ61" s="27"/>
      <c r="BA61" s="27"/>
      <c r="BB61" s="27"/>
      <c r="BC61" s="27"/>
      <c r="BD61" s="27"/>
      <c r="BE61" s="27"/>
      <c r="BF61" s="27" t="s">
        <v>2</v>
      </c>
      <c r="BG61" s="27">
        <v>33</v>
      </c>
      <c r="BH61" s="27"/>
      <c r="BI61" s="27"/>
      <c r="BJ61" s="27"/>
      <c r="BK61" s="27"/>
      <c r="BL61" s="27"/>
      <c r="BM61" s="27"/>
      <c r="BN61" s="27"/>
      <c r="BO61" s="27"/>
      <c r="BP61" s="27"/>
      <c r="BQ61" s="27"/>
      <c r="BR61" s="27"/>
      <c r="BS61" s="27"/>
      <c r="BT61" s="27"/>
      <c r="BU61" s="27"/>
      <c r="BV61" s="27"/>
      <c r="BW61" s="27"/>
      <c r="BX61" s="27"/>
      <c r="BY61" s="27"/>
      <c r="BZ61" s="27"/>
      <c r="CA61" s="27"/>
      <c r="CB61" s="27"/>
      <c r="CC61" s="27"/>
      <c r="CD61" s="27"/>
      <c r="CE61" s="27"/>
      <c r="CF61" s="27"/>
      <c r="CG61" s="27"/>
      <c r="CH61" s="27"/>
      <c r="CI61" s="27"/>
      <c r="CJ61" s="27"/>
      <c r="CK61" s="27"/>
      <c r="CL61" s="27"/>
      <c r="CM61" s="27"/>
      <c r="CN61" s="27"/>
      <c r="CO61" s="27"/>
      <c r="CP61" s="27"/>
      <c r="CQ61" s="27"/>
      <c r="CR61" s="27"/>
      <c r="CS61" s="27"/>
      <c r="CT61" s="27"/>
      <c r="CU61" s="27"/>
      <c r="CV61" s="27"/>
      <c r="CW61" s="27"/>
      <c r="CX61" s="27"/>
      <c r="CY61" s="27"/>
      <c r="CZ61" s="27"/>
      <c r="DA61" s="27"/>
      <c r="DB61" s="27"/>
      <c r="DC61" s="27"/>
      <c r="DD61" s="27"/>
      <c r="DE61" s="27"/>
      <c r="DF61" s="27"/>
      <c r="DG61" s="27"/>
      <c r="DH61" s="27"/>
      <c r="DI61" s="27"/>
      <c r="DJ61" s="27"/>
      <c r="DK61" s="27"/>
      <c r="DL61" s="27"/>
      <c r="DM61" s="27"/>
      <c r="DN61" s="27"/>
      <c r="DO61" s="27"/>
      <c r="DP61" s="27"/>
      <c r="DQ61" s="27"/>
      <c r="DR61" s="27"/>
      <c r="DS61" s="27"/>
      <c r="DT61" s="27"/>
    </row>
    <row r="62" spans="2:124" ht="9.75" customHeight="1" x14ac:dyDescent="0.2">
      <c r="B62" s="27"/>
      <c r="C62" s="27"/>
      <c r="D62" s="27"/>
      <c r="E62" s="27"/>
      <c r="F62" s="27"/>
      <c r="G62" s="27"/>
      <c r="H62" s="27"/>
      <c r="I62" s="27"/>
      <c r="J62" s="27"/>
      <c r="K62" s="27"/>
      <c r="L62" s="27"/>
      <c r="M62" s="27"/>
      <c r="N62" s="27"/>
      <c r="O62" s="27"/>
      <c r="P62" s="27"/>
      <c r="Q62" s="27"/>
      <c r="R62" s="27"/>
      <c r="S62" s="27"/>
      <c r="T62" s="27">
        <v>3816.07</v>
      </c>
      <c r="U62" s="27"/>
      <c r="V62" s="27"/>
      <c r="W62" s="27"/>
      <c r="X62" s="27"/>
      <c r="Y62" s="27"/>
      <c r="Z62" s="27"/>
      <c r="AA62" s="27"/>
      <c r="AB62" s="27"/>
      <c r="AC62" s="27"/>
      <c r="AD62" s="27"/>
      <c r="AE62" s="27"/>
      <c r="AF62" s="27"/>
      <c r="AG62" s="27"/>
      <c r="AH62" s="27"/>
      <c r="AI62" s="27"/>
      <c r="AJ62" s="27"/>
      <c r="AK62" s="27"/>
      <c r="AL62" s="27"/>
      <c r="AM62" s="27"/>
      <c r="AN62" s="27"/>
      <c r="AO62" s="27"/>
      <c r="AP62" s="27"/>
      <c r="AQ62" s="27"/>
      <c r="AR62" s="27"/>
      <c r="AS62" s="27"/>
      <c r="AT62" s="27"/>
      <c r="AU62" s="27"/>
      <c r="AV62" s="27"/>
      <c r="AW62" s="27"/>
      <c r="AX62" s="27"/>
      <c r="AY62" s="27"/>
      <c r="AZ62" s="27"/>
      <c r="BA62" s="27"/>
      <c r="BB62" s="27"/>
      <c r="BC62" s="27"/>
      <c r="BD62" s="27"/>
      <c r="BE62" s="27"/>
      <c r="BF62" s="27" t="s">
        <v>434</v>
      </c>
      <c r="BG62" s="27">
        <v>0</v>
      </c>
      <c r="BH62" s="27"/>
      <c r="BI62" s="27"/>
      <c r="BJ62" s="27"/>
      <c r="BK62" s="27"/>
      <c r="BL62" s="27"/>
      <c r="BM62" s="27"/>
      <c r="BN62" s="27"/>
      <c r="BO62" s="27"/>
      <c r="BP62" s="27"/>
      <c r="BQ62" s="27"/>
      <c r="BR62" s="27"/>
      <c r="BS62" s="27"/>
      <c r="BT62" s="27"/>
      <c r="BU62" s="27"/>
      <c r="BV62" s="27"/>
      <c r="BW62" s="27"/>
      <c r="BX62" s="27"/>
      <c r="BY62" s="27"/>
      <c r="BZ62" s="27">
        <v>21</v>
      </c>
      <c r="CA62" s="27">
        <v>0.02</v>
      </c>
      <c r="CB62" s="27">
        <v>5950.97</v>
      </c>
      <c r="CC62" s="27">
        <v>5621.9</v>
      </c>
      <c r="CD62" s="27">
        <v>5247.07</v>
      </c>
      <c r="CE62" s="27">
        <v>5014</v>
      </c>
      <c r="CF62" s="27">
        <v>4570.6499999999996</v>
      </c>
      <c r="CG62" s="27">
        <v>3976.41</v>
      </c>
      <c r="CH62" s="27">
        <v>3725</v>
      </c>
      <c r="CI62" s="27">
        <v>3633.6</v>
      </c>
      <c r="CJ62" s="27">
        <v>3519.34</v>
      </c>
      <c r="CK62" s="27">
        <v>5014</v>
      </c>
      <c r="CL62" s="27">
        <v>4662.09</v>
      </c>
      <c r="CM62" s="27">
        <v>3976.41</v>
      </c>
      <c r="CN62" s="27">
        <v>4908.8900000000003</v>
      </c>
      <c r="CO62" s="27"/>
      <c r="CP62" s="27"/>
      <c r="CQ62" s="27"/>
      <c r="CR62" s="27"/>
      <c r="CS62" s="27"/>
      <c r="CT62" s="27"/>
      <c r="CU62" s="27"/>
      <c r="CV62" s="27"/>
      <c r="CW62" s="27"/>
      <c r="CX62" s="27"/>
      <c r="CY62" s="27"/>
      <c r="CZ62" s="27"/>
      <c r="DA62" s="27"/>
      <c r="DB62" s="27"/>
      <c r="DC62" s="27"/>
      <c r="DD62" s="27"/>
      <c r="DE62" s="27"/>
      <c r="DF62" s="27"/>
      <c r="DG62" s="27"/>
      <c r="DH62" s="27"/>
      <c r="DI62" s="27"/>
      <c r="DJ62" s="27"/>
      <c r="DK62" s="27"/>
      <c r="DL62" s="27"/>
      <c r="DM62" s="27"/>
      <c r="DN62" s="27"/>
      <c r="DO62" s="27"/>
      <c r="DP62" s="27"/>
      <c r="DQ62" s="27"/>
      <c r="DR62" s="27"/>
      <c r="DS62" s="27"/>
      <c r="DT62" s="27"/>
    </row>
    <row r="63" spans="2:124" ht="9.75" customHeight="1" x14ac:dyDescent="0.2">
      <c r="B63" s="27"/>
      <c r="C63" s="27"/>
      <c r="D63" s="27"/>
      <c r="E63" s="27"/>
      <c r="F63" s="27"/>
      <c r="G63" s="27"/>
      <c r="H63" s="27"/>
      <c r="I63" s="27"/>
      <c r="J63" s="27"/>
      <c r="K63" s="27"/>
      <c r="L63" s="27"/>
      <c r="M63" s="27"/>
      <c r="N63" s="27"/>
      <c r="O63" s="27"/>
      <c r="P63" s="27"/>
      <c r="Q63" s="27"/>
      <c r="R63" s="27"/>
      <c r="S63" s="27">
        <v>0.59475999999999996</v>
      </c>
      <c r="T63" s="27">
        <f>T61*S63</f>
        <v>3319.8492107999996</v>
      </c>
      <c r="U63" s="27"/>
      <c r="V63" s="27"/>
      <c r="W63" s="27"/>
      <c r="X63" s="27"/>
      <c r="Y63" s="27"/>
      <c r="Z63" s="27"/>
      <c r="AA63" s="27"/>
      <c r="AB63" s="27"/>
      <c r="AC63" s="27"/>
      <c r="AD63" s="27"/>
      <c r="AE63" s="27"/>
      <c r="AF63" s="27"/>
      <c r="AG63" s="27"/>
      <c r="AH63" s="27"/>
      <c r="AI63" s="27"/>
      <c r="AJ63" s="27"/>
      <c r="AK63" s="27"/>
      <c r="AL63" s="27"/>
      <c r="AM63" s="27"/>
      <c r="AN63" s="27"/>
      <c r="AO63" s="27"/>
      <c r="AP63" s="27"/>
      <c r="AQ63" s="27"/>
      <c r="AR63" s="27"/>
      <c r="AS63" s="27"/>
      <c r="AT63" s="27"/>
      <c r="AU63" s="27"/>
      <c r="AV63" s="27"/>
      <c r="AW63" s="27"/>
      <c r="AX63" s="27"/>
      <c r="AY63" s="27"/>
      <c r="AZ63" s="27"/>
      <c r="BA63" s="27"/>
      <c r="BB63" s="27"/>
      <c r="BC63" s="27"/>
      <c r="BD63" s="27"/>
      <c r="BE63" s="27"/>
      <c r="BF63" s="27" t="s">
        <v>275</v>
      </c>
      <c r="BG63" s="27">
        <v>33</v>
      </c>
      <c r="BH63" s="27"/>
      <c r="BI63" s="27"/>
      <c r="BJ63" s="27"/>
      <c r="BK63" s="27"/>
      <c r="BL63" s="27"/>
      <c r="BM63" s="27"/>
      <c r="BN63" s="27"/>
      <c r="BO63" s="27"/>
      <c r="BP63" s="27"/>
      <c r="BQ63" s="27"/>
      <c r="BR63" s="27"/>
      <c r="BS63" s="27"/>
      <c r="BT63" s="27"/>
      <c r="BU63" s="27"/>
      <c r="BV63" s="27"/>
      <c r="BW63" s="27"/>
      <c r="BX63" s="27"/>
      <c r="BY63" s="27"/>
      <c r="BZ63" s="27"/>
      <c r="CA63" s="27"/>
      <c r="CB63" s="27"/>
      <c r="CC63" s="27"/>
      <c r="CD63" s="27"/>
      <c r="CE63" s="27"/>
      <c r="CF63" s="27"/>
      <c r="CG63" s="27"/>
      <c r="CH63" s="27"/>
      <c r="CI63" s="27"/>
      <c r="CJ63" s="27"/>
      <c r="CK63" s="27"/>
      <c r="CL63" s="27"/>
      <c r="CM63" s="27"/>
      <c r="CN63" s="27"/>
      <c r="CO63" s="27"/>
      <c r="CP63" s="27"/>
      <c r="CQ63" s="27"/>
      <c r="CR63" s="27"/>
      <c r="CS63" s="27"/>
      <c r="CT63" s="27"/>
      <c r="CU63" s="27"/>
      <c r="CV63" s="27"/>
      <c r="CW63" s="27"/>
      <c r="CX63" s="27"/>
      <c r="CY63" s="27"/>
      <c r="CZ63" s="27"/>
      <c r="DA63" s="27"/>
      <c r="DB63" s="27"/>
      <c r="DC63" s="27"/>
      <c r="DD63" s="27"/>
      <c r="DE63" s="27"/>
      <c r="DF63" s="27"/>
      <c r="DG63" s="27"/>
      <c r="DH63" s="27"/>
      <c r="DI63" s="27"/>
      <c r="DJ63" s="27"/>
      <c r="DK63" s="27"/>
      <c r="DL63" s="27"/>
      <c r="DM63" s="27"/>
      <c r="DN63" s="27"/>
      <c r="DO63" s="27"/>
      <c r="DP63" s="27"/>
      <c r="DQ63" s="27"/>
      <c r="DR63" s="27"/>
      <c r="DS63" s="27"/>
      <c r="DT63" s="27"/>
    </row>
    <row r="64" spans="2:124" ht="9.75" customHeight="1" x14ac:dyDescent="0.2">
      <c r="B64" s="27"/>
      <c r="C64" s="27"/>
      <c r="D64" s="27"/>
      <c r="E64" s="27"/>
      <c r="F64" s="27"/>
      <c r="G64" s="27"/>
      <c r="H64" s="27"/>
      <c r="I64" s="27"/>
      <c r="J64" s="27"/>
      <c r="K64" s="27"/>
      <c r="L64" s="27"/>
      <c r="M64" s="27"/>
      <c r="N64" s="27"/>
      <c r="O64" s="27"/>
      <c r="P64" s="27"/>
      <c r="Q64" s="27"/>
      <c r="R64" s="27"/>
      <c r="S64" s="27">
        <v>0.86997999999999998</v>
      </c>
      <c r="T64" s="27">
        <f>T62*S64</f>
        <v>3319.9045786000001</v>
      </c>
      <c r="U64" s="27"/>
      <c r="V64" s="27"/>
      <c r="W64" s="27"/>
      <c r="X64" s="27"/>
      <c r="Y64" s="27"/>
      <c r="Z64" s="27"/>
      <c r="AA64" s="27"/>
      <c r="AB64" s="27"/>
      <c r="AC64" s="27"/>
      <c r="AD64" s="27"/>
      <c r="AE64" s="27"/>
      <c r="AF64" s="27"/>
      <c r="AG64" s="27"/>
      <c r="AH64" s="27"/>
      <c r="AI64" s="27"/>
      <c r="AJ64" s="27"/>
      <c r="AK64" s="27"/>
      <c r="AL64" s="27"/>
      <c r="AM64" s="27"/>
      <c r="AN64" s="27"/>
      <c r="AO64" s="27"/>
      <c r="AP64" s="27"/>
      <c r="AQ64" s="27"/>
      <c r="AR64" s="27"/>
      <c r="AS64" s="27"/>
      <c r="AT64" s="27"/>
      <c r="AU64" s="27"/>
      <c r="AV64" s="27"/>
      <c r="AW64" s="27"/>
      <c r="AX64" s="27"/>
      <c r="AY64" s="27"/>
      <c r="AZ64" s="27"/>
      <c r="BA64" s="27"/>
      <c r="BB64" s="27"/>
      <c r="BC64" s="27"/>
      <c r="BD64" s="27"/>
      <c r="BE64" s="27"/>
      <c r="BF64" s="27" t="s">
        <v>32</v>
      </c>
      <c r="BG64" s="27">
        <v>0</v>
      </c>
      <c r="BH64" s="27"/>
      <c r="BI64" s="27"/>
      <c r="BJ64" s="27"/>
      <c r="BK64" s="27"/>
      <c r="BL64" s="27"/>
      <c r="BM64" s="27"/>
      <c r="BN64" s="27"/>
      <c r="BO64" s="27"/>
      <c r="BP64" s="27"/>
      <c r="BQ64" s="27"/>
      <c r="BR64" s="27"/>
      <c r="BS64" s="27"/>
      <c r="BT64" s="27"/>
      <c r="BU64" s="27"/>
      <c r="BV64" s="27"/>
      <c r="BW64" s="27"/>
      <c r="BX64" s="27"/>
      <c r="BY64" s="27"/>
      <c r="BZ64" s="27">
        <v>22</v>
      </c>
      <c r="CA64" s="27">
        <v>0.02</v>
      </c>
      <c r="CB64" s="27">
        <v>6069.98</v>
      </c>
      <c r="CC64" s="27">
        <v>5734.33</v>
      </c>
      <c r="CD64" s="27">
        <v>5352.01</v>
      </c>
      <c r="CE64" s="27">
        <v>5114.28</v>
      </c>
      <c r="CF64" s="27">
        <v>4662.0600000000004</v>
      </c>
      <c r="CG64" s="27">
        <v>4055.93</v>
      </c>
      <c r="CH64" s="27">
        <v>3799.5</v>
      </c>
      <c r="CI64" s="27">
        <v>3706.27</v>
      </c>
      <c r="CJ64" s="27">
        <v>3589.72</v>
      </c>
      <c r="CK64" s="27">
        <v>5114.28</v>
      </c>
      <c r="CL64" s="27">
        <v>4755.33</v>
      </c>
      <c r="CM64" s="27">
        <v>4055.93</v>
      </c>
      <c r="CN64" s="27">
        <v>5007.0600000000004</v>
      </c>
      <c r="CO64" s="27"/>
      <c r="CP64" s="27"/>
      <c r="CQ64" s="27"/>
      <c r="CR64" s="27"/>
      <c r="CS64" s="27"/>
      <c r="CT64" s="27"/>
      <c r="CU64" s="27"/>
      <c r="CV64" s="27"/>
      <c r="CW64" s="27"/>
      <c r="CX64" s="27"/>
      <c r="CY64" s="27"/>
      <c r="CZ64" s="27"/>
      <c r="DA64" s="27"/>
      <c r="DB64" s="27"/>
      <c r="DC64" s="27"/>
      <c r="DD64" s="27"/>
      <c r="DE64" s="27"/>
      <c r="DF64" s="27"/>
      <c r="DG64" s="27"/>
      <c r="DH64" s="27"/>
      <c r="DI64" s="27"/>
      <c r="DJ64" s="27"/>
      <c r="DK64" s="27"/>
      <c r="DL64" s="27"/>
      <c r="DM64" s="27"/>
      <c r="DN64" s="27"/>
      <c r="DO64" s="27"/>
      <c r="DP64" s="27"/>
      <c r="DQ64" s="27"/>
      <c r="DR64" s="27"/>
      <c r="DS64" s="27"/>
      <c r="DT64" s="27"/>
    </row>
    <row r="65" spans="2:124" ht="9.75" customHeight="1" x14ac:dyDescent="0.2">
      <c r="B65" s="27"/>
      <c r="C65" s="27"/>
      <c r="D65" s="27"/>
      <c r="E65" s="27"/>
      <c r="F65" s="27"/>
      <c r="G65" s="27"/>
      <c r="H65" s="27"/>
      <c r="I65" s="27"/>
      <c r="J65" s="27" t="s">
        <v>269</v>
      </c>
      <c r="K65" s="27" t="s">
        <v>435</v>
      </c>
      <c r="L65" s="27"/>
      <c r="M65" s="27"/>
      <c r="N65" s="27"/>
      <c r="O65" s="27"/>
      <c r="P65" s="27"/>
      <c r="Q65" s="27"/>
      <c r="R65" s="27"/>
      <c r="S65" s="27"/>
      <c r="T65" s="27"/>
      <c r="U65" s="27"/>
      <c r="V65" s="27"/>
      <c r="W65" s="27"/>
      <c r="X65" s="27"/>
      <c r="Y65" s="27"/>
      <c r="Z65" s="27"/>
      <c r="AA65" s="27"/>
      <c r="AB65" s="27"/>
      <c r="AC65" s="27"/>
      <c r="AD65" s="27"/>
      <c r="AE65" s="27"/>
      <c r="AF65" s="27"/>
      <c r="AG65" s="27"/>
      <c r="AH65" s="27"/>
      <c r="AI65" s="27"/>
      <c r="AJ65" s="27"/>
      <c r="AK65" s="27"/>
      <c r="AL65" s="27"/>
      <c r="AM65" s="27"/>
      <c r="AN65" s="27"/>
      <c r="AO65" s="27"/>
      <c r="AP65" s="27"/>
      <c r="AQ65" s="27"/>
      <c r="AR65" s="27"/>
      <c r="AS65" s="27"/>
      <c r="AT65" s="27"/>
      <c r="AU65" s="27"/>
      <c r="AV65" s="27"/>
      <c r="AW65" s="27"/>
      <c r="AX65" s="27"/>
      <c r="AY65" s="27"/>
      <c r="AZ65" s="27"/>
      <c r="BA65" s="27"/>
      <c r="BB65" s="27"/>
      <c r="BC65" s="27"/>
      <c r="BD65" s="27"/>
      <c r="BE65" s="27"/>
      <c r="BF65" s="27" t="s">
        <v>436</v>
      </c>
      <c r="BG65" s="27" t="s">
        <v>84</v>
      </c>
      <c r="BH65" s="27"/>
      <c r="BI65" s="27"/>
      <c r="BJ65" s="27"/>
      <c r="BK65" s="27"/>
      <c r="BL65" s="27"/>
      <c r="BM65" s="27"/>
      <c r="BN65" s="27"/>
      <c r="BO65" s="27"/>
      <c r="BP65" s="27"/>
      <c r="BQ65" s="27"/>
      <c r="BR65" s="27"/>
      <c r="BS65" s="27"/>
      <c r="BT65" s="27"/>
      <c r="BU65" s="27"/>
      <c r="BV65" s="27"/>
      <c r="BW65" s="27"/>
      <c r="BX65" s="27"/>
      <c r="BY65" s="27"/>
      <c r="BZ65" s="27"/>
      <c r="CA65" s="27"/>
      <c r="CB65" s="27"/>
      <c r="CC65" s="27"/>
      <c r="CD65" s="27"/>
      <c r="CE65" s="27"/>
      <c r="CF65" s="27"/>
      <c r="CG65" s="27"/>
      <c r="CH65" s="27"/>
      <c r="CI65" s="27"/>
      <c r="CJ65" s="27"/>
      <c r="CK65" s="27"/>
      <c r="CL65" s="27"/>
      <c r="CM65" s="27"/>
      <c r="CN65" s="27"/>
      <c r="CO65" s="27"/>
      <c r="CP65" s="27"/>
      <c r="CQ65" s="27"/>
      <c r="CR65" s="27"/>
      <c r="CS65" s="27"/>
      <c r="CT65" s="27"/>
      <c r="CU65" s="27"/>
      <c r="CV65" s="27"/>
      <c r="CW65" s="27"/>
      <c r="CX65" s="27"/>
      <c r="CY65" s="27"/>
      <c r="CZ65" s="27"/>
      <c r="DA65" s="27"/>
      <c r="DB65" s="27"/>
      <c r="DC65" s="27"/>
      <c r="DD65" s="27"/>
      <c r="DE65" s="27"/>
      <c r="DF65" s="27"/>
      <c r="DG65" s="27"/>
      <c r="DH65" s="27"/>
      <c r="DI65" s="27"/>
      <c r="DJ65" s="27"/>
      <c r="DK65" s="27"/>
      <c r="DL65" s="27"/>
      <c r="DM65" s="27"/>
      <c r="DN65" s="27"/>
      <c r="DO65" s="27"/>
      <c r="DP65" s="27"/>
      <c r="DQ65" s="27"/>
      <c r="DR65" s="27"/>
      <c r="DS65" s="27"/>
      <c r="DT65" s="27"/>
    </row>
    <row r="66" spans="2:124" ht="16.5" customHeight="1" x14ac:dyDescent="0.2">
      <c r="B66" s="27"/>
      <c r="C66" s="27"/>
      <c r="D66" s="27"/>
      <c r="E66" s="27"/>
      <c r="F66" s="27"/>
      <c r="G66" s="27"/>
      <c r="H66" s="27"/>
      <c r="I66" s="27"/>
      <c r="J66" s="27">
        <f>IF(C19=F18,F26,F33)</f>
        <v>1</v>
      </c>
      <c r="K66" s="27">
        <f>VLOOKUP(J66,L54:M62,2,TRUE)</f>
        <v>1</v>
      </c>
      <c r="L66" s="27"/>
      <c r="M66" s="27"/>
      <c r="N66" s="27"/>
      <c r="O66" s="27"/>
      <c r="P66" s="27"/>
      <c r="Q66" s="27"/>
      <c r="R66" s="27"/>
      <c r="S66" s="27"/>
      <c r="T66" s="27"/>
      <c r="U66" s="27"/>
      <c r="V66" s="27"/>
      <c r="W66" s="27"/>
      <c r="X66" s="27"/>
      <c r="Y66" s="27"/>
      <c r="Z66" s="27"/>
      <c r="AA66" s="27"/>
      <c r="AB66" s="27"/>
      <c r="AC66" s="27"/>
      <c r="AD66" s="27"/>
      <c r="AE66" s="27"/>
      <c r="AF66" s="27"/>
      <c r="AG66" s="27"/>
      <c r="AH66" s="27"/>
      <c r="AI66" s="27"/>
      <c r="AJ66" s="27"/>
      <c r="AK66" s="27"/>
      <c r="AL66" s="27"/>
      <c r="AM66" s="27"/>
      <c r="AN66" s="27"/>
      <c r="AO66" s="27"/>
      <c r="AP66" s="27"/>
      <c r="AQ66" s="27"/>
      <c r="AR66" s="27"/>
      <c r="AS66" s="27"/>
      <c r="AT66" s="27"/>
      <c r="AU66" s="27"/>
      <c r="AV66" s="27"/>
      <c r="AW66" s="27"/>
      <c r="AX66" s="27"/>
      <c r="AY66" s="27"/>
      <c r="AZ66" s="27"/>
      <c r="BA66" s="27"/>
      <c r="BB66" s="27"/>
      <c r="BC66" s="27"/>
      <c r="BD66" s="27"/>
      <c r="BE66" s="27"/>
      <c r="BF66" s="27" t="s">
        <v>379</v>
      </c>
      <c r="BG66" s="27">
        <v>0</v>
      </c>
      <c r="BH66" s="27"/>
      <c r="BI66" s="27"/>
      <c r="BJ66" s="27"/>
      <c r="BK66" s="27"/>
      <c r="BL66" s="27"/>
      <c r="BM66" s="27"/>
      <c r="BN66" s="27"/>
      <c r="BO66" s="27"/>
      <c r="BP66" s="27"/>
      <c r="BQ66" s="27"/>
      <c r="BR66" s="27"/>
      <c r="BS66" s="27"/>
      <c r="BT66" s="27"/>
      <c r="BU66" s="27"/>
      <c r="BV66" s="27"/>
      <c r="BW66" s="27"/>
      <c r="BX66" s="27"/>
      <c r="BY66" s="27"/>
      <c r="BZ66" s="27">
        <v>23</v>
      </c>
      <c r="CA66" s="27">
        <v>0.02</v>
      </c>
      <c r="CB66" s="27">
        <v>6191.37</v>
      </c>
      <c r="CC66" s="27">
        <v>5849.01</v>
      </c>
      <c r="CD66" s="27">
        <v>5459.05</v>
      </c>
      <c r="CE66" s="27">
        <v>5216.5600000000004</v>
      </c>
      <c r="CF66" s="27">
        <v>4755.3</v>
      </c>
      <c r="CG66" s="27">
        <v>4137.04</v>
      </c>
      <c r="CH66" s="27">
        <v>3875.49</v>
      </c>
      <c r="CI66" s="27">
        <v>3780.39</v>
      </c>
      <c r="CJ66" s="27">
        <v>3661.51</v>
      </c>
      <c r="CK66" s="27">
        <v>5216.5600000000004</v>
      </c>
      <c r="CL66" s="27">
        <v>4850.43</v>
      </c>
      <c r="CM66" s="27">
        <v>4137.04</v>
      </c>
      <c r="CN66" s="27">
        <v>5107.2</v>
      </c>
      <c r="CO66" s="27"/>
      <c r="CP66" s="27"/>
      <c r="CQ66" s="27"/>
      <c r="CR66" s="27"/>
      <c r="CS66" s="27"/>
      <c r="CT66" s="27"/>
      <c r="CU66" s="27"/>
      <c r="CV66" s="27"/>
      <c r="CW66" s="27"/>
      <c r="CX66" s="27"/>
      <c r="CY66" s="27"/>
      <c r="CZ66" s="27"/>
      <c r="DA66" s="27"/>
      <c r="DB66" s="27"/>
      <c r="DC66" s="27"/>
      <c r="DD66" s="27"/>
      <c r="DE66" s="27"/>
      <c r="DF66" s="27"/>
      <c r="DG66" s="27"/>
      <c r="DH66" s="27"/>
      <c r="DI66" s="27"/>
      <c r="DJ66" s="27"/>
      <c r="DK66" s="27"/>
      <c r="DL66" s="27"/>
      <c r="DM66" s="27"/>
      <c r="DN66" s="27"/>
      <c r="DO66" s="27"/>
      <c r="DP66" s="27"/>
      <c r="DQ66" s="27"/>
      <c r="DR66" s="27"/>
      <c r="DS66" s="27"/>
      <c r="DT66" s="27"/>
    </row>
    <row r="67" spans="2:124" ht="9.75" customHeight="1" x14ac:dyDescent="0.2">
      <c r="B67" s="27"/>
      <c r="C67" s="27"/>
      <c r="D67" s="27"/>
      <c r="E67" s="27"/>
      <c r="F67" s="27"/>
      <c r="G67" s="27"/>
      <c r="H67" s="27"/>
      <c r="I67" s="27"/>
      <c r="J67" s="27"/>
      <c r="K67" s="27"/>
      <c r="L67" s="27"/>
      <c r="M67" s="27"/>
      <c r="N67" s="27"/>
      <c r="O67" s="27"/>
      <c r="P67" s="27"/>
      <c r="Q67" s="27"/>
      <c r="R67" s="27"/>
      <c r="S67" s="27"/>
      <c r="T67" s="27"/>
      <c r="U67" s="27"/>
      <c r="V67" s="27"/>
      <c r="W67" s="27"/>
      <c r="X67" s="27"/>
      <c r="Y67" s="27"/>
      <c r="Z67" s="27"/>
      <c r="AA67" s="27"/>
      <c r="AB67" s="27"/>
      <c r="AC67" s="27"/>
      <c r="AD67" s="27"/>
      <c r="AE67" s="27"/>
      <c r="AF67" s="27"/>
      <c r="AG67" s="27"/>
      <c r="AH67" s="27"/>
      <c r="AI67" s="27"/>
      <c r="AJ67" s="27"/>
      <c r="AK67" s="27"/>
      <c r="AL67" s="27"/>
      <c r="AM67" s="27"/>
      <c r="AN67" s="27"/>
      <c r="AO67" s="27"/>
      <c r="AP67" s="27"/>
      <c r="AQ67" s="27"/>
      <c r="AR67" s="27"/>
      <c r="AS67" s="27"/>
      <c r="AT67" s="27"/>
      <c r="AU67" s="27"/>
      <c r="AV67" s="27"/>
      <c r="AW67" s="27"/>
      <c r="AX67" s="27"/>
      <c r="AY67" s="27"/>
      <c r="AZ67" s="27"/>
      <c r="BA67" s="27"/>
      <c r="BB67" s="27"/>
      <c r="BC67" s="27"/>
      <c r="BD67" s="27"/>
      <c r="BE67" s="27"/>
      <c r="BF67" s="27" t="s">
        <v>437</v>
      </c>
      <c r="BG67" s="27" t="s">
        <v>115</v>
      </c>
      <c r="BH67" s="27"/>
      <c r="BI67" s="27"/>
      <c r="BJ67" s="27"/>
      <c r="BK67" s="27"/>
      <c r="BL67" s="27"/>
      <c r="BM67" s="27"/>
      <c r="BN67" s="27"/>
      <c r="BO67" s="27"/>
      <c r="BP67" s="27"/>
      <c r="BQ67" s="27"/>
      <c r="BR67" s="27"/>
      <c r="BS67" s="27"/>
      <c r="BT67" s="27"/>
      <c r="BU67" s="27"/>
      <c r="BV67" s="27"/>
      <c r="BW67" s="27"/>
      <c r="BX67" s="27"/>
      <c r="BY67" s="27"/>
      <c r="BZ67" s="27"/>
      <c r="CA67" s="27"/>
      <c r="CB67" s="27"/>
      <c r="CC67" s="27"/>
      <c r="CD67" s="27"/>
      <c r="CE67" s="27"/>
      <c r="CF67" s="27"/>
      <c r="CG67" s="27"/>
      <c r="CH67" s="27"/>
      <c r="CI67" s="27"/>
      <c r="CJ67" s="27"/>
      <c r="CK67" s="27"/>
      <c r="CL67" s="27"/>
      <c r="CM67" s="27"/>
      <c r="CN67" s="27"/>
      <c r="CO67" s="27"/>
      <c r="CP67" s="27"/>
      <c r="CQ67" s="27"/>
      <c r="CR67" s="27"/>
      <c r="CS67" s="27"/>
      <c r="CT67" s="27"/>
      <c r="CU67" s="27"/>
      <c r="CV67" s="27"/>
      <c r="CW67" s="27"/>
      <c r="CX67" s="27"/>
      <c r="CY67" s="27"/>
      <c r="CZ67" s="27"/>
      <c r="DA67" s="27"/>
      <c r="DB67" s="27"/>
      <c r="DC67" s="27"/>
      <c r="DD67" s="27"/>
      <c r="DE67" s="27"/>
      <c r="DF67" s="27"/>
      <c r="DG67" s="27"/>
      <c r="DH67" s="27"/>
      <c r="DI67" s="27"/>
      <c r="DJ67" s="27"/>
      <c r="DK67" s="27"/>
      <c r="DL67" s="27"/>
      <c r="DM67" s="27"/>
      <c r="DN67" s="27"/>
      <c r="DO67" s="27"/>
      <c r="DP67" s="27"/>
      <c r="DQ67" s="27"/>
      <c r="DR67" s="27"/>
      <c r="DS67" s="27"/>
      <c r="DT67" s="27"/>
    </row>
    <row r="68" spans="2:124" x14ac:dyDescent="0.2">
      <c r="B68" s="27"/>
      <c r="C68" s="27"/>
      <c r="D68" s="27"/>
      <c r="E68" s="27"/>
      <c r="F68" s="27"/>
      <c r="G68" s="27"/>
      <c r="H68" s="27"/>
      <c r="I68" s="27"/>
      <c r="J68" s="27"/>
      <c r="K68" s="27"/>
      <c r="L68" s="27"/>
      <c r="M68" s="27"/>
      <c r="N68" s="27"/>
      <c r="O68" s="27"/>
      <c r="P68" s="27"/>
      <c r="Q68" s="27"/>
      <c r="R68" s="27"/>
      <c r="S68" s="27"/>
      <c r="T68" s="27"/>
      <c r="U68" s="27"/>
      <c r="V68" s="27"/>
      <c r="W68" s="27"/>
      <c r="X68" s="27"/>
      <c r="Y68" s="27"/>
      <c r="Z68" s="27"/>
      <c r="AA68" s="27"/>
      <c r="AB68" s="27"/>
      <c r="AC68" s="27"/>
      <c r="AD68" s="27"/>
      <c r="AE68" s="27"/>
      <c r="AF68" s="27"/>
      <c r="AG68" s="27"/>
      <c r="AH68" s="27"/>
      <c r="AI68" s="27"/>
      <c r="AJ68" s="27"/>
      <c r="AK68" s="27"/>
      <c r="AL68" s="27"/>
      <c r="AM68" s="27"/>
      <c r="AN68" s="27"/>
      <c r="AO68" s="27"/>
      <c r="AP68" s="27"/>
      <c r="AQ68" s="27"/>
      <c r="AR68" s="27"/>
      <c r="AS68" s="27"/>
      <c r="AT68" s="27"/>
      <c r="AU68" s="27"/>
      <c r="AV68" s="27"/>
      <c r="AW68" s="27"/>
      <c r="AX68" s="27"/>
      <c r="AY68" s="27"/>
      <c r="AZ68" s="27"/>
      <c r="BA68" s="27"/>
      <c r="BB68" s="27"/>
      <c r="BC68" s="27"/>
      <c r="BD68" s="27"/>
      <c r="BE68" s="27"/>
      <c r="BF68" s="27" t="s">
        <v>438</v>
      </c>
      <c r="BG68" s="27">
        <v>0</v>
      </c>
      <c r="BH68" s="27"/>
      <c r="BI68" s="27"/>
      <c r="BJ68" s="27"/>
      <c r="BK68" s="27"/>
      <c r="BL68" s="27"/>
      <c r="BM68" s="27"/>
      <c r="BN68" s="27"/>
      <c r="BO68" s="27"/>
      <c r="BP68" s="27"/>
      <c r="BQ68" s="27"/>
      <c r="BR68" s="27"/>
      <c r="BS68" s="27"/>
      <c r="BT68" s="27"/>
      <c r="BU68" s="27"/>
      <c r="BV68" s="27"/>
      <c r="BW68" s="27"/>
      <c r="BX68" s="27"/>
      <c r="BY68" s="27"/>
      <c r="BZ68" s="27">
        <v>24</v>
      </c>
      <c r="CA68" s="27">
        <v>0.02</v>
      </c>
      <c r="CB68" s="27">
        <v>6315.19</v>
      </c>
      <c r="CC68" s="27">
        <v>5965.99</v>
      </c>
      <c r="CD68" s="27">
        <v>5568.23</v>
      </c>
      <c r="CE68" s="27">
        <v>5320.89</v>
      </c>
      <c r="CF68" s="27">
        <v>4850.3999999999996</v>
      </c>
      <c r="CG68" s="27">
        <v>4219.78</v>
      </c>
      <c r="CH68" s="27">
        <v>3952.99</v>
      </c>
      <c r="CI68" s="27">
        <v>3855.99</v>
      </c>
      <c r="CJ68" s="27">
        <v>3734.74</v>
      </c>
      <c r="CK68" s="27">
        <v>5320.89</v>
      </c>
      <c r="CL68" s="27">
        <v>4947.43</v>
      </c>
      <c r="CM68" s="27">
        <v>4219.78</v>
      </c>
      <c r="CN68" s="27">
        <v>5209.34</v>
      </c>
      <c r="CO68" s="27"/>
      <c r="CP68" s="27"/>
      <c r="CQ68" s="27"/>
      <c r="CR68" s="27"/>
      <c r="CS68" s="27"/>
      <c r="CT68" s="27"/>
      <c r="CU68" s="27"/>
      <c r="CV68" s="27"/>
      <c r="CW68" s="27"/>
      <c r="CX68" s="27"/>
      <c r="CY68" s="27"/>
      <c r="CZ68" s="27"/>
      <c r="DA68" s="27"/>
      <c r="DB68" s="27"/>
      <c r="DC68" s="27"/>
      <c r="DD68" s="27"/>
      <c r="DE68" s="27"/>
      <c r="DF68" s="27"/>
      <c r="DG68" s="27"/>
      <c r="DH68" s="27"/>
      <c r="DI68" s="27"/>
      <c r="DJ68" s="27"/>
      <c r="DK68" s="27"/>
      <c r="DL68" s="27"/>
      <c r="DM68" s="27"/>
      <c r="DN68" s="27"/>
      <c r="DO68" s="27"/>
      <c r="DP68" s="27"/>
      <c r="DQ68" s="27"/>
      <c r="DR68" s="27"/>
      <c r="DS68" s="27"/>
      <c r="DT68" s="27"/>
    </row>
    <row r="69" spans="2:124" ht="15.75" customHeight="1" x14ac:dyDescent="0.2">
      <c r="B69" s="27"/>
      <c r="C69" s="27"/>
      <c r="D69" s="27"/>
      <c r="E69" s="27"/>
      <c r="F69" s="27"/>
      <c r="G69" s="27"/>
      <c r="H69" s="27"/>
      <c r="I69" s="27"/>
      <c r="J69" s="27"/>
      <c r="K69" s="27"/>
      <c r="L69" s="27"/>
      <c r="M69" s="27"/>
      <c r="N69" s="27"/>
      <c r="O69" s="27">
        <v>952.99</v>
      </c>
      <c r="P69" s="27"/>
      <c r="Q69" s="27"/>
      <c r="R69" s="27"/>
      <c r="S69" s="27">
        <v>12700</v>
      </c>
      <c r="T69" s="27"/>
      <c r="U69" s="27"/>
      <c r="V69" s="27"/>
      <c r="W69" s="27" t="s">
        <v>407</v>
      </c>
      <c r="X69" s="27"/>
      <c r="Y69" s="27"/>
      <c r="Z69" s="27"/>
      <c r="AA69" s="27"/>
      <c r="AB69" s="27"/>
      <c r="AC69" s="27"/>
      <c r="AD69" s="27"/>
      <c r="AE69" s="27"/>
      <c r="AF69" s="27"/>
      <c r="AG69" s="27"/>
      <c r="AH69" s="27"/>
      <c r="AI69" s="27"/>
      <c r="AJ69" s="27"/>
      <c r="AK69" s="27"/>
      <c r="AL69" s="27"/>
      <c r="AM69" s="27"/>
      <c r="AN69" s="27"/>
      <c r="AO69" s="27"/>
      <c r="AP69" s="27"/>
      <c r="AQ69" s="27"/>
      <c r="AR69" s="27"/>
      <c r="AS69" s="27"/>
      <c r="AT69" s="27"/>
      <c r="AU69" s="27"/>
      <c r="AV69" s="27"/>
      <c r="AW69" s="27"/>
      <c r="AX69" s="27"/>
      <c r="AY69" s="27"/>
      <c r="AZ69" s="27"/>
      <c r="BA69" s="27"/>
      <c r="BB69" s="27"/>
      <c r="BC69" s="27"/>
      <c r="BD69" s="27"/>
      <c r="BE69" s="27"/>
      <c r="BF69" s="27" t="s">
        <v>439</v>
      </c>
      <c r="BG69" s="27">
        <v>0</v>
      </c>
      <c r="BH69" s="27"/>
      <c r="BI69" s="27"/>
      <c r="BJ69" s="27"/>
      <c r="BK69" s="27"/>
      <c r="BL69" s="27"/>
      <c r="BM69" s="27"/>
      <c r="BN69" s="27"/>
      <c r="BO69" s="27"/>
      <c r="BP69" s="27"/>
      <c r="BQ69" s="27"/>
      <c r="BR69" s="27"/>
      <c r="BS69" s="27"/>
      <c r="BT69" s="27"/>
      <c r="BU69" s="27"/>
      <c r="BV69" s="27"/>
      <c r="BW69" s="27"/>
      <c r="BX69" s="27"/>
      <c r="BY69" s="27"/>
      <c r="BZ69" s="27"/>
      <c r="CA69" s="27"/>
      <c r="CB69" s="27"/>
      <c r="CC69" s="27"/>
      <c r="CD69" s="27"/>
      <c r="CE69" s="27"/>
      <c r="CF69" s="27"/>
      <c r="CG69" s="27"/>
      <c r="CH69" s="27"/>
      <c r="CI69" s="27"/>
      <c r="CJ69" s="27"/>
      <c r="CK69" s="27"/>
      <c r="CL69" s="27"/>
      <c r="CM69" s="27"/>
      <c r="CN69" s="27"/>
      <c r="CO69" s="27"/>
      <c r="CP69" s="27"/>
      <c r="CQ69" s="27"/>
      <c r="CR69" s="27"/>
      <c r="CS69" s="27"/>
      <c r="CT69" s="27"/>
      <c r="CU69" s="27"/>
      <c r="CV69" s="27"/>
      <c r="CW69" s="27"/>
      <c r="CX69" s="27"/>
      <c r="CY69" s="27"/>
      <c r="CZ69" s="27"/>
      <c r="DA69" s="27"/>
      <c r="DB69" s="27"/>
      <c r="DC69" s="27"/>
      <c r="DD69" s="27"/>
      <c r="DE69" s="27"/>
      <c r="DF69" s="27"/>
      <c r="DG69" s="27"/>
      <c r="DH69" s="27"/>
      <c r="DI69" s="27"/>
      <c r="DJ69" s="27"/>
      <c r="DK69" s="27"/>
      <c r="DL69" s="27"/>
      <c r="DM69" s="27"/>
      <c r="DN69" s="27"/>
      <c r="DO69" s="27"/>
      <c r="DP69" s="27"/>
      <c r="DQ69" s="27"/>
      <c r="DR69" s="27"/>
      <c r="DS69" s="27"/>
      <c r="DT69" s="27"/>
    </row>
    <row r="70" spans="2:124" ht="22.5" customHeight="1" x14ac:dyDescent="0.2">
      <c r="B70" s="27"/>
      <c r="C70" s="27"/>
      <c r="D70" s="27"/>
      <c r="E70" s="27"/>
      <c r="F70" s="27"/>
      <c r="G70" s="27"/>
      <c r="H70" s="27"/>
      <c r="I70" s="27"/>
      <c r="J70" s="27"/>
      <c r="K70" s="27"/>
      <c r="L70" s="27"/>
      <c r="M70" s="27"/>
      <c r="N70" s="27"/>
      <c r="O70" s="27">
        <v>755</v>
      </c>
      <c r="P70" s="27"/>
      <c r="Q70" s="27"/>
      <c r="R70" s="27" t="s">
        <v>440</v>
      </c>
      <c r="S70" s="27" t="e">
        <f>VLOOKUP(S69,S72:S88,1,1)</f>
        <v>#N/A</v>
      </c>
      <c r="T70" s="27"/>
      <c r="U70" s="27">
        <v>0.91154550000000001</v>
      </c>
      <c r="V70" s="27"/>
      <c r="W70" s="27"/>
      <c r="X70" s="27"/>
      <c r="Y70" s="27"/>
      <c r="Z70" s="27"/>
      <c r="AA70" s="27"/>
      <c r="AB70" s="27"/>
      <c r="AC70" s="27"/>
      <c r="AD70" s="27"/>
      <c r="AE70" s="27"/>
      <c r="AF70" s="27"/>
      <c r="AG70" s="27"/>
      <c r="AH70" s="27"/>
      <c r="AI70" s="27"/>
      <c r="AJ70" s="27"/>
      <c r="AK70" s="27"/>
      <c r="AL70" s="27"/>
      <c r="AM70" s="27"/>
      <c r="AN70" s="27"/>
      <c r="AO70" s="27"/>
      <c r="AP70" s="27"/>
      <c r="AQ70" s="27"/>
      <c r="AR70" s="27"/>
      <c r="AS70" s="27"/>
      <c r="AT70" s="27"/>
      <c r="AU70" s="27"/>
      <c r="AV70" s="27"/>
      <c r="AW70" s="27"/>
      <c r="AX70" s="27"/>
      <c r="AY70" s="27"/>
      <c r="AZ70" s="27"/>
      <c r="BA70" s="27"/>
      <c r="BB70" s="27"/>
      <c r="BC70" s="27"/>
      <c r="BD70" s="27"/>
      <c r="BE70" s="27"/>
      <c r="BF70" s="27" t="s">
        <v>441</v>
      </c>
      <c r="BG70" s="27">
        <v>0</v>
      </c>
      <c r="BH70" s="27"/>
      <c r="BI70" s="27"/>
      <c r="BJ70" s="27"/>
      <c r="BK70" s="27"/>
      <c r="BL70" s="27"/>
      <c r="BM70" s="27"/>
      <c r="BN70" s="27"/>
      <c r="BO70" s="27"/>
      <c r="BP70" s="27"/>
      <c r="BQ70" s="27"/>
      <c r="BR70" s="27"/>
      <c r="BS70" s="27"/>
      <c r="BT70" s="27"/>
      <c r="BU70" s="27"/>
      <c r="BV70" s="27"/>
      <c r="BW70" s="27"/>
      <c r="BX70" s="27"/>
      <c r="BY70" s="27"/>
      <c r="BZ70" s="27">
        <v>25</v>
      </c>
      <c r="CA70" s="27">
        <v>0.02</v>
      </c>
      <c r="CB70" s="27">
        <v>6441.49</v>
      </c>
      <c r="CC70" s="27">
        <v>6085.3</v>
      </c>
      <c r="CD70" s="27">
        <v>5679.59</v>
      </c>
      <c r="CE70" s="27">
        <v>5427.3</v>
      </c>
      <c r="CF70" s="27">
        <v>4947.3999999999996</v>
      </c>
      <c r="CG70" s="27">
        <v>4304.17</v>
      </c>
      <c r="CH70" s="27">
        <v>4032.04</v>
      </c>
      <c r="CI70" s="27">
        <v>3933.1</v>
      </c>
      <c r="CJ70" s="27">
        <v>3809.43</v>
      </c>
      <c r="CK70" s="27">
        <v>5427.3</v>
      </c>
      <c r="CL70" s="27">
        <v>5046.37</v>
      </c>
      <c r="CM70" s="27">
        <v>4304.17</v>
      </c>
      <c r="CN70" s="27">
        <v>5313.52</v>
      </c>
      <c r="CO70" s="27"/>
      <c r="CP70" s="27"/>
      <c r="CQ70" s="27"/>
      <c r="CR70" s="27"/>
      <c r="CS70" s="27"/>
      <c r="CT70" s="27"/>
      <c r="CU70" s="27"/>
      <c r="CV70" s="27"/>
      <c r="CW70" s="27"/>
      <c r="CX70" s="27"/>
      <c r="CY70" s="27"/>
      <c r="CZ70" s="27"/>
      <c r="DA70" s="27"/>
      <c r="DB70" s="27"/>
      <c r="DC70" s="27"/>
      <c r="DD70" s="27"/>
      <c r="DE70" s="27"/>
      <c r="DF70" s="27"/>
      <c r="DG70" s="27"/>
      <c r="DH70" s="27"/>
      <c r="DI70" s="27"/>
      <c r="DJ70" s="27"/>
      <c r="DK70" s="27"/>
      <c r="DL70" s="27"/>
      <c r="DM70" s="27"/>
      <c r="DN70" s="27"/>
      <c r="DO70" s="27"/>
      <c r="DP70" s="27"/>
      <c r="DQ70" s="27"/>
      <c r="DR70" s="27"/>
      <c r="DS70" s="27"/>
      <c r="DT70" s="27"/>
    </row>
    <row r="71" spans="2:124" ht="15.75" customHeight="1" x14ac:dyDescent="0.2">
      <c r="B71" s="27"/>
      <c r="C71" s="27"/>
      <c r="D71" s="27"/>
      <c r="E71" s="27"/>
      <c r="F71" s="27"/>
      <c r="G71" s="27"/>
      <c r="H71" s="27"/>
      <c r="I71" s="27"/>
      <c r="J71" s="27"/>
      <c r="K71" s="27"/>
      <c r="L71" s="27"/>
      <c r="M71" s="27"/>
      <c r="N71" s="27"/>
      <c r="O71" s="27">
        <v>714</v>
      </c>
      <c r="P71" s="27"/>
      <c r="Q71" s="27"/>
      <c r="R71" s="27" t="s">
        <v>442</v>
      </c>
      <c r="S71" s="27" t="s">
        <v>443</v>
      </c>
      <c r="T71" s="27" t="s">
        <v>9</v>
      </c>
      <c r="U71" s="27" t="s">
        <v>444</v>
      </c>
      <c r="V71" s="27" t="s">
        <v>445</v>
      </c>
      <c r="W71" s="27" t="s">
        <v>446</v>
      </c>
      <c r="X71" s="27">
        <v>1</v>
      </c>
      <c r="Y71" s="27"/>
      <c r="Z71" s="27"/>
      <c r="AA71" s="27"/>
      <c r="AB71" s="27"/>
      <c r="AC71" s="27"/>
      <c r="AD71" s="27"/>
      <c r="AE71" s="27"/>
      <c r="AF71" s="27"/>
      <c r="AG71" s="27"/>
      <c r="AH71" s="27"/>
      <c r="AI71" s="27"/>
      <c r="AJ71" s="27"/>
      <c r="AK71" s="27"/>
      <c r="AL71" s="27"/>
      <c r="AM71" s="27"/>
      <c r="AN71" s="27"/>
      <c r="AO71" s="27"/>
      <c r="AP71" s="27"/>
      <c r="AQ71" s="27"/>
      <c r="AR71" s="27"/>
      <c r="AS71" s="27"/>
      <c r="AT71" s="27"/>
      <c r="AU71" s="27"/>
      <c r="AV71" s="27"/>
      <c r="AW71" s="27"/>
      <c r="AX71" s="27"/>
      <c r="AY71" s="27"/>
      <c r="AZ71" s="27"/>
      <c r="BA71" s="27"/>
      <c r="BB71" s="27"/>
      <c r="BC71" s="27"/>
      <c r="BD71" s="27"/>
      <c r="BE71" s="27"/>
      <c r="BF71" s="27" t="s">
        <v>447</v>
      </c>
      <c r="BG71" s="27" t="s">
        <v>27</v>
      </c>
      <c r="BH71" s="27"/>
      <c r="BI71" s="27"/>
      <c r="BJ71" s="27"/>
      <c r="BK71" s="27"/>
      <c r="BL71" s="27"/>
      <c r="BM71" s="27"/>
      <c r="BN71" s="27"/>
      <c r="BO71" s="27"/>
      <c r="BP71" s="27"/>
      <c r="BQ71" s="27"/>
      <c r="BR71" s="27"/>
      <c r="BS71" s="27"/>
      <c r="BT71" s="27"/>
      <c r="BU71" s="27"/>
      <c r="BV71" s="27"/>
      <c r="BW71" s="27"/>
      <c r="BX71" s="27"/>
      <c r="BY71" s="27"/>
      <c r="BZ71" s="27"/>
      <c r="CA71" s="27"/>
      <c r="CB71" s="27"/>
      <c r="CC71" s="27"/>
      <c r="CD71" s="27"/>
      <c r="CE71" s="27"/>
      <c r="CF71" s="27"/>
      <c r="CG71" s="27"/>
      <c r="CH71" s="27"/>
      <c r="CI71" s="27"/>
      <c r="CJ71" s="27"/>
      <c r="CK71" s="27"/>
      <c r="CL71" s="27"/>
      <c r="CM71" s="27"/>
      <c r="CN71" s="27"/>
      <c r="CO71" s="27"/>
      <c r="CP71" s="27"/>
      <c r="CQ71" s="27"/>
      <c r="CR71" s="27"/>
      <c r="CS71" s="27"/>
      <c r="CT71" s="27"/>
      <c r="CU71" s="27"/>
      <c r="CV71" s="27"/>
      <c r="CW71" s="27"/>
      <c r="CX71" s="27"/>
      <c r="CY71" s="27"/>
      <c r="CZ71" s="27"/>
      <c r="DA71" s="27"/>
      <c r="DB71" s="27"/>
      <c r="DC71" s="27"/>
      <c r="DD71" s="27"/>
      <c r="DE71" s="27"/>
      <c r="DF71" s="27"/>
      <c r="DG71" s="27"/>
      <c r="DH71" s="27"/>
      <c r="DI71" s="27"/>
      <c r="DJ71" s="27"/>
      <c r="DK71" s="27"/>
      <c r="DL71" s="27"/>
      <c r="DM71" s="27"/>
      <c r="DN71" s="27"/>
      <c r="DO71" s="27"/>
      <c r="DP71" s="27"/>
      <c r="DQ71" s="27"/>
      <c r="DR71" s="27"/>
      <c r="DS71" s="27"/>
      <c r="DT71" s="27"/>
    </row>
    <row r="72" spans="2:124" ht="15.75" customHeight="1" x14ac:dyDescent="0.2">
      <c r="B72" s="27"/>
      <c r="C72" s="27"/>
      <c r="D72" s="27"/>
      <c r="E72" s="27"/>
      <c r="F72" s="27"/>
      <c r="G72" s="27"/>
      <c r="H72" s="27"/>
      <c r="I72" s="27"/>
      <c r="J72" s="27"/>
      <c r="K72" s="27"/>
      <c r="L72" s="27"/>
      <c r="M72" s="27"/>
      <c r="N72" s="27"/>
      <c r="O72" s="27">
        <v>628</v>
      </c>
      <c r="P72" s="27"/>
      <c r="Q72" s="27"/>
      <c r="R72" s="27" t="e">
        <f>IF(OR($C$5=$CB$16,$C$5=$CC$16),S72*1.05,S72)</f>
        <v>#N/A</v>
      </c>
      <c r="S72" s="27" t="e">
        <f>VLOOKUP(INT(W18),ofek4,1+2,FALSE)</f>
        <v>#N/A</v>
      </c>
      <c r="T72" s="27" t="e">
        <f>S72*0.75</f>
        <v>#N/A</v>
      </c>
      <c r="U72" s="27" t="e">
        <f t="shared" ref="U72:U88" si="5">T72*$U$70</f>
        <v>#N/A</v>
      </c>
      <c r="V72" s="27" t="e">
        <f t="shared" ref="V72:V88" si="6">U72*$S$64</f>
        <v>#N/A</v>
      </c>
      <c r="W72" s="27">
        <f>BG60</f>
        <v>6</v>
      </c>
      <c r="X72" s="27">
        <v>1.5</v>
      </c>
      <c r="Y72" s="27"/>
      <c r="Z72" s="27"/>
      <c r="AA72" s="27"/>
      <c r="AB72" s="27"/>
      <c r="AC72" s="27"/>
      <c r="AD72" s="27"/>
      <c r="AE72" s="27"/>
      <c r="AF72" s="27"/>
      <c r="AG72" s="27"/>
      <c r="AH72" s="27"/>
      <c r="AI72" s="27"/>
      <c r="AJ72" s="27"/>
      <c r="AK72" s="27"/>
      <c r="AL72" s="27"/>
      <c r="AM72" s="27"/>
      <c r="AN72" s="27"/>
      <c r="AO72" s="27"/>
      <c r="AP72" s="27"/>
      <c r="AQ72" s="27"/>
      <c r="AR72" s="27"/>
      <c r="AS72" s="27"/>
      <c r="AT72" s="27"/>
      <c r="AU72" s="27"/>
      <c r="AV72" s="27"/>
      <c r="AW72" s="27"/>
      <c r="AX72" s="27"/>
      <c r="AY72" s="27"/>
      <c r="AZ72" s="27"/>
      <c r="BA72" s="27"/>
      <c r="BB72" s="27"/>
      <c r="BC72" s="27"/>
      <c r="BD72" s="27"/>
      <c r="BE72" s="27"/>
      <c r="BF72" s="27" t="s">
        <v>251</v>
      </c>
      <c r="BG72" s="27">
        <v>0</v>
      </c>
      <c r="BH72" s="27"/>
      <c r="BI72" s="27"/>
      <c r="BJ72" s="27"/>
      <c r="BK72" s="27"/>
      <c r="BL72" s="27"/>
      <c r="BM72" s="27"/>
      <c r="BN72" s="27"/>
      <c r="BO72" s="27"/>
      <c r="BP72" s="27"/>
      <c r="BQ72" s="27"/>
      <c r="BR72" s="27"/>
      <c r="BS72" s="27"/>
      <c r="BT72" s="27"/>
      <c r="BU72" s="27"/>
      <c r="BV72" s="27"/>
      <c r="BW72" s="27"/>
      <c r="BX72" s="27"/>
      <c r="BY72" s="27"/>
      <c r="BZ72" s="27">
        <v>26</v>
      </c>
      <c r="CA72" s="27">
        <v>0.01</v>
      </c>
      <c r="CB72" s="27">
        <v>6505.9</v>
      </c>
      <c r="CC72" s="27">
        <v>6146.15</v>
      </c>
      <c r="CD72" s="27">
        <v>5736.38</v>
      </c>
      <c r="CE72" s="27">
        <v>5481.57</v>
      </c>
      <c r="CF72" s="27">
        <v>4996.87</v>
      </c>
      <c r="CG72" s="27">
        <v>4347.21</v>
      </c>
      <c r="CH72" s="27">
        <v>4072.36</v>
      </c>
      <c r="CI72" s="27">
        <v>3972.43</v>
      </c>
      <c r="CJ72" s="27">
        <v>3847.52</v>
      </c>
      <c r="CK72" s="27">
        <v>5481.57</v>
      </c>
      <c r="CL72" s="27">
        <v>5096.83</v>
      </c>
      <c r="CM72" s="27">
        <v>4347.21</v>
      </c>
      <c r="CN72" s="27">
        <v>5366.65</v>
      </c>
      <c r="CO72" s="27"/>
      <c r="CP72" s="27"/>
      <c r="CQ72" s="27"/>
      <c r="CR72" s="27"/>
      <c r="CS72" s="27"/>
      <c r="CT72" s="27"/>
      <c r="CU72" s="27"/>
      <c r="CV72" s="27"/>
      <c r="CW72" s="27"/>
      <c r="CX72" s="27"/>
      <c r="CY72" s="27"/>
      <c r="CZ72" s="27"/>
      <c r="DA72" s="27"/>
      <c r="DB72" s="27"/>
      <c r="DC72" s="27"/>
      <c r="DD72" s="27"/>
      <c r="DE72" s="27"/>
      <c r="DF72" s="27"/>
      <c r="DG72" s="27"/>
      <c r="DH72" s="27"/>
      <c r="DI72" s="27"/>
      <c r="DJ72" s="27"/>
      <c r="DK72" s="27"/>
      <c r="DL72" s="27"/>
      <c r="DM72" s="27"/>
      <c r="DN72" s="27"/>
      <c r="DO72" s="27"/>
      <c r="DP72" s="27"/>
      <c r="DQ72" s="27"/>
      <c r="DR72" s="27"/>
      <c r="DS72" s="27"/>
      <c r="DT72" s="27"/>
    </row>
    <row r="73" spans="2:124" ht="15.75" customHeight="1" x14ac:dyDescent="0.2">
      <c r="B73" s="27"/>
      <c r="C73" s="27"/>
      <c r="D73" s="27"/>
      <c r="E73" s="27"/>
      <c r="F73" s="27"/>
      <c r="G73" s="27"/>
      <c r="H73" s="27"/>
      <c r="I73" s="27"/>
      <c r="J73" s="27"/>
      <c r="K73" s="27"/>
      <c r="L73" s="27"/>
      <c r="M73" s="27"/>
      <c r="N73" s="27"/>
      <c r="O73" s="27">
        <v>543</v>
      </c>
      <c r="P73" s="27"/>
      <c r="Q73" s="27"/>
      <c r="R73" s="27" t="e">
        <f>R72*1.0375</f>
        <v>#N/A</v>
      </c>
      <c r="S73" s="27" t="e">
        <f>S72*1.0375</f>
        <v>#N/A</v>
      </c>
      <c r="T73" s="27" t="e">
        <f t="shared" ref="T73:T88" si="7">S73*0.75</f>
        <v>#N/A</v>
      </c>
      <c r="U73" s="27" t="e">
        <f t="shared" si="5"/>
        <v>#N/A</v>
      </c>
      <c r="V73" s="27" t="e">
        <f t="shared" si="6"/>
        <v>#N/A</v>
      </c>
      <c r="W73" s="27" t="e">
        <f>INT(Q10)</f>
        <v>#REF!</v>
      </c>
      <c r="X73" s="27">
        <v>2</v>
      </c>
      <c r="Y73" s="27"/>
      <c r="Z73" s="27"/>
      <c r="AA73" s="27"/>
      <c r="AB73" s="27"/>
      <c r="AC73" s="27"/>
      <c r="AD73" s="27"/>
      <c r="AE73" s="27"/>
      <c r="AF73" s="27"/>
      <c r="AG73" s="27"/>
      <c r="AH73" s="27"/>
      <c r="AI73" s="27"/>
      <c r="AJ73" s="27"/>
      <c r="AK73" s="27"/>
      <c r="AL73" s="27"/>
      <c r="AM73" s="27"/>
      <c r="AN73" s="27"/>
      <c r="AO73" s="27"/>
      <c r="AP73" s="27"/>
      <c r="AQ73" s="27"/>
      <c r="AR73" s="27"/>
      <c r="AS73" s="27"/>
      <c r="AT73" s="27"/>
      <c r="AU73" s="27"/>
      <c r="AV73" s="27"/>
      <c r="AW73" s="27"/>
      <c r="AX73" s="27"/>
      <c r="AY73" s="27"/>
      <c r="AZ73" s="27"/>
      <c r="BA73" s="27"/>
      <c r="BB73" s="27"/>
      <c r="BC73" s="27"/>
      <c r="BD73" s="27"/>
      <c r="BE73" s="27"/>
      <c r="BF73" s="27" t="s">
        <v>376</v>
      </c>
      <c r="BG73" s="27">
        <v>0</v>
      </c>
      <c r="BH73" s="27"/>
      <c r="BI73" s="27"/>
      <c r="BJ73" s="27"/>
      <c r="BK73" s="27"/>
      <c r="BL73" s="27"/>
      <c r="BM73" s="27"/>
      <c r="BN73" s="27"/>
      <c r="BO73" s="27"/>
      <c r="BP73" s="27"/>
      <c r="BQ73" s="27"/>
      <c r="BR73" s="27"/>
      <c r="BS73" s="27"/>
      <c r="BT73" s="27"/>
      <c r="BU73" s="27"/>
      <c r="BV73" s="27"/>
      <c r="BW73" s="27"/>
      <c r="BX73" s="27"/>
      <c r="BY73" s="27"/>
      <c r="BZ73" s="27"/>
      <c r="CA73" s="27"/>
      <c r="CB73" s="27"/>
      <c r="CC73" s="27"/>
      <c r="CD73" s="27"/>
      <c r="CE73" s="27"/>
      <c r="CF73" s="27"/>
      <c r="CG73" s="27"/>
      <c r="CH73" s="27"/>
      <c r="CI73" s="27"/>
      <c r="CJ73" s="27"/>
      <c r="CK73" s="27"/>
      <c r="CL73" s="27"/>
      <c r="CM73" s="27"/>
      <c r="CN73" s="27"/>
      <c r="CO73" s="27"/>
      <c r="CP73" s="27"/>
      <c r="CQ73" s="27"/>
      <c r="CR73" s="27"/>
      <c r="CS73" s="27"/>
      <c r="CT73" s="27"/>
      <c r="CU73" s="27"/>
      <c r="CV73" s="27"/>
      <c r="CW73" s="27"/>
      <c r="CX73" s="27"/>
      <c r="CY73" s="27"/>
      <c r="CZ73" s="27"/>
      <c r="DA73" s="27"/>
      <c r="DB73" s="27"/>
      <c r="DC73" s="27"/>
      <c r="DD73" s="27"/>
      <c r="DE73" s="27"/>
      <c r="DF73" s="27"/>
      <c r="DG73" s="27"/>
      <c r="DH73" s="27"/>
      <c r="DI73" s="27"/>
      <c r="DJ73" s="27"/>
      <c r="DK73" s="27"/>
      <c r="DL73" s="27"/>
      <c r="DM73" s="27"/>
      <c r="DN73" s="27"/>
      <c r="DO73" s="27"/>
      <c r="DP73" s="27"/>
      <c r="DQ73" s="27"/>
      <c r="DR73" s="27"/>
      <c r="DS73" s="27"/>
      <c r="DT73" s="27"/>
    </row>
    <row r="74" spans="2:124" ht="15.75" customHeight="1" x14ac:dyDescent="0.2">
      <c r="B74" s="27"/>
      <c r="C74" s="27"/>
      <c r="D74" s="27"/>
      <c r="E74" s="27"/>
      <c r="F74" s="27"/>
      <c r="G74" s="27"/>
      <c r="H74" s="27"/>
      <c r="I74" s="27" t="s">
        <v>448</v>
      </c>
      <c r="J74" s="27"/>
      <c r="K74" s="27"/>
      <c r="L74" s="27"/>
      <c r="M74" s="27"/>
      <c r="N74" s="27"/>
      <c r="O74" s="27">
        <v>543</v>
      </c>
      <c r="P74" s="27"/>
      <c r="Q74" s="27"/>
      <c r="R74" s="27" t="e">
        <f>IF(OR($C$5=$CB$16,$C$5=$CC$16),S74*1.05,S74)</f>
        <v>#N/A</v>
      </c>
      <c r="S74" s="27" t="e">
        <f>VLOOKUP(INT(W18),ofek4,2+2,FALSE)</f>
        <v>#N/A</v>
      </c>
      <c r="T74" s="27" t="e">
        <f t="shared" si="7"/>
        <v>#N/A</v>
      </c>
      <c r="U74" s="27" t="e">
        <f t="shared" si="5"/>
        <v>#N/A</v>
      </c>
      <c r="V74" s="27" t="e">
        <f t="shared" si="6"/>
        <v>#N/A</v>
      </c>
      <c r="W74" s="27"/>
      <c r="X74" s="27">
        <v>2.5</v>
      </c>
      <c r="Y74" s="27"/>
      <c r="Z74" s="27"/>
      <c r="AA74" s="27"/>
      <c r="AB74" s="27"/>
      <c r="AC74" s="27"/>
      <c r="AD74" s="27"/>
      <c r="AE74" s="27"/>
      <c r="AF74" s="27"/>
      <c r="AG74" s="27"/>
      <c r="AH74" s="27"/>
      <c r="AI74" s="27"/>
      <c r="AJ74" s="27"/>
      <c r="AK74" s="27"/>
      <c r="AL74" s="27"/>
      <c r="AM74" s="27"/>
      <c r="AN74" s="27"/>
      <c r="AO74" s="27"/>
      <c r="AP74" s="27"/>
      <c r="AQ74" s="27"/>
      <c r="AR74" s="27"/>
      <c r="AS74" s="27"/>
      <c r="AT74" s="27"/>
      <c r="AU74" s="27"/>
      <c r="AV74" s="27"/>
      <c r="AW74" s="27"/>
      <c r="AX74" s="27"/>
      <c r="AY74" s="27"/>
      <c r="AZ74" s="27"/>
      <c r="BA74" s="27"/>
      <c r="BB74" s="27"/>
      <c r="BC74" s="27"/>
      <c r="BD74" s="27"/>
      <c r="BE74" s="27"/>
      <c r="BF74" s="27" t="str">
        <f>IF(BG74&lt;0,"ימי מחלה לפדיון","יתרת ימי מחלה")</f>
        <v>יתרת ימי מחלה</v>
      </c>
      <c r="BG74" s="27">
        <v>0</v>
      </c>
      <c r="BH74" s="27"/>
      <c r="BI74" s="27"/>
      <c r="BJ74" s="27"/>
      <c r="BK74" s="27"/>
      <c r="BL74" s="27"/>
      <c r="BM74" s="27"/>
      <c r="BN74" s="27"/>
      <c r="BO74" s="27"/>
      <c r="BP74" s="27"/>
      <c r="BQ74" s="27"/>
      <c r="BR74" s="27"/>
      <c r="BS74" s="27"/>
      <c r="BT74" s="27"/>
      <c r="BU74" s="27"/>
      <c r="BV74" s="27"/>
      <c r="BW74" s="27"/>
      <c r="BX74" s="27"/>
      <c r="BY74" s="27"/>
      <c r="BZ74" s="27">
        <v>27</v>
      </c>
      <c r="CA74" s="27">
        <v>0.01</v>
      </c>
      <c r="CB74" s="27">
        <v>6570.95</v>
      </c>
      <c r="CC74" s="27">
        <v>6207.61</v>
      </c>
      <c r="CD74" s="27">
        <v>5793.74</v>
      </c>
      <c r="CE74" s="27">
        <v>5536.38</v>
      </c>
      <c r="CF74" s="27">
        <v>5046.83</v>
      </c>
      <c r="CG74" s="27">
        <v>4390.68</v>
      </c>
      <c r="CH74" s="27">
        <v>4113.08</v>
      </c>
      <c r="CI74" s="27">
        <v>4012.15</v>
      </c>
      <c r="CJ74" s="27">
        <v>3885.99</v>
      </c>
      <c r="CK74" s="27">
        <v>5536.38</v>
      </c>
      <c r="CL74" s="27">
        <v>5147.79</v>
      </c>
      <c r="CM74" s="27">
        <v>4390.68</v>
      </c>
      <c r="CN74" s="27">
        <v>5420.31</v>
      </c>
      <c r="CO74" s="27"/>
      <c r="CP74" s="27"/>
      <c r="CQ74" s="27"/>
      <c r="CR74" s="27"/>
      <c r="CS74" s="27"/>
      <c r="CT74" s="27"/>
      <c r="CU74" s="27"/>
      <c r="CV74" s="27"/>
      <c r="CW74" s="27"/>
      <c r="CX74" s="27"/>
      <c r="CY74" s="27"/>
      <c r="CZ74" s="27"/>
      <c r="DA74" s="27"/>
      <c r="DB74" s="27"/>
      <c r="DC74" s="27"/>
      <c r="DD74" s="27"/>
      <c r="DE74" s="27"/>
      <c r="DF74" s="27"/>
      <c r="DG74" s="27"/>
      <c r="DH74" s="27"/>
      <c r="DI74" s="27"/>
      <c r="DJ74" s="27"/>
      <c r="DK74" s="27"/>
      <c r="DL74" s="27"/>
      <c r="DM74" s="27"/>
      <c r="DN74" s="27"/>
      <c r="DO74" s="27"/>
      <c r="DP74" s="27"/>
      <c r="DQ74" s="27"/>
      <c r="DR74" s="27"/>
      <c r="DS74" s="27"/>
      <c r="DT74" s="27"/>
    </row>
    <row r="75" spans="2:124" ht="21" customHeight="1" x14ac:dyDescent="0.2">
      <c r="B75" s="27"/>
      <c r="C75" s="27"/>
      <c r="D75" s="27"/>
      <c r="E75" s="27"/>
      <c r="F75" s="27"/>
      <c r="G75" s="27"/>
      <c r="H75" s="27"/>
      <c r="I75" s="27">
        <f>C25+D25+E25</f>
        <v>1</v>
      </c>
      <c r="J75" s="27"/>
      <c r="K75" s="27">
        <f>D25*0.1</f>
        <v>0</v>
      </c>
      <c r="L75" s="27">
        <f>E25*1</f>
        <v>0</v>
      </c>
      <c r="M75" s="27"/>
      <c r="N75" s="27"/>
      <c r="O75" s="27">
        <v>543</v>
      </c>
      <c r="P75" s="27"/>
      <c r="Q75" s="27"/>
      <c r="R75" s="27" t="e">
        <f>R74*1.0375</f>
        <v>#N/A</v>
      </c>
      <c r="S75" s="27" t="e">
        <f>S74*1.0375</f>
        <v>#N/A</v>
      </c>
      <c r="T75" s="27" t="e">
        <f t="shared" si="7"/>
        <v>#N/A</v>
      </c>
      <c r="U75" s="27" t="e">
        <f t="shared" si="5"/>
        <v>#N/A</v>
      </c>
      <c r="V75" s="27" t="e">
        <f t="shared" si="6"/>
        <v>#N/A</v>
      </c>
      <c r="W75" s="27"/>
      <c r="X75" s="27">
        <v>3</v>
      </c>
      <c r="Y75" s="27"/>
      <c r="Z75" s="27"/>
      <c r="AA75" s="27"/>
      <c r="AB75" s="27"/>
      <c r="AC75" s="27"/>
      <c r="AD75" s="27"/>
      <c r="AE75" s="27"/>
      <c r="AF75" s="27"/>
      <c r="AG75" s="27"/>
      <c r="AH75" s="27"/>
      <c r="AI75" s="27"/>
      <c r="AJ75" s="27"/>
      <c r="AK75" s="27"/>
      <c r="AL75" s="27"/>
      <c r="AM75" s="27"/>
      <c r="AN75" s="27"/>
      <c r="AO75" s="27"/>
      <c r="AP75" s="27"/>
      <c r="AQ75" s="27"/>
      <c r="AR75" s="27"/>
      <c r="AS75" s="27"/>
      <c r="AT75" s="27"/>
      <c r="AU75" s="27"/>
      <c r="AV75" s="27"/>
      <c r="AW75" s="27"/>
      <c r="AX75" s="27"/>
      <c r="AY75" s="27"/>
      <c r="AZ75" s="27"/>
      <c r="BA75" s="27"/>
      <c r="BB75" s="27"/>
      <c r="BC75" s="27"/>
      <c r="BD75" s="27"/>
      <c r="BE75" s="27"/>
      <c r="BF75" s="27" t="str">
        <f>IF(BG75&lt;0,"ימי חופש לפדיון","יתרת ימי חופש")</f>
        <v>יתרת ימי חופש</v>
      </c>
      <c r="BG75" s="27">
        <v>0</v>
      </c>
      <c r="BH75" s="27"/>
      <c r="BI75" s="27"/>
      <c r="BJ75" s="27"/>
      <c r="BK75" s="27"/>
      <c r="BL75" s="27"/>
      <c r="BM75" s="27"/>
      <c r="BN75" s="27"/>
      <c r="BO75" s="27"/>
      <c r="BP75" s="27"/>
      <c r="BQ75" s="27"/>
      <c r="BR75" s="27"/>
      <c r="BS75" s="27"/>
      <c r="BT75" s="27"/>
      <c r="BU75" s="27"/>
      <c r="BV75" s="27"/>
      <c r="BW75" s="27"/>
      <c r="BX75" s="27"/>
      <c r="BY75" s="27"/>
      <c r="BZ75" s="27"/>
      <c r="CA75" s="27"/>
      <c r="CB75" s="27"/>
      <c r="CC75" s="27"/>
      <c r="CD75" s="27"/>
      <c r="CE75" s="27"/>
      <c r="CF75" s="27"/>
      <c r="CG75" s="27"/>
      <c r="CH75" s="27"/>
      <c r="CI75" s="27"/>
      <c r="CJ75" s="27"/>
      <c r="CK75" s="27"/>
      <c r="CL75" s="27"/>
      <c r="CM75" s="27"/>
      <c r="CN75" s="27"/>
      <c r="CO75" s="27"/>
      <c r="CP75" s="27"/>
      <c r="CQ75" s="27"/>
      <c r="CR75" s="27"/>
      <c r="CS75" s="27"/>
      <c r="CT75" s="27"/>
      <c r="CU75" s="27"/>
      <c r="CV75" s="27"/>
      <c r="CW75" s="27"/>
      <c r="CX75" s="27"/>
      <c r="CY75" s="27"/>
      <c r="CZ75" s="27"/>
      <c r="DA75" s="27"/>
      <c r="DB75" s="27"/>
      <c r="DC75" s="27"/>
      <c r="DD75" s="27"/>
      <c r="DE75" s="27"/>
      <c r="DF75" s="27"/>
      <c r="DG75" s="27"/>
      <c r="DH75" s="27"/>
      <c r="DI75" s="27"/>
      <c r="DJ75" s="27"/>
      <c r="DK75" s="27"/>
      <c r="DL75" s="27"/>
      <c r="DM75" s="27"/>
      <c r="DN75" s="27"/>
      <c r="DO75" s="27"/>
      <c r="DP75" s="27"/>
      <c r="DQ75" s="27"/>
      <c r="DR75" s="27"/>
      <c r="DS75" s="27"/>
      <c r="DT75" s="27"/>
    </row>
    <row r="76" spans="2:124" ht="15.75" customHeight="1" x14ac:dyDescent="0.2">
      <c r="B76" s="27"/>
      <c r="C76" s="27"/>
      <c r="D76" s="27"/>
      <c r="E76" s="27"/>
      <c r="F76" s="27"/>
      <c r="G76" s="27"/>
      <c r="H76" s="27"/>
      <c r="I76" s="27"/>
      <c r="J76" s="27"/>
      <c r="K76" s="27"/>
      <c r="L76" s="27"/>
      <c r="M76" s="27"/>
      <c r="N76" s="27"/>
      <c r="O76" s="27">
        <v>543</v>
      </c>
      <c r="P76" s="27"/>
      <c r="Q76" s="27"/>
      <c r="R76" s="27" t="e">
        <f>IF(OR($C$5=$CB$16,$C$5=$CC$16),S76*1.05,S76)</f>
        <v>#N/A</v>
      </c>
      <c r="S76" s="27" t="e">
        <f>VLOOKUP(INT(W18),ofek4,3+2,FALSE)</f>
        <v>#N/A</v>
      </c>
      <c r="T76" s="27" t="e">
        <f t="shared" si="7"/>
        <v>#N/A</v>
      </c>
      <c r="U76" s="27" t="e">
        <f t="shared" si="5"/>
        <v>#N/A</v>
      </c>
      <c r="V76" s="27" t="e">
        <f t="shared" si="6"/>
        <v>#N/A</v>
      </c>
      <c r="W76" s="27"/>
      <c r="X76" s="27">
        <v>3.5</v>
      </c>
      <c r="Y76" s="27"/>
      <c r="Z76" s="27"/>
      <c r="AA76" s="27"/>
      <c r="AB76" s="27"/>
      <c r="AC76" s="27"/>
      <c r="AD76" s="27"/>
      <c r="AE76" s="27"/>
      <c r="AF76" s="27"/>
      <c r="AG76" s="27"/>
      <c r="AH76" s="27"/>
      <c r="AI76" s="27"/>
      <c r="AJ76" s="27"/>
      <c r="AK76" s="27"/>
      <c r="AL76" s="27"/>
      <c r="AM76" s="27"/>
      <c r="AN76" s="27"/>
      <c r="AO76" s="27"/>
      <c r="AP76" s="27"/>
      <c r="AQ76" s="27"/>
      <c r="AR76" s="27"/>
      <c r="AS76" s="27"/>
      <c r="AT76" s="27"/>
      <c r="AU76" s="27"/>
      <c r="AV76" s="27"/>
      <c r="AW76" s="27"/>
      <c r="AX76" s="27"/>
      <c r="AY76" s="27"/>
      <c r="AZ76" s="27"/>
      <c r="BA76" s="27"/>
      <c r="BB76" s="27"/>
      <c r="BC76" s="27"/>
      <c r="BD76" s="27"/>
      <c r="BE76" s="27"/>
      <c r="BF76" s="27" t="s">
        <v>449</v>
      </c>
      <c r="BG76" s="27">
        <v>2.75</v>
      </c>
      <c r="BH76" s="27"/>
      <c r="BI76" s="27"/>
      <c r="BJ76" s="27"/>
      <c r="BK76" s="27"/>
      <c r="BL76" s="27"/>
      <c r="BM76" s="27"/>
      <c r="BN76" s="27"/>
      <c r="BO76" s="27"/>
      <c r="BP76" s="27"/>
      <c r="BQ76" s="27"/>
      <c r="BR76" s="27"/>
      <c r="BS76" s="27"/>
      <c r="BT76" s="27"/>
      <c r="BU76" s="27"/>
      <c r="BV76" s="27"/>
      <c r="BW76" s="27"/>
      <c r="BX76" s="27"/>
      <c r="BY76" s="27"/>
      <c r="BZ76" s="27">
        <v>28</v>
      </c>
      <c r="CA76" s="27">
        <v>0.01</v>
      </c>
      <c r="CB76" s="27">
        <v>6636.65</v>
      </c>
      <c r="CC76" s="27">
        <v>6269.68</v>
      </c>
      <c r="CD76" s="27">
        <v>5851.67</v>
      </c>
      <c r="CE76" s="27">
        <v>5591.74</v>
      </c>
      <c r="CF76" s="27">
        <v>5097.29</v>
      </c>
      <c r="CG76" s="27">
        <v>4434.58</v>
      </c>
      <c r="CH76" s="27">
        <v>4154.21</v>
      </c>
      <c r="CI76" s="27">
        <v>4052.27</v>
      </c>
      <c r="CJ76" s="27">
        <v>3924.84</v>
      </c>
      <c r="CK76" s="27">
        <v>5591.74</v>
      </c>
      <c r="CL76" s="27">
        <v>5199.26</v>
      </c>
      <c r="CM76" s="27">
        <v>4434.58</v>
      </c>
      <c r="CN76" s="27">
        <v>5474.51</v>
      </c>
      <c r="CO76" s="27"/>
      <c r="CP76" s="27"/>
      <c r="CQ76" s="27"/>
      <c r="CR76" s="27"/>
      <c r="CS76" s="27"/>
      <c r="CT76" s="27"/>
      <c r="CU76" s="27"/>
      <c r="CV76" s="27"/>
      <c r="CW76" s="27"/>
      <c r="CX76" s="27"/>
      <c r="CY76" s="27"/>
      <c r="CZ76" s="27"/>
      <c r="DA76" s="27"/>
      <c r="DB76" s="27"/>
      <c r="DC76" s="27"/>
      <c r="DD76" s="27"/>
      <c r="DE76" s="27"/>
      <c r="DF76" s="27"/>
      <c r="DG76" s="27"/>
      <c r="DH76" s="27"/>
      <c r="DI76" s="27"/>
      <c r="DJ76" s="27"/>
      <c r="DK76" s="27"/>
      <c r="DL76" s="27"/>
      <c r="DM76" s="27"/>
      <c r="DN76" s="27"/>
      <c r="DO76" s="27"/>
      <c r="DP76" s="27"/>
      <c r="DQ76" s="27"/>
      <c r="DR76" s="27"/>
      <c r="DS76" s="27"/>
      <c r="DT76" s="27"/>
    </row>
    <row r="77" spans="2:124" ht="15.75" customHeight="1" x14ac:dyDescent="0.2">
      <c r="B77" s="27"/>
      <c r="C77" s="27"/>
      <c r="D77" s="27"/>
      <c r="E77" s="27"/>
      <c r="F77" s="27"/>
      <c r="G77" s="27"/>
      <c r="H77" s="27"/>
      <c r="I77" s="27"/>
      <c r="J77" s="27"/>
      <c r="K77" s="27">
        <f>I75+K75+L75</f>
        <v>1</v>
      </c>
      <c r="L77" s="27"/>
      <c r="M77" s="27"/>
      <c r="N77" s="27"/>
      <c r="O77" s="27">
        <v>543</v>
      </c>
      <c r="P77" s="27"/>
      <c r="Q77" s="27"/>
      <c r="R77" s="27" t="e">
        <f>R76*1.0375</f>
        <v>#N/A</v>
      </c>
      <c r="S77" s="27" t="e">
        <f>S76*1.0375</f>
        <v>#N/A</v>
      </c>
      <c r="T77" s="27" t="e">
        <f t="shared" si="7"/>
        <v>#N/A</v>
      </c>
      <c r="U77" s="27" t="e">
        <f t="shared" si="5"/>
        <v>#N/A</v>
      </c>
      <c r="V77" s="27" t="e">
        <f t="shared" si="6"/>
        <v>#N/A</v>
      </c>
      <c r="W77" s="27"/>
      <c r="X77" s="27">
        <v>4</v>
      </c>
      <c r="Y77" s="27"/>
      <c r="Z77" s="27"/>
      <c r="AA77" s="27"/>
      <c r="AB77" s="27"/>
      <c r="AC77" s="27"/>
      <c r="AD77" s="27"/>
      <c r="AE77" s="27"/>
      <c r="AF77" s="27"/>
      <c r="AG77" s="27"/>
      <c r="AH77" s="27"/>
      <c r="AI77" s="27"/>
      <c r="AJ77" s="27"/>
      <c r="AK77" s="27"/>
      <c r="AL77" s="27"/>
      <c r="AM77" s="27"/>
      <c r="AN77" s="27"/>
      <c r="AO77" s="27"/>
      <c r="AP77" s="27"/>
      <c r="AQ77" s="27"/>
      <c r="AR77" s="27"/>
      <c r="AS77" s="27"/>
      <c r="AT77" s="27"/>
      <c r="AU77" s="27"/>
      <c r="AV77" s="27"/>
      <c r="AW77" s="27"/>
      <c r="AX77" s="27"/>
      <c r="AY77" s="27"/>
      <c r="AZ77" s="27"/>
      <c r="BA77" s="27"/>
      <c r="BB77" s="27"/>
      <c r="BC77" s="27"/>
      <c r="BD77" s="27"/>
      <c r="BE77" s="27"/>
      <c r="BF77" s="27" t="s">
        <v>451</v>
      </c>
      <c r="BG77" s="27">
        <v>138000</v>
      </c>
      <c r="BH77" s="27"/>
      <c r="BI77" s="27"/>
      <c r="BJ77" s="27"/>
      <c r="BK77" s="27"/>
      <c r="BL77" s="27"/>
      <c r="BM77" s="27"/>
      <c r="BN77" s="27"/>
      <c r="BO77" s="27"/>
      <c r="BP77" s="27"/>
      <c r="BQ77" s="27"/>
      <c r="BR77" s="27"/>
      <c r="BS77" s="27"/>
      <c r="BT77" s="27"/>
      <c r="BU77" s="27"/>
      <c r="BV77" s="27"/>
      <c r="BW77" s="27"/>
      <c r="BX77" s="27"/>
      <c r="BY77" s="27"/>
      <c r="BZ77" s="27"/>
      <c r="CA77" s="27"/>
      <c r="CB77" s="27"/>
      <c r="CC77" s="27"/>
      <c r="CD77" s="27"/>
      <c r="CE77" s="27"/>
      <c r="CF77" s="27"/>
      <c r="CG77" s="27"/>
      <c r="CH77" s="27"/>
      <c r="CI77" s="27"/>
      <c r="CJ77" s="27"/>
      <c r="CK77" s="27"/>
      <c r="CL77" s="27"/>
      <c r="CM77" s="27"/>
      <c r="CN77" s="27"/>
      <c r="CO77" s="27"/>
      <c r="CP77" s="27"/>
      <c r="CQ77" s="27"/>
      <c r="CR77" s="27"/>
      <c r="CS77" s="27"/>
      <c r="CT77" s="27"/>
      <c r="CU77" s="27"/>
      <c r="CV77" s="27"/>
      <c r="CW77" s="27"/>
      <c r="CX77" s="27"/>
      <c r="CY77" s="27"/>
      <c r="CZ77" s="27"/>
      <c r="DA77" s="27"/>
      <c r="DB77" s="27"/>
      <c r="DC77" s="27"/>
      <c r="DD77" s="27"/>
      <c r="DE77" s="27"/>
      <c r="DF77" s="27"/>
      <c r="DG77" s="27"/>
      <c r="DH77" s="27"/>
      <c r="DI77" s="27"/>
      <c r="DJ77" s="27"/>
      <c r="DK77" s="27"/>
      <c r="DL77" s="27"/>
      <c r="DM77" s="27"/>
      <c r="DN77" s="27"/>
      <c r="DO77" s="27"/>
      <c r="DP77" s="27"/>
      <c r="DQ77" s="27"/>
      <c r="DR77" s="27"/>
      <c r="DS77" s="27"/>
      <c r="DT77" s="27"/>
    </row>
    <row r="78" spans="2:124" ht="15.75" customHeight="1" x14ac:dyDescent="0.2">
      <c r="B78" s="27"/>
      <c r="C78" s="27"/>
      <c r="D78" s="27"/>
      <c r="E78" s="27"/>
      <c r="F78" s="27"/>
      <c r="G78" s="27"/>
      <c r="H78" s="27"/>
      <c r="I78" s="27"/>
      <c r="J78" s="27"/>
      <c r="K78" s="27"/>
      <c r="L78" s="27"/>
      <c r="M78" s="27"/>
      <c r="N78" s="27"/>
      <c r="O78" s="27">
        <v>543</v>
      </c>
      <c r="P78" s="27"/>
      <c r="Q78" s="27"/>
      <c r="R78" s="27" t="e">
        <f>IF(OR($C$5=$CB$16,$C$5=$CC$16),S78*1.05,S78)</f>
        <v>#N/A</v>
      </c>
      <c r="S78" s="27" t="e">
        <f>VLOOKUP(INT(W18),ofek4,4+2,FALSE)</f>
        <v>#N/A</v>
      </c>
      <c r="T78" s="27" t="e">
        <f t="shared" si="7"/>
        <v>#N/A</v>
      </c>
      <c r="U78" s="27" t="e">
        <f t="shared" si="5"/>
        <v>#N/A</v>
      </c>
      <c r="V78" s="27" t="e">
        <f t="shared" si="6"/>
        <v>#N/A</v>
      </c>
      <c r="W78" s="27">
        <f>INT(BG73)</f>
        <v>0</v>
      </c>
      <c r="X78" s="27">
        <v>4.5</v>
      </c>
      <c r="Y78" s="27"/>
      <c r="Z78" s="27"/>
      <c r="AA78" s="27"/>
      <c r="AB78" s="27"/>
      <c r="AC78" s="27"/>
      <c r="AD78" s="27"/>
      <c r="AE78" s="27"/>
      <c r="AF78" s="27"/>
      <c r="AG78" s="27"/>
      <c r="AH78" s="27"/>
      <c r="AI78" s="27"/>
      <c r="AJ78" s="27"/>
      <c r="AK78" s="27"/>
      <c r="AL78" s="27"/>
      <c r="AM78" s="27"/>
      <c r="AN78" s="27"/>
      <c r="AO78" s="27"/>
      <c r="AP78" s="27"/>
      <c r="AQ78" s="27"/>
      <c r="AR78" s="27"/>
      <c r="AS78" s="27"/>
      <c r="AT78" s="27"/>
      <c r="AU78" s="27"/>
      <c r="AV78" s="27"/>
      <c r="AW78" s="27"/>
      <c r="AX78" s="27"/>
      <c r="AY78" s="27"/>
      <c r="AZ78" s="27"/>
      <c r="BA78" s="27"/>
      <c r="BB78" s="27"/>
      <c r="BC78" s="27"/>
      <c r="BD78" s="27"/>
      <c r="BE78" s="27"/>
      <c r="BF78" s="27"/>
      <c r="BG78" s="27"/>
      <c r="BH78" s="27"/>
      <c r="BI78" s="27"/>
      <c r="BJ78" s="27"/>
      <c r="BK78" s="27"/>
      <c r="BL78" s="27"/>
      <c r="BM78" s="27"/>
      <c r="BN78" s="27"/>
      <c r="BO78" s="27"/>
      <c r="BP78" s="27"/>
      <c r="BQ78" s="27"/>
      <c r="BR78" s="27"/>
      <c r="BS78" s="27"/>
      <c r="BT78" s="27"/>
      <c r="BU78" s="27"/>
      <c r="BV78" s="27"/>
      <c r="BW78" s="27"/>
      <c r="BX78" s="27"/>
      <c r="BY78" s="27"/>
      <c r="BZ78" s="27">
        <v>29</v>
      </c>
      <c r="CA78" s="27">
        <v>0.01</v>
      </c>
      <c r="CB78" s="27">
        <v>6703.01</v>
      </c>
      <c r="CC78" s="27">
        <v>6332.37</v>
      </c>
      <c r="CD78" s="27">
        <v>5910.18</v>
      </c>
      <c r="CE78" s="27">
        <v>5647.65</v>
      </c>
      <c r="CF78" s="27">
        <v>5148.26</v>
      </c>
      <c r="CG78" s="27">
        <v>4478.92</v>
      </c>
      <c r="CH78" s="27">
        <v>4195.75</v>
      </c>
      <c r="CI78" s="27">
        <v>4092.79</v>
      </c>
      <c r="CJ78" s="27">
        <v>3964.08</v>
      </c>
      <c r="CK78" s="27">
        <v>5647.65</v>
      </c>
      <c r="CL78" s="27">
        <v>5251.25</v>
      </c>
      <c r="CM78" s="27">
        <v>4478.92</v>
      </c>
      <c r="CN78" s="27">
        <v>5529.25</v>
      </c>
      <c r="CO78" s="27"/>
      <c r="CP78" s="27"/>
      <c r="CQ78" s="27"/>
      <c r="CR78" s="27"/>
      <c r="CS78" s="27"/>
      <c r="CT78" s="27"/>
      <c r="CU78" s="27"/>
      <c r="CV78" s="27"/>
      <c r="CW78" s="27"/>
      <c r="CX78" s="27"/>
      <c r="CY78" s="27"/>
      <c r="CZ78" s="27"/>
      <c r="DA78" s="27"/>
      <c r="DB78" s="27"/>
      <c r="DC78" s="27"/>
      <c r="DD78" s="27"/>
      <c r="DE78" s="27"/>
      <c r="DF78" s="27"/>
      <c r="DG78" s="27"/>
      <c r="DH78" s="27"/>
      <c r="DI78" s="27"/>
      <c r="DJ78" s="27"/>
      <c r="DK78" s="27"/>
      <c r="DL78" s="27"/>
      <c r="DM78" s="27"/>
      <c r="DN78" s="27"/>
      <c r="DO78" s="27"/>
      <c r="DP78" s="27"/>
      <c r="DQ78" s="27"/>
      <c r="DR78" s="27"/>
      <c r="DS78" s="27"/>
      <c r="DT78" s="27"/>
    </row>
    <row r="79" spans="2:124" ht="15.75" customHeight="1" x14ac:dyDescent="0.2">
      <c r="B79" s="27"/>
      <c r="C79" s="27"/>
      <c r="D79" s="27"/>
      <c r="E79" s="27"/>
      <c r="F79" s="27"/>
      <c r="G79" s="27"/>
      <c r="H79" s="27"/>
      <c r="I79" s="27"/>
      <c r="J79" s="27"/>
      <c r="K79" s="27"/>
      <c r="L79" s="27"/>
      <c r="M79" s="27"/>
      <c r="N79" s="27"/>
      <c r="O79" s="27">
        <v>543</v>
      </c>
      <c r="P79" s="27"/>
      <c r="Q79" s="27"/>
      <c r="R79" s="27" t="e">
        <f>R78*1.0375</f>
        <v>#N/A</v>
      </c>
      <c r="S79" s="27" t="e">
        <f>S78*1.0375</f>
        <v>#N/A</v>
      </c>
      <c r="T79" s="27" t="e">
        <f t="shared" si="7"/>
        <v>#N/A</v>
      </c>
      <c r="U79" s="27" t="e">
        <f t="shared" si="5"/>
        <v>#N/A</v>
      </c>
      <c r="V79" s="27" t="e">
        <f t="shared" si="6"/>
        <v>#N/A</v>
      </c>
      <c r="W79" s="27">
        <f>INT(Q16)</f>
        <v>0</v>
      </c>
      <c r="X79" s="27">
        <v>5</v>
      </c>
      <c r="Y79" s="27"/>
      <c r="Z79" s="27"/>
      <c r="AA79" s="27"/>
      <c r="AB79" s="27"/>
      <c r="AC79" s="27"/>
      <c r="AD79" s="27"/>
      <c r="AE79" s="27"/>
      <c r="AF79" s="27"/>
      <c r="AG79" s="27"/>
      <c r="AH79" s="27"/>
      <c r="AI79" s="27"/>
      <c r="AJ79" s="27"/>
      <c r="AK79" s="27"/>
      <c r="AL79" s="27"/>
      <c r="AM79" s="27"/>
      <c r="AN79" s="27"/>
      <c r="AO79" s="27"/>
      <c r="AP79" s="27"/>
      <c r="AQ79" s="27"/>
      <c r="AR79" s="27"/>
      <c r="AS79" s="27"/>
      <c r="AT79" s="27"/>
      <c r="AU79" s="27"/>
      <c r="AV79" s="27"/>
      <c r="AW79" s="27"/>
      <c r="AX79" s="27"/>
      <c r="AY79" s="27"/>
      <c r="AZ79" s="27"/>
      <c r="BA79" s="27"/>
      <c r="BB79" s="27"/>
      <c r="BC79" s="27"/>
      <c r="BD79" s="27"/>
      <c r="BE79" s="27"/>
      <c r="BF79" s="27"/>
      <c r="BG79" s="27"/>
      <c r="BH79" s="27"/>
      <c r="BI79" s="27"/>
      <c r="BJ79" s="27"/>
      <c r="BK79" s="27"/>
      <c r="BL79" s="27"/>
      <c r="BM79" s="27"/>
      <c r="BN79" s="27"/>
      <c r="BO79" s="27"/>
      <c r="BP79" s="27"/>
      <c r="BQ79" s="27"/>
      <c r="BR79" s="27"/>
      <c r="BS79" s="27"/>
      <c r="BT79" s="27"/>
      <c r="BU79" s="27"/>
      <c r="BV79" s="27"/>
      <c r="BW79" s="27"/>
      <c r="BX79" s="27"/>
      <c r="BY79" s="27"/>
      <c r="BZ79" s="27"/>
      <c r="CA79" s="27"/>
      <c r="CB79" s="27"/>
      <c r="CC79" s="27"/>
      <c r="CD79" s="27"/>
      <c r="CE79" s="27"/>
      <c r="CF79" s="27"/>
      <c r="CG79" s="27"/>
      <c r="CH79" s="27"/>
      <c r="CI79" s="27"/>
      <c r="CJ79" s="27"/>
      <c r="CK79" s="27"/>
      <c r="CL79" s="27"/>
      <c r="CM79" s="27"/>
      <c r="CN79" s="27"/>
      <c r="CO79" s="27"/>
      <c r="CP79" s="27"/>
      <c r="CQ79" s="27"/>
      <c r="CR79" s="27"/>
      <c r="CS79" s="27"/>
      <c r="CT79" s="27"/>
      <c r="CU79" s="27"/>
      <c r="CV79" s="27"/>
      <c r="CW79" s="27"/>
      <c r="CX79" s="27"/>
      <c r="CY79" s="27"/>
      <c r="CZ79" s="27"/>
      <c r="DA79" s="27"/>
      <c r="DB79" s="27"/>
      <c r="DC79" s="27"/>
      <c r="DD79" s="27"/>
      <c r="DE79" s="27"/>
      <c r="DF79" s="27"/>
      <c r="DG79" s="27"/>
      <c r="DH79" s="27"/>
      <c r="DI79" s="27"/>
      <c r="DJ79" s="27"/>
      <c r="DK79" s="27"/>
      <c r="DL79" s="27"/>
      <c r="DM79" s="27"/>
      <c r="DN79" s="27"/>
      <c r="DO79" s="27"/>
      <c r="DP79" s="27"/>
      <c r="DQ79" s="27"/>
      <c r="DR79" s="27"/>
      <c r="DS79" s="27"/>
      <c r="DT79" s="27"/>
    </row>
    <row r="80" spans="2:124" ht="15.75" customHeight="1" x14ac:dyDescent="0.2">
      <c r="B80" s="27"/>
      <c r="C80" s="27"/>
      <c r="D80" s="27"/>
      <c r="E80" s="27"/>
      <c r="F80" s="27"/>
      <c r="G80" s="27"/>
      <c r="H80" s="27"/>
      <c r="I80" s="27"/>
      <c r="J80" s="27"/>
      <c r="K80" s="27"/>
      <c r="L80" s="27"/>
      <c r="M80" s="27" t="s">
        <v>453</v>
      </c>
      <c r="N80" s="27"/>
      <c r="O80" s="27">
        <v>543</v>
      </c>
      <c r="P80" s="27"/>
      <c r="Q80" s="27"/>
      <c r="R80" s="27" t="e">
        <f>IF(OR($C$5=$CB$16,$C$5=$CC$16),S80*1.05,S80)</f>
        <v>#N/A</v>
      </c>
      <c r="S80" s="27" t="e">
        <f>VLOOKUP(INT(W18),ofek4,5+2,FALSE)</f>
        <v>#N/A</v>
      </c>
      <c r="T80" s="27" t="e">
        <f t="shared" si="7"/>
        <v>#N/A</v>
      </c>
      <c r="U80" s="27" t="e">
        <f t="shared" si="5"/>
        <v>#N/A</v>
      </c>
      <c r="V80" s="27" t="e">
        <f t="shared" si="6"/>
        <v>#N/A</v>
      </c>
      <c r="W80" s="27">
        <f>INT(BG66)</f>
        <v>0</v>
      </c>
      <c r="X80" s="27">
        <v>5.5</v>
      </c>
      <c r="Y80" s="27"/>
      <c r="Z80" s="27"/>
      <c r="AA80" s="27"/>
      <c r="AB80" s="27"/>
      <c r="AC80" s="27"/>
      <c r="AD80" s="27"/>
      <c r="AE80" s="27"/>
      <c r="AF80" s="27"/>
      <c r="AG80" s="27"/>
      <c r="AH80" s="27"/>
      <c r="AI80" s="27"/>
      <c r="AJ80" s="27"/>
      <c r="AK80" s="27"/>
      <c r="AL80" s="27"/>
      <c r="AM80" s="27"/>
      <c r="AN80" s="27"/>
      <c r="AO80" s="27"/>
      <c r="AP80" s="27"/>
      <c r="AQ80" s="27"/>
      <c r="AR80" s="27"/>
      <c r="AS80" s="27"/>
      <c r="AT80" s="27"/>
      <c r="AU80" s="27"/>
      <c r="AV80" s="27"/>
      <c r="AW80" s="27"/>
      <c r="AX80" s="27"/>
      <c r="AY80" s="27"/>
      <c r="AZ80" s="27"/>
      <c r="BA80" s="27"/>
      <c r="BB80" s="27"/>
      <c r="BC80" s="27"/>
      <c r="BD80" s="27"/>
      <c r="BE80" s="27"/>
      <c r="BF80" s="27"/>
      <c r="BG80" s="27"/>
      <c r="BH80" s="27"/>
      <c r="BI80" s="27"/>
      <c r="BJ80" s="27"/>
      <c r="BK80" s="27"/>
      <c r="BL80" s="27"/>
      <c r="BM80" s="27"/>
      <c r="BN80" s="27"/>
      <c r="BO80" s="27"/>
      <c r="BP80" s="27"/>
      <c r="BQ80" s="27"/>
      <c r="BR80" s="27"/>
      <c r="BS80" s="27"/>
      <c r="BT80" s="27"/>
      <c r="BU80" s="27"/>
      <c r="BV80" s="27"/>
      <c r="BW80" s="27"/>
      <c r="BX80" s="27"/>
      <c r="BY80" s="27"/>
      <c r="BZ80" s="27">
        <v>30</v>
      </c>
      <c r="CA80" s="27">
        <v>0.01</v>
      </c>
      <c r="CB80" s="27">
        <v>6770.04</v>
      </c>
      <c r="CC80" s="27">
        <v>6395.69</v>
      </c>
      <c r="CD80" s="27">
        <v>5969.28</v>
      </c>
      <c r="CE80" s="27">
        <v>5704.12</v>
      </c>
      <c r="CF80" s="27">
        <v>5199.74</v>
      </c>
      <c r="CG80" s="27">
        <v>4523.7</v>
      </c>
      <c r="CH80" s="27">
        <v>4237.7</v>
      </c>
      <c r="CI80" s="27">
        <v>4133.71</v>
      </c>
      <c r="CJ80" s="27">
        <v>4003.72</v>
      </c>
      <c r="CK80" s="27">
        <v>5704.12</v>
      </c>
      <c r="CL80" s="27">
        <v>5303.76</v>
      </c>
      <c r="CM80" s="27">
        <v>4523.7</v>
      </c>
      <c r="CN80" s="27">
        <v>5584.54</v>
      </c>
      <c r="CO80" s="27"/>
      <c r="CP80" s="27"/>
      <c r="CQ80" s="27"/>
      <c r="CR80" s="27"/>
      <c r="CS80" s="27"/>
      <c r="CT80" s="27"/>
      <c r="CU80" s="27"/>
      <c r="CV80" s="27"/>
      <c r="CW80" s="27"/>
      <c r="CX80" s="27"/>
      <c r="CY80" s="27"/>
      <c r="CZ80" s="27"/>
      <c r="DA80" s="27"/>
      <c r="DB80" s="27"/>
      <c r="DC80" s="27"/>
      <c r="DD80" s="27"/>
      <c r="DE80" s="27"/>
      <c r="DF80" s="27"/>
      <c r="DG80" s="27"/>
      <c r="DH80" s="27"/>
      <c r="DI80" s="27"/>
      <c r="DJ80" s="27"/>
      <c r="DK80" s="27"/>
      <c r="DL80" s="27"/>
      <c r="DM80" s="27"/>
      <c r="DN80" s="27"/>
      <c r="DO80" s="27"/>
      <c r="DP80" s="27"/>
      <c r="DQ80" s="27"/>
      <c r="DR80" s="27"/>
      <c r="DS80" s="27"/>
      <c r="DT80" s="27"/>
    </row>
    <row r="81" spans="1:124" ht="15.75" customHeight="1" x14ac:dyDescent="0.2">
      <c r="B81" s="27"/>
      <c r="C81" s="27"/>
      <c r="D81" s="27"/>
      <c r="E81" s="27"/>
      <c r="F81" s="27"/>
      <c r="G81" s="27"/>
      <c r="H81" s="27"/>
      <c r="I81" s="27"/>
      <c r="J81" s="27"/>
      <c r="K81" s="27"/>
      <c r="L81" s="27"/>
      <c r="M81" s="27" t="s">
        <v>278</v>
      </c>
      <c r="N81" s="27" t="str">
        <f>W18&amp;"  שנות הוראה  "</f>
        <v xml:space="preserve">0  שנות הוראה  </v>
      </c>
      <c r="O81" s="27">
        <v>543</v>
      </c>
      <c r="P81" s="27"/>
      <c r="Q81" s="27"/>
      <c r="R81" s="27" t="e">
        <f>R80*1.0375</f>
        <v>#N/A</v>
      </c>
      <c r="S81" s="27" t="e">
        <f>S80*1.0375</f>
        <v>#N/A</v>
      </c>
      <c r="T81" s="27" t="e">
        <f t="shared" si="7"/>
        <v>#N/A</v>
      </c>
      <c r="U81" s="27" t="e">
        <f t="shared" si="5"/>
        <v>#N/A</v>
      </c>
      <c r="V81" s="27" t="e">
        <f t="shared" si="6"/>
        <v>#N/A</v>
      </c>
      <c r="W81" s="27" t="e">
        <f>INT(Q19)</f>
        <v>#REF!</v>
      </c>
      <c r="X81" s="27">
        <v>6</v>
      </c>
      <c r="Y81" s="27"/>
      <c r="Z81" s="27"/>
      <c r="AA81" s="27"/>
      <c r="AB81" s="27"/>
      <c r="AC81" s="27"/>
      <c r="AD81" s="27"/>
      <c r="AE81" s="27"/>
      <c r="AF81" s="27"/>
      <c r="AG81" s="27"/>
      <c r="AH81" s="27"/>
      <c r="AI81" s="27"/>
      <c r="AJ81" s="27"/>
      <c r="AK81" s="27"/>
      <c r="AL81" s="27"/>
      <c r="AM81" s="27"/>
      <c r="AN81" s="27"/>
      <c r="AO81" s="27"/>
      <c r="AP81" s="27"/>
      <c r="AQ81" s="27"/>
      <c r="AR81" s="27"/>
      <c r="AS81" s="27"/>
      <c r="AT81" s="27"/>
      <c r="AU81" s="27"/>
      <c r="AV81" s="27"/>
      <c r="AW81" s="27"/>
      <c r="AX81" s="27"/>
      <c r="AY81" s="27"/>
      <c r="AZ81" s="27"/>
      <c r="BA81" s="27"/>
      <c r="BB81" s="27"/>
      <c r="BC81" s="27"/>
      <c r="BD81" s="27"/>
      <c r="BE81" s="27"/>
      <c r="BF81" s="27"/>
      <c r="BG81" s="27"/>
      <c r="BH81" s="27"/>
      <c r="BI81" s="27"/>
      <c r="BJ81" s="27"/>
      <c r="BK81" s="27"/>
      <c r="BL81" s="27"/>
      <c r="BM81" s="27"/>
      <c r="BN81" s="27"/>
      <c r="BO81" s="27"/>
      <c r="BP81" s="27"/>
      <c r="BQ81" s="27"/>
      <c r="BR81" s="27"/>
      <c r="BS81" s="27"/>
      <c r="BT81" s="27"/>
      <c r="BU81" s="27"/>
      <c r="BV81" s="27"/>
      <c r="BW81" s="27"/>
      <c r="BX81" s="27"/>
      <c r="BY81" s="27"/>
      <c r="BZ81" s="27"/>
      <c r="CA81" s="27"/>
      <c r="CB81" s="27"/>
      <c r="CC81" s="27"/>
      <c r="CD81" s="27"/>
      <c r="CE81" s="27"/>
      <c r="CF81" s="27"/>
      <c r="CG81" s="27"/>
      <c r="CH81" s="27"/>
      <c r="CI81" s="27"/>
      <c r="CJ81" s="27"/>
      <c r="CK81" s="27"/>
      <c r="CL81" s="27"/>
      <c r="CM81" s="27"/>
      <c r="CN81" s="27"/>
      <c r="CO81" s="27"/>
      <c r="CP81" s="27"/>
      <c r="CQ81" s="27"/>
      <c r="CR81" s="27"/>
      <c r="CS81" s="27"/>
      <c r="CT81" s="27"/>
      <c r="CU81" s="27"/>
      <c r="CV81" s="27"/>
      <c r="CW81" s="27"/>
      <c r="CX81" s="27"/>
      <c r="CY81" s="27"/>
      <c r="CZ81" s="27"/>
      <c r="DA81" s="27"/>
      <c r="DB81" s="27"/>
      <c r="DC81" s="27"/>
      <c r="DD81" s="27"/>
      <c r="DE81" s="27"/>
      <c r="DF81" s="27"/>
      <c r="DG81" s="27"/>
      <c r="DH81" s="27"/>
      <c r="DI81" s="27"/>
      <c r="DJ81" s="27"/>
      <c r="DK81" s="27"/>
      <c r="DL81" s="27"/>
      <c r="DM81" s="27"/>
      <c r="DN81" s="27"/>
      <c r="DO81" s="27"/>
      <c r="DP81" s="27"/>
      <c r="DQ81" s="27"/>
      <c r="DR81" s="27"/>
      <c r="DS81" s="27"/>
      <c r="DT81" s="27"/>
    </row>
    <row r="82" spans="1:124" ht="15.75" customHeight="1" x14ac:dyDescent="0.2">
      <c r="B82" s="27"/>
      <c r="C82" s="27"/>
      <c r="D82" s="27"/>
      <c r="E82" s="27"/>
      <c r="F82" s="27"/>
      <c r="G82" s="27"/>
      <c r="H82" s="27"/>
      <c r="I82" s="27"/>
      <c r="J82" s="27"/>
      <c r="K82" s="27"/>
      <c r="L82" s="27"/>
      <c r="M82" s="27">
        <v>1</v>
      </c>
      <c r="N82" s="27" t="e">
        <f t="shared" ref="N82:N98" si="8">IF($C$5=$CB$16,R72*1.05,IF($C$5=$CE$16,T72,IF($C$5=$CF$16,U72,IF(OR($C$5=$CC$16,$C$5=$CD$16),S72,U72*$S$64))))</f>
        <v>#N/A</v>
      </c>
      <c r="O82" s="27"/>
      <c r="P82" s="27"/>
      <c r="Q82" s="27"/>
      <c r="R82" s="27" t="e">
        <f>IF(OR($C$5=$CB$16,$C$5=$CC$16),S82*1.05,S82)</f>
        <v>#N/A</v>
      </c>
      <c r="S82" s="27" t="e">
        <f>VLOOKUP(INT(W18),ofek4,6+2,FALSE)</f>
        <v>#N/A</v>
      </c>
      <c r="T82" s="27" t="e">
        <f t="shared" si="7"/>
        <v>#N/A</v>
      </c>
      <c r="U82" s="27" t="e">
        <f t="shared" si="5"/>
        <v>#N/A</v>
      </c>
      <c r="V82" s="27" t="e">
        <f t="shared" si="6"/>
        <v>#N/A</v>
      </c>
      <c r="W82" s="27" t="e">
        <f>INT(Q20)</f>
        <v>#REF!</v>
      </c>
      <c r="X82" s="27">
        <v>6.5</v>
      </c>
      <c r="Y82" s="27"/>
      <c r="Z82" s="27"/>
      <c r="AA82" s="27"/>
      <c r="AB82" s="27"/>
      <c r="AC82" s="27"/>
      <c r="AD82" s="27"/>
      <c r="AE82" s="27"/>
      <c r="AF82" s="27"/>
      <c r="AG82" s="27"/>
      <c r="AH82" s="27"/>
      <c r="AI82" s="27"/>
      <c r="AJ82" s="27"/>
      <c r="AK82" s="27"/>
      <c r="AL82" s="27"/>
      <c r="AM82" s="27"/>
      <c r="AN82" s="27"/>
      <c r="AO82" s="27"/>
      <c r="AP82" s="27"/>
      <c r="AQ82" s="27"/>
      <c r="AR82" s="27"/>
      <c r="AS82" s="27"/>
      <c r="AT82" s="27"/>
      <c r="AU82" s="27"/>
      <c r="AV82" s="27"/>
      <c r="AW82" s="27"/>
      <c r="AX82" s="27"/>
      <c r="AY82" s="27"/>
      <c r="AZ82" s="27"/>
      <c r="BA82" s="27"/>
      <c r="BB82" s="27"/>
      <c r="BC82" s="27"/>
      <c r="BD82" s="27"/>
      <c r="BE82" s="27"/>
      <c r="BF82" s="27"/>
      <c r="BG82" s="27"/>
      <c r="BH82" s="27"/>
      <c r="BI82" s="27"/>
      <c r="BJ82" s="27"/>
      <c r="BK82" s="27"/>
      <c r="BL82" s="27"/>
      <c r="BM82" s="27"/>
      <c r="BN82" s="27"/>
      <c r="BO82" s="27"/>
      <c r="BP82" s="27"/>
      <c r="BQ82" s="27"/>
      <c r="BR82" s="27"/>
      <c r="BS82" s="27"/>
      <c r="BT82" s="27"/>
      <c r="BU82" s="27"/>
      <c r="BV82" s="27"/>
      <c r="BW82" s="27"/>
      <c r="BX82" s="27"/>
      <c r="BY82" s="27"/>
      <c r="BZ82" s="27">
        <v>31</v>
      </c>
      <c r="CA82" s="27">
        <v>0.01</v>
      </c>
      <c r="CB82" s="27">
        <v>6837.74</v>
      </c>
      <c r="CC82" s="27">
        <v>6459.64</v>
      </c>
      <c r="CD82" s="27">
        <v>6028.97</v>
      </c>
      <c r="CE82" s="27">
        <v>5761.16</v>
      </c>
      <c r="CF82" s="27">
        <v>5251.73</v>
      </c>
      <c r="CG82" s="27">
        <v>4568.93</v>
      </c>
      <c r="CH82" s="27">
        <v>4280.07</v>
      </c>
      <c r="CI82" s="27">
        <v>4175.04</v>
      </c>
      <c r="CJ82" s="27">
        <v>4043.75</v>
      </c>
      <c r="CK82" s="27">
        <v>5761.16</v>
      </c>
      <c r="CL82" s="27">
        <v>5356.79</v>
      </c>
      <c r="CM82" s="27">
        <v>4568.93</v>
      </c>
      <c r="CN82" s="27">
        <v>5640.38</v>
      </c>
      <c r="CO82" s="27"/>
      <c r="CP82" s="27"/>
      <c r="CQ82" s="27"/>
      <c r="CR82" s="27"/>
      <c r="CS82" s="27"/>
      <c r="CT82" s="27"/>
      <c r="CU82" s="27"/>
      <c r="CV82" s="27"/>
      <c r="CW82" s="27"/>
      <c r="CX82" s="27"/>
      <c r="CY82" s="27"/>
      <c r="CZ82" s="27"/>
      <c r="DA82" s="27"/>
      <c r="DB82" s="27"/>
      <c r="DC82" s="27"/>
      <c r="DD82" s="27"/>
      <c r="DE82" s="27"/>
      <c r="DF82" s="27"/>
      <c r="DG82" s="27"/>
      <c r="DH82" s="27"/>
      <c r="DI82" s="27"/>
      <c r="DJ82" s="27"/>
      <c r="DK82" s="27"/>
      <c r="DL82" s="27"/>
      <c r="DM82" s="27"/>
      <c r="DN82" s="27"/>
      <c r="DO82" s="27"/>
      <c r="DP82" s="27"/>
      <c r="DQ82" s="27"/>
      <c r="DR82" s="27"/>
      <c r="DS82" s="27"/>
      <c r="DT82" s="27"/>
    </row>
    <row r="83" spans="1:124" ht="15.75" customHeight="1" x14ac:dyDescent="0.2">
      <c r="B83" s="27"/>
      <c r="C83" s="27"/>
      <c r="D83" s="27"/>
      <c r="E83" s="27"/>
      <c r="F83" s="27"/>
      <c r="G83" s="27"/>
      <c r="H83" s="27"/>
      <c r="I83" s="27"/>
      <c r="J83" s="27"/>
      <c r="K83" s="27"/>
      <c r="L83" s="27"/>
      <c r="M83" s="27">
        <v>1.5</v>
      </c>
      <c r="N83" s="27" t="e">
        <f t="shared" si="8"/>
        <v>#N/A</v>
      </c>
      <c r="O83" s="27"/>
      <c r="P83" s="27"/>
      <c r="Q83" s="27"/>
      <c r="R83" s="27" t="e">
        <f>R82*1.0375</f>
        <v>#N/A</v>
      </c>
      <c r="S83" s="27" t="e">
        <f>S82*1.0425</f>
        <v>#N/A</v>
      </c>
      <c r="T83" s="27" t="e">
        <f t="shared" si="7"/>
        <v>#N/A</v>
      </c>
      <c r="U83" s="27" t="e">
        <f t="shared" si="5"/>
        <v>#N/A</v>
      </c>
      <c r="V83" s="27" t="e">
        <f t="shared" si="6"/>
        <v>#N/A</v>
      </c>
      <c r="W83" s="27" t="e">
        <f>INT(Q21)</f>
        <v>#REF!</v>
      </c>
      <c r="X83" s="27">
        <v>7</v>
      </c>
      <c r="Y83" s="27"/>
      <c r="Z83" s="27"/>
      <c r="AA83" s="27"/>
      <c r="AB83" s="27"/>
      <c r="AC83" s="27"/>
      <c r="AD83" s="27"/>
      <c r="AE83" s="27"/>
      <c r="AF83" s="27"/>
      <c r="AG83" s="27"/>
      <c r="AH83" s="27"/>
      <c r="AI83" s="27"/>
      <c r="AJ83" s="27"/>
      <c r="AK83" s="27"/>
      <c r="AL83" s="27"/>
      <c r="AM83" s="27"/>
      <c r="AN83" s="27"/>
      <c r="AO83" s="27"/>
      <c r="AP83" s="27"/>
      <c r="AQ83" s="27"/>
      <c r="AR83" s="27"/>
      <c r="AS83" s="27"/>
      <c r="AT83" s="27"/>
      <c r="AU83" s="27"/>
      <c r="AV83" s="27"/>
      <c r="AW83" s="27"/>
      <c r="AX83" s="27"/>
      <c r="AY83" s="27"/>
      <c r="AZ83" s="27"/>
      <c r="BA83" s="27"/>
      <c r="BB83" s="27"/>
      <c r="BC83" s="27"/>
      <c r="BD83" s="27"/>
      <c r="BE83" s="27"/>
      <c r="BF83" s="27"/>
      <c r="BG83" s="27"/>
      <c r="BH83" s="27"/>
      <c r="BI83" s="27"/>
      <c r="BJ83" s="27"/>
      <c r="BK83" s="27"/>
      <c r="BL83" s="27"/>
      <c r="BM83" s="27"/>
      <c r="BN83" s="27"/>
      <c r="BO83" s="27"/>
      <c r="BP83" s="27"/>
      <c r="BQ83" s="27"/>
      <c r="BR83" s="27"/>
      <c r="BS83" s="27"/>
      <c r="BT83" s="27"/>
      <c r="BU83" s="27"/>
      <c r="BV83" s="27"/>
      <c r="BW83" s="27"/>
      <c r="BX83" s="27"/>
      <c r="BY83" s="27"/>
      <c r="BZ83" s="27"/>
      <c r="CA83" s="27"/>
      <c r="CB83" s="27"/>
      <c r="CC83" s="27"/>
      <c r="CD83" s="27"/>
      <c r="CE83" s="27"/>
      <c r="CF83" s="27"/>
      <c r="CG83" s="27"/>
      <c r="CH83" s="27"/>
      <c r="CI83" s="27"/>
      <c r="CJ83" s="27"/>
      <c r="CK83" s="27"/>
      <c r="CL83" s="27"/>
      <c r="CM83" s="27"/>
      <c r="CN83" s="27"/>
      <c r="CO83" s="27"/>
      <c r="CP83" s="27"/>
      <c r="CQ83" s="27"/>
      <c r="CR83" s="27"/>
      <c r="CS83" s="27"/>
      <c r="CT83" s="27"/>
      <c r="CU83" s="27"/>
      <c r="CV83" s="27"/>
      <c r="CW83" s="27"/>
      <c r="CX83" s="27"/>
      <c r="CY83" s="27"/>
      <c r="CZ83" s="27"/>
      <c r="DA83" s="27"/>
      <c r="DB83" s="27"/>
      <c r="DC83" s="27"/>
      <c r="DD83" s="27"/>
      <c r="DE83" s="27"/>
      <c r="DF83" s="27"/>
      <c r="DG83" s="27"/>
      <c r="DH83" s="27"/>
      <c r="DI83" s="27"/>
      <c r="DJ83" s="27"/>
      <c r="DK83" s="27"/>
      <c r="DL83" s="27"/>
      <c r="DM83" s="27"/>
      <c r="DN83" s="27"/>
      <c r="DO83" s="27"/>
      <c r="DP83" s="27"/>
      <c r="DQ83" s="27"/>
      <c r="DR83" s="27"/>
      <c r="DS83" s="27"/>
      <c r="DT83" s="27"/>
    </row>
    <row r="84" spans="1:124" ht="15.75" customHeight="1" x14ac:dyDescent="0.2">
      <c r="B84" s="27"/>
      <c r="C84" s="27"/>
      <c r="D84" s="27"/>
      <c r="E84" s="27"/>
      <c r="F84" s="27"/>
      <c r="G84" s="27"/>
      <c r="H84" s="27"/>
      <c r="I84" s="27"/>
      <c r="J84" s="27"/>
      <c r="K84" s="27"/>
      <c r="L84" s="27"/>
      <c r="M84" s="27">
        <v>2</v>
      </c>
      <c r="N84" s="27" t="e">
        <f t="shared" si="8"/>
        <v>#N/A</v>
      </c>
      <c r="O84" s="27"/>
      <c r="P84" s="27"/>
      <c r="Q84" s="27"/>
      <c r="R84" s="27" t="e">
        <f>IF(OR($C$5=$CB$16,$C$5=$CC$16),S84*1.05,S84)</f>
        <v>#N/A</v>
      </c>
      <c r="S84" s="27" t="e">
        <f>VLOOKUP(INT(W18),ofek4,7+2,FALSE)</f>
        <v>#N/A</v>
      </c>
      <c r="T84" s="27" t="e">
        <f>S84*0.75</f>
        <v>#N/A</v>
      </c>
      <c r="U84" s="27" t="e">
        <f t="shared" si="5"/>
        <v>#N/A</v>
      </c>
      <c r="V84" s="27" t="e">
        <f t="shared" si="6"/>
        <v>#N/A</v>
      </c>
      <c r="W84" s="27" t="e">
        <f>INT(AB16*Q10)</f>
        <v>#REF!</v>
      </c>
      <c r="X84" s="27">
        <v>7.5</v>
      </c>
      <c r="Y84" s="27"/>
      <c r="Z84" s="27"/>
      <c r="AA84" s="27"/>
      <c r="AB84" s="27"/>
      <c r="AC84" s="27"/>
      <c r="AD84" s="27"/>
      <c r="AE84" s="27"/>
      <c r="AF84" s="27"/>
      <c r="AG84" s="27"/>
      <c r="AH84" s="27"/>
      <c r="AI84" s="27"/>
      <c r="AJ84" s="27"/>
      <c r="AK84" s="27"/>
      <c r="AL84" s="27"/>
      <c r="AM84" s="27"/>
      <c r="AN84" s="27"/>
      <c r="AO84" s="27"/>
      <c r="AP84" s="27"/>
      <c r="AQ84" s="27"/>
      <c r="AR84" s="27"/>
      <c r="AS84" s="27"/>
      <c r="AT84" s="27"/>
      <c r="AU84" s="27"/>
      <c r="AV84" s="27"/>
      <c r="AW84" s="27"/>
      <c r="AX84" s="27"/>
      <c r="AY84" s="27"/>
      <c r="AZ84" s="27"/>
      <c r="BA84" s="27"/>
      <c r="BB84" s="27"/>
      <c r="BC84" s="27"/>
      <c r="BD84" s="27"/>
      <c r="BE84" s="27"/>
      <c r="BF84" s="27"/>
      <c r="BG84" s="27"/>
      <c r="BH84" s="27"/>
      <c r="BI84" s="27"/>
      <c r="BJ84" s="27"/>
      <c r="BK84" s="27"/>
      <c r="BL84" s="27"/>
      <c r="BM84" s="27"/>
      <c r="BN84" s="27"/>
      <c r="BO84" s="27"/>
      <c r="BP84" s="27"/>
      <c r="BQ84" s="27"/>
      <c r="BR84" s="27"/>
      <c r="BS84" s="27"/>
      <c r="BT84" s="27"/>
      <c r="BU84" s="27"/>
      <c r="BV84" s="27"/>
      <c r="BW84" s="27"/>
      <c r="BX84" s="27"/>
      <c r="BY84" s="27"/>
      <c r="BZ84" s="27">
        <v>32</v>
      </c>
      <c r="CA84" s="27">
        <v>0.01</v>
      </c>
      <c r="CB84" s="27">
        <v>6906.11</v>
      </c>
      <c r="CC84" s="27">
        <v>6524.23</v>
      </c>
      <c r="CD84" s="27">
        <v>6089.25</v>
      </c>
      <c r="CE84" s="27">
        <v>5818.77</v>
      </c>
      <c r="CF84" s="27">
        <v>5304.24</v>
      </c>
      <c r="CG84" s="27">
        <v>4614.6099999999997</v>
      </c>
      <c r="CH84" s="27">
        <v>4322.87</v>
      </c>
      <c r="CI84" s="27">
        <v>4216.79</v>
      </c>
      <c r="CJ84" s="27">
        <v>4084.18</v>
      </c>
      <c r="CK84" s="27">
        <v>5818.77</v>
      </c>
      <c r="CL84" s="27">
        <v>5410.35</v>
      </c>
      <c r="CM84" s="27">
        <v>4614.6099999999997</v>
      </c>
      <c r="CN84" s="27">
        <v>5696.78</v>
      </c>
      <c r="CO84" s="27"/>
      <c r="CP84" s="27"/>
      <c r="CQ84" s="27"/>
      <c r="CR84" s="27"/>
      <c r="CS84" s="27"/>
      <c r="CT84" s="27"/>
      <c r="CU84" s="27"/>
      <c r="CV84" s="27"/>
      <c r="CW84" s="27"/>
      <c r="CX84" s="27"/>
      <c r="CY84" s="27"/>
      <c r="CZ84" s="27"/>
      <c r="DA84" s="27"/>
      <c r="DB84" s="27"/>
      <c r="DC84" s="27"/>
      <c r="DD84" s="27"/>
      <c r="DE84" s="27"/>
      <c r="DF84" s="27"/>
      <c r="DG84" s="27"/>
      <c r="DH84" s="27"/>
      <c r="DI84" s="27"/>
      <c r="DJ84" s="27"/>
      <c r="DK84" s="27"/>
      <c r="DL84" s="27"/>
      <c r="DM84" s="27"/>
      <c r="DN84" s="27"/>
      <c r="DO84" s="27"/>
      <c r="DP84" s="27"/>
      <c r="DQ84" s="27"/>
      <c r="DR84" s="27"/>
      <c r="DS84" s="27"/>
      <c r="DT84" s="27"/>
    </row>
    <row r="85" spans="1:124" ht="15.75" customHeight="1" x14ac:dyDescent="0.2">
      <c r="B85" s="27"/>
      <c r="C85" s="27"/>
      <c r="D85" s="27"/>
      <c r="E85" s="27"/>
      <c r="F85" s="27"/>
      <c r="G85" s="27"/>
      <c r="H85" s="27"/>
      <c r="I85" s="27"/>
      <c r="J85" s="27"/>
      <c r="K85" s="27"/>
      <c r="L85" s="27"/>
      <c r="M85" s="27">
        <v>2.5</v>
      </c>
      <c r="N85" s="27" t="e">
        <f t="shared" si="8"/>
        <v>#N/A</v>
      </c>
      <c r="O85" s="27" t="s">
        <v>9</v>
      </c>
      <c r="P85" s="27" t="s">
        <v>12</v>
      </c>
      <c r="Q85" s="27" t="s">
        <v>13</v>
      </c>
      <c r="R85" s="27" t="e">
        <f>R84*1.0375</f>
        <v>#N/A</v>
      </c>
      <c r="S85" s="27" t="e">
        <f>S84*1.0425</f>
        <v>#N/A</v>
      </c>
      <c r="T85" s="27" t="e">
        <f t="shared" si="7"/>
        <v>#N/A</v>
      </c>
      <c r="U85" s="27" t="e">
        <f t="shared" si="5"/>
        <v>#N/A</v>
      </c>
      <c r="V85" s="27" t="e">
        <f t="shared" si="6"/>
        <v>#N/A</v>
      </c>
      <c r="W85" s="27" t="e">
        <f xml:space="preserve">  INT(Q23)</f>
        <v>#REF!</v>
      </c>
      <c r="X85" s="27">
        <v>8</v>
      </c>
      <c r="Y85" s="27"/>
      <c r="Z85" s="27"/>
      <c r="AA85" s="27"/>
      <c r="AB85" s="27"/>
      <c r="AC85" s="27"/>
      <c r="AD85" s="27"/>
      <c r="AE85" s="27"/>
      <c r="AF85" s="27"/>
      <c r="AG85" s="27"/>
      <c r="AH85" s="27"/>
      <c r="AI85" s="27"/>
      <c r="AJ85" s="27"/>
      <c r="AK85" s="27"/>
      <c r="AL85" s="27"/>
      <c r="AM85" s="27"/>
      <c r="AN85" s="27"/>
      <c r="AO85" s="27"/>
      <c r="AP85" s="27"/>
      <c r="AQ85" s="27"/>
      <c r="AR85" s="27"/>
      <c r="AS85" s="27"/>
      <c r="AT85" s="27"/>
      <c r="AU85" s="27"/>
      <c r="AV85" s="27"/>
      <c r="AW85" s="27"/>
      <c r="AX85" s="27"/>
      <c r="AY85" s="27"/>
      <c r="AZ85" s="27"/>
      <c r="BA85" s="27"/>
      <c r="BB85" s="27"/>
      <c r="BC85" s="27"/>
      <c r="BD85" s="27"/>
      <c r="BE85" s="27"/>
      <c r="BF85" s="27"/>
      <c r="BG85" s="27"/>
      <c r="BH85" s="27"/>
      <c r="BI85" s="27"/>
      <c r="BJ85" s="27"/>
      <c r="BK85" s="27"/>
      <c r="BL85" s="27"/>
      <c r="BM85" s="27"/>
      <c r="BN85" s="27"/>
      <c r="BO85" s="27"/>
      <c r="BP85" s="27"/>
      <c r="BQ85" s="27"/>
      <c r="BR85" s="27"/>
      <c r="BS85" s="27"/>
      <c r="BT85" s="27"/>
      <c r="BU85" s="27"/>
      <c r="BV85" s="27"/>
      <c r="BW85" s="27"/>
      <c r="BX85" s="27"/>
      <c r="BY85" s="27"/>
      <c r="BZ85" s="27"/>
      <c r="CA85" s="27"/>
      <c r="CB85" s="27"/>
      <c r="CC85" s="27"/>
      <c r="CD85" s="27"/>
      <c r="CE85" s="27"/>
      <c r="CF85" s="27"/>
      <c r="CG85" s="27"/>
      <c r="CH85" s="27"/>
      <c r="CI85" s="27"/>
      <c r="CJ85" s="27"/>
      <c r="CK85" s="27"/>
      <c r="CL85" s="27"/>
      <c r="CM85" s="27"/>
      <c r="CN85" s="27"/>
      <c r="CO85" s="27"/>
      <c r="CP85" s="27"/>
      <c r="CQ85" s="27"/>
      <c r="CR85" s="27"/>
      <c r="CS85" s="27"/>
      <c r="CT85" s="27"/>
      <c r="CU85" s="27"/>
      <c r="CV85" s="27"/>
      <c r="CW85" s="27"/>
      <c r="CX85" s="27"/>
      <c r="CY85" s="27"/>
      <c r="CZ85" s="27"/>
      <c r="DA85" s="27"/>
      <c r="DB85" s="27"/>
      <c r="DC85" s="27"/>
      <c r="DD85" s="27"/>
      <c r="DE85" s="27"/>
      <c r="DF85" s="27"/>
      <c r="DG85" s="27"/>
      <c r="DH85" s="27"/>
      <c r="DI85" s="27"/>
      <c r="DJ85" s="27"/>
      <c r="DK85" s="27"/>
      <c r="DL85" s="27"/>
      <c r="DM85" s="27"/>
      <c r="DN85" s="27"/>
      <c r="DO85" s="27"/>
      <c r="DP85" s="27"/>
      <c r="DQ85" s="27"/>
      <c r="DR85" s="27"/>
      <c r="DS85" s="27"/>
      <c r="DT85" s="27"/>
    </row>
    <row r="86" spans="1:124" ht="19.5" customHeight="1" x14ac:dyDescent="0.2">
      <c r="B86" s="27"/>
      <c r="C86" s="27"/>
      <c r="D86" s="27"/>
      <c r="E86" s="27"/>
      <c r="F86" s="27"/>
      <c r="G86" s="27"/>
      <c r="H86" s="27"/>
      <c r="I86" s="27"/>
      <c r="J86" s="27"/>
      <c r="K86" s="27"/>
      <c r="L86" s="27"/>
      <c r="M86" s="27">
        <v>3</v>
      </c>
      <c r="N86" s="27" t="e">
        <f t="shared" si="8"/>
        <v>#N/A</v>
      </c>
      <c r="O86" s="27">
        <f t="shared" ref="O86:O102" si="9">N120*0.75</f>
        <v>4725.0025781249997</v>
      </c>
      <c r="P86" s="27">
        <f t="shared" ref="P86:P102" si="10">O86*$U$70</f>
        <v>4307.0548375782419</v>
      </c>
      <c r="Q86" s="27">
        <f t="shared" ref="Q86:Q102" si="11">P86*$S$64</f>
        <v>3747.0515675963188</v>
      </c>
      <c r="R86" s="27" t="e">
        <f>IF(OR($C$5=$CB$16,$C$5=$CC$16),S86*1.05,S86)</f>
        <v>#N/A</v>
      </c>
      <c r="S86" s="27" t="e">
        <f>VLOOKUP(INT(W18),ofek4,8+2,FALSE)</f>
        <v>#N/A</v>
      </c>
      <c r="T86" s="27" t="e">
        <f t="shared" si="7"/>
        <v>#N/A</v>
      </c>
      <c r="U86" s="27" t="e">
        <f t="shared" si="5"/>
        <v>#N/A</v>
      </c>
      <c r="V86" s="27" t="e">
        <f t="shared" si="6"/>
        <v>#N/A</v>
      </c>
      <c r="W86" s="27" t="e">
        <f>W73*BG72</f>
        <v>#REF!</v>
      </c>
      <c r="X86" s="27">
        <v>8.5</v>
      </c>
      <c r="Y86" s="27"/>
      <c r="Z86" s="27"/>
      <c r="AA86" s="27"/>
      <c r="AB86" s="27"/>
      <c r="AC86" s="27"/>
      <c r="AD86" s="27"/>
      <c r="AE86" s="27"/>
      <c r="AF86" s="27"/>
      <c r="AG86" s="27" t="s">
        <v>59</v>
      </c>
      <c r="AH86" s="27"/>
      <c r="AI86" s="27"/>
      <c r="AJ86" s="27"/>
      <c r="AK86" s="27"/>
      <c r="AL86" s="27"/>
      <c r="AM86" s="27"/>
      <c r="AN86" s="27"/>
      <c r="AO86" s="27"/>
      <c r="AP86" s="27"/>
      <c r="AQ86" s="27"/>
      <c r="AR86" s="27"/>
      <c r="AS86" s="27"/>
      <c r="AT86" s="27"/>
      <c r="AU86" s="27"/>
      <c r="AV86" s="27"/>
      <c r="AW86" s="27"/>
      <c r="AX86" s="27"/>
      <c r="AY86" s="27"/>
      <c r="AZ86" s="27"/>
      <c r="BA86" s="27"/>
      <c r="BB86" s="27"/>
      <c r="BC86" s="27"/>
      <c r="BD86" s="27"/>
      <c r="BE86" s="27"/>
      <c r="BF86" s="27"/>
      <c r="BG86" s="27"/>
      <c r="BH86" s="27"/>
      <c r="BI86" s="27"/>
      <c r="BJ86" s="27"/>
      <c r="BK86" s="27"/>
      <c r="BL86" s="27"/>
      <c r="BM86" s="27"/>
      <c r="BN86" s="27"/>
      <c r="BO86" s="27"/>
      <c r="BP86" s="27"/>
      <c r="BQ86" s="27"/>
      <c r="BR86" s="27"/>
      <c r="BS86" s="27"/>
      <c r="BT86" s="27"/>
      <c r="BU86" s="27"/>
      <c r="BV86" s="27"/>
      <c r="BW86" s="27"/>
      <c r="BX86" s="27"/>
      <c r="BY86" s="27"/>
      <c r="BZ86" s="27">
        <v>33</v>
      </c>
      <c r="CA86" s="27">
        <v>0.01</v>
      </c>
      <c r="CB86" s="27">
        <v>6975.17</v>
      </c>
      <c r="CC86" s="27">
        <v>6589.47</v>
      </c>
      <c r="CD86" s="27">
        <v>6150.14</v>
      </c>
      <c r="CE86" s="27">
        <v>5876.95</v>
      </c>
      <c r="CF86" s="27">
        <v>5357.28</v>
      </c>
      <c r="CG86" s="27">
        <v>4660.75</v>
      </c>
      <c r="CH86" s="27">
        <v>4366.09</v>
      </c>
      <c r="CI86" s="27">
        <v>4258.95</v>
      </c>
      <c r="CJ86" s="27">
        <v>4125.0200000000004</v>
      </c>
      <c r="CK86" s="27">
        <v>5876.95</v>
      </c>
      <c r="CL86" s="27">
        <v>5464.45</v>
      </c>
      <c r="CM86" s="27">
        <v>4660.75</v>
      </c>
      <c r="CN86" s="27">
        <v>5753.74</v>
      </c>
      <c r="CO86" s="27"/>
      <c r="CP86" s="27"/>
      <c r="CQ86" s="27"/>
      <c r="CR86" s="27"/>
      <c r="CS86" s="27"/>
      <c r="CT86" s="27"/>
      <c r="CU86" s="27"/>
      <c r="CV86" s="27"/>
      <c r="CW86" s="27"/>
      <c r="CX86" s="27"/>
      <c r="CY86" s="27"/>
      <c r="CZ86" s="27"/>
      <c r="DA86" s="27"/>
      <c r="DB86" s="27"/>
      <c r="DC86" s="27"/>
      <c r="DD86" s="27"/>
      <c r="DE86" s="27"/>
      <c r="DF86" s="27"/>
      <c r="DG86" s="27"/>
      <c r="DH86" s="27"/>
      <c r="DI86" s="27"/>
      <c r="DJ86" s="27"/>
      <c r="DK86" s="27"/>
      <c r="DL86" s="27"/>
      <c r="DM86" s="27"/>
      <c r="DN86" s="27"/>
      <c r="DO86" s="27"/>
      <c r="DP86" s="27"/>
      <c r="DQ86" s="27"/>
      <c r="DR86" s="27"/>
      <c r="DS86" s="27"/>
      <c r="DT86" s="27"/>
    </row>
    <row r="87" spans="1:124" ht="19.5" customHeight="1" x14ac:dyDescent="0.2">
      <c r="A87" t="s">
        <v>59</v>
      </c>
      <c r="B87" s="27"/>
      <c r="C87" s="27"/>
      <c r="D87" s="27"/>
      <c r="E87" s="27"/>
      <c r="F87" s="27"/>
      <c r="G87" s="27"/>
      <c r="H87" s="27"/>
      <c r="I87" s="27"/>
      <c r="J87" s="27"/>
      <c r="K87" s="27"/>
      <c r="L87" s="27"/>
      <c r="M87" s="27">
        <v>3.5</v>
      </c>
      <c r="N87" s="27" t="e">
        <f t="shared" si="8"/>
        <v>#N/A</v>
      </c>
      <c r="O87" s="27">
        <f t="shared" si="9"/>
        <v>4902.1901748046876</v>
      </c>
      <c r="P87" s="27">
        <f t="shared" si="10"/>
        <v>4468.5693939874263</v>
      </c>
      <c r="Q87" s="27">
        <f t="shared" si="11"/>
        <v>3887.5660013811812</v>
      </c>
      <c r="R87" s="27" t="e">
        <f>R86*1.0375</f>
        <v>#N/A</v>
      </c>
      <c r="S87" s="27" t="e">
        <f>S86*1.0425</f>
        <v>#N/A</v>
      </c>
      <c r="T87" s="27" t="e">
        <f t="shared" si="7"/>
        <v>#N/A</v>
      </c>
      <c r="U87" s="27" t="e">
        <f t="shared" si="5"/>
        <v>#N/A</v>
      </c>
      <c r="V87" s="27" t="e">
        <f t="shared" si="6"/>
        <v>#N/A</v>
      </c>
      <c r="W87" s="27" t="e">
        <f>INT(Q15)</f>
        <v>#REF!</v>
      </c>
      <c r="X87" s="27">
        <v>9</v>
      </c>
      <c r="Y87" s="27"/>
      <c r="Z87" s="27"/>
      <c r="AA87" s="27"/>
      <c r="AB87" s="27"/>
      <c r="AC87" s="27"/>
      <c r="AD87" s="27"/>
      <c r="AE87" s="27"/>
      <c r="AF87" s="27"/>
      <c r="AG87" s="27"/>
      <c r="AH87" s="27"/>
      <c r="AI87" s="27"/>
      <c r="AJ87" s="27"/>
      <c r="AK87" s="27"/>
      <c r="AL87" s="27"/>
      <c r="AM87" s="27"/>
      <c r="AN87" s="27"/>
      <c r="AO87" s="27"/>
      <c r="AP87" s="27"/>
      <c r="AQ87" s="27"/>
      <c r="AR87" s="27"/>
      <c r="AS87" s="27"/>
      <c r="AT87" s="27"/>
      <c r="AU87" s="27"/>
      <c r="AV87" s="27"/>
      <c r="AW87" s="27"/>
      <c r="AX87" s="27"/>
      <c r="AY87" s="27"/>
      <c r="AZ87" s="27"/>
      <c r="BA87" s="27"/>
      <c r="BB87" s="27"/>
      <c r="BC87" s="27"/>
      <c r="BD87" s="27"/>
      <c r="BE87" s="27"/>
      <c r="BF87" s="27"/>
      <c r="BG87" s="27"/>
      <c r="BH87" s="27"/>
      <c r="BI87" s="27"/>
      <c r="BJ87" s="27"/>
      <c r="BK87" s="27"/>
      <c r="BL87" s="27"/>
      <c r="BM87" s="27"/>
      <c r="BN87" s="27"/>
      <c r="BO87" s="27"/>
      <c r="BP87" s="27"/>
      <c r="BQ87" s="27"/>
      <c r="BR87" s="27"/>
      <c r="BS87" s="27"/>
      <c r="BT87" s="27"/>
      <c r="BU87" s="27"/>
      <c r="BV87" s="27"/>
      <c r="BW87" s="27"/>
      <c r="BX87" s="27"/>
      <c r="BY87" s="27"/>
      <c r="BZ87" s="27"/>
      <c r="CA87" s="27"/>
      <c r="CB87" s="27"/>
      <c r="CC87" s="27"/>
      <c r="CD87" s="27"/>
      <c r="CE87" s="27"/>
      <c r="CF87" s="27"/>
      <c r="CG87" s="27"/>
      <c r="CH87" s="27"/>
      <c r="CI87" s="27"/>
      <c r="CJ87" s="27"/>
      <c r="CK87" s="27"/>
      <c r="CL87" s="27"/>
      <c r="CM87" s="27"/>
      <c r="CN87" s="27"/>
      <c r="CO87" s="27"/>
      <c r="CP87" s="27"/>
      <c r="CQ87" s="27"/>
      <c r="CR87" s="27"/>
      <c r="CS87" s="27"/>
      <c r="CT87" s="27"/>
      <c r="CU87" s="27"/>
      <c r="CV87" s="27"/>
      <c r="CW87" s="27"/>
      <c r="CX87" s="27"/>
      <c r="CY87" s="27"/>
      <c r="CZ87" s="27"/>
      <c r="DA87" s="27"/>
      <c r="DB87" s="27"/>
      <c r="DC87" s="27"/>
      <c r="DD87" s="27"/>
      <c r="DE87" s="27"/>
      <c r="DF87" s="27"/>
      <c r="DG87" s="27"/>
      <c r="DH87" s="27"/>
      <c r="DI87" s="27"/>
      <c r="DJ87" s="27"/>
      <c r="DK87" s="27"/>
      <c r="DL87" s="27"/>
      <c r="DM87" s="27"/>
      <c r="DN87" s="27"/>
      <c r="DO87" s="27"/>
      <c r="DP87" s="27"/>
      <c r="DQ87" s="27"/>
      <c r="DR87" s="27"/>
      <c r="DS87" s="27"/>
      <c r="DT87" s="27"/>
    </row>
    <row r="88" spans="1:124" ht="15.75" customHeight="1" x14ac:dyDescent="0.2">
      <c r="B88" s="27"/>
      <c r="C88" s="27"/>
      <c r="D88" s="27"/>
      <c r="E88" s="27"/>
      <c r="F88" s="27"/>
      <c r="G88" s="27"/>
      <c r="H88" s="27"/>
      <c r="I88" s="27"/>
      <c r="J88" s="27"/>
      <c r="K88" s="27"/>
      <c r="L88" s="27"/>
      <c r="M88" s="27">
        <v>4</v>
      </c>
      <c r="N88" s="27" t="e">
        <f t="shared" si="8"/>
        <v>#N/A</v>
      </c>
      <c r="O88" s="27">
        <f t="shared" si="9"/>
        <v>5079.3777714843745</v>
      </c>
      <c r="P88" s="27">
        <f t="shared" si="10"/>
        <v>4630.0839503966099</v>
      </c>
      <c r="Q88" s="27">
        <f t="shared" si="11"/>
        <v>4028.0804351660427</v>
      </c>
      <c r="R88" s="27" t="e">
        <f>IF(OR($C$5=$CB$16,$C$5=$CC$16),S88*1.05,S88)</f>
        <v>#N/A</v>
      </c>
      <c r="S88" s="27" t="e">
        <f>VLOOKUP(INT(W18),ofek4,9+2,FALSE)</f>
        <v>#N/A</v>
      </c>
      <c r="T88" s="27" t="e">
        <f t="shared" si="7"/>
        <v>#N/A</v>
      </c>
      <c r="U88" s="27" t="e">
        <f t="shared" si="5"/>
        <v>#N/A</v>
      </c>
      <c r="V88" s="27" t="e">
        <f t="shared" si="6"/>
        <v>#N/A</v>
      </c>
      <c r="W88" s="27"/>
      <c r="X88" s="27"/>
      <c r="Y88" s="27"/>
      <c r="Z88" s="27"/>
      <c r="AA88" s="27"/>
      <c r="AB88" s="27"/>
      <c r="AC88" s="27"/>
      <c r="AD88" s="27"/>
      <c r="AE88" s="27"/>
      <c r="AF88" s="27"/>
      <c r="AG88" s="27"/>
      <c r="AH88" s="27"/>
      <c r="AI88" s="27"/>
      <c r="AJ88" s="27"/>
      <c r="AK88" s="27"/>
      <c r="AL88" s="27"/>
      <c r="AM88" s="27"/>
      <c r="AN88" s="27"/>
      <c r="AO88" s="27"/>
      <c r="AP88" s="27"/>
      <c r="AQ88" s="27"/>
      <c r="AR88" s="27"/>
      <c r="AS88" s="27"/>
      <c r="AT88" s="27"/>
      <c r="AU88" s="27"/>
      <c r="AV88" s="27"/>
      <c r="AW88" s="27"/>
      <c r="AX88" s="27"/>
      <c r="AY88" s="27"/>
      <c r="AZ88" s="27"/>
      <c r="BA88" s="27"/>
      <c r="BB88" s="27" t="e">
        <f>((Q26*12+#REF!+#REF!+AJ33))</f>
        <v>#REF!</v>
      </c>
      <c r="BC88" s="27"/>
      <c r="BD88" s="27"/>
      <c r="BE88" s="27"/>
      <c r="BF88" s="27"/>
      <c r="BG88" s="27"/>
      <c r="BH88" s="27"/>
      <c r="BI88" s="27"/>
      <c r="BJ88" s="27"/>
      <c r="BK88" s="27"/>
      <c r="BL88" s="27"/>
      <c r="BM88" s="27"/>
      <c r="BN88" s="27"/>
      <c r="BO88" s="27"/>
      <c r="BP88" s="27"/>
      <c r="BQ88" s="27"/>
      <c r="BR88" s="27"/>
      <c r="BS88" s="27"/>
      <c r="BT88" s="27"/>
      <c r="BU88" s="27"/>
      <c r="BV88" s="27"/>
      <c r="BW88" s="27"/>
      <c r="BX88" s="27"/>
      <c r="BY88" s="27"/>
      <c r="BZ88" s="27">
        <v>34</v>
      </c>
      <c r="CA88" s="27">
        <v>0.01</v>
      </c>
      <c r="CB88" s="27">
        <v>7044.92</v>
      </c>
      <c r="CC88" s="27">
        <v>6655.36</v>
      </c>
      <c r="CD88" s="27">
        <v>6211.64</v>
      </c>
      <c r="CE88" s="27">
        <v>5935.71</v>
      </c>
      <c r="CF88" s="27">
        <v>5410.85</v>
      </c>
      <c r="CG88" s="27">
        <v>4707.3500000000004</v>
      </c>
      <c r="CH88" s="27">
        <v>4409.75</v>
      </c>
      <c r="CI88" s="27">
        <v>4301.53</v>
      </c>
      <c r="CJ88" s="27">
        <v>4166.2700000000004</v>
      </c>
      <c r="CK88" s="27">
        <v>5935.71</v>
      </c>
      <c r="CL88" s="27">
        <v>5519.09</v>
      </c>
      <c r="CM88" s="27">
        <v>4707.3500000000004</v>
      </c>
      <c r="CN88" s="27">
        <v>5811.27</v>
      </c>
      <c r="CO88" s="27"/>
      <c r="CP88" s="27"/>
      <c r="CQ88" s="27"/>
      <c r="CR88" s="27"/>
      <c r="CS88" s="27"/>
      <c r="CT88" s="27"/>
      <c r="CU88" s="27"/>
      <c r="CV88" s="27"/>
      <c r="CW88" s="27"/>
      <c r="CX88" s="27"/>
      <c r="CY88" s="27"/>
      <c r="CZ88" s="27"/>
      <c r="DA88" s="27"/>
      <c r="DB88" s="27"/>
      <c r="DC88" s="27"/>
      <c r="DD88" s="27"/>
      <c r="DE88" s="27"/>
      <c r="DF88" s="27"/>
      <c r="DG88" s="27"/>
      <c r="DH88" s="27"/>
      <c r="DI88" s="27"/>
      <c r="DJ88" s="27"/>
      <c r="DK88" s="27"/>
      <c r="DL88" s="27"/>
      <c r="DM88" s="27"/>
      <c r="DN88" s="27"/>
      <c r="DO88" s="27"/>
      <c r="DP88" s="27"/>
      <c r="DQ88" s="27"/>
      <c r="DR88" s="27"/>
      <c r="DS88" s="27"/>
      <c r="DT88" s="27"/>
    </row>
    <row r="89" spans="1:124" ht="15.75" customHeight="1" x14ac:dyDescent="0.2">
      <c r="B89" s="27"/>
      <c r="C89" s="27"/>
      <c r="D89" s="27"/>
      <c r="E89" s="27"/>
      <c r="F89" s="27"/>
      <c r="G89" s="27"/>
      <c r="H89" s="27"/>
      <c r="I89" s="27"/>
      <c r="J89" s="27"/>
      <c r="K89" s="27"/>
      <c r="L89" s="27"/>
      <c r="M89" s="27">
        <v>4.5</v>
      </c>
      <c r="N89" s="27" t="e">
        <f t="shared" si="8"/>
        <v>#N/A</v>
      </c>
      <c r="O89" s="27">
        <f t="shared" si="9"/>
        <v>5269.8544379150389</v>
      </c>
      <c r="P89" s="27">
        <f t="shared" si="10"/>
        <v>4803.7120985364836</v>
      </c>
      <c r="Q89" s="27">
        <f t="shared" si="11"/>
        <v>4179.1334514847695</v>
      </c>
      <c r="R89" s="27"/>
      <c r="S89" s="27"/>
      <c r="T89" s="27"/>
      <c r="U89" s="27"/>
      <c r="V89" s="27"/>
      <c r="W89" s="27"/>
      <c r="X89" s="27"/>
      <c r="Y89" s="27"/>
      <c r="Z89" s="27"/>
      <c r="AA89" s="27"/>
      <c r="AB89" s="27"/>
      <c r="AC89" s="27"/>
      <c r="AD89" s="27"/>
      <c r="AE89" s="27"/>
      <c r="AF89" s="27"/>
      <c r="AG89" s="27"/>
      <c r="AH89" s="27"/>
      <c r="AI89" s="27"/>
      <c r="AJ89" s="27"/>
      <c r="AK89" s="27"/>
      <c r="AL89" s="27"/>
      <c r="AM89" s="27"/>
      <c r="AN89" s="27"/>
      <c r="AO89" s="27"/>
      <c r="AP89" s="27"/>
      <c r="AQ89" s="27"/>
      <c r="AR89" s="27"/>
      <c r="AS89" s="27"/>
      <c r="AT89" s="27"/>
      <c r="AU89" s="27"/>
      <c r="AV89" s="27"/>
      <c r="AW89" s="27"/>
      <c r="AX89" s="27"/>
      <c r="AY89" s="27" t="s">
        <v>454</v>
      </c>
      <c r="AZ89" s="27"/>
      <c r="BA89" s="27"/>
      <c r="BB89" s="27" t="e">
        <f>((Q26*12+#REF!+#REF!+AJ33)*'[1]נתוני מס'!L27)/12</f>
        <v>#REF!</v>
      </c>
      <c r="BC89" s="27"/>
      <c r="BD89" s="27"/>
      <c r="BE89" s="27"/>
      <c r="BF89" s="27"/>
      <c r="BG89" s="27"/>
      <c r="BH89" s="27"/>
      <c r="BI89" s="27"/>
      <c r="BJ89" s="27"/>
      <c r="BK89" s="27"/>
      <c r="BL89" s="27"/>
      <c r="BM89" s="27"/>
      <c r="BN89" s="27"/>
      <c r="BO89" s="27"/>
      <c r="BP89" s="27"/>
      <c r="BQ89" s="27"/>
      <c r="BR89" s="27"/>
      <c r="BS89" s="27"/>
      <c r="BT89" s="27"/>
      <c r="BU89" s="27"/>
      <c r="BV89" s="27"/>
      <c r="BW89" s="27"/>
      <c r="BX89" s="27"/>
      <c r="BY89" s="27"/>
      <c r="BZ89" s="27"/>
      <c r="CA89" s="27"/>
      <c r="CB89" s="27"/>
      <c r="CC89" s="27"/>
      <c r="CD89" s="27"/>
      <c r="CE89" s="27"/>
      <c r="CF89" s="27"/>
      <c r="CG89" s="27"/>
      <c r="CH89" s="27"/>
      <c r="CI89" s="27"/>
      <c r="CJ89" s="27"/>
      <c r="CK89" s="27"/>
      <c r="CL89" s="27"/>
      <c r="CM89" s="27"/>
      <c r="CN89" s="27"/>
      <c r="CO89" s="27"/>
      <c r="CP89" s="27"/>
      <c r="CQ89" s="27"/>
      <c r="CR89" s="27"/>
      <c r="CS89" s="27"/>
      <c r="CT89" s="27"/>
      <c r="CU89" s="27"/>
      <c r="CV89" s="27"/>
      <c r="CW89" s="27"/>
      <c r="CX89" s="27"/>
      <c r="CY89" s="27"/>
      <c r="CZ89" s="27"/>
      <c r="DA89" s="27"/>
      <c r="DB89" s="27"/>
      <c r="DC89" s="27"/>
      <c r="DD89" s="27"/>
      <c r="DE89" s="27"/>
      <c r="DF89" s="27"/>
      <c r="DG89" s="27"/>
      <c r="DH89" s="27"/>
      <c r="DI89" s="27"/>
      <c r="DJ89" s="27"/>
      <c r="DK89" s="27"/>
      <c r="DL89" s="27"/>
      <c r="DM89" s="27"/>
      <c r="DN89" s="27"/>
      <c r="DO89" s="27"/>
      <c r="DP89" s="27"/>
      <c r="DQ89" s="27"/>
      <c r="DR89" s="27"/>
      <c r="DS89" s="27"/>
      <c r="DT89" s="27"/>
    </row>
    <row r="90" spans="1:124" ht="15.75" customHeight="1" x14ac:dyDescent="0.2">
      <c r="B90" s="27"/>
      <c r="C90" s="27"/>
      <c r="D90" s="27"/>
      <c r="E90" s="27"/>
      <c r="F90" s="27"/>
      <c r="G90" s="27"/>
      <c r="H90" s="27"/>
      <c r="I90" s="27"/>
      <c r="J90" s="27"/>
      <c r="K90" s="27"/>
      <c r="L90" s="27"/>
      <c r="M90" s="27">
        <v>5</v>
      </c>
      <c r="N90" s="27" t="e">
        <f t="shared" si="8"/>
        <v>#N/A</v>
      </c>
      <c r="O90" s="27">
        <f t="shared" si="9"/>
        <v>5460.3311043457015</v>
      </c>
      <c r="P90" s="27">
        <f t="shared" si="10"/>
        <v>4977.3402466763546</v>
      </c>
      <c r="Q90" s="27">
        <f t="shared" si="11"/>
        <v>4330.1864678034945</v>
      </c>
      <c r="R90" s="27"/>
      <c r="S90" s="27"/>
      <c r="T90" s="27"/>
      <c r="U90" s="27"/>
      <c r="V90" s="27"/>
      <c r="W90" s="27" t="e">
        <f>Q26</f>
        <v>#REF!</v>
      </c>
      <c r="X90" s="27"/>
      <c r="Y90" s="27"/>
      <c r="Z90" s="27"/>
      <c r="AA90" s="27"/>
      <c r="AB90" s="27"/>
      <c r="AC90" s="27"/>
      <c r="AD90" s="27"/>
      <c r="AE90" s="27"/>
      <c r="AF90" s="27"/>
      <c r="AG90" s="27"/>
      <c r="AH90" s="27"/>
      <c r="AI90" s="27"/>
      <c r="AJ90" s="27"/>
      <c r="AK90" s="27" t="s">
        <v>59</v>
      </c>
      <c r="AL90" s="27"/>
      <c r="AM90" s="27"/>
      <c r="AN90" s="27"/>
      <c r="AO90" s="27"/>
      <c r="AP90" s="27"/>
      <c r="AQ90" s="27"/>
      <c r="AR90" s="27"/>
      <c r="AS90" s="27"/>
      <c r="AT90" s="27"/>
      <c r="AU90" s="27"/>
      <c r="AV90" s="27"/>
      <c r="AW90" s="27"/>
      <c r="AX90" s="27"/>
      <c r="AY90" s="27" t="s">
        <v>455</v>
      </c>
      <c r="AZ90" s="27"/>
      <c r="BA90" s="27"/>
      <c r="BB90" s="27" t="e">
        <f>IF(BC90&gt;'[1]נתוני מס'!L28*'[1]נתוני מס'!M28,'[1]נתוני מס'!L28*'[1]נתוני מס'!M28,BC90)</f>
        <v>#REF!</v>
      </c>
      <c r="BC90" s="27" t="e">
        <f>((BG77-(Q26*AJ30*12+AJ33+#REF!+#REF!))*'[1]נתוני מס'!L28)/12</f>
        <v>#REF!</v>
      </c>
      <c r="BD90" s="27"/>
      <c r="BE90" s="27"/>
      <c r="BF90" s="27"/>
      <c r="BG90" s="27"/>
      <c r="BH90" s="27" t="s">
        <v>456</v>
      </c>
      <c r="BI90" s="27"/>
      <c r="BJ90" s="27"/>
      <c r="BK90" s="27"/>
      <c r="BL90" s="27"/>
      <c r="BM90" s="27"/>
      <c r="BN90" s="27"/>
      <c r="BO90" s="27"/>
      <c r="BP90" s="27"/>
      <c r="BQ90" s="27"/>
      <c r="BR90" s="27"/>
      <c r="BS90" s="27"/>
      <c r="BT90" s="27"/>
      <c r="BU90" s="27"/>
      <c r="BV90" s="27"/>
      <c r="BW90" s="27"/>
      <c r="BX90" s="27"/>
      <c r="BY90" s="27"/>
      <c r="BZ90" s="27">
        <v>35</v>
      </c>
      <c r="CA90" s="27">
        <v>0.01</v>
      </c>
      <c r="CB90" s="27">
        <v>7115.36</v>
      </c>
      <c r="CC90" s="27">
        <v>6721.91</v>
      </c>
      <c r="CD90" s="27">
        <v>6273.75</v>
      </c>
      <c r="CE90" s="27">
        <v>5995.06</v>
      </c>
      <c r="CF90" s="27">
        <v>5464.95</v>
      </c>
      <c r="CG90" s="27">
        <v>4754.42</v>
      </c>
      <c r="CH90" s="27">
        <v>4453.84</v>
      </c>
      <c r="CI90" s="27">
        <v>4344.54</v>
      </c>
      <c r="CJ90" s="27">
        <v>4207.93</v>
      </c>
      <c r="CK90" s="27">
        <v>5995.06</v>
      </c>
      <c r="CL90" s="27">
        <v>5574.28</v>
      </c>
      <c r="CM90" s="27">
        <v>4754.42</v>
      </c>
      <c r="CN90" s="27">
        <v>5869.38</v>
      </c>
      <c r="CO90" s="27"/>
      <c r="CP90" s="27"/>
      <c r="CQ90" s="27"/>
      <c r="CR90" s="27"/>
      <c r="CS90" s="27"/>
      <c r="CT90" s="27"/>
      <c r="CU90" s="27"/>
      <c r="CV90" s="27"/>
      <c r="CW90" s="27"/>
      <c r="CX90" s="27"/>
      <c r="CY90" s="27"/>
      <c r="CZ90" s="27"/>
      <c r="DA90" s="27"/>
      <c r="DB90" s="27"/>
      <c r="DC90" s="27"/>
      <c r="DD90" s="27"/>
      <c r="DE90" s="27"/>
      <c r="DF90" s="27"/>
      <c r="DG90" s="27"/>
      <c r="DH90" s="27"/>
      <c r="DI90" s="27"/>
      <c r="DJ90" s="27"/>
      <c r="DK90" s="27"/>
      <c r="DL90" s="27"/>
      <c r="DM90" s="27"/>
      <c r="DN90" s="27"/>
      <c r="DO90" s="27"/>
      <c r="DP90" s="27"/>
      <c r="DQ90" s="27"/>
      <c r="DR90" s="27"/>
      <c r="DS90" s="27"/>
      <c r="DT90" s="27"/>
    </row>
    <row r="91" spans="1:124" ht="15.75" customHeight="1" x14ac:dyDescent="0.2">
      <c r="B91" s="27"/>
      <c r="C91" s="27"/>
      <c r="D91" s="27"/>
      <c r="E91" s="27"/>
      <c r="F91" s="27"/>
      <c r="G91" s="27"/>
      <c r="H91" s="27"/>
      <c r="I91" s="27"/>
      <c r="J91" s="27"/>
      <c r="K91" s="27"/>
      <c r="L91" s="27"/>
      <c r="M91" s="27">
        <v>5.5</v>
      </c>
      <c r="N91" s="27" t="e">
        <f t="shared" si="8"/>
        <v>#N/A</v>
      </c>
      <c r="O91" s="27">
        <f t="shared" si="9"/>
        <v>5665.0935207586663</v>
      </c>
      <c r="P91" s="27">
        <f t="shared" si="10"/>
        <v>5163.9905059267185</v>
      </c>
      <c r="Q91" s="27">
        <f t="shared" si="11"/>
        <v>4492.5684603461268</v>
      </c>
      <c r="R91" s="27"/>
      <c r="S91" s="27"/>
      <c r="T91" s="27"/>
      <c r="U91" s="27"/>
      <c r="V91" s="27"/>
      <c r="W91" s="27"/>
      <c r="X91" s="27"/>
      <c r="Y91" s="27"/>
      <c r="Z91" s="27"/>
      <c r="AA91" s="27"/>
      <c r="AB91" s="27"/>
      <c r="AC91" s="27"/>
      <c r="AD91" s="27"/>
      <c r="AE91" s="27"/>
      <c r="AF91" s="27"/>
      <c r="AG91" s="27"/>
      <c r="AH91" s="27"/>
      <c r="AI91" s="27"/>
      <c r="AJ91" s="27"/>
      <c r="AK91" s="27"/>
      <c r="AL91" s="27"/>
      <c r="AM91" s="27"/>
      <c r="AN91" s="27"/>
      <c r="AO91" s="27"/>
      <c r="AP91" s="27"/>
      <c r="AQ91" s="27"/>
      <c r="AR91" s="27"/>
      <c r="AS91" s="27"/>
      <c r="AT91" s="27"/>
      <c r="AU91" s="27"/>
      <c r="AV91" s="27"/>
      <c r="AW91" s="27"/>
      <c r="AX91" s="27"/>
      <c r="AY91" s="27"/>
      <c r="AZ91" s="27"/>
      <c r="BA91" s="27"/>
      <c r="BB91" s="27" t="s">
        <v>457</v>
      </c>
      <c r="BC91" s="27"/>
      <c r="BD91" s="27"/>
      <c r="BE91" s="27"/>
      <c r="BF91" s="27"/>
      <c r="BG91" s="27"/>
      <c r="BH91" s="27" t="s">
        <v>27</v>
      </c>
      <c r="BI91" s="27">
        <v>0</v>
      </c>
      <c r="BJ91" s="27">
        <v>0</v>
      </c>
      <c r="BK91" s="27"/>
      <c r="BL91" s="27"/>
      <c r="BM91" s="27"/>
      <c r="BN91" s="27"/>
      <c r="BO91" s="27"/>
      <c r="BP91" s="27"/>
      <c r="BQ91" s="27"/>
      <c r="BR91" s="27"/>
      <c r="BS91" s="27"/>
      <c r="BT91" s="27"/>
      <c r="BU91" s="27"/>
      <c r="BV91" s="27"/>
      <c r="BW91" s="27" t="s">
        <v>59</v>
      </c>
      <c r="BX91" s="27"/>
      <c r="BY91" s="27"/>
      <c r="BZ91" s="27"/>
      <c r="CA91" s="27"/>
      <c r="CB91" s="27"/>
      <c r="CC91" s="27"/>
      <c r="CD91" s="27"/>
      <c r="CE91" s="27"/>
      <c r="CF91" s="27"/>
      <c r="CG91" s="27"/>
      <c r="CH91" s="27"/>
      <c r="CI91" s="27"/>
      <c r="CJ91" s="27"/>
      <c r="CK91" s="27"/>
      <c r="CL91" s="27"/>
      <c r="CM91" s="27"/>
      <c r="CN91" s="27"/>
      <c r="CO91" s="27"/>
      <c r="CP91" s="27"/>
      <c r="CQ91" s="27"/>
      <c r="CR91" s="27"/>
      <c r="CS91" s="27"/>
      <c r="CT91" s="27"/>
      <c r="CU91" s="27"/>
      <c r="CV91" s="27"/>
      <c r="CW91" s="27"/>
      <c r="CX91" s="27"/>
      <c r="CY91" s="27"/>
      <c r="CZ91" s="27"/>
      <c r="DA91" s="27"/>
      <c r="DB91" s="27"/>
      <c r="DC91" s="27"/>
      <c r="DD91" s="27"/>
      <c r="DE91" s="27"/>
      <c r="DF91" s="27"/>
      <c r="DG91" s="27"/>
      <c r="DH91" s="27"/>
      <c r="DI91" s="27"/>
      <c r="DJ91" s="27"/>
      <c r="DK91" s="27"/>
      <c r="DL91" s="27"/>
      <c r="DM91" s="27"/>
      <c r="DN91" s="27"/>
      <c r="DO91" s="27"/>
      <c r="DP91" s="27"/>
      <c r="DQ91" s="27"/>
      <c r="DR91" s="27"/>
      <c r="DS91" s="27"/>
      <c r="DT91" s="27"/>
    </row>
    <row r="92" spans="1:124" ht="15.75" customHeight="1" x14ac:dyDescent="0.2">
      <c r="B92" s="27"/>
      <c r="C92" s="27"/>
      <c r="D92" s="27"/>
      <c r="E92" s="27"/>
      <c r="F92" s="27"/>
      <c r="G92" s="27"/>
      <c r="H92" s="27"/>
      <c r="I92" s="27"/>
      <c r="J92" s="27"/>
      <c r="K92" s="27"/>
      <c r="L92" s="27"/>
      <c r="M92" s="27">
        <v>6</v>
      </c>
      <c r="N92" s="27" t="e">
        <f t="shared" si="8"/>
        <v>#N/A</v>
      </c>
      <c r="O92" s="27">
        <f t="shared" si="9"/>
        <v>5869.8559371716292</v>
      </c>
      <c r="P92" s="27">
        <f t="shared" si="10"/>
        <v>5350.6407651770814</v>
      </c>
      <c r="Q92" s="27">
        <f t="shared" si="11"/>
        <v>4654.9504528887574</v>
      </c>
      <c r="R92" s="27"/>
      <c r="S92" s="27"/>
      <c r="T92" s="27"/>
      <c r="U92" s="27"/>
      <c r="V92" s="27"/>
      <c r="W92" s="27"/>
      <c r="X92" s="27"/>
      <c r="Y92" s="27"/>
      <c r="Z92" s="27"/>
      <c r="AA92" s="27"/>
      <c r="AB92" s="27"/>
      <c r="AC92" s="27"/>
      <c r="AD92" s="27"/>
      <c r="AE92" s="27"/>
      <c r="AF92" s="27"/>
      <c r="AG92" s="27"/>
      <c r="AH92" s="27"/>
      <c r="AI92" s="27"/>
      <c r="AJ92" s="27"/>
      <c r="AK92" s="27"/>
      <c r="AL92" s="27"/>
      <c r="AM92" s="27"/>
      <c r="AN92" s="27"/>
      <c r="AO92" s="27"/>
      <c r="AP92" s="27"/>
      <c r="AQ92" s="27"/>
      <c r="AR92" s="27"/>
      <c r="AS92" s="27"/>
      <c r="AT92" s="27"/>
      <c r="AU92" s="27"/>
      <c r="AV92" s="27"/>
      <c r="AW92" s="27"/>
      <c r="AX92" s="27"/>
      <c r="AY92" s="27"/>
      <c r="AZ92" s="27"/>
      <c r="BA92" s="27"/>
      <c r="BB92" s="27"/>
      <c r="BC92" s="27"/>
      <c r="BD92" s="27"/>
      <c r="BE92" s="27"/>
      <c r="BF92" s="27"/>
      <c r="BG92" s="27"/>
      <c r="BH92" s="27" t="s">
        <v>458</v>
      </c>
      <c r="BI92" s="27">
        <f>'[1]נתוני מס'!B17</f>
        <v>0.13</v>
      </c>
      <c r="BJ92" s="27">
        <f>'[1]נתוני מס'!C17</f>
        <v>227640</v>
      </c>
      <c r="BK92" s="27"/>
      <c r="BL92" s="27"/>
      <c r="BM92" s="27"/>
      <c r="BN92" s="27"/>
      <c r="BO92" s="27"/>
      <c r="BP92" s="27"/>
      <c r="BQ92" s="27"/>
      <c r="BR92" s="27"/>
      <c r="BS92" s="27"/>
      <c r="BT92" s="27"/>
      <c r="BU92" s="27"/>
      <c r="BV92" s="27"/>
      <c r="BW92" s="27"/>
      <c r="BX92" s="27"/>
      <c r="BY92" s="27"/>
      <c r="BZ92" s="27">
        <v>36</v>
      </c>
      <c r="CA92" s="27">
        <v>0.01</v>
      </c>
      <c r="CB92" s="27">
        <v>7186.51</v>
      </c>
      <c r="CC92" s="27">
        <v>6789.12</v>
      </c>
      <c r="CD92" s="27">
        <v>6336.48</v>
      </c>
      <c r="CE92" s="27">
        <v>6055.01</v>
      </c>
      <c r="CF92" s="27">
        <v>5519.59</v>
      </c>
      <c r="CG92" s="27">
        <v>4801.96</v>
      </c>
      <c r="CH92" s="27">
        <v>4498.37</v>
      </c>
      <c r="CI92" s="27">
        <v>4387.9799999999996</v>
      </c>
      <c r="CJ92" s="27">
        <v>4250</v>
      </c>
      <c r="CK92" s="27">
        <v>6055.01</v>
      </c>
      <c r="CL92" s="27">
        <v>5630.02</v>
      </c>
      <c r="CM92" s="27">
        <v>4801.96</v>
      </c>
      <c r="CN92" s="27">
        <v>5928.07</v>
      </c>
      <c r="CO92" s="27"/>
      <c r="CP92" s="27"/>
      <c r="CQ92" s="27"/>
      <c r="CR92" s="27"/>
      <c r="CS92" s="27"/>
      <c r="CT92" s="27"/>
      <c r="CU92" s="27"/>
      <c r="CV92" s="27"/>
      <c r="CW92" s="27"/>
      <c r="CX92" s="27"/>
      <c r="CY92" s="27"/>
      <c r="CZ92" s="27"/>
      <c r="DA92" s="27"/>
      <c r="DB92" s="27"/>
      <c r="DC92" s="27"/>
      <c r="DD92" s="27"/>
      <c r="DE92" s="27"/>
      <c r="DF92" s="27"/>
      <c r="DG92" s="27"/>
      <c r="DH92" s="27"/>
      <c r="DI92" s="27"/>
      <c r="DJ92" s="27"/>
      <c r="DK92" s="27"/>
      <c r="DL92" s="27"/>
      <c r="DM92" s="27"/>
      <c r="DN92" s="27"/>
      <c r="DO92" s="27"/>
      <c r="DP92" s="27"/>
      <c r="DQ92" s="27"/>
      <c r="DR92" s="27"/>
      <c r="DS92" s="27"/>
      <c r="DT92" s="27"/>
    </row>
    <row r="93" spans="1:124" ht="17.25" customHeight="1" x14ac:dyDescent="0.2">
      <c r="B93" s="27"/>
      <c r="C93" s="27"/>
      <c r="D93" s="27"/>
      <c r="E93" s="27"/>
      <c r="F93" s="27"/>
      <c r="G93" s="27"/>
      <c r="H93" s="27"/>
      <c r="I93" s="27"/>
      <c r="J93" s="27"/>
      <c r="K93" s="27"/>
      <c r="L93" s="27"/>
      <c r="M93" s="27">
        <v>6.5</v>
      </c>
      <c r="N93" s="27" t="e">
        <f t="shared" si="8"/>
        <v>#N/A</v>
      </c>
      <c r="O93" s="27">
        <f t="shared" si="9"/>
        <v>6089.9755348155659</v>
      </c>
      <c r="P93" s="27">
        <f t="shared" si="10"/>
        <v>5551.2897938712222</v>
      </c>
      <c r="Q93" s="27">
        <f t="shared" si="11"/>
        <v>4829.5110948720858</v>
      </c>
      <c r="R93" s="27"/>
      <c r="S93" s="27"/>
      <c r="T93" s="27"/>
      <c r="U93" s="27"/>
      <c r="V93" s="27"/>
      <c r="W93" s="27"/>
      <c r="X93" s="27"/>
      <c r="Y93" s="27"/>
      <c r="Z93" s="27"/>
      <c r="AA93" s="27"/>
      <c r="AB93" s="27"/>
      <c r="AC93" s="27"/>
      <c r="AD93" s="27"/>
      <c r="AE93" s="27"/>
      <c r="AF93" s="27"/>
      <c r="AG93" s="27"/>
      <c r="AH93" s="27"/>
      <c r="AI93" s="27"/>
      <c r="AJ93" s="27"/>
      <c r="AK93" s="27"/>
      <c r="AL93" s="27"/>
      <c r="AM93" s="27"/>
      <c r="AN93" s="27"/>
      <c r="AO93" s="27"/>
      <c r="AP93" s="27"/>
      <c r="AQ93" s="27"/>
      <c r="AR93" s="27"/>
      <c r="AS93" s="27"/>
      <c r="AT93" s="27"/>
      <c r="AU93" s="27"/>
      <c r="AV93" s="27"/>
      <c r="AW93" s="27"/>
      <c r="AX93" s="27"/>
      <c r="AY93" s="27"/>
      <c r="AZ93" s="27"/>
      <c r="BA93" s="27"/>
      <c r="BB93" s="27"/>
      <c r="BC93" s="27"/>
      <c r="BD93" s="27"/>
      <c r="BE93" s="27"/>
      <c r="BF93" s="27"/>
      <c r="BG93" s="27"/>
      <c r="BH93" s="27" t="s">
        <v>459</v>
      </c>
      <c r="BI93" s="27">
        <f>'[1]נתוני מס'!B18</f>
        <v>0.25</v>
      </c>
      <c r="BJ93" s="27">
        <f>'[1]נתוני מס'!C18</f>
        <v>227640</v>
      </c>
      <c r="BK93" s="27"/>
      <c r="BL93" s="27"/>
      <c r="BM93" s="27"/>
      <c r="BN93" s="27"/>
      <c r="BO93" s="27"/>
      <c r="BP93" s="27"/>
      <c r="BQ93" s="27"/>
      <c r="BR93" s="27"/>
      <c r="BS93" s="27"/>
      <c r="BT93" s="27"/>
      <c r="BU93" s="27"/>
      <c r="BV93" s="27"/>
      <c r="BW93" s="27"/>
      <c r="BX93" s="27"/>
      <c r="BY93" s="27"/>
      <c r="BZ93" s="27"/>
      <c r="CA93" s="27"/>
      <c r="CB93" s="27"/>
      <c r="CC93" s="27"/>
      <c r="CD93" s="27"/>
      <c r="CE93" s="27"/>
      <c r="CF93" s="27"/>
      <c r="CG93" s="27"/>
      <c r="CH93" s="27"/>
      <c r="CI93" s="27"/>
      <c r="CJ93" s="27"/>
      <c r="CK93" s="27"/>
      <c r="CL93" s="27"/>
      <c r="CM93" s="27"/>
      <c r="CN93" s="27"/>
      <c r="CO93" s="27"/>
      <c r="CP93" s="27"/>
      <c r="CQ93" s="27"/>
      <c r="CR93" s="27"/>
      <c r="CS93" s="27"/>
      <c r="CT93" s="27"/>
      <c r="CU93" s="27"/>
      <c r="CV93" s="27"/>
      <c r="CW93" s="27"/>
      <c r="CX93" s="27"/>
      <c r="CY93" s="27"/>
      <c r="CZ93" s="27"/>
      <c r="DA93" s="27"/>
      <c r="DB93" s="27"/>
      <c r="DC93" s="27"/>
      <c r="DD93" s="27"/>
      <c r="DE93" s="27"/>
      <c r="DF93" s="27"/>
      <c r="DG93" s="27"/>
      <c r="DH93" s="27"/>
      <c r="DI93" s="27"/>
      <c r="DJ93" s="27"/>
      <c r="DK93" s="27"/>
      <c r="DL93" s="27"/>
      <c r="DM93" s="27"/>
      <c r="DN93" s="27"/>
      <c r="DO93" s="27"/>
      <c r="DP93" s="27"/>
      <c r="DQ93" s="27"/>
      <c r="DR93" s="27"/>
      <c r="DS93" s="27"/>
      <c r="DT93" s="27"/>
    </row>
    <row r="94" spans="1:124" ht="14.25" customHeight="1" x14ac:dyDescent="0.2">
      <c r="B94" s="27"/>
      <c r="C94" s="27"/>
      <c r="D94" s="27"/>
      <c r="E94" s="27"/>
      <c r="F94" s="27"/>
      <c r="G94" s="27"/>
      <c r="H94" s="27"/>
      <c r="I94" s="27"/>
      <c r="J94" s="27"/>
      <c r="K94" s="27"/>
      <c r="L94" s="27"/>
      <c r="M94" s="27">
        <v>7</v>
      </c>
      <c r="N94" s="27" t="e">
        <f t="shared" si="8"/>
        <v>#N/A</v>
      </c>
      <c r="O94" s="27">
        <f t="shared" si="9"/>
        <v>6310.0951324595017</v>
      </c>
      <c r="P94" s="27">
        <f t="shared" si="10"/>
        <v>5751.9388225653629</v>
      </c>
      <c r="Q94" s="27">
        <f t="shared" si="11"/>
        <v>5004.0717368554142</v>
      </c>
      <c r="R94" s="27"/>
      <c r="S94" s="27"/>
      <c r="T94" s="27"/>
      <c r="U94" s="27"/>
      <c r="V94" s="27"/>
      <c r="W94" s="27"/>
      <c r="X94" s="27"/>
      <c r="Y94" s="27"/>
      <c r="Z94" s="27"/>
      <c r="AA94" s="27"/>
      <c r="AB94" s="27"/>
      <c r="AC94" s="27"/>
      <c r="AD94" s="27"/>
      <c r="AE94" s="27"/>
      <c r="AF94" s="27"/>
      <c r="AG94" s="27"/>
      <c r="AH94" s="27"/>
      <c r="AI94" s="27"/>
      <c r="AJ94" s="27"/>
      <c r="AK94" s="27"/>
      <c r="AL94" s="27"/>
      <c r="AM94" s="27"/>
      <c r="AN94" s="27"/>
      <c r="AO94" s="27"/>
      <c r="AP94" s="27"/>
      <c r="AQ94" s="27"/>
      <c r="AR94" s="27"/>
      <c r="AS94" s="27"/>
      <c r="AT94" s="27"/>
      <c r="AU94" s="27"/>
      <c r="AV94" s="27"/>
      <c r="AW94" s="27"/>
      <c r="AX94" s="27"/>
      <c r="AY94" s="27"/>
      <c r="AZ94" s="27"/>
      <c r="BA94" s="27"/>
      <c r="BB94" s="27"/>
      <c r="BC94" s="27"/>
      <c r="BD94" s="27"/>
      <c r="BE94" s="27"/>
      <c r="BF94" s="27"/>
      <c r="BG94" s="27"/>
      <c r="BH94" s="27" t="s">
        <v>460</v>
      </c>
      <c r="BI94" s="27">
        <f>'[1]נתוני מס'!B19</f>
        <v>0.2</v>
      </c>
      <c r="BJ94" s="27">
        <f>'[1]נתוני מס'!C19</f>
        <v>227640</v>
      </c>
      <c r="BK94" s="27"/>
      <c r="BL94" s="27"/>
      <c r="BM94" s="27"/>
      <c r="BN94" s="27"/>
      <c r="BO94" s="27"/>
      <c r="BP94" s="27"/>
      <c r="BQ94" s="27"/>
      <c r="BR94" s="27"/>
      <c r="BS94" s="27"/>
      <c r="BT94" s="27"/>
      <c r="BU94" s="27"/>
      <c r="BV94" s="27"/>
      <c r="BW94" s="27"/>
      <c r="BX94" s="27"/>
      <c r="BY94" s="27"/>
      <c r="BZ94" s="27"/>
      <c r="CA94" s="27"/>
      <c r="CB94" s="27"/>
      <c r="CC94" s="27"/>
      <c r="CD94" s="27"/>
      <c r="CE94" s="27"/>
      <c r="CF94" s="27"/>
      <c r="CG94" s="27"/>
      <c r="CH94" s="27"/>
      <c r="CI94" s="27"/>
      <c r="CJ94" s="27"/>
      <c r="CK94" s="27"/>
      <c r="CL94" s="27"/>
      <c r="CM94" s="27"/>
      <c r="CN94" s="27"/>
      <c r="CO94" s="27"/>
      <c r="CP94" s="27"/>
      <c r="CQ94" s="27"/>
      <c r="CR94" s="27"/>
      <c r="CS94" s="27"/>
      <c r="CT94" s="27"/>
      <c r="CU94" s="27"/>
      <c r="CV94" s="27"/>
      <c r="CW94" s="27"/>
      <c r="CX94" s="27"/>
      <c r="CY94" s="27"/>
      <c r="CZ94" s="27"/>
      <c r="DA94" s="27"/>
      <c r="DB94" s="27"/>
      <c r="DC94" s="27"/>
      <c r="DD94" s="27"/>
      <c r="DE94" s="27"/>
      <c r="DF94" s="27"/>
      <c r="DG94" s="27"/>
      <c r="DH94" s="27"/>
      <c r="DI94" s="27"/>
      <c r="DJ94" s="27"/>
      <c r="DK94" s="27"/>
      <c r="DL94" s="27"/>
      <c r="DM94" s="27"/>
      <c r="DN94" s="27"/>
      <c r="DO94" s="27"/>
      <c r="DP94" s="27"/>
      <c r="DQ94" s="27"/>
      <c r="DR94" s="27"/>
      <c r="DS94" s="27"/>
      <c r="DT94" s="27"/>
    </row>
    <row r="95" spans="1:124" ht="13.5" customHeight="1" x14ac:dyDescent="0.2">
      <c r="B95" s="27"/>
      <c r="C95" s="27"/>
      <c r="D95" s="27"/>
      <c r="E95" s="27"/>
      <c r="F95" s="27"/>
      <c r="G95" s="27"/>
      <c r="H95" s="27"/>
      <c r="I95" s="27"/>
      <c r="J95" s="27"/>
      <c r="K95" s="27"/>
      <c r="L95" s="27"/>
      <c r="M95" s="27">
        <v>7.5</v>
      </c>
      <c r="N95" s="27" t="e">
        <f t="shared" si="8"/>
        <v>#N/A</v>
      </c>
      <c r="O95" s="27">
        <f t="shared" si="9"/>
        <v>6546.7236999267334</v>
      </c>
      <c r="P95" s="27">
        <f t="shared" si="10"/>
        <v>5967.6365284115645</v>
      </c>
      <c r="Q95" s="27">
        <f t="shared" si="11"/>
        <v>5191.7244269874927</v>
      </c>
      <c r="R95" s="27"/>
      <c r="S95" s="27"/>
      <c r="T95" s="27"/>
      <c r="U95" s="27" t="s">
        <v>59</v>
      </c>
      <c r="V95" s="27"/>
      <c r="W95" s="27"/>
      <c r="X95" s="27"/>
      <c r="Y95" s="27"/>
      <c r="Z95" s="27"/>
      <c r="AA95" s="27"/>
      <c r="AB95" s="27"/>
      <c r="AC95" s="27"/>
      <c r="AD95" s="27"/>
      <c r="AE95" s="27"/>
      <c r="AF95" s="27"/>
      <c r="AG95" s="27"/>
      <c r="AH95" s="27"/>
      <c r="AI95" s="27"/>
      <c r="AJ95" s="27"/>
      <c r="AK95" s="27"/>
      <c r="AL95" s="27"/>
      <c r="AM95" s="27"/>
      <c r="AN95" s="27"/>
      <c r="AO95" s="27"/>
      <c r="AP95" s="27"/>
      <c r="AQ95" s="27"/>
      <c r="AR95" s="27"/>
      <c r="AS95" s="27"/>
      <c r="AT95" s="27"/>
      <c r="AU95" s="27"/>
      <c r="AV95" s="27"/>
      <c r="AW95" s="27"/>
      <c r="AX95" s="27"/>
      <c r="AY95" s="27"/>
      <c r="AZ95" s="27"/>
      <c r="BA95" s="27"/>
      <c r="BB95" s="27"/>
      <c r="BC95" s="27"/>
      <c r="BD95" s="27"/>
      <c r="BE95" s="27"/>
      <c r="BF95" s="27"/>
      <c r="BG95" s="27"/>
      <c r="BH95" s="27" t="s">
        <v>461</v>
      </c>
      <c r="BI95" s="27">
        <f>'[1]נתוני מס'!B20</f>
        <v>0.16</v>
      </c>
      <c r="BJ95" s="27">
        <f>'[1]נתוני מס'!C20</f>
        <v>151680</v>
      </c>
      <c r="BK95" s="27"/>
      <c r="BL95" s="27"/>
      <c r="BM95" s="27"/>
      <c r="BN95" s="27"/>
      <c r="BO95" s="27"/>
      <c r="BP95" s="27"/>
      <c r="BQ95" s="27"/>
      <c r="BR95" s="27"/>
      <c r="BS95" s="27"/>
      <c r="BT95" s="27"/>
      <c r="BU95" s="27"/>
      <c r="BV95" s="27"/>
      <c r="BW95" s="27"/>
      <c r="BX95" s="27"/>
      <c r="BY95" s="27"/>
      <c r="BZ95" s="27"/>
      <c r="CA95" s="27"/>
      <c r="CB95" s="27"/>
      <c r="CC95" s="27"/>
      <c r="CD95" s="27"/>
      <c r="CE95" s="27"/>
      <c r="CF95" s="27"/>
      <c r="CG95" s="27"/>
      <c r="CH95" s="27"/>
      <c r="CI95" s="27"/>
      <c r="CJ95" s="27"/>
      <c r="CK95" s="27"/>
      <c r="CL95" s="27"/>
      <c r="CM95" s="27"/>
      <c r="CN95" s="27"/>
      <c r="CO95" s="27"/>
      <c r="CP95" s="27"/>
      <c r="CQ95" s="27"/>
      <c r="CR95" s="27"/>
      <c r="CS95" s="27"/>
      <c r="CT95" s="27"/>
      <c r="CU95" s="27"/>
      <c r="CV95" s="27"/>
      <c r="CW95" s="27"/>
      <c r="CX95" s="27"/>
      <c r="CY95" s="27"/>
      <c r="CZ95" s="27"/>
      <c r="DA95" s="27"/>
      <c r="DB95" s="27"/>
      <c r="DC95" s="27"/>
      <c r="DD95" s="27"/>
      <c r="DE95" s="27"/>
      <c r="DF95" s="27"/>
      <c r="DG95" s="27"/>
      <c r="DH95" s="27"/>
      <c r="DI95" s="27"/>
      <c r="DJ95" s="27"/>
      <c r="DK95" s="27"/>
      <c r="DL95" s="27"/>
      <c r="DM95" s="27"/>
      <c r="DN95" s="27"/>
      <c r="DO95" s="27"/>
      <c r="DP95" s="27"/>
      <c r="DQ95" s="27"/>
      <c r="DR95" s="27"/>
      <c r="DS95" s="27"/>
      <c r="DT95" s="27"/>
    </row>
    <row r="96" spans="1:124" ht="15" customHeight="1" x14ac:dyDescent="0.2">
      <c r="B96" s="27"/>
      <c r="C96" s="27"/>
      <c r="D96" s="27"/>
      <c r="E96" s="27"/>
      <c r="F96" s="27"/>
      <c r="G96" s="27"/>
      <c r="H96" s="27"/>
      <c r="I96" s="27"/>
      <c r="J96" s="27"/>
      <c r="K96" s="27"/>
      <c r="L96" s="27"/>
      <c r="M96" s="27">
        <v>8</v>
      </c>
      <c r="N96" s="27" t="e">
        <f t="shared" si="8"/>
        <v>#N/A</v>
      </c>
      <c r="O96" s="27">
        <f t="shared" si="9"/>
        <v>6783.3522673939642</v>
      </c>
      <c r="P96" s="27">
        <f t="shared" si="10"/>
        <v>6183.3342342577653</v>
      </c>
      <c r="Q96" s="27">
        <f t="shared" si="11"/>
        <v>5379.3771171195704</v>
      </c>
      <c r="R96" s="27"/>
      <c r="S96" s="27"/>
      <c r="T96" s="27"/>
      <c r="U96" s="27"/>
      <c r="V96" s="27"/>
      <c r="W96" s="27"/>
      <c r="X96" s="27"/>
      <c r="Y96" s="27"/>
      <c r="Z96" s="27"/>
      <c r="AA96" s="27"/>
      <c r="AB96" s="27"/>
      <c r="AC96" s="27"/>
      <c r="AD96" s="27"/>
      <c r="AE96" s="27"/>
      <c r="AF96" s="27"/>
      <c r="AG96" s="27"/>
      <c r="AH96" s="27"/>
      <c r="AI96" s="27"/>
      <c r="AJ96" s="27"/>
      <c r="AK96" s="27"/>
      <c r="AL96" s="27"/>
      <c r="AM96" s="27"/>
      <c r="AN96" s="27"/>
      <c r="AO96" s="27"/>
      <c r="AP96" s="27"/>
      <c r="AQ96" s="27"/>
      <c r="AR96" s="27"/>
      <c r="AS96" s="27"/>
      <c r="AT96" s="27"/>
      <c r="AU96" s="27"/>
      <c r="AV96" s="27"/>
      <c r="AW96" s="27"/>
      <c r="AX96" s="27"/>
      <c r="AY96" s="27"/>
      <c r="AZ96" s="27"/>
      <c r="BA96" s="27"/>
      <c r="BB96" s="27"/>
      <c r="BC96" s="27"/>
      <c r="BD96" s="27"/>
      <c r="BE96" s="27"/>
      <c r="BF96" s="27"/>
      <c r="BG96" s="27"/>
      <c r="BH96" s="27" t="s">
        <v>462</v>
      </c>
      <c r="BI96" s="27">
        <f>'[1]נתוני מס'!B21</f>
        <v>0.25</v>
      </c>
      <c r="BJ96" s="27">
        <f>'[1]נתוני מס'!C21</f>
        <v>151680</v>
      </c>
      <c r="BK96" s="27"/>
      <c r="BL96" s="27"/>
      <c r="BM96" s="27"/>
      <c r="BN96" s="27"/>
      <c r="BO96" s="27"/>
      <c r="BP96" s="27"/>
      <c r="BQ96" s="27"/>
      <c r="BR96" s="27"/>
      <c r="BS96" s="27"/>
      <c r="BT96" s="27"/>
      <c r="BU96" s="27"/>
      <c r="BV96" s="27"/>
      <c r="BW96" s="27"/>
      <c r="BX96" s="27"/>
      <c r="BY96" s="27"/>
      <c r="BZ96" s="27"/>
      <c r="CA96" s="27"/>
      <c r="CB96" s="27"/>
      <c r="CC96" s="27"/>
      <c r="CD96" s="27"/>
      <c r="CE96" s="27"/>
      <c r="CF96" s="27"/>
      <c r="CG96" s="27"/>
      <c r="CH96" s="27"/>
      <c r="CI96" s="27"/>
      <c r="CJ96" s="27"/>
      <c r="CK96" s="27"/>
      <c r="CL96" s="27"/>
      <c r="CM96" s="27"/>
      <c r="CN96" s="27"/>
      <c r="CO96" s="27"/>
      <c r="CP96" s="27"/>
      <c r="CQ96" s="27"/>
      <c r="CR96" s="27"/>
      <c r="CS96" s="27"/>
      <c r="CT96" s="27"/>
      <c r="CU96" s="27"/>
      <c r="CV96" s="27"/>
      <c r="CW96" s="27"/>
      <c r="CX96" s="27"/>
      <c r="CY96" s="27"/>
      <c r="CZ96" s="27"/>
      <c r="DA96" s="27"/>
      <c r="DB96" s="27"/>
      <c r="DC96" s="27"/>
      <c r="DD96" s="27"/>
      <c r="DE96" s="27"/>
      <c r="DF96" s="27"/>
      <c r="DG96" s="27"/>
      <c r="DH96" s="27"/>
      <c r="DI96" s="27"/>
      <c r="DJ96" s="27"/>
      <c r="DK96" s="27"/>
      <c r="DL96" s="27"/>
      <c r="DM96" s="27"/>
      <c r="DN96" s="27"/>
      <c r="DO96" s="27"/>
      <c r="DP96" s="27"/>
      <c r="DQ96" s="27"/>
      <c r="DR96" s="27"/>
      <c r="DS96" s="27"/>
      <c r="DT96" s="27"/>
    </row>
    <row r="97" spans="2:124" ht="15.75" customHeight="1" x14ac:dyDescent="0.2">
      <c r="B97" s="27"/>
      <c r="C97" s="27"/>
      <c r="D97" s="27"/>
      <c r="E97" s="27"/>
      <c r="F97" s="27"/>
      <c r="G97" s="27"/>
      <c r="H97" s="27"/>
      <c r="I97" s="27"/>
      <c r="J97" s="27"/>
      <c r="K97" s="27"/>
      <c r="L97" s="27"/>
      <c r="M97" s="27">
        <v>8.5</v>
      </c>
      <c r="N97" s="27" t="e">
        <f t="shared" si="8"/>
        <v>#N/A</v>
      </c>
      <c r="O97" s="27">
        <f t="shared" si="9"/>
        <v>7071.6447387582084</v>
      </c>
      <c r="P97" s="27">
        <f t="shared" si="10"/>
        <v>6446.1259392137208</v>
      </c>
      <c r="Q97" s="27">
        <f t="shared" si="11"/>
        <v>5608.000644597153</v>
      </c>
      <c r="R97" s="27"/>
      <c r="S97" s="27"/>
      <c r="T97" s="27"/>
      <c r="U97" s="27"/>
      <c r="V97" s="27"/>
      <c r="W97" s="27"/>
      <c r="X97" s="27"/>
      <c r="Y97" s="27"/>
      <c r="Z97" s="27"/>
      <c r="AA97" s="27"/>
      <c r="AB97" s="27"/>
      <c r="AC97" s="27"/>
      <c r="AD97" s="27"/>
      <c r="AE97" s="27"/>
      <c r="AF97" s="27"/>
      <c r="AG97" s="27"/>
      <c r="AH97" s="27"/>
      <c r="AI97" s="27"/>
      <c r="AJ97" s="27"/>
      <c r="AK97" s="27"/>
      <c r="AL97" s="27"/>
      <c r="AM97" s="27"/>
      <c r="AN97" s="27"/>
      <c r="AO97" s="27"/>
      <c r="AP97" s="27"/>
      <c r="AQ97" s="27"/>
      <c r="AR97" s="27"/>
      <c r="AS97" s="27"/>
      <c r="AT97" s="27"/>
      <c r="AU97" s="27"/>
      <c r="AV97" s="27"/>
      <c r="AW97" s="27"/>
      <c r="AX97" s="27"/>
      <c r="AY97" s="27"/>
      <c r="AZ97" s="27"/>
      <c r="BA97" s="27"/>
      <c r="BB97" s="27"/>
      <c r="BC97" s="27"/>
      <c r="BD97" s="27"/>
      <c r="BE97" s="27"/>
      <c r="BF97" s="27"/>
      <c r="BG97" s="27"/>
      <c r="BH97" s="27" t="s">
        <v>463</v>
      </c>
      <c r="BI97" s="27">
        <f>'[1]נתוני מס'!B22</f>
        <v>0.2</v>
      </c>
      <c r="BJ97" s="27">
        <f>'[1]נתוני מס'!C22</f>
        <v>151680</v>
      </c>
      <c r="BK97" s="27"/>
      <c r="BL97" s="27"/>
      <c r="BM97" s="27"/>
      <c r="BN97" s="27"/>
      <c r="BO97" s="27"/>
      <c r="BP97" s="27"/>
      <c r="BQ97" s="27"/>
      <c r="BR97" s="27"/>
      <c r="BS97" s="27"/>
      <c r="BT97" s="27"/>
      <c r="BU97" s="27"/>
      <c r="BV97" s="27"/>
      <c r="BW97" s="27"/>
      <c r="BX97" s="27"/>
      <c r="BY97" s="27"/>
      <c r="BZ97" s="27"/>
      <c r="CA97" s="27"/>
      <c r="CB97" s="27"/>
      <c r="CC97" s="27"/>
      <c r="CD97" s="27"/>
      <c r="CE97" s="27"/>
      <c r="CF97" s="27"/>
      <c r="CG97" s="27"/>
      <c r="CH97" s="27"/>
      <c r="CI97" s="27"/>
      <c r="CJ97" s="27"/>
      <c r="CK97" s="27"/>
      <c r="CL97" s="27"/>
      <c r="CM97" s="27"/>
      <c r="CN97" s="27"/>
      <c r="CO97" s="27"/>
      <c r="CP97" s="27"/>
      <c r="CQ97" s="27"/>
      <c r="CR97" s="27"/>
      <c r="CS97" s="27"/>
      <c r="CT97" s="27"/>
      <c r="CU97" s="27"/>
      <c r="CV97" s="27"/>
      <c r="CW97" s="27"/>
      <c r="CX97" s="27"/>
      <c r="CY97" s="27"/>
      <c r="CZ97" s="27"/>
      <c r="DA97" s="27"/>
      <c r="DB97" s="27"/>
      <c r="DC97" s="27"/>
      <c r="DD97" s="27"/>
      <c r="DE97" s="27"/>
      <c r="DF97" s="27"/>
      <c r="DG97" s="27"/>
      <c r="DH97" s="27"/>
      <c r="DI97" s="27"/>
      <c r="DJ97" s="27"/>
      <c r="DK97" s="27"/>
      <c r="DL97" s="27"/>
      <c r="DM97" s="27"/>
      <c r="DN97" s="27"/>
      <c r="DO97" s="27"/>
      <c r="DP97" s="27"/>
      <c r="DQ97" s="27"/>
      <c r="DR97" s="27"/>
      <c r="DS97" s="27"/>
      <c r="DT97" s="27"/>
    </row>
    <row r="98" spans="2:124" ht="18" customHeight="1" x14ac:dyDescent="0.2">
      <c r="B98" s="27"/>
      <c r="C98" s="27"/>
      <c r="D98" s="27"/>
      <c r="E98" s="27"/>
      <c r="F98" s="27"/>
      <c r="G98" s="27"/>
      <c r="H98" s="27"/>
      <c r="I98" s="27"/>
      <c r="J98" s="27"/>
      <c r="K98" s="27"/>
      <c r="L98" s="27"/>
      <c r="M98" s="27">
        <v>9</v>
      </c>
      <c r="N98" s="27" t="e">
        <f t="shared" si="8"/>
        <v>#N/A</v>
      </c>
      <c r="O98" s="27">
        <f t="shared" si="9"/>
        <v>7359.9372101224508</v>
      </c>
      <c r="P98" s="27">
        <f t="shared" si="10"/>
        <v>6708.9176441696745</v>
      </c>
      <c r="Q98" s="27">
        <f t="shared" si="11"/>
        <v>5836.624172074733</v>
      </c>
      <c r="R98" s="27"/>
      <c r="S98" s="27"/>
      <c r="T98" s="27"/>
      <c r="U98" s="27" t="s">
        <v>59</v>
      </c>
      <c r="V98" s="27"/>
      <c r="W98" s="27"/>
      <c r="X98" s="27"/>
      <c r="Y98" s="27"/>
      <c r="Z98" s="27"/>
      <c r="AA98" s="27"/>
      <c r="AB98" s="27"/>
      <c r="AC98" s="27"/>
      <c r="AD98" s="27"/>
      <c r="AE98" s="27"/>
      <c r="AF98" s="27"/>
      <c r="AG98" s="27"/>
      <c r="AH98" s="27"/>
      <c r="AI98" s="27"/>
      <c r="AJ98" s="27"/>
      <c r="AK98" s="27"/>
      <c r="AL98" s="27"/>
      <c r="AM98" s="27"/>
      <c r="AN98" s="27"/>
      <c r="AO98" s="27"/>
      <c r="AP98" s="27"/>
      <c r="AQ98" s="27"/>
      <c r="AR98" s="27"/>
      <c r="AS98" s="27"/>
      <c r="AT98" s="27"/>
      <c r="AU98" s="27"/>
      <c r="AV98" s="27"/>
      <c r="AW98" s="27"/>
      <c r="AX98" s="27"/>
      <c r="AY98" s="27"/>
      <c r="AZ98" s="27"/>
      <c r="BA98" s="27"/>
      <c r="BB98" s="27"/>
      <c r="BC98" s="27"/>
      <c r="BD98" s="27"/>
      <c r="BE98" s="27"/>
      <c r="BF98" s="27"/>
      <c r="BG98" s="27"/>
      <c r="BH98" s="27" t="s">
        <v>464</v>
      </c>
      <c r="BI98" s="27">
        <f>IF(BH92=U2,BI92+BI104,IF(BH93=U2,BI93+BI104,IF(BH94=U2,BI94+BI104,IF(BH95=U2,BI95+BI104,IF(BH96=U2,BI96+BI104,IF(BH97=U2,BI97+BI104,BI104))))))</f>
        <v>0</v>
      </c>
      <c r="BJ98" s="27">
        <f>IF(BH92=U2,BJ92,IF(BH93=U2,BJ93,IF(BH94=U2,BJ94,IF(BH95=U2,BJ95,IF(BH96=U2,BJ96,IF(BH97=U2,BJ97,0))))))</f>
        <v>0</v>
      </c>
      <c r="BK98" s="27"/>
      <c r="BL98" s="27"/>
      <c r="BM98" s="27"/>
      <c r="BN98" s="27"/>
      <c r="BO98" s="27"/>
      <c r="BP98" s="27"/>
      <c r="BQ98" s="27"/>
      <c r="BR98" s="27"/>
      <c r="BS98" s="27"/>
      <c r="BT98" s="27"/>
      <c r="BU98" s="27"/>
      <c r="BV98" s="27"/>
      <c r="BW98" s="27"/>
      <c r="BX98" s="27"/>
      <c r="BY98" s="27"/>
      <c r="BZ98" s="27"/>
      <c r="CA98" s="27"/>
      <c r="CB98" s="27"/>
      <c r="CC98" s="27"/>
      <c r="CD98" s="27"/>
      <c r="CE98" s="27"/>
      <c r="CF98" s="27"/>
      <c r="CG98" s="27"/>
      <c r="CH98" s="27"/>
      <c r="CI98" s="27"/>
      <c r="CJ98" s="27"/>
      <c r="CK98" s="27"/>
      <c r="CL98" s="27"/>
      <c r="CM98" s="27"/>
      <c r="CN98" s="27"/>
      <c r="CO98" s="27"/>
      <c r="CP98" s="27"/>
      <c r="CQ98" s="27"/>
      <c r="CR98" s="27"/>
      <c r="CS98" s="27"/>
      <c r="CT98" s="27"/>
      <c r="CU98" s="27"/>
      <c r="CV98" s="27"/>
      <c r="CW98" s="27"/>
      <c r="CX98" s="27"/>
      <c r="CY98" s="27"/>
      <c r="CZ98" s="27"/>
      <c r="DA98" s="27"/>
      <c r="DB98" s="27"/>
      <c r="DC98" s="27"/>
      <c r="DD98" s="27"/>
      <c r="DE98" s="27"/>
      <c r="DF98" s="27"/>
      <c r="DG98" s="27"/>
      <c r="DH98" s="27"/>
      <c r="DI98" s="27"/>
      <c r="DJ98" s="27"/>
      <c r="DK98" s="27"/>
      <c r="DL98" s="27"/>
      <c r="DM98" s="27"/>
      <c r="DN98" s="27"/>
      <c r="DO98" s="27"/>
      <c r="DP98" s="27"/>
      <c r="DQ98" s="27"/>
      <c r="DR98" s="27"/>
      <c r="DS98" s="27"/>
      <c r="DT98" s="27"/>
    </row>
    <row r="99" spans="2:124" ht="13.5" customHeight="1" x14ac:dyDescent="0.2">
      <c r="B99" s="27"/>
      <c r="C99" s="27"/>
      <c r="D99" s="27"/>
      <c r="E99" s="27"/>
      <c r="F99" s="27"/>
      <c r="G99" s="27"/>
      <c r="H99" s="27"/>
      <c r="I99" s="27"/>
      <c r="J99" s="27"/>
      <c r="K99" s="27"/>
      <c r="L99" s="27"/>
      <c r="M99" s="27"/>
      <c r="N99" s="27"/>
      <c r="O99" s="27">
        <f t="shared" si="9"/>
        <v>7672.7345415526543</v>
      </c>
      <c r="P99" s="27">
        <f t="shared" si="10"/>
        <v>6994.0466440468854</v>
      </c>
      <c r="Q99" s="27">
        <f t="shared" si="11"/>
        <v>6084.680699387909</v>
      </c>
      <c r="R99" s="27"/>
      <c r="S99" s="27"/>
      <c r="T99" s="27"/>
      <c r="U99" s="27"/>
      <c r="V99" s="27"/>
      <c r="W99" s="27"/>
      <c r="X99" s="27"/>
      <c r="Y99" s="27"/>
      <c r="Z99" s="27"/>
      <c r="AA99" s="27"/>
      <c r="AB99" s="27"/>
      <c r="AC99" s="27"/>
      <c r="AD99" s="27"/>
      <c r="AE99" s="27"/>
      <c r="AF99" s="27"/>
      <c r="AG99" s="27"/>
      <c r="AH99" s="27"/>
      <c r="AI99" s="27"/>
      <c r="AJ99" s="27"/>
      <c r="AK99" s="27"/>
      <c r="AL99" s="27"/>
      <c r="AM99" s="27"/>
      <c r="AN99" s="27"/>
      <c r="AO99" s="27"/>
      <c r="AP99" s="27"/>
      <c r="AQ99" s="27"/>
      <c r="AR99" s="27"/>
      <c r="AS99" s="27"/>
      <c r="AT99" s="27"/>
      <c r="AU99" s="27"/>
      <c r="AV99" s="27"/>
      <c r="AW99" s="27"/>
      <c r="AX99" s="27"/>
      <c r="AY99" s="27"/>
      <c r="AZ99" s="27"/>
      <c r="BA99" s="27"/>
      <c r="BB99" s="27"/>
      <c r="BC99" s="27"/>
      <c r="BD99" s="27"/>
      <c r="BE99" s="27"/>
      <c r="BF99" s="27"/>
      <c r="BG99" s="27"/>
      <c r="BH99" s="27" t="s">
        <v>285</v>
      </c>
      <c r="BI99" s="27">
        <f>100%-BI98</f>
        <v>1</v>
      </c>
      <c r="BJ99" s="27">
        <f>BJ98/12</f>
        <v>0</v>
      </c>
      <c r="BK99" s="27"/>
      <c r="BL99" s="27"/>
      <c r="BM99" s="27"/>
      <c r="BN99" s="27"/>
      <c r="BO99" s="27"/>
      <c r="BP99" s="27"/>
      <c r="BQ99" s="27"/>
      <c r="BR99" s="27"/>
      <c r="BS99" s="27"/>
      <c r="BT99" s="27"/>
      <c r="BU99" s="27"/>
      <c r="BV99" s="27"/>
      <c r="BW99" s="27"/>
      <c r="BX99" s="27"/>
      <c r="BY99" s="27"/>
      <c r="BZ99" s="27"/>
      <c r="CA99" s="27"/>
      <c r="CB99" s="27"/>
      <c r="CC99" s="27"/>
      <c r="CD99" s="27"/>
      <c r="CE99" s="27"/>
      <c r="CF99" s="27"/>
      <c r="CG99" s="27"/>
      <c r="CH99" s="27"/>
      <c r="CI99" s="27"/>
      <c r="CJ99" s="27"/>
      <c r="CK99" s="27"/>
      <c r="CL99" s="27"/>
      <c r="CM99" s="27"/>
      <c r="CN99" s="27"/>
      <c r="CO99" s="27"/>
      <c r="CP99" s="27"/>
      <c r="CQ99" s="27"/>
      <c r="CR99" s="27"/>
      <c r="CS99" s="27"/>
      <c r="CT99" s="27"/>
      <c r="CU99" s="27"/>
      <c r="CV99" s="27"/>
      <c r="CW99" s="27"/>
      <c r="CX99" s="27"/>
      <c r="CY99" s="27"/>
      <c r="CZ99" s="27"/>
      <c r="DA99" s="27"/>
      <c r="DB99" s="27"/>
      <c r="DC99" s="27"/>
      <c r="DD99" s="27"/>
      <c r="DE99" s="27"/>
      <c r="DF99" s="27"/>
      <c r="DG99" s="27"/>
      <c r="DH99" s="27"/>
      <c r="DI99" s="27"/>
      <c r="DJ99" s="27"/>
      <c r="DK99" s="27"/>
      <c r="DL99" s="27"/>
      <c r="DM99" s="27"/>
      <c r="DN99" s="27"/>
      <c r="DO99" s="27"/>
      <c r="DP99" s="27"/>
      <c r="DQ99" s="27"/>
      <c r="DR99" s="27"/>
      <c r="DS99" s="27"/>
      <c r="DT99" s="27"/>
    </row>
    <row r="100" spans="2:124" ht="17.25" customHeight="1" x14ac:dyDescent="0.2">
      <c r="B100" s="27"/>
      <c r="C100" s="27"/>
      <c r="D100" s="27"/>
      <c r="E100" s="27"/>
      <c r="F100" s="27"/>
      <c r="G100" s="27"/>
      <c r="H100" s="27"/>
      <c r="I100" s="27"/>
      <c r="J100" s="27"/>
      <c r="K100" s="27"/>
      <c r="L100" s="27"/>
      <c r="M100" s="27"/>
      <c r="N100" s="27"/>
      <c r="O100" s="27">
        <f t="shared" si="9"/>
        <v>7985.5318729828577</v>
      </c>
      <c r="P100" s="27">
        <f t="shared" si="10"/>
        <v>7279.1756439240953</v>
      </c>
      <c r="Q100" s="27">
        <f t="shared" si="11"/>
        <v>6332.7372267010842</v>
      </c>
      <c r="R100" s="27"/>
      <c r="S100" s="27"/>
      <c r="T100" s="27"/>
      <c r="U100" s="27"/>
      <c r="V100" s="27"/>
      <c r="W100" s="27"/>
      <c r="X100" s="27"/>
      <c r="Y100" s="27"/>
      <c r="Z100" s="27"/>
      <c r="AA100" s="27"/>
      <c r="AB100" s="27"/>
      <c r="AC100" s="27"/>
      <c r="AD100" s="27"/>
      <c r="AE100" s="27"/>
      <c r="AF100" s="27"/>
      <c r="AG100" s="27"/>
      <c r="AH100" s="27"/>
      <c r="AI100" s="27"/>
      <c r="AJ100" s="27"/>
      <c r="AK100" s="27"/>
      <c r="AL100" s="27"/>
      <c r="AM100" s="27"/>
      <c r="AN100" s="27"/>
      <c r="AO100" s="27"/>
      <c r="AP100" s="27"/>
      <c r="AQ100" s="27"/>
      <c r="AR100" s="27"/>
      <c r="AS100" s="27"/>
      <c r="AT100" s="27"/>
      <c r="AU100" s="27"/>
      <c r="AV100" s="27"/>
      <c r="AW100" s="27"/>
      <c r="AX100" s="27"/>
      <c r="AY100" s="27"/>
      <c r="AZ100" s="27"/>
      <c r="BA100" s="27"/>
      <c r="BB100" s="27"/>
      <c r="BC100" s="27"/>
      <c r="BD100" s="27"/>
      <c r="BE100" s="27"/>
      <c r="BF100" s="27"/>
      <c r="BG100" s="27"/>
      <c r="BH100" s="27"/>
      <c r="BI100" s="27"/>
      <c r="BJ100" s="27" t="s">
        <v>59</v>
      </c>
      <c r="BK100" s="27"/>
      <c r="BL100" s="27"/>
      <c r="BM100" s="27"/>
      <c r="BN100" s="27"/>
      <c r="BO100" s="27"/>
      <c r="BP100" s="27"/>
      <c r="BQ100" s="27"/>
      <c r="BR100" s="27"/>
      <c r="BS100" s="27"/>
      <c r="BT100" s="27"/>
      <c r="BU100" s="27"/>
      <c r="BV100" s="27"/>
      <c r="BW100" s="27"/>
      <c r="BX100" s="27"/>
      <c r="BY100" s="27"/>
      <c r="BZ100" s="27"/>
      <c r="CA100" s="27"/>
      <c r="CB100" s="27"/>
      <c r="CC100" s="27"/>
      <c r="CD100" s="27"/>
      <c r="CE100" s="27"/>
      <c r="CF100" s="27"/>
      <c r="CG100" s="27"/>
      <c r="CH100" s="27"/>
      <c r="CI100" s="27"/>
      <c r="CJ100" s="27"/>
      <c r="CK100" s="27"/>
      <c r="CL100" s="27"/>
      <c r="CM100" s="27"/>
      <c r="CN100" s="27"/>
      <c r="CO100" s="27"/>
      <c r="CP100" s="27"/>
      <c r="CQ100" s="27"/>
      <c r="CR100" s="27"/>
      <c r="CS100" s="27"/>
      <c r="CT100" s="27"/>
      <c r="CU100" s="27"/>
      <c r="CV100" s="27"/>
      <c r="CW100" s="27"/>
      <c r="CX100" s="27"/>
      <c r="CY100" s="27"/>
      <c r="CZ100" s="27"/>
      <c r="DA100" s="27"/>
      <c r="DB100" s="27"/>
      <c r="DC100" s="27"/>
      <c r="DD100" s="27"/>
      <c r="DE100" s="27"/>
      <c r="DF100" s="27"/>
      <c r="DG100" s="27"/>
      <c r="DH100" s="27"/>
      <c r="DI100" s="27"/>
      <c r="DJ100" s="27"/>
      <c r="DK100" s="27"/>
      <c r="DL100" s="27"/>
      <c r="DM100" s="27"/>
      <c r="DN100" s="27"/>
      <c r="DO100" s="27"/>
      <c r="DP100" s="27"/>
      <c r="DQ100" s="27"/>
      <c r="DR100" s="27"/>
      <c r="DS100" s="27"/>
      <c r="DT100" s="27"/>
    </row>
    <row r="101" spans="2:124" ht="17.25" customHeight="1" x14ac:dyDescent="0.2">
      <c r="B101" s="27"/>
      <c r="C101" s="27"/>
      <c r="D101" s="27"/>
      <c r="E101" s="27"/>
      <c r="F101" s="27"/>
      <c r="G101" s="27"/>
      <c r="H101" s="27"/>
      <c r="I101" s="27"/>
      <c r="J101" s="27"/>
      <c r="K101" s="27"/>
      <c r="L101" s="27"/>
      <c r="M101" s="27"/>
      <c r="N101" s="27"/>
      <c r="O101" s="27">
        <f t="shared" si="9"/>
        <v>8324.9169775846294</v>
      </c>
      <c r="P101" s="27">
        <f t="shared" si="10"/>
        <v>7588.5406087908696</v>
      </c>
      <c r="Q101" s="27">
        <f t="shared" si="11"/>
        <v>6601.8785588358805</v>
      </c>
      <c r="R101" s="27"/>
      <c r="S101" s="27"/>
      <c r="T101" s="27"/>
      <c r="U101" s="27"/>
      <c r="V101" s="27"/>
      <c r="W101" s="27"/>
      <c r="X101" s="27"/>
      <c r="Y101" s="27"/>
      <c r="Z101" s="27"/>
      <c r="AA101" s="27"/>
      <c r="AB101" s="27" t="s">
        <v>59</v>
      </c>
      <c r="AC101" s="27"/>
      <c r="AD101" s="27"/>
      <c r="AE101" s="27"/>
      <c r="AF101" s="27"/>
      <c r="AG101" s="27"/>
      <c r="AH101" s="27"/>
      <c r="AI101" s="27"/>
      <c r="AJ101" s="27"/>
      <c r="AK101" s="27"/>
      <c r="AL101" s="27"/>
      <c r="AM101" s="27"/>
      <c r="AN101" s="27"/>
      <c r="AO101" s="27"/>
      <c r="AP101" s="27"/>
      <c r="AQ101" s="27"/>
      <c r="AR101" s="27"/>
      <c r="AS101" s="27"/>
      <c r="AT101" s="27"/>
      <c r="AU101" s="27"/>
      <c r="AV101" s="27"/>
      <c r="AW101" s="27"/>
      <c r="AX101" s="27"/>
      <c r="AY101" s="27"/>
      <c r="AZ101" s="27"/>
      <c r="BA101" s="27"/>
      <c r="BB101" s="27"/>
      <c r="BC101" s="27"/>
      <c r="BD101" s="27"/>
      <c r="BE101" s="27"/>
      <c r="BF101" s="27"/>
      <c r="BG101" s="27"/>
      <c r="BH101" s="27" t="s">
        <v>465</v>
      </c>
      <c r="BI101" s="27"/>
      <c r="BJ101" s="27">
        <f>'[1]נתוני מס'!C24</f>
        <v>579600</v>
      </c>
      <c r="BK101" s="27"/>
      <c r="BL101" s="27"/>
      <c r="BM101" s="27"/>
      <c r="BN101" s="27"/>
      <c r="BO101" s="27"/>
      <c r="BP101" s="27"/>
      <c r="BQ101" s="27"/>
      <c r="BR101" s="27"/>
      <c r="BS101" s="27"/>
      <c r="BT101" s="27"/>
      <c r="BU101" s="27"/>
      <c r="BV101" s="27"/>
      <c r="BW101" s="27"/>
      <c r="BX101" s="27"/>
      <c r="BY101" s="27"/>
      <c r="BZ101" s="27"/>
      <c r="CA101" s="27"/>
      <c r="CB101" s="27"/>
      <c r="CC101" s="27"/>
      <c r="CD101" s="27"/>
      <c r="CE101" s="27"/>
      <c r="CF101" s="27"/>
      <c r="CG101" s="27"/>
      <c r="CH101" s="27"/>
      <c r="CI101" s="27"/>
      <c r="CJ101" s="27"/>
      <c r="CK101" s="27"/>
      <c r="CL101" s="27"/>
      <c r="CM101" s="27"/>
      <c r="CN101" s="27"/>
      <c r="CO101" s="27"/>
      <c r="CP101" s="27"/>
      <c r="CQ101" s="27"/>
      <c r="CR101" s="27"/>
      <c r="CS101" s="27"/>
      <c r="CT101" s="27"/>
      <c r="CU101" s="27"/>
      <c r="CV101" s="27"/>
      <c r="CW101" s="27"/>
      <c r="CX101" s="27"/>
      <c r="CY101" s="27"/>
      <c r="CZ101" s="27"/>
      <c r="DA101" s="27"/>
      <c r="DB101" s="27"/>
      <c r="DC101" s="27"/>
      <c r="DD101" s="27"/>
      <c r="DE101" s="27"/>
      <c r="DF101" s="27"/>
      <c r="DG101" s="27"/>
      <c r="DH101" s="27"/>
      <c r="DI101" s="27"/>
      <c r="DJ101" s="27"/>
      <c r="DK101" s="27"/>
      <c r="DL101" s="27"/>
      <c r="DM101" s="27"/>
      <c r="DN101" s="27"/>
      <c r="DO101" s="27"/>
      <c r="DP101" s="27"/>
      <c r="DQ101" s="27"/>
      <c r="DR101" s="27"/>
      <c r="DS101" s="27"/>
      <c r="DT101" s="27"/>
    </row>
    <row r="102" spans="2:124" ht="13.5" customHeight="1" x14ac:dyDescent="0.2">
      <c r="B102" s="27"/>
      <c r="C102" s="27"/>
      <c r="D102" s="27"/>
      <c r="E102" s="27"/>
      <c r="F102" s="27"/>
      <c r="G102" s="27"/>
      <c r="H102" s="27"/>
      <c r="I102" s="27"/>
      <c r="J102" s="27"/>
      <c r="K102" s="27"/>
      <c r="L102" s="27"/>
      <c r="M102" s="27"/>
      <c r="N102" s="27"/>
      <c r="O102" s="27">
        <f t="shared" si="9"/>
        <v>8664.3020821863993</v>
      </c>
      <c r="P102" s="27">
        <f t="shared" si="10"/>
        <v>7897.9055736576429</v>
      </c>
      <c r="Q102" s="27">
        <f t="shared" si="11"/>
        <v>6871.019890970676</v>
      </c>
      <c r="R102" s="27"/>
      <c r="S102" s="27"/>
      <c r="T102" s="27"/>
      <c r="U102" s="27"/>
      <c r="V102" s="27"/>
      <c r="W102" s="27"/>
      <c r="X102" s="27"/>
      <c r="Y102" s="27"/>
      <c r="Z102" s="27"/>
      <c r="AA102" s="27"/>
      <c r="AB102" s="27"/>
      <c r="AC102" s="27"/>
      <c r="AD102" s="27"/>
      <c r="AE102" s="27"/>
      <c r="AF102" s="27"/>
      <c r="AG102" s="27"/>
      <c r="AH102" s="27"/>
      <c r="AI102" s="27"/>
      <c r="AJ102" s="27"/>
      <c r="AK102" s="27"/>
      <c r="AL102" s="27"/>
      <c r="AM102" s="27"/>
      <c r="AN102" s="27"/>
      <c r="AO102" s="27"/>
      <c r="AP102" s="27"/>
      <c r="AQ102" s="27"/>
      <c r="AR102" s="27"/>
      <c r="AS102" s="27"/>
      <c r="AT102" s="27"/>
      <c r="AU102" s="27"/>
      <c r="AV102" s="27"/>
      <c r="AW102" s="27"/>
      <c r="AX102" s="27"/>
      <c r="AY102" s="27"/>
      <c r="AZ102" s="27"/>
      <c r="BA102" s="27"/>
      <c r="BB102" s="27"/>
      <c r="BC102" s="27"/>
      <c r="BD102" s="27"/>
      <c r="BE102" s="27"/>
      <c r="BF102" s="27"/>
      <c r="BG102" s="27"/>
      <c r="BH102" s="27"/>
      <c r="BI102" s="27" t="s">
        <v>204</v>
      </c>
      <c r="BJ102" s="27">
        <f>IF(U3=AH44,BJ101/12,0)</f>
        <v>0</v>
      </c>
      <c r="BK102" s="27"/>
      <c r="BL102" s="27"/>
      <c r="BM102" s="27"/>
      <c r="BN102" s="27"/>
      <c r="BO102" s="27"/>
      <c r="BP102" s="27"/>
      <c r="BQ102" s="27"/>
      <c r="BR102" s="27"/>
      <c r="BS102" s="27"/>
      <c r="BT102" s="27"/>
      <c r="BU102" s="27"/>
      <c r="BV102" s="27"/>
      <c r="BW102" s="27"/>
      <c r="BX102" s="27"/>
      <c r="BY102" s="27"/>
      <c r="BZ102" s="27"/>
      <c r="CA102" s="27"/>
      <c r="CB102" s="27"/>
      <c r="CC102" s="27"/>
      <c r="CD102" s="27"/>
      <c r="CE102" s="27"/>
      <c r="CF102" s="27"/>
      <c r="CG102" s="27"/>
      <c r="CH102" s="27"/>
      <c r="CI102" s="27"/>
      <c r="CJ102" s="27"/>
      <c r="CK102" s="27"/>
      <c r="CL102" s="27"/>
      <c r="CM102" s="27"/>
      <c r="CN102" s="27"/>
      <c r="CO102" s="27"/>
      <c r="CP102" s="27"/>
      <c r="CQ102" s="27"/>
      <c r="CR102" s="27"/>
      <c r="CS102" s="27"/>
      <c r="CT102" s="27"/>
      <c r="CU102" s="27"/>
      <c r="CV102" s="27"/>
      <c r="CW102" s="27"/>
      <c r="CX102" s="27"/>
      <c r="CY102" s="27"/>
      <c r="CZ102" s="27"/>
      <c r="DA102" s="27"/>
      <c r="DB102" s="27"/>
      <c r="DC102" s="27"/>
      <c r="DD102" s="27"/>
      <c r="DE102" s="27"/>
      <c r="DF102" s="27"/>
      <c r="DG102" s="27"/>
      <c r="DH102" s="27"/>
      <c r="DI102" s="27"/>
      <c r="DJ102" s="27"/>
      <c r="DK102" s="27"/>
      <c r="DL102" s="27"/>
      <c r="DM102" s="27"/>
      <c r="DN102" s="27"/>
      <c r="DO102" s="27"/>
      <c r="DP102" s="27"/>
      <c r="DQ102" s="27"/>
      <c r="DR102" s="27"/>
      <c r="DS102" s="27"/>
      <c r="DT102" s="27"/>
    </row>
    <row r="103" spans="2:124" ht="13.5" customHeight="1" x14ac:dyDescent="0.2">
      <c r="B103" s="27"/>
      <c r="C103" s="27"/>
      <c r="D103" s="27"/>
      <c r="E103" s="27"/>
      <c r="F103" s="27"/>
      <c r="G103" s="27"/>
      <c r="H103" s="27"/>
      <c r="I103" s="27"/>
      <c r="J103" s="27"/>
      <c r="K103" s="27"/>
      <c r="L103" s="27"/>
      <c r="M103" s="27"/>
      <c r="N103" s="27">
        <v>3</v>
      </c>
      <c r="O103" s="27"/>
      <c r="P103" s="27"/>
      <c r="Q103" s="27"/>
      <c r="R103" s="27"/>
      <c r="S103" s="27"/>
      <c r="T103" s="27"/>
      <c r="U103" s="27"/>
      <c r="V103" s="27"/>
      <c r="W103" s="27"/>
      <c r="X103" s="27"/>
      <c r="Y103" s="27"/>
      <c r="Z103" s="27"/>
      <c r="AA103" s="27" t="s">
        <v>59</v>
      </c>
      <c r="AB103" s="27" t="s">
        <v>59</v>
      </c>
      <c r="AC103" s="27"/>
      <c r="AD103" s="27"/>
      <c r="AE103" s="27"/>
      <c r="AF103" s="27"/>
      <c r="AG103" s="27"/>
      <c r="AH103" s="27"/>
      <c r="AI103" s="27"/>
      <c r="AJ103" s="27"/>
      <c r="AK103" s="27"/>
      <c r="AL103" s="27"/>
      <c r="AM103" s="27"/>
      <c r="AN103" s="27"/>
      <c r="AO103" s="27"/>
      <c r="AP103" s="27"/>
      <c r="AQ103" s="27"/>
      <c r="AR103" s="27"/>
      <c r="AS103" s="27"/>
      <c r="AT103" s="27"/>
      <c r="AU103" s="27"/>
      <c r="AV103" s="27"/>
      <c r="AW103" s="27"/>
      <c r="AX103" s="27"/>
      <c r="AY103" s="27"/>
      <c r="AZ103" s="27"/>
      <c r="BA103" s="27"/>
      <c r="BB103" s="27"/>
      <c r="BC103" s="27"/>
      <c r="BD103" s="27"/>
      <c r="BE103" s="27"/>
      <c r="BF103" s="27"/>
      <c r="BG103" s="27"/>
      <c r="BH103" s="27"/>
      <c r="BI103" s="27"/>
      <c r="BJ103" s="27"/>
      <c r="BK103" s="27"/>
      <c r="BL103" s="27"/>
      <c r="BM103" s="27"/>
      <c r="BN103" s="27"/>
      <c r="BO103" s="27"/>
      <c r="BP103" s="27"/>
      <c r="BQ103" s="27"/>
      <c r="BR103" s="27"/>
      <c r="BS103" s="27"/>
      <c r="BT103" s="27"/>
      <c r="BU103" s="27"/>
      <c r="BV103" s="27"/>
      <c r="BW103" s="27"/>
      <c r="BX103" s="27"/>
      <c r="BY103" s="27"/>
      <c r="BZ103" s="27"/>
      <c r="CA103" s="27"/>
      <c r="CB103" s="27"/>
      <c r="CC103" s="27"/>
      <c r="CD103" s="27"/>
      <c r="CE103" s="27"/>
      <c r="CF103" s="27"/>
      <c r="CG103" s="27"/>
      <c r="CH103" s="27"/>
      <c r="CI103" s="27"/>
      <c r="CJ103" s="27"/>
      <c r="CK103" s="27"/>
      <c r="CL103" s="27"/>
      <c r="CM103" s="27"/>
      <c r="CN103" s="27"/>
      <c r="CO103" s="27"/>
      <c r="CP103" s="27"/>
      <c r="CQ103" s="27"/>
      <c r="CR103" s="27"/>
      <c r="CS103" s="27"/>
      <c r="CT103" s="27"/>
      <c r="CU103" s="27"/>
      <c r="CV103" s="27"/>
      <c r="CW103" s="27"/>
      <c r="CX103" s="27"/>
      <c r="CY103" s="27"/>
      <c r="CZ103" s="27"/>
      <c r="DA103" s="27"/>
      <c r="DB103" s="27"/>
      <c r="DC103" s="27"/>
      <c r="DD103" s="27"/>
      <c r="DE103" s="27"/>
      <c r="DF103" s="27"/>
      <c r="DG103" s="27"/>
      <c r="DH103" s="27"/>
      <c r="DI103" s="27"/>
      <c r="DJ103" s="27"/>
      <c r="DK103" s="27"/>
      <c r="DL103" s="27"/>
      <c r="DM103" s="27"/>
      <c r="DN103" s="27"/>
      <c r="DO103" s="27"/>
      <c r="DP103" s="27"/>
      <c r="DQ103" s="27"/>
      <c r="DR103" s="27"/>
      <c r="DS103" s="27"/>
      <c r="DT103" s="27"/>
    </row>
    <row r="104" spans="2:124" ht="16.5" customHeight="1" x14ac:dyDescent="0.2">
      <c r="B104" s="27"/>
      <c r="C104" s="27"/>
      <c r="D104" s="27"/>
      <c r="E104" s="27"/>
      <c r="F104" s="27"/>
      <c r="G104" s="27"/>
      <c r="H104" s="27"/>
      <c r="I104" s="27"/>
      <c r="J104" s="27"/>
      <c r="K104" s="27"/>
      <c r="L104" s="27"/>
      <c r="M104" s="27">
        <v>550</v>
      </c>
      <c r="N104" s="27">
        <v>3.5</v>
      </c>
      <c r="O104" s="27"/>
      <c r="P104" s="27"/>
      <c r="Q104" s="27"/>
      <c r="R104" s="27"/>
      <c r="S104" s="27"/>
      <c r="T104" s="27"/>
      <c r="U104" s="27"/>
      <c r="V104" s="27"/>
      <c r="W104" s="27"/>
      <c r="X104" s="27"/>
      <c r="Y104" s="27"/>
      <c r="Z104" s="27"/>
      <c r="AA104" s="27"/>
      <c r="AB104" s="27"/>
      <c r="AC104" s="27"/>
      <c r="AD104" s="27"/>
      <c r="AE104" s="27"/>
      <c r="AF104" s="27"/>
      <c r="AG104" s="27"/>
      <c r="AH104" s="27"/>
      <c r="AI104" s="27"/>
      <c r="AJ104" s="27"/>
      <c r="AK104" s="27"/>
      <c r="AL104" s="27"/>
      <c r="AM104" s="27"/>
      <c r="AN104" s="27"/>
      <c r="AO104" s="27"/>
      <c r="AP104" s="27"/>
      <c r="AQ104" s="27"/>
      <c r="AR104" s="27"/>
      <c r="AS104" s="27"/>
      <c r="AT104" s="27"/>
      <c r="AU104" s="27"/>
      <c r="AV104" s="27"/>
      <c r="AW104" s="27"/>
      <c r="AX104" s="27"/>
      <c r="AY104" s="27"/>
      <c r="AZ104" s="27"/>
      <c r="BA104" s="27"/>
      <c r="BB104" s="27"/>
      <c r="BC104" s="27"/>
      <c r="BD104" s="27"/>
      <c r="BE104" s="27"/>
      <c r="BF104" s="27"/>
      <c r="BG104" s="27"/>
      <c r="BH104" s="27" t="s">
        <v>466</v>
      </c>
      <c r="BI104" s="27">
        <f>IF(AB17=AH44,5%,0%)</f>
        <v>0</v>
      </c>
      <c r="BJ104" s="27">
        <f>100%-BI104</f>
        <v>1</v>
      </c>
      <c r="BK104" s="27">
        <f>'[1]נתוני מס'!C26/12</f>
        <v>12640</v>
      </c>
      <c r="BL104" s="27"/>
      <c r="BM104" s="27"/>
      <c r="BN104" s="27"/>
      <c r="BO104" s="27"/>
      <c r="BP104" s="27"/>
      <c r="BQ104" s="27"/>
      <c r="BR104" s="27"/>
      <c r="BS104" s="27"/>
      <c r="BT104" s="27"/>
      <c r="BU104" s="27"/>
      <c r="BV104" s="27"/>
      <c r="BW104" s="27"/>
      <c r="BX104" s="27"/>
      <c r="BY104" s="27"/>
      <c r="BZ104" s="27"/>
      <c r="CA104" s="27"/>
      <c r="CB104" s="27"/>
      <c r="CC104" s="27"/>
      <c r="CD104" s="27"/>
      <c r="CE104" s="27"/>
      <c r="CF104" s="27"/>
      <c r="CG104" s="27"/>
      <c r="CH104" s="27"/>
      <c r="CI104" s="27"/>
      <c r="CJ104" s="27"/>
      <c r="CK104" s="27"/>
      <c r="CL104" s="27"/>
      <c r="CM104" s="27"/>
      <c r="CN104" s="27"/>
      <c r="CO104" s="27"/>
      <c r="CP104" s="27"/>
      <c r="CQ104" s="27"/>
      <c r="CR104" s="27"/>
      <c r="CS104" s="27"/>
      <c r="CT104" s="27"/>
      <c r="CU104" s="27"/>
      <c r="CV104" s="27"/>
      <c r="CW104" s="27"/>
      <c r="CX104" s="27"/>
      <c r="CY104" s="27"/>
      <c r="CZ104" s="27"/>
      <c r="DA104" s="27"/>
      <c r="DB104" s="27"/>
      <c r="DC104" s="27"/>
      <c r="DD104" s="27"/>
      <c r="DE104" s="27"/>
      <c r="DF104" s="27"/>
      <c r="DG104" s="27"/>
      <c r="DH104" s="27"/>
      <c r="DI104" s="27"/>
      <c r="DJ104" s="27"/>
      <c r="DK104" s="27"/>
      <c r="DL104" s="27"/>
      <c r="DM104" s="27"/>
      <c r="DN104" s="27"/>
      <c r="DO104" s="27"/>
      <c r="DP104" s="27"/>
      <c r="DQ104" s="27"/>
      <c r="DR104" s="27"/>
      <c r="DS104" s="27"/>
      <c r="DT104" s="27"/>
    </row>
    <row r="105" spans="2:124" ht="13.5" customHeight="1" x14ac:dyDescent="0.2">
      <c r="B105" s="27"/>
      <c r="C105" s="27"/>
      <c r="D105" s="27"/>
      <c r="E105" s="27"/>
      <c r="F105" s="27"/>
      <c r="G105" s="27"/>
      <c r="H105" s="27"/>
      <c r="I105" s="27"/>
      <c r="J105" s="27"/>
      <c r="K105" s="27"/>
      <c r="L105" s="27"/>
      <c r="M105" s="27"/>
      <c r="N105" s="27">
        <v>4</v>
      </c>
      <c r="O105" s="27"/>
      <c r="P105" s="27"/>
      <c r="Q105" s="27"/>
      <c r="R105" s="27"/>
      <c r="S105" s="27"/>
      <c r="T105" s="27"/>
      <c r="U105" s="27"/>
      <c r="V105" s="27"/>
      <c r="W105" s="27"/>
      <c r="X105" s="27"/>
      <c r="Y105" s="27"/>
      <c r="Z105" s="27"/>
      <c r="AA105" s="27"/>
      <c r="AB105" s="27"/>
      <c r="AC105" s="27"/>
      <c r="AD105" s="27"/>
      <c r="AE105" s="27"/>
      <c r="AF105" s="27"/>
      <c r="AG105" s="27"/>
      <c r="AH105" s="27"/>
      <c r="AI105" s="27"/>
      <c r="AJ105" s="27"/>
      <c r="AK105" s="27"/>
      <c r="AL105" s="27"/>
      <c r="AM105" s="27"/>
      <c r="AN105" s="27"/>
      <c r="AO105" s="27"/>
      <c r="AP105" s="27"/>
      <c r="AQ105" s="27"/>
      <c r="AR105" s="27"/>
      <c r="AS105" s="27"/>
      <c r="AT105" s="27"/>
      <c r="AU105" s="27"/>
      <c r="AV105" s="27"/>
      <c r="AW105" s="27"/>
      <c r="AX105" s="27"/>
      <c r="AY105" s="27"/>
      <c r="AZ105" s="27"/>
      <c r="BA105" s="27"/>
      <c r="BB105" s="27"/>
      <c r="BC105" s="27"/>
      <c r="BD105" s="27"/>
      <c r="BE105" s="27"/>
      <c r="BF105" s="27"/>
      <c r="BG105" s="27"/>
      <c r="BH105" s="27"/>
      <c r="BI105" s="27"/>
      <c r="BJ105" s="27"/>
      <c r="BK105" s="27"/>
      <c r="BL105" s="27"/>
      <c r="BM105" s="27"/>
      <c r="BN105" s="27"/>
      <c r="BO105" s="27"/>
      <c r="BP105" s="27"/>
      <c r="BQ105" s="27"/>
      <c r="BR105" s="27"/>
      <c r="BS105" s="27"/>
      <c r="BT105" s="27"/>
      <c r="BU105" s="27"/>
      <c r="BV105" s="27"/>
      <c r="BW105" s="27"/>
      <c r="BX105" s="27"/>
      <c r="BY105" s="27"/>
      <c r="BZ105" s="27"/>
      <c r="CA105" s="27"/>
      <c r="CB105" s="27"/>
      <c r="CC105" s="27"/>
      <c r="CD105" s="27"/>
      <c r="CE105" s="27"/>
      <c r="CF105" s="27"/>
      <c r="CG105" s="27"/>
      <c r="CH105" s="27"/>
      <c r="CI105" s="27"/>
      <c r="CJ105" s="27"/>
      <c r="CK105" s="27"/>
      <c r="CL105" s="27"/>
      <c r="CM105" s="27"/>
      <c r="CN105" s="27"/>
      <c r="CO105" s="27"/>
      <c r="CP105" s="27"/>
      <c r="CQ105" s="27"/>
      <c r="CR105" s="27"/>
      <c r="CS105" s="27"/>
      <c r="CT105" s="27"/>
      <c r="CU105" s="27"/>
      <c r="CV105" s="27"/>
      <c r="CW105" s="27"/>
      <c r="CX105" s="27"/>
      <c r="CY105" s="27"/>
      <c r="CZ105" s="27"/>
      <c r="DA105" s="27"/>
      <c r="DB105" s="27"/>
      <c r="DC105" s="27"/>
      <c r="DD105" s="27"/>
      <c r="DE105" s="27"/>
      <c r="DF105" s="27"/>
      <c r="DG105" s="27"/>
      <c r="DH105" s="27"/>
      <c r="DI105" s="27"/>
      <c r="DJ105" s="27"/>
      <c r="DK105" s="27"/>
      <c r="DL105" s="27"/>
      <c r="DM105" s="27"/>
      <c r="DN105" s="27"/>
      <c r="DO105" s="27"/>
      <c r="DP105" s="27"/>
      <c r="DQ105" s="27"/>
      <c r="DR105" s="27"/>
      <c r="DS105" s="27"/>
      <c r="DT105" s="27"/>
    </row>
    <row r="106" spans="2:124" ht="15.75" customHeight="1" x14ac:dyDescent="0.2">
      <c r="B106" s="27"/>
      <c r="C106" s="27"/>
      <c r="D106" s="27"/>
      <c r="E106" s="27"/>
      <c r="F106" s="27"/>
      <c r="G106" s="27"/>
      <c r="H106" s="27"/>
      <c r="I106" s="27"/>
      <c r="J106" s="27"/>
      <c r="K106" s="27"/>
      <c r="L106" s="27"/>
      <c r="M106" s="27"/>
      <c r="N106" s="27">
        <v>4.5</v>
      </c>
      <c r="O106" s="27"/>
      <c r="P106" s="27">
        <f>(G202-T7)*2.4%</f>
        <v>2.6659199999999998</v>
      </c>
      <c r="Q106" s="27" t="s">
        <v>467</v>
      </c>
      <c r="R106" s="27" t="str">
        <f>IF(Q105&gt;=60,"עד גיל 60 בלבד ","" )</f>
        <v/>
      </c>
      <c r="S106" s="27" t="e">
        <f>#REF!</f>
        <v>#REF!</v>
      </c>
      <c r="T106" s="27"/>
      <c r="U106" s="27"/>
      <c r="V106" s="27"/>
      <c r="W106" s="27"/>
      <c r="X106" s="27"/>
      <c r="Y106" s="27"/>
      <c r="Z106" s="27"/>
      <c r="AA106" s="27"/>
      <c r="AB106" s="27"/>
      <c r="AC106" s="27"/>
      <c r="AD106" s="27"/>
      <c r="AE106" s="27"/>
      <c r="AF106" s="27"/>
      <c r="AG106" s="27"/>
      <c r="AH106" s="27"/>
      <c r="AI106" s="27"/>
      <c r="AJ106" s="27"/>
      <c r="AK106" s="27"/>
      <c r="AL106" s="27"/>
      <c r="AM106" s="27"/>
      <c r="AN106" s="27"/>
      <c r="AO106" s="27"/>
      <c r="AP106" s="27"/>
      <c r="AQ106" s="27"/>
      <c r="AR106" s="27"/>
      <c r="AS106" s="27"/>
      <c r="AT106" s="27"/>
      <c r="AU106" s="27"/>
      <c r="AV106" s="27"/>
      <c r="AW106" s="27"/>
      <c r="AX106" s="27"/>
      <c r="AY106" s="27"/>
      <c r="AZ106" s="27"/>
      <c r="BA106" s="27"/>
      <c r="BB106" s="27"/>
      <c r="BC106" s="27"/>
      <c r="BD106" s="27"/>
      <c r="BE106" s="27"/>
      <c r="BF106" s="27"/>
      <c r="BG106" s="27"/>
      <c r="BH106" s="27"/>
      <c r="BI106" s="27"/>
      <c r="BJ106" s="27"/>
      <c r="BK106" s="27"/>
      <c r="BL106" s="27"/>
      <c r="BM106" s="27"/>
      <c r="BN106" s="27"/>
      <c r="BO106" s="27"/>
      <c r="BP106" s="27"/>
      <c r="BQ106" s="27"/>
      <c r="BR106" s="27"/>
      <c r="BS106" s="27"/>
      <c r="BT106" s="27"/>
      <c r="BU106" s="27"/>
      <c r="BV106" s="27"/>
      <c r="BW106" s="27"/>
      <c r="BX106" s="27"/>
      <c r="BY106" s="27"/>
      <c r="BZ106" s="27"/>
      <c r="CA106" s="27"/>
      <c r="CB106" s="27"/>
      <c r="CC106" s="27"/>
      <c r="CD106" s="27"/>
      <c r="CE106" s="27"/>
      <c r="CF106" s="27"/>
      <c r="CG106" s="27"/>
      <c r="CH106" s="27"/>
      <c r="CI106" s="27"/>
      <c r="CJ106" s="27"/>
      <c r="CK106" s="27"/>
      <c r="CL106" s="27"/>
      <c r="CM106" s="27"/>
      <c r="CN106" s="27"/>
      <c r="CO106" s="27"/>
      <c r="CP106" s="27"/>
      <c r="CQ106" s="27"/>
      <c r="CR106" s="27"/>
      <c r="CS106" s="27"/>
      <c r="CT106" s="27"/>
      <c r="CU106" s="27"/>
      <c r="CV106" s="27"/>
      <c r="CW106" s="27"/>
      <c r="CX106" s="27"/>
      <c r="CY106" s="27"/>
      <c r="CZ106" s="27"/>
      <c r="DA106" s="27"/>
      <c r="DB106" s="27"/>
      <c r="DC106" s="27"/>
      <c r="DD106" s="27"/>
      <c r="DE106" s="27"/>
      <c r="DF106" s="27"/>
      <c r="DG106" s="27"/>
      <c r="DH106" s="27"/>
      <c r="DI106" s="27"/>
      <c r="DJ106" s="27"/>
      <c r="DK106" s="27"/>
      <c r="DL106" s="27"/>
      <c r="DM106" s="27"/>
      <c r="DN106" s="27"/>
      <c r="DO106" s="27"/>
      <c r="DP106" s="27"/>
      <c r="DQ106" s="27"/>
      <c r="DR106" s="27"/>
      <c r="DS106" s="27"/>
      <c r="DT106" s="27"/>
    </row>
    <row r="107" spans="2:124" ht="12" customHeight="1" x14ac:dyDescent="0.2">
      <c r="B107" s="27"/>
      <c r="C107" s="27"/>
      <c r="D107" s="27"/>
      <c r="E107" s="27"/>
      <c r="F107" s="27"/>
      <c r="G107" s="27"/>
      <c r="H107" s="27"/>
      <c r="I107" s="27"/>
      <c r="J107" s="27"/>
      <c r="K107" s="27"/>
      <c r="L107" s="27"/>
      <c r="M107" s="27"/>
      <c r="N107" s="27">
        <v>5</v>
      </c>
      <c r="O107" s="27"/>
      <c r="P107" s="27">
        <f>IF(AB16=0,0,IF(G202-T7+BG70&gt;13,13,G202-T7+BG70))</f>
        <v>0</v>
      </c>
      <c r="Q107" s="27" t="s">
        <v>468</v>
      </c>
      <c r="R107" s="27" t="s">
        <v>469</v>
      </c>
      <c r="S107" s="27">
        <f>F154</f>
        <v>0</v>
      </c>
      <c r="T107" s="27"/>
      <c r="U107" s="27"/>
      <c r="V107" s="27">
        <v>2001</v>
      </c>
      <c r="W107" s="27"/>
      <c r="X107" s="27"/>
      <c r="Y107" s="27"/>
      <c r="Z107" s="27"/>
      <c r="AA107" s="27"/>
      <c r="AB107" s="27"/>
      <c r="AC107" s="27"/>
      <c r="AD107" s="27"/>
      <c r="AE107" s="27"/>
      <c r="AF107" s="27"/>
      <c r="AG107" s="27"/>
      <c r="AH107" s="27"/>
      <c r="AI107" s="27"/>
      <c r="AJ107" s="27"/>
      <c r="AK107" s="27"/>
      <c r="AL107" s="27"/>
      <c r="AM107" s="27"/>
      <c r="AN107" s="27"/>
      <c r="AO107" s="27"/>
      <c r="AP107" s="27"/>
      <c r="AQ107" s="27"/>
      <c r="AR107" s="27"/>
      <c r="AS107" s="27"/>
      <c r="AT107" s="27"/>
      <c r="AU107" s="27"/>
      <c r="AV107" s="27"/>
      <c r="AW107" s="27"/>
      <c r="AX107" s="27"/>
      <c r="AY107" s="27"/>
      <c r="AZ107" s="27"/>
      <c r="BA107" s="27"/>
      <c r="BB107" s="27"/>
      <c r="BC107" s="27"/>
      <c r="BD107" s="27"/>
      <c r="BE107" s="27"/>
      <c r="BF107" s="27"/>
      <c r="BG107" s="27"/>
      <c r="BH107" s="27"/>
      <c r="BI107" s="27"/>
      <c r="BJ107" s="27"/>
      <c r="BK107" s="27"/>
      <c r="BL107" s="27"/>
      <c r="BM107" s="27"/>
      <c r="BN107" s="27"/>
      <c r="BO107" s="27"/>
      <c r="BP107" s="27"/>
      <c r="BQ107" s="27"/>
      <c r="BR107" s="27"/>
      <c r="BS107" s="27"/>
      <c r="BT107" s="27"/>
      <c r="BU107" s="27"/>
      <c r="BV107" s="27"/>
      <c r="BW107" s="27"/>
      <c r="BX107" s="27"/>
      <c r="BY107" s="27"/>
      <c r="BZ107" s="27"/>
      <c r="CA107" s="27"/>
      <c r="CB107" s="27"/>
      <c r="CC107" s="27"/>
      <c r="CD107" s="27"/>
      <c r="CE107" s="27"/>
      <c r="CF107" s="27"/>
      <c r="CG107" s="27"/>
      <c r="CH107" s="27"/>
      <c r="CI107" s="27"/>
      <c r="CJ107" s="27"/>
      <c r="CK107" s="27"/>
      <c r="CL107" s="27"/>
      <c r="CM107" s="27"/>
      <c r="CN107" s="27"/>
      <c r="CO107" s="27"/>
      <c r="CP107" s="27"/>
      <c r="CQ107" s="27"/>
      <c r="CR107" s="27"/>
      <c r="CS107" s="27"/>
      <c r="CT107" s="27"/>
      <c r="CU107" s="27"/>
      <c r="CV107" s="27"/>
      <c r="CW107" s="27"/>
      <c r="CX107" s="27"/>
      <c r="CY107" s="27"/>
      <c r="CZ107" s="27"/>
      <c r="DA107" s="27"/>
      <c r="DB107" s="27"/>
      <c r="DC107" s="27"/>
      <c r="DD107" s="27"/>
      <c r="DE107" s="27"/>
      <c r="DF107" s="27"/>
      <c r="DG107" s="27"/>
      <c r="DH107" s="27"/>
      <c r="DI107" s="27"/>
      <c r="DJ107" s="27"/>
      <c r="DK107" s="27"/>
      <c r="DL107" s="27"/>
      <c r="DM107" s="27"/>
      <c r="DN107" s="27"/>
      <c r="DO107" s="27"/>
      <c r="DP107" s="27"/>
      <c r="DQ107" s="27"/>
      <c r="DR107" s="27"/>
      <c r="DS107" s="27"/>
      <c r="DT107" s="27"/>
    </row>
    <row r="108" spans="2:124" ht="19.5" customHeight="1" x14ac:dyDescent="0.2">
      <c r="B108" s="27"/>
      <c r="C108" s="27"/>
      <c r="D108" s="27"/>
      <c r="E108" s="27"/>
      <c r="F108" s="27"/>
      <c r="G108" s="27"/>
      <c r="H108" s="27"/>
      <c r="I108" s="27"/>
      <c r="J108" s="27"/>
      <c r="K108" s="27"/>
      <c r="L108" s="27"/>
      <c r="M108" s="27"/>
      <c r="N108" s="27">
        <v>5.5</v>
      </c>
      <c r="O108" s="27"/>
      <c r="P108" s="27"/>
      <c r="Q108" s="27" t="s">
        <v>470</v>
      </c>
      <c r="R108" s="27" t="e">
        <f>#REF!</f>
        <v>#REF!</v>
      </c>
      <c r="S108" s="27" t="e">
        <f>IF(AC53=AA48,F155*AB48,IF(AC53=AA49,F155*AB49,IF(AC53=AA50,F155*AB50)))</f>
        <v>#REF!</v>
      </c>
      <c r="T108" s="27"/>
      <c r="U108" s="27"/>
      <c r="V108" s="27"/>
      <c r="W108" s="27"/>
      <c r="X108" s="27"/>
      <c r="Y108" s="27"/>
      <c r="Z108" s="27"/>
      <c r="AA108" s="27"/>
      <c r="AB108" s="27"/>
      <c r="AC108" s="27"/>
      <c r="AD108" s="27"/>
      <c r="AE108" s="27"/>
      <c r="AF108" s="27"/>
      <c r="AG108" s="27"/>
      <c r="AH108" s="27"/>
      <c r="AI108" s="27"/>
      <c r="AJ108" s="27"/>
      <c r="AK108" s="27"/>
      <c r="AL108" s="27"/>
      <c r="AM108" s="27"/>
      <c r="AN108" s="27"/>
      <c r="AO108" s="27"/>
      <c r="AP108" s="27"/>
      <c r="AQ108" s="27"/>
      <c r="AR108" s="27"/>
      <c r="AS108" s="27"/>
      <c r="AT108" s="27"/>
      <c r="AU108" s="27"/>
      <c r="AV108" s="27"/>
      <c r="AW108" s="27"/>
      <c r="AX108" s="27"/>
      <c r="AY108" s="27"/>
      <c r="AZ108" s="27"/>
      <c r="BA108" s="27"/>
      <c r="BB108" s="27"/>
      <c r="BC108" s="27"/>
      <c r="BD108" s="27"/>
      <c r="BE108" s="27"/>
      <c r="BF108" s="27"/>
      <c r="BG108" s="27"/>
      <c r="BH108" s="27"/>
      <c r="BI108" s="27"/>
      <c r="BJ108" s="27"/>
      <c r="BK108" s="27"/>
      <c r="BL108" s="27"/>
      <c r="BM108" s="27"/>
      <c r="BN108" s="27"/>
      <c r="BO108" s="27"/>
      <c r="BP108" s="27"/>
      <c r="BQ108" s="27"/>
      <c r="BR108" s="27"/>
      <c r="BS108" s="27"/>
      <c r="BT108" s="27"/>
      <c r="BU108" s="27"/>
      <c r="BV108" s="27"/>
      <c r="BW108" s="27"/>
      <c r="BX108" s="27"/>
      <c r="BY108" s="27"/>
      <c r="BZ108" s="27"/>
      <c r="CA108" s="27"/>
      <c r="CB108" s="27"/>
      <c r="CC108" s="27"/>
      <c r="CD108" s="27"/>
      <c r="CE108" s="27"/>
      <c r="CF108" s="27"/>
      <c r="CG108" s="27"/>
      <c r="CH108" s="27"/>
      <c r="CI108" s="27"/>
      <c r="CJ108" s="27"/>
      <c r="CK108" s="27"/>
      <c r="CL108" s="27"/>
      <c r="CM108" s="27"/>
      <c r="CN108" s="27"/>
      <c r="CO108" s="27"/>
      <c r="CP108" s="27"/>
      <c r="CQ108" s="27"/>
      <c r="CR108" s="27"/>
      <c r="CS108" s="27"/>
      <c r="CT108" s="27"/>
      <c r="CU108" s="27"/>
      <c r="CV108" s="27"/>
      <c r="CW108" s="27"/>
      <c r="CX108" s="27"/>
      <c r="CY108" s="27"/>
      <c r="CZ108" s="27"/>
      <c r="DA108" s="27"/>
      <c r="DB108" s="27"/>
      <c r="DC108" s="27"/>
      <c r="DD108" s="27"/>
      <c r="DE108" s="27"/>
      <c r="DF108" s="27"/>
      <c r="DG108" s="27"/>
      <c r="DH108" s="27"/>
      <c r="DI108" s="27"/>
      <c r="DJ108" s="27"/>
      <c r="DK108" s="27"/>
      <c r="DL108" s="27"/>
      <c r="DM108" s="27"/>
      <c r="DN108" s="27"/>
      <c r="DO108" s="27"/>
      <c r="DP108" s="27"/>
      <c r="DQ108" s="27"/>
      <c r="DR108" s="27"/>
      <c r="DS108" s="27"/>
      <c r="DT108" s="27"/>
    </row>
    <row r="109" spans="2:124" ht="15.75" customHeight="1" x14ac:dyDescent="0.2">
      <c r="B109" s="27"/>
      <c r="C109" s="27"/>
      <c r="D109" s="27"/>
      <c r="E109" s="27"/>
      <c r="F109" s="27"/>
      <c r="G109" s="27"/>
      <c r="H109" s="27"/>
      <c r="I109" s="27"/>
      <c r="J109" s="27"/>
      <c r="K109" s="27"/>
      <c r="L109" s="27"/>
      <c r="M109" s="27"/>
      <c r="N109" s="27">
        <v>6</v>
      </c>
      <c r="O109" s="27"/>
      <c r="P109" s="27"/>
      <c r="Q109" s="27" t="s">
        <v>471</v>
      </c>
      <c r="R109" s="27" t="e">
        <f>#REF!</f>
        <v>#REF!</v>
      </c>
      <c r="S109" s="27" t="e">
        <f>#REF!</f>
        <v>#REF!</v>
      </c>
      <c r="T109" s="27"/>
      <c r="U109" s="27"/>
      <c r="V109" s="27">
        <v>2008</v>
      </c>
      <c r="W109" s="27"/>
      <c r="X109" s="27"/>
      <c r="Y109" s="27"/>
      <c r="Z109" s="27"/>
      <c r="AA109" s="27"/>
      <c r="AB109" s="27"/>
      <c r="AC109" s="27"/>
      <c r="AD109" s="27"/>
      <c r="AE109" s="27"/>
      <c r="AF109" s="27"/>
      <c r="AG109" s="27"/>
      <c r="AH109" s="27"/>
      <c r="AI109" s="27"/>
      <c r="AJ109" s="27"/>
      <c r="AK109" s="27"/>
      <c r="AL109" s="27"/>
      <c r="AM109" s="27"/>
      <c r="AN109" s="27"/>
      <c r="AO109" s="27"/>
      <c r="AP109" s="27"/>
      <c r="AQ109" s="27"/>
      <c r="AR109" s="27"/>
      <c r="AS109" s="27"/>
      <c r="AT109" s="27"/>
      <c r="AU109" s="27"/>
      <c r="AV109" s="27"/>
      <c r="AW109" s="27"/>
      <c r="AX109" s="27"/>
      <c r="AY109" s="27"/>
      <c r="AZ109" s="27"/>
      <c r="BA109" s="27"/>
      <c r="BB109" s="27"/>
      <c r="BC109" s="27"/>
      <c r="BD109" s="27"/>
      <c r="BE109" s="27"/>
      <c r="BF109" s="27"/>
      <c r="BG109" s="27"/>
      <c r="BH109" s="27"/>
      <c r="BI109" s="27"/>
      <c r="BJ109" s="27"/>
      <c r="BK109" s="27"/>
      <c r="BL109" s="27"/>
      <c r="BM109" s="27"/>
      <c r="BN109" s="27"/>
      <c r="BO109" s="27"/>
      <c r="BP109" s="27"/>
      <c r="BQ109" s="27"/>
      <c r="BR109" s="27"/>
      <c r="BS109" s="27"/>
      <c r="BT109" s="27"/>
      <c r="BU109" s="27"/>
      <c r="BV109" s="27"/>
      <c r="BW109" s="27"/>
      <c r="BX109" s="27"/>
      <c r="BY109" s="27"/>
      <c r="BZ109" s="27"/>
      <c r="CA109" s="27"/>
      <c r="CB109" s="27"/>
      <c r="CC109" s="27"/>
      <c r="CD109" s="27"/>
      <c r="CE109" s="27"/>
      <c r="CF109" s="27"/>
      <c r="CG109" s="27"/>
      <c r="CH109" s="27"/>
      <c r="CI109" s="27"/>
      <c r="CJ109" s="27"/>
      <c r="CK109" s="27"/>
      <c r="CL109" s="27"/>
      <c r="CM109" s="27"/>
      <c r="CN109" s="27"/>
      <c r="CO109" s="27"/>
      <c r="CP109" s="27"/>
      <c r="CQ109" s="27"/>
      <c r="CR109" s="27"/>
      <c r="CS109" s="27"/>
      <c r="CT109" s="27"/>
      <c r="CU109" s="27"/>
      <c r="CV109" s="27"/>
      <c r="CW109" s="27"/>
      <c r="CX109" s="27"/>
      <c r="CY109" s="27"/>
      <c r="CZ109" s="27"/>
      <c r="DA109" s="27"/>
      <c r="DB109" s="27"/>
      <c r="DC109" s="27"/>
      <c r="DD109" s="27"/>
      <c r="DE109" s="27"/>
      <c r="DF109" s="27"/>
      <c r="DG109" s="27"/>
      <c r="DH109" s="27"/>
      <c r="DI109" s="27"/>
      <c r="DJ109" s="27"/>
      <c r="DK109" s="27"/>
      <c r="DL109" s="27"/>
      <c r="DM109" s="27"/>
      <c r="DN109" s="27"/>
      <c r="DO109" s="27"/>
      <c r="DP109" s="27"/>
      <c r="DQ109" s="27"/>
      <c r="DR109" s="27"/>
      <c r="DS109" s="27"/>
      <c r="DT109" s="27"/>
    </row>
    <row r="110" spans="2:124" ht="15.75" customHeight="1" x14ac:dyDescent="0.2">
      <c r="B110" s="27"/>
      <c r="C110" s="27"/>
      <c r="D110" s="27"/>
      <c r="E110" s="27"/>
      <c r="F110" s="27"/>
      <c r="G110" s="27"/>
      <c r="H110" s="27"/>
      <c r="I110" s="27"/>
      <c r="J110" s="27"/>
      <c r="K110" s="27"/>
      <c r="L110" s="27"/>
      <c r="M110" s="27"/>
      <c r="N110" s="27">
        <v>6.5</v>
      </c>
      <c r="O110" s="27"/>
      <c r="P110" s="27"/>
      <c r="Q110" s="27" t="s">
        <v>472</v>
      </c>
      <c r="R110" s="27" t="e">
        <f>#REF!</f>
        <v>#REF!</v>
      </c>
      <c r="S110" s="27" t="e">
        <f>#REF!</f>
        <v>#REF!</v>
      </c>
      <c r="T110" s="27"/>
      <c r="U110" s="27"/>
      <c r="V110" s="27" t="s">
        <v>450</v>
      </c>
      <c r="W110" s="27"/>
      <c r="X110" s="27"/>
      <c r="Y110" s="27"/>
      <c r="Z110" s="27"/>
      <c r="AA110" s="27"/>
      <c r="AB110" s="27"/>
      <c r="AC110" s="27"/>
      <c r="AD110" s="27"/>
      <c r="AE110" s="27"/>
      <c r="AF110" s="27"/>
      <c r="AG110" s="27"/>
      <c r="AH110" s="27"/>
      <c r="AI110" s="27"/>
      <c r="AJ110" s="27"/>
      <c r="AK110" s="27"/>
      <c r="AL110" s="27"/>
      <c r="AM110" s="27"/>
      <c r="AN110" s="27"/>
      <c r="AO110" s="27"/>
      <c r="AP110" s="27"/>
      <c r="AQ110" s="27"/>
      <c r="AR110" s="27"/>
      <c r="AS110" s="27"/>
      <c r="AT110" s="27"/>
      <c r="AU110" s="27"/>
      <c r="AV110" s="27"/>
      <c r="AW110" s="27"/>
      <c r="AX110" s="27"/>
      <c r="AY110" s="27"/>
      <c r="AZ110" s="27"/>
      <c r="BA110" s="27"/>
      <c r="BB110" s="27"/>
      <c r="BC110" s="27"/>
      <c r="BD110" s="27"/>
      <c r="BE110" s="27"/>
      <c r="BF110" s="27"/>
      <c r="BG110" s="27"/>
      <c r="BH110" s="27"/>
      <c r="BI110" s="27"/>
      <c r="BJ110" s="27"/>
      <c r="BK110" s="27"/>
      <c r="BL110" s="27"/>
      <c r="BM110" s="27"/>
      <c r="BN110" s="27"/>
      <c r="BO110" s="27"/>
      <c r="BP110" s="27"/>
      <c r="BQ110" s="27"/>
      <c r="BR110" s="27"/>
      <c r="BS110" s="27"/>
      <c r="BT110" s="27"/>
      <c r="BU110" s="27"/>
      <c r="BV110" s="27"/>
      <c r="BW110" s="27"/>
      <c r="BX110" s="27"/>
      <c r="BY110" s="27"/>
      <c r="BZ110" s="27"/>
      <c r="CA110" s="27"/>
      <c r="CB110" s="27"/>
      <c r="CC110" s="27"/>
      <c r="CD110" s="27"/>
      <c r="CE110" s="27"/>
      <c r="CF110" s="27"/>
      <c r="CG110" s="27"/>
      <c r="CH110" s="27"/>
      <c r="CI110" s="27"/>
      <c r="CJ110" s="27"/>
      <c r="CK110" s="27"/>
      <c r="CL110" s="27"/>
      <c r="CM110" s="27"/>
      <c r="CN110" s="27"/>
      <c r="CO110" s="27"/>
      <c r="CP110" s="27"/>
      <c r="CQ110" s="27"/>
      <c r="CR110" s="27"/>
      <c r="CS110" s="27"/>
      <c r="CT110" s="27"/>
      <c r="CU110" s="27"/>
      <c r="CV110" s="27"/>
      <c r="CW110" s="27"/>
      <c r="CX110" s="27"/>
      <c r="CY110" s="27"/>
      <c r="CZ110" s="27"/>
      <c r="DA110" s="27"/>
      <c r="DB110" s="27"/>
      <c r="DC110" s="27"/>
      <c r="DD110" s="27"/>
      <c r="DE110" s="27"/>
      <c r="DF110" s="27"/>
      <c r="DG110" s="27"/>
      <c r="DH110" s="27"/>
      <c r="DI110" s="27"/>
      <c r="DJ110" s="27"/>
      <c r="DK110" s="27"/>
      <c r="DL110" s="27"/>
      <c r="DM110" s="27"/>
      <c r="DN110" s="27"/>
      <c r="DO110" s="27"/>
      <c r="DP110" s="27"/>
      <c r="DQ110" s="27"/>
      <c r="DR110" s="27"/>
      <c r="DS110" s="27"/>
      <c r="DT110" s="27"/>
    </row>
    <row r="111" spans="2:124" ht="15.75" customHeight="1" x14ac:dyDescent="0.2">
      <c r="B111" s="27"/>
      <c r="C111" s="27"/>
      <c r="D111" s="27"/>
      <c r="E111" s="27"/>
      <c r="F111" s="27"/>
      <c r="G111" s="27"/>
      <c r="H111" s="27"/>
      <c r="I111" s="27"/>
      <c r="J111" s="27"/>
      <c r="K111" s="27"/>
      <c r="L111" s="27"/>
      <c r="M111" s="27"/>
      <c r="N111" s="27">
        <v>7</v>
      </c>
      <c r="O111" s="27"/>
      <c r="P111" s="27"/>
      <c r="Q111" s="27" t="s">
        <v>473</v>
      </c>
      <c r="R111" s="27">
        <f>IF(AD97=0,AB97,AC97)</f>
        <v>0</v>
      </c>
      <c r="S111" s="27" t="e">
        <f>#REF!</f>
        <v>#REF!</v>
      </c>
      <c r="T111" s="27"/>
      <c r="U111" s="27"/>
      <c r="V111" s="27"/>
      <c r="W111" s="27"/>
      <c r="X111" s="27"/>
      <c r="Y111" s="27"/>
      <c r="Z111" s="27"/>
      <c r="AA111" s="27"/>
      <c r="AB111" s="27"/>
      <c r="AC111" s="27"/>
      <c r="AD111" s="27"/>
      <c r="AE111" s="27"/>
      <c r="AF111" s="27"/>
      <c r="AG111" s="27"/>
      <c r="AH111" s="27"/>
      <c r="AI111" s="27"/>
      <c r="AJ111" s="27"/>
      <c r="AK111" s="27"/>
      <c r="AL111" s="27"/>
      <c r="AM111" s="27"/>
      <c r="AN111" s="27"/>
      <c r="AO111" s="27"/>
      <c r="AP111" s="27"/>
      <c r="AQ111" s="27"/>
      <c r="AR111" s="27"/>
      <c r="AS111" s="27"/>
      <c r="AT111" s="27"/>
      <c r="AU111" s="27"/>
      <c r="AV111" s="27"/>
      <c r="AW111" s="27"/>
      <c r="AX111" s="27"/>
      <c r="AY111" s="27"/>
      <c r="AZ111" s="27"/>
      <c r="BA111" s="27"/>
      <c r="BB111" s="27"/>
      <c r="BC111" s="27"/>
      <c r="BD111" s="27"/>
      <c r="BE111" s="27"/>
      <c r="BF111" s="27"/>
      <c r="BG111" s="27"/>
      <c r="BH111" s="27"/>
      <c r="BI111" s="27"/>
      <c r="BJ111" s="27"/>
      <c r="BK111" s="27"/>
      <c r="BL111" s="27"/>
      <c r="BM111" s="27"/>
      <c r="BN111" s="27"/>
      <c r="BO111" s="27"/>
      <c r="BP111" s="27"/>
      <c r="BQ111" s="27"/>
      <c r="BR111" s="27"/>
      <c r="BS111" s="27"/>
      <c r="BT111" s="27"/>
      <c r="BU111" s="27"/>
      <c r="BV111" s="27"/>
      <c r="BW111" s="27"/>
      <c r="BX111" s="27"/>
      <c r="BY111" s="27"/>
      <c r="BZ111" s="27"/>
      <c r="CA111" s="27"/>
      <c r="CB111" s="27"/>
      <c r="CC111" s="27"/>
      <c r="CD111" s="27"/>
      <c r="CE111" s="27"/>
      <c r="CF111" s="27"/>
      <c r="CG111" s="27"/>
      <c r="CH111" s="27"/>
      <c r="CI111" s="27"/>
      <c r="CJ111" s="27"/>
      <c r="CK111" s="27"/>
      <c r="CL111" s="27"/>
      <c r="CM111" s="27"/>
      <c r="CN111" s="27"/>
      <c r="CO111" s="27"/>
      <c r="CP111" s="27"/>
      <c r="CQ111" s="27"/>
      <c r="CR111" s="27"/>
      <c r="CS111" s="27"/>
      <c r="CT111" s="27"/>
      <c r="CU111" s="27"/>
      <c r="CV111" s="27"/>
      <c r="CW111" s="27"/>
      <c r="CX111" s="27"/>
      <c r="CY111" s="27"/>
      <c r="CZ111" s="27"/>
      <c r="DA111" s="27"/>
      <c r="DB111" s="27"/>
      <c r="DC111" s="27"/>
      <c r="DD111" s="27"/>
      <c r="DE111" s="27"/>
      <c r="DF111" s="27"/>
      <c r="DG111" s="27"/>
      <c r="DH111" s="27"/>
      <c r="DI111" s="27"/>
      <c r="DJ111" s="27"/>
      <c r="DK111" s="27"/>
      <c r="DL111" s="27"/>
      <c r="DM111" s="27"/>
      <c r="DN111" s="27"/>
      <c r="DO111" s="27"/>
      <c r="DP111" s="27"/>
      <c r="DQ111" s="27"/>
      <c r="DR111" s="27"/>
      <c r="DS111" s="27"/>
      <c r="DT111" s="27"/>
    </row>
    <row r="112" spans="2:124" ht="15.75" customHeight="1" x14ac:dyDescent="0.2">
      <c r="B112" s="27"/>
      <c r="C112" s="27"/>
      <c r="D112" s="27"/>
      <c r="E112" s="27"/>
      <c r="F112" s="27"/>
      <c r="G112" s="27"/>
      <c r="H112" s="27"/>
      <c r="I112" s="27"/>
      <c r="J112" s="27"/>
      <c r="K112" s="27"/>
      <c r="L112" s="27"/>
      <c r="M112" s="27"/>
      <c r="N112" s="27">
        <v>7.5</v>
      </c>
      <c r="O112" s="27"/>
      <c r="P112" s="27"/>
      <c r="Q112" s="27"/>
      <c r="R112" s="27"/>
      <c r="S112" s="27" t="e">
        <f>SUM(S106:S111)</f>
        <v>#REF!</v>
      </c>
      <c r="T112" s="27"/>
      <c r="U112" s="27"/>
      <c r="V112" s="27"/>
      <c r="W112" s="27"/>
      <c r="X112" s="27"/>
      <c r="Y112" s="27"/>
      <c r="Z112" s="27"/>
      <c r="AA112" s="27"/>
      <c r="AB112" s="27"/>
      <c r="AC112" s="27"/>
      <c r="AD112" s="27"/>
      <c r="AE112" s="27"/>
      <c r="AF112" s="27"/>
      <c r="AG112" s="27"/>
      <c r="AH112" s="27"/>
      <c r="AI112" s="27"/>
      <c r="AJ112" s="27"/>
      <c r="AK112" s="27"/>
      <c r="AL112" s="27"/>
      <c r="AM112" s="27"/>
      <c r="AN112" s="27"/>
      <c r="AO112" s="27"/>
      <c r="AP112" s="27"/>
      <c r="AQ112" s="27"/>
      <c r="AR112" s="27"/>
      <c r="AS112" s="27"/>
      <c r="AT112" s="27"/>
      <c r="AU112" s="27"/>
      <c r="AV112" s="27"/>
      <c r="AW112" s="27"/>
      <c r="AX112" s="27"/>
      <c r="AY112" s="27"/>
      <c r="AZ112" s="27"/>
      <c r="BA112" s="27"/>
      <c r="BB112" s="27"/>
      <c r="BC112" s="27"/>
      <c r="BD112" s="27"/>
      <c r="BE112" s="27"/>
      <c r="BF112" s="27"/>
      <c r="BG112" s="27"/>
      <c r="BH112" s="27"/>
      <c r="BI112" s="27"/>
      <c r="BJ112" s="27"/>
      <c r="BK112" s="27"/>
      <c r="BL112" s="27"/>
      <c r="BM112" s="27"/>
      <c r="BN112" s="27"/>
      <c r="BO112" s="27"/>
      <c r="BP112" s="27"/>
      <c r="BQ112" s="27"/>
      <c r="BR112" s="27"/>
      <c r="BS112" s="27"/>
      <c r="BT112" s="27"/>
      <c r="BU112" s="27"/>
      <c r="BV112" s="27"/>
      <c r="BW112" s="27"/>
      <c r="BX112" s="27"/>
      <c r="BY112" s="27"/>
      <c r="BZ112" s="27"/>
      <c r="CA112" s="27"/>
      <c r="CB112" s="27"/>
      <c r="CC112" s="27"/>
      <c r="CD112" s="27"/>
      <c r="CE112" s="27"/>
      <c r="CF112" s="27"/>
      <c r="CG112" s="27"/>
      <c r="CH112" s="27"/>
      <c r="CI112" s="27"/>
      <c r="CJ112" s="27"/>
      <c r="CK112" s="27"/>
      <c r="CL112" s="27"/>
      <c r="CM112" s="27"/>
      <c r="CN112" s="27"/>
      <c r="CO112" s="27"/>
      <c r="CP112" s="27"/>
      <c r="CQ112" s="27"/>
      <c r="CR112" s="27"/>
      <c r="CS112" s="27"/>
      <c r="CT112" s="27"/>
      <c r="CU112" s="27"/>
      <c r="CV112" s="27"/>
      <c r="CW112" s="27"/>
      <c r="CX112" s="27"/>
      <c r="CY112" s="27"/>
      <c r="CZ112" s="27"/>
      <c r="DA112" s="27"/>
      <c r="DB112" s="27"/>
      <c r="DC112" s="27"/>
      <c r="DD112" s="27"/>
      <c r="DE112" s="27"/>
      <c r="DF112" s="27"/>
      <c r="DG112" s="27"/>
      <c r="DH112" s="27"/>
      <c r="DI112" s="27"/>
      <c r="DJ112" s="27"/>
      <c r="DK112" s="27"/>
      <c r="DL112" s="27"/>
      <c r="DM112" s="27"/>
      <c r="DN112" s="27"/>
      <c r="DO112" s="27"/>
      <c r="DP112" s="27"/>
      <c r="DQ112" s="27"/>
      <c r="DR112" s="27"/>
      <c r="DS112" s="27"/>
      <c r="DT112" s="27"/>
    </row>
    <row r="113" spans="2:124" ht="15.75" customHeight="1" x14ac:dyDescent="0.2">
      <c r="B113" s="27"/>
      <c r="C113" s="27"/>
      <c r="D113" s="27"/>
      <c r="E113" s="27"/>
      <c r="F113" s="27"/>
      <c r="G113" s="27"/>
      <c r="H113" s="27"/>
      <c r="I113" s="27"/>
      <c r="J113" s="27"/>
      <c r="K113" s="27"/>
      <c r="L113" s="27"/>
      <c r="M113" s="27"/>
      <c r="N113" s="27">
        <v>8</v>
      </c>
      <c r="O113" s="27"/>
      <c r="P113" s="27"/>
      <c r="Q113" s="27"/>
      <c r="R113" s="27"/>
      <c r="S113" s="27"/>
      <c r="T113" s="27"/>
      <c r="U113" s="27"/>
      <c r="V113" s="27"/>
      <c r="W113" s="27"/>
      <c r="X113" s="27"/>
      <c r="Y113" s="27"/>
      <c r="Z113" s="27"/>
      <c r="AA113" s="27"/>
      <c r="AB113" s="27"/>
      <c r="AC113" s="27"/>
      <c r="AD113" s="27"/>
      <c r="AE113" s="27"/>
      <c r="AF113" s="27"/>
      <c r="AG113" s="27"/>
      <c r="AH113" s="27"/>
      <c r="AI113" s="27"/>
      <c r="AJ113" s="27"/>
      <c r="AK113" s="27"/>
      <c r="AL113" s="27"/>
      <c r="AM113" s="27"/>
      <c r="AN113" s="27"/>
      <c r="AO113" s="27"/>
      <c r="AP113" s="27"/>
      <c r="AQ113" s="27"/>
      <c r="AR113" s="27"/>
      <c r="AS113" s="27"/>
      <c r="AT113" s="27"/>
      <c r="AU113" s="27"/>
      <c r="AV113" s="27"/>
      <c r="AW113" s="27"/>
      <c r="AX113" s="27"/>
      <c r="AY113" s="27"/>
      <c r="AZ113" s="27"/>
      <c r="BA113" s="27"/>
      <c r="BB113" s="27"/>
      <c r="BC113" s="27"/>
      <c r="BD113" s="27"/>
      <c r="BE113" s="27"/>
      <c r="BF113" s="27"/>
      <c r="BG113" s="27"/>
      <c r="BH113" s="27"/>
      <c r="BI113" s="27"/>
      <c r="BJ113" s="27"/>
      <c r="BK113" s="27"/>
      <c r="BL113" s="27"/>
      <c r="BM113" s="27"/>
      <c r="BN113" s="27"/>
      <c r="BO113" s="27"/>
      <c r="BP113" s="27"/>
      <c r="BQ113" s="27"/>
      <c r="BR113" s="27"/>
      <c r="BS113" s="27"/>
      <c r="BT113" s="27"/>
      <c r="BU113" s="27"/>
      <c r="BV113" s="27"/>
      <c r="BW113" s="27"/>
      <c r="BX113" s="27"/>
      <c r="BY113" s="27"/>
      <c r="BZ113" s="27"/>
      <c r="CA113" s="27"/>
      <c r="CB113" s="27"/>
      <c r="CC113" s="27"/>
      <c r="CD113" s="27"/>
      <c r="CE113" s="27"/>
      <c r="CF113" s="27"/>
      <c r="CG113" s="27"/>
      <c r="CH113" s="27"/>
      <c r="CI113" s="27"/>
      <c r="CJ113" s="27"/>
      <c r="CK113" s="27"/>
      <c r="CL113" s="27"/>
      <c r="CM113" s="27"/>
      <c r="CN113" s="27"/>
      <c r="CO113" s="27"/>
      <c r="CP113" s="27"/>
      <c r="CQ113" s="27"/>
      <c r="CR113" s="27"/>
      <c r="CS113" s="27"/>
      <c r="CT113" s="27"/>
      <c r="CU113" s="27"/>
      <c r="CV113" s="27"/>
      <c r="CW113" s="27"/>
      <c r="CX113" s="27"/>
      <c r="CY113" s="27"/>
      <c r="CZ113" s="27"/>
      <c r="DA113" s="27"/>
      <c r="DB113" s="27"/>
      <c r="DC113" s="27"/>
      <c r="DD113" s="27"/>
      <c r="DE113" s="27"/>
      <c r="DF113" s="27"/>
      <c r="DG113" s="27"/>
      <c r="DH113" s="27"/>
      <c r="DI113" s="27"/>
      <c r="DJ113" s="27"/>
      <c r="DK113" s="27"/>
      <c r="DL113" s="27"/>
      <c r="DM113" s="27"/>
      <c r="DN113" s="27"/>
      <c r="DO113" s="27"/>
      <c r="DP113" s="27"/>
      <c r="DQ113" s="27"/>
      <c r="DR113" s="27"/>
      <c r="DS113" s="27"/>
      <c r="DT113" s="27"/>
    </row>
    <row r="114" spans="2:124" ht="15.75" customHeight="1" x14ac:dyDescent="0.2">
      <c r="B114" s="27"/>
      <c r="C114" s="27"/>
      <c r="D114" s="27"/>
      <c r="E114" s="27"/>
      <c r="F114" s="27"/>
      <c r="G114" s="27"/>
      <c r="H114" s="27"/>
      <c r="I114" s="27"/>
      <c r="J114" s="27"/>
      <c r="K114" s="27"/>
      <c r="L114" s="27"/>
      <c r="M114" s="27"/>
      <c r="N114" s="27">
        <v>8.5</v>
      </c>
      <c r="O114" s="27"/>
      <c r="P114" s="27"/>
      <c r="Q114" s="27"/>
      <c r="R114" s="27"/>
      <c r="S114" s="27"/>
      <c r="T114" s="27"/>
      <c r="U114" s="27"/>
      <c r="V114" s="27"/>
      <c r="W114" s="27"/>
      <c r="X114" s="27"/>
      <c r="Y114" s="27"/>
      <c r="Z114" s="27"/>
      <c r="AA114" s="27"/>
      <c r="AB114" s="27"/>
      <c r="AC114" s="27"/>
      <c r="AD114" s="27"/>
      <c r="AE114" s="27"/>
      <c r="AF114" s="27"/>
      <c r="AG114" s="27"/>
      <c r="AH114" s="27"/>
      <c r="AI114" s="27"/>
      <c r="AJ114" s="27"/>
      <c r="AK114" s="27"/>
      <c r="AL114" s="27"/>
      <c r="AM114" s="27"/>
      <c r="AN114" s="27"/>
      <c r="AO114" s="27"/>
      <c r="AP114" s="27"/>
      <c r="AQ114" s="27"/>
      <c r="AR114" s="27"/>
      <c r="AS114" s="27"/>
      <c r="AT114" s="27"/>
      <c r="AU114" s="27"/>
      <c r="AV114" s="27"/>
      <c r="AW114" s="27"/>
      <c r="AX114" s="27"/>
      <c r="AY114" s="27"/>
      <c r="AZ114" s="27"/>
      <c r="BA114" s="27"/>
      <c r="BB114" s="27"/>
      <c r="BC114" s="27"/>
      <c r="BD114" s="27"/>
      <c r="BE114" s="27"/>
      <c r="BF114" s="27"/>
      <c r="BG114" s="27"/>
      <c r="BH114" s="27"/>
      <c r="BI114" s="27"/>
      <c r="BJ114" s="27"/>
      <c r="BK114" s="27"/>
      <c r="BL114" s="27"/>
      <c r="BM114" s="27"/>
      <c r="BN114" s="27"/>
      <c r="BO114" s="27"/>
      <c r="BP114" s="27"/>
      <c r="BQ114" s="27"/>
      <c r="BR114" s="27"/>
      <c r="BS114" s="27"/>
      <c r="BT114" s="27"/>
      <c r="BU114" s="27"/>
      <c r="BV114" s="27"/>
      <c r="BW114" s="27"/>
      <c r="BX114" s="27"/>
      <c r="BY114" s="27"/>
      <c r="BZ114" s="27"/>
      <c r="CA114" s="27"/>
      <c r="CB114" s="27"/>
      <c r="CC114" s="27"/>
      <c r="CD114" s="27"/>
      <c r="CE114" s="27"/>
      <c r="CF114" s="27"/>
      <c r="CG114" s="27"/>
      <c r="CH114" s="27"/>
      <c r="CI114" s="27"/>
      <c r="CJ114" s="27"/>
      <c r="CK114" s="27"/>
      <c r="CL114" s="27"/>
      <c r="CM114" s="27"/>
      <c r="CN114" s="27"/>
      <c r="CO114" s="27"/>
      <c r="CP114" s="27"/>
      <c r="CQ114" s="27"/>
      <c r="CR114" s="27"/>
      <c r="CS114" s="27"/>
      <c r="CT114" s="27"/>
      <c r="CU114" s="27"/>
      <c r="CV114" s="27"/>
      <c r="CW114" s="27"/>
      <c r="CX114" s="27"/>
      <c r="CY114" s="27"/>
      <c r="CZ114" s="27"/>
      <c r="DA114" s="27"/>
      <c r="DB114" s="27"/>
      <c r="DC114" s="27"/>
      <c r="DD114" s="27"/>
      <c r="DE114" s="27"/>
      <c r="DF114" s="27"/>
      <c r="DG114" s="27"/>
      <c r="DH114" s="27"/>
      <c r="DI114" s="27"/>
      <c r="DJ114" s="27"/>
      <c r="DK114" s="27"/>
      <c r="DL114" s="27"/>
      <c r="DM114" s="27"/>
      <c r="DN114" s="27"/>
      <c r="DO114" s="27"/>
      <c r="DP114" s="27"/>
      <c r="DQ114" s="27"/>
      <c r="DR114" s="27"/>
      <c r="DS114" s="27"/>
      <c r="DT114" s="27"/>
    </row>
    <row r="115" spans="2:124" ht="15.75" customHeight="1" x14ac:dyDescent="0.2">
      <c r="B115" s="27"/>
      <c r="C115" s="27"/>
      <c r="D115" s="27"/>
      <c r="E115" s="27"/>
      <c r="F115" s="27"/>
      <c r="G115" s="27"/>
      <c r="H115" s="27"/>
      <c r="I115" s="27"/>
      <c r="J115" s="27"/>
      <c r="K115" s="27"/>
      <c r="L115" s="27" t="s">
        <v>13</v>
      </c>
      <c r="M115" s="27"/>
      <c r="N115" s="27">
        <v>9</v>
      </c>
      <c r="O115" s="27"/>
      <c r="P115" s="27"/>
      <c r="Q115" s="27"/>
      <c r="R115" s="27"/>
      <c r="S115" s="27"/>
      <c r="T115" s="27"/>
      <c r="U115" s="27"/>
      <c r="V115" s="27"/>
      <c r="W115" s="27"/>
      <c r="X115" s="27"/>
      <c r="Y115" s="27"/>
      <c r="Z115" s="27"/>
      <c r="AA115" s="27"/>
      <c r="AB115" s="27"/>
      <c r="AC115" s="27"/>
      <c r="AD115" s="27"/>
      <c r="AE115" s="27"/>
      <c r="AF115" s="27"/>
      <c r="AG115" s="27"/>
      <c r="AH115" s="27"/>
      <c r="AI115" s="27"/>
      <c r="AJ115" s="27"/>
      <c r="AK115" s="27"/>
      <c r="AL115" s="27"/>
      <c r="AM115" s="27"/>
      <c r="AN115" s="27"/>
      <c r="AO115" s="27"/>
      <c r="AP115" s="27"/>
      <c r="AQ115" s="27"/>
      <c r="AR115" s="27"/>
      <c r="AS115" s="27"/>
      <c r="AT115" s="27"/>
      <c r="AU115" s="27"/>
      <c r="AV115" s="27"/>
      <c r="AW115" s="27"/>
      <c r="AX115" s="27"/>
      <c r="AY115" s="27"/>
      <c r="AZ115" s="27"/>
      <c r="BA115" s="27"/>
      <c r="BB115" s="27"/>
      <c r="BC115" s="27"/>
      <c r="BD115" s="27"/>
      <c r="BE115" s="27"/>
      <c r="BF115" s="27"/>
      <c r="BG115" s="27"/>
      <c r="BH115" s="27"/>
      <c r="BI115" s="27"/>
      <c r="BJ115" s="27"/>
      <c r="BK115" s="27"/>
      <c r="BL115" s="27"/>
      <c r="BM115" s="27"/>
      <c r="BN115" s="27"/>
      <c r="BO115" s="27"/>
      <c r="BP115" s="27"/>
      <c r="BQ115" s="27"/>
      <c r="BR115" s="27"/>
      <c r="BS115" s="27"/>
      <c r="BT115" s="27"/>
      <c r="BU115" s="27"/>
      <c r="BV115" s="27"/>
      <c r="BW115" s="27"/>
      <c r="BX115" s="27"/>
      <c r="BY115" s="27"/>
      <c r="BZ115" s="27"/>
      <c r="CA115" s="27"/>
      <c r="CB115" s="27"/>
      <c r="CC115" s="27"/>
      <c r="CD115" s="27"/>
      <c r="CE115" s="27"/>
      <c r="CF115" s="27"/>
      <c r="CG115" s="27"/>
      <c r="CH115" s="27"/>
      <c r="CI115" s="27"/>
      <c r="CJ115" s="27"/>
      <c r="CK115" s="27"/>
      <c r="CL115" s="27"/>
      <c r="CM115" s="27"/>
      <c r="CN115" s="27"/>
      <c r="CO115" s="27"/>
      <c r="CP115" s="27"/>
      <c r="CQ115" s="27"/>
      <c r="CR115" s="27"/>
      <c r="CS115" s="27"/>
      <c r="CT115" s="27"/>
      <c r="CU115" s="27"/>
      <c r="CV115" s="27"/>
      <c r="CW115" s="27"/>
      <c r="CX115" s="27"/>
      <c r="CY115" s="27"/>
      <c r="CZ115" s="27"/>
      <c r="DA115" s="27"/>
      <c r="DB115" s="27"/>
      <c r="DC115" s="27"/>
      <c r="DD115" s="27"/>
      <c r="DE115" s="27"/>
      <c r="DF115" s="27"/>
      <c r="DG115" s="27"/>
      <c r="DH115" s="27"/>
      <c r="DI115" s="27"/>
      <c r="DJ115" s="27"/>
      <c r="DK115" s="27"/>
      <c r="DL115" s="27"/>
      <c r="DM115" s="27"/>
      <c r="DN115" s="27"/>
      <c r="DO115" s="27"/>
      <c r="DP115" s="27"/>
      <c r="DQ115" s="27"/>
      <c r="DR115" s="27"/>
      <c r="DS115" s="27"/>
      <c r="DT115" s="27"/>
    </row>
    <row r="116" spans="2:124" ht="15.75" customHeight="1" x14ac:dyDescent="0.2">
      <c r="B116" s="27"/>
      <c r="C116" s="27"/>
      <c r="D116" s="27"/>
      <c r="E116" s="27"/>
      <c r="F116" s="27"/>
      <c r="G116" s="27"/>
      <c r="H116" s="27"/>
      <c r="I116" s="27"/>
      <c r="J116" s="27"/>
      <c r="K116" s="27"/>
      <c r="L116" s="27">
        <f t="shared" ref="L116:L132" si="12">K116*$S$64</f>
        <v>0</v>
      </c>
      <c r="M116" s="27"/>
      <c r="N116" s="27"/>
      <c r="O116" s="27"/>
      <c r="P116" s="27"/>
      <c r="Q116" s="27"/>
      <c r="R116" s="27"/>
      <c r="S116" s="27"/>
      <c r="T116" s="27"/>
      <c r="U116" s="27"/>
      <c r="V116" s="27"/>
      <c r="W116" s="27"/>
      <c r="X116" s="27"/>
      <c r="Y116" s="27"/>
      <c r="Z116" s="27"/>
      <c r="AA116" s="27"/>
      <c r="AB116" s="27"/>
      <c r="AC116" s="27"/>
      <c r="AD116" s="27"/>
      <c r="AE116" s="27"/>
      <c r="AF116" s="27"/>
      <c r="AG116" s="27"/>
      <c r="AH116" s="27"/>
      <c r="AI116" s="27"/>
      <c r="AJ116" s="27"/>
      <c r="AK116" s="27"/>
      <c r="AL116" s="27"/>
      <c r="AM116" s="27"/>
      <c r="AN116" s="27"/>
      <c r="AO116" s="27"/>
      <c r="AP116" s="27"/>
      <c r="AQ116" s="27"/>
      <c r="AR116" s="27"/>
      <c r="AS116" s="27"/>
      <c r="AT116" s="27"/>
      <c r="AU116" s="27"/>
      <c r="AV116" s="27"/>
      <c r="AW116" s="27"/>
      <c r="AX116" s="27"/>
      <c r="AY116" s="27"/>
      <c r="AZ116" s="27"/>
      <c r="BA116" s="27"/>
      <c r="BB116" s="27"/>
      <c r="BC116" s="27"/>
      <c r="BD116" s="27"/>
      <c r="BE116" s="27"/>
      <c r="BF116" s="27"/>
      <c r="BG116" s="27"/>
      <c r="BH116" s="27"/>
      <c r="BI116" s="27"/>
      <c r="BJ116" s="27"/>
      <c r="BK116" s="27"/>
      <c r="BL116" s="27"/>
      <c r="BM116" s="27"/>
      <c r="BN116" s="27"/>
      <c r="BO116" s="27"/>
      <c r="BP116" s="27"/>
      <c r="BQ116" s="27"/>
      <c r="BR116" s="27"/>
      <c r="BS116" s="27"/>
      <c r="BT116" s="27"/>
      <c r="BU116" s="27"/>
      <c r="BV116" s="27"/>
      <c r="BW116" s="27"/>
      <c r="BX116" s="27"/>
      <c r="BY116" s="27"/>
      <c r="BZ116" s="27"/>
      <c r="CA116" s="27"/>
      <c r="CB116" s="27"/>
      <c r="CC116" s="27"/>
      <c r="CD116" s="27"/>
      <c r="CE116" s="27"/>
      <c r="CF116" s="27"/>
      <c r="CG116" s="27"/>
      <c r="CH116" s="27"/>
      <c r="CI116" s="27"/>
      <c r="CJ116" s="27"/>
      <c r="CK116" s="27"/>
      <c r="CL116" s="27"/>
      <c r="CM116" s="27"/>
      <c r="CN116" s="27"/>
      <c r="CO116" s="27"/>
      <c r="CP116" s="27"/>
      <c r="CQ116" s="27"/>
      <c r="CR116" s="27"/>
      <c r="CS116" s="27"/>
      <c r="CT116" s="27"/>
      <c r="CU116" s="27"/>
      <c r="CV116" s="27"/>
      <c r="CW116" s="27"/>
      <c r="CX116" s="27"/>
      <c r="CY116" s="27"/>
      <c r="CZ116" s="27"/>
      <c r="DA116" s="27"/>
      <c r="DB116" s="27"/>
      <c r="DC116" s="27"/>
      <c r="DD116" s="27"/>
      <c r="DE116" s="27"/>
      <c r="DF116" s="27"/>
      <c r="DG116" s="27"/>
      <c r="DH116" s="27"/>
      <c r="DI116" s="27"/>
      <c r="DJ116" s="27"/>
      <c r="DK116" s="27"/>
      <c r="DL116" s="27"/>
      <c r="DM116" s="27"/>
      <c r="DN116" s="27"/>
      <c r="DO116" s="27"/>
      <c r="DP116" s="27"/>
      <c r="DQ116" s="27"/>
      <c r="DR116" s="27"/>
      <c r="DS116" s="27"/>
      <c r="DT116" s="27"/>
    </row>
    <row r="117" spans="2:124" ht="15.75" customHeight="1" x14ac:dyDescent="0.2">
      <c r="B117" s="27"/>
      <c r="C117" s="27"/>
      <c r="D117" s="27"/>
      <c r="E117" s="27"/>
      <c r="F117" s="27"/>
      <c r="G117" s="27"/>
      <c r="H117" s="27"/>
      <c r="I117" s="27"/>
      <c r="J117" s="27"/>
      <c r="K117" s="27"/>
      <c r="L117" s="27">
        <f t="shared" si="12"/>
        <v>0</v>
      </c>
      <c r="M117" s="27"/>
      <c r="N117" s="27"/>
      <c r="O117" s="27"/>
      <c r="P117" s="27"/>
      <c r="Q117" s="27"/>
      <c r="R117" s="27"/>
      <c r="S117" s="27"/>
      <c r="T117" s="27"/>
      <c r="U117" s="27"/>
      <c r="V117" s="27"/>
      <c r="W117" s="27"/>
      <c r="X117" s="27"/>
      <c r="Y117" s="27"/>
      <c r="Z117" s="27"/>
      <c r="AA117" s="27"/>
      <c r="AB117" s="27"/>
      <c r="AC117" s="27"/>
      <c r="AD117" s="27"/>
      <c r="AE117" s="27"/>
      <c r="AF117" s="27"/>
      <c r="AG117" s="27"/>
      <c r="AH117" s="27"/>
      <c r="AI117" s="27"/>
      <c r="AJ117" s="27"/>
      <c r="AK117" s="27"/>
      <c r="AL117" s="27"/>
      <c r="AM117" s="27"/>
      <c r="AN117" s="27"/>
      <c r="AO117" s="27"/>
      <c r="AP117" s="27"/>
      <c r="AQ117" s="27"/>
      <c r="AR117" s="27"/>
      <c r="AS117" s="27"/>
      <c r="AT117" s="27"/>
      <c r="AU117" s="27"/>
      <c r="AV117" s="27"/>
      <c r="AW117" s="27"/>
      <c r="AX117" s="27"/>
      <c r="AY117" s="27"/>
      <c r="AZ117" s="27"/>
      <c r="BA117" s="27"/>
      <c r="BB117" s="27"/>
      <c r="BC117" s="27"/>
      <c r="BD117" s="27"/>
      <c r="BE117" s="27"/>
      <c r="BF117" s="27"/>
      <c r="BG117" s="27"/>
      <c r="BH117" s="27"/>
      <c r="BI117" s="27"/>
      <c r="BJ117" s="27"/>
      <c r="BK117" s="27"/>
      <c r="BL117" s="27"/>
      <c r="BM117" s="27"/>
      <c r="BN117" s="27"/>
      <c r="BO117" s="27"/>
      <c r="BP117" s="27"/>
      <c r="BQ117" s="27"/>
      <c r="BR117" s="27"/>
      <c r="BS117" s="27"/>
      <c r="BT117" s="27"/>
      <c r="BU117" s="27"/>
      <c r="BV117" s="27"/>
      <c r="BW117" s="27"/>
      <c r="BX117" s="27"/>
      <c r="BY117" s="27"/>
      <c r="BZ117" s="27"/>
      <c r="CA117" s="27"/>
      <c r="CB117" s="27"/>
      <c r="CC117" s="27"/>
      <c r="CD117" s="27"/>
      <c r="CE117" s="27"/>
      <c r="CF117" s="27"/>
      <c r="CG117" s="27"/>
      <c r="CH117" s="27"/>
      <c r="CI117" s="27"/>
      <c r="CJ117" s="27"/>
      <c r="CK117" s="27"/>
      <c r="CL117" s="27"/>
      <c r="CM117" s="27"/>
      <c r="CN117" s="27"/>
      <c r="CO117" s="27"/>
      <c r="CP117" s="27"/>
      <c r="CQ117" s="27"/>
      <c r="CR117" s="27"/>
      <c r="CS117" s="27"/>
      <c r="CT117" s="27"/>
      <c r="CU117" s="27"/>
      <c r="CV117" s="27"/>
      <c r="CW117" s="27"/>
      <c r="CX117" s="27"/>
      <c r="CY117" s="27"/>
      <c r="CZ117" s="27"/>
      <c r="DA117" s="27"/>
      <c r="DB117" s="27"/>
      <c r="DC117" s="27"/>
      <c r="DD117" s="27"/>
      <c r="DE117" s="27"/>
      <c r="DF117" s="27"/>
      <c r="DG117" s="27"/>
      <c r="DH117" s="27"/>
      <c r="DI117" s="27"/>
      <c r="DJ117" s="27"/>
      <c r="DK117" s="27"/>
      <c r="DL117" s="27"/>
      <c r="DM117" s="27"/>
      <c r="DN117" s="27"/>
      <c r="DO117" s="27"/>
      <c r="DP117" s="27"/>
      <c r="DQ117" s="27"/>
      <c r="DR117" s="27"/>
      <c r="DS117" s="27"/>
      <c r="DT117" s="27"/>
    </row>
    <row r="118" spans="2:124" ht="15.75" customHeight="1" x14ac:dyDescent="0.2">
      <c r="B118" s="27"/>
      <c r="C118" s="27"/>
      <c r="D118" s="27"/>
      <c r="E118" s="27"/>
      <c r="F118" s="27"/>
      <c r="G118" s="27"/>
      <c r="H118" s="27"/>
      <c r="I118" s="27"/>
      <c r="J118" s="27"/>
      <c r="K118" s="27"/>
      <c r="L118" s="27">
        <f t="shared" si="12"/>
        <v>0</v>
      </c>
      <c r="M118" s="27"/>
      <c r="N118" s="27"/>
      <c r="O118" s="27"/>
      <c r="P118" s="27"/>
      <c r="Q118" s="27"/>
      <c r="R118" s="27"/>
      <c r="S118" s="27"/>
      <c r="T118" s="27"/>
      <c r="U118" s="27"/>
      <c r="V118" s="27"/>
      <c r="W118" s="27"/>
      <c r="X118" s="27"/>
      <c r="Y118" s="27"/>
      <c r="Z118" s="27"/>
      <c r="AA118" s="27"/>
      <c r="AB118" s="27"/>
      <c r="AC118" s="27"/>
      <c r="AD118" s="27"/>
      <c r="AE118" s="27"/>
      <c r="AF118" s="27"/>
      <c r="AG118" s="27"/>
      <c r="AH118" s="27"/>
      <c r="AI118" s="27"/>
      <c r="AJ118" s="27"/>
      <c r="AK118" s="27"/>
      <c r="AL118" s="27"/>
      <c r="AM118" s="27"/>
      <c r="AN118" s="27"/>
      <c r="AO118" s="27"/>
      <c r="AP118" s="27"/>
      <c r="AQ118" s="27"/>
      <c r="AR118" s="27"/>
      <c r="AS118" s="27"/>
      <c r="AT118" s="27"/>
      <c r="AU118" s="27"/>
      <c r="AV118" s="27"/>
      <c r="AW118" s="27"/>
      <c r="AX118" s="27"/>
      <c r="AY118" s="27"/>
      <c r="AZ118" s="27"/>
      <c r="BA118" s="27"/>
      <c r="BB118" s="27"/>
      <c r="BC118" s="27"/>
      <c r="BD118" s="27"/>
      <c r="BE118" s="27"/>
      <c r="BF118" s="27"/>
      <c r="BG118" s="27"/>
      <c r="BH118" s="27"/>
      <c r="BI118" s="27"/>
      <c r="BJ118" s="27"/>
      <c r="BK118" s="27"/>
      <c r="BL118" s="27"/>
      <c r="BM118" s="27"/>
      <c r="BN118" s="27"/>
      <c r="BO118" s="27"/>
      <c r="BP118" s="27"/>
      <c r="BQ118" s="27"/>
      <c r="BR118" s="27"/>
      <c r="BS118" s="27"/>
      <c r="BT118" s="27"/>
      <c r="BU118" s="27"/>
      <c r="BV118" s="27"/>
      <c r="BW118" s="27"/>
      <c r="BX118" s="27"/>
      <c r="BY118" s="27"/>
      <c r="BZ118" s="27"/>
      <c r="CA118" s="27"/>
      <c r="CB118" s="27"/>
      <c r="CC118" s="27"/>
      <c r="CD118" s="27"/>
      <c r="CE118" s="27"/>
      <c r="CF118" s="27"/>
      <c r="CG118" s="27"/>
      <c r="CH118" s="27"/>
      <c r="CI118" s="27"/>
      <c r="CJ118" s="27"/>
      <c r="CK118" s="27"/>
      <c r="CL118" s="27"/>
      <c r="CM118" s="27"/>
      <c r="CN118" s="27"/>
      <c r="CO118" s="27"/>
      <c r="CP118" s="27"/>
      <c r="CQ118" s="27"/>
      <c r="CR118" s="27"/>
      <c r="CS118" s="27"/>
      <c r="CT118" s="27"/>
      <c r="CU118" s="27"/>
      <c r="CV118" s="27"/>
      <c r="CW118" s="27"/>
      <c r="CX118" s="27"/>
      <c r="CY118" s="27"/>
      <c r="CZ118" s="27"/>
      <c r="DA118" s="27"/>
      <c r="DB118" s="27"/>
      <c r="DC118" s="27"/>
      <c r="DD118" s="27"/>
      <c r="DE118" s="27"/>
      <c r="DF118" s="27"/>
      <c r="DG118" s="27"/>
      <c r="DH118" s="27"/>
      <c r="DI118" s="27"/>
      <c r="DJ118" s="27"/>
      <c r="DK118" s="27"/>
      <c r="DL118" s="27"/>
      <c r="DM118" s="27"/>
      <c r="DN118" s="27"/>
      <c r="DO118" s="27"/>
      <c r="DP118" s="27"/>
      <c r="DQ118" s="27"/>
      <c r="DR118" s="27"/>
      <c r="DS118" s="27"/>
      <c r="DT118" s="27"/>
    </row>
    <row r="119" spans="2:124" ht="18.75" customHeight="1" x14ac:dyDescent="0.2">
      <c r="B119" s="27"/>
      <c r="C119" s="27"/>
      <c r="D119" s="27"/>
      <c r="E119" s="27"/>
      <c r="F119" s="27"/>
      <c r="G119" s="27"/>
      <c r="H119" s="27"/>
      <c r="I119" s="27"/>
      <c r="J119" s="27"/>
      <c r="K119" s="27"/>
      <c r="L119" s="27">
        <f t="shared" si="12"/>
        <v>0</v>
      </c>
      <c r="M119" s="27" t="s">
        <v>11</v>
      </c>
      <c r="N119" s="27" t="s">
        <v>1</v>
      </c>
      <c r="O119" s="27"/>
      <c r="P119" s="27"/>
      <c r="Q119" s="27"/>
      <c r="R119" s="27"/>
      <c r="S119" s="27"/>
      <c r="T119" s="27"/>
      <c r="U119" s="27"/>
      <c r="V119" s="27"/>
      <c r="W119" s="27"/>
      <c r="X119" s="27"/>
      <c r="Y119" s="27"/>
      <c r="Z119" s="27"/>
      <c r="AA119" s="27"/>
      <c r="AB119" s="27"/>
      <c r="AC119" s="27"/>
      <c r="AD119" s="27"/>
      <c r="AE119" s="27"/>
      <c r="AF119" s="27"/>
      <c r="AG119" s="27"/>
      <c r="AH119" s="27"/>
      <c r="AI119" s="27"/>
      <c r="AJ119" s="27"/>
      <c r="AK119" s="27"/>
      <c r="AL119" s="27"/>
      <c r="AM119" s="27"/>
      <c r="AN119" s="27"/>
      <c r="AO119" s="27"/>
      <c r="AP119" s="27"/>
      <c r="AQ119" s="27"/>
      <c r="AR119" s="27"/>
      <c r="AS119" s="27"/>
      <c r="AT119" s="27"/>
      <c r="AU119" s="27"/>
      <c r="AV119" s="27"/>
      <c r="AW119" s="27"/>
      <c r="AX119" s="27"/>
      <c r="AY119" s="27"/>
      <c r="AZ119" s="27"/>
      <c r="BA119" s="27"/>
      <c r="BB119" s="27"/>
      <c r="BC119" s="27"/>
      <c r="BD119" s="27"/>
      <c r="BE119" s="27"/>
      <c r="BF119" s="27"/>
      <c r="BG119" s="27"/>
      <c r="BH119" s="27"/>
      <c r="BI119" s="27"/>
      <c r="BJ119" s="27"/>
      <c r="BK119" s="27"/>
      <c r="BL119" s="27"/>
      <c r="BM119" s="27"/>
      <c r="BN119" s="27"/>
      <c r="BO119" s="27"/>
      <c r="BP119" s="27"/>
      <c r="BQ119" s="27"/>
      <c r="BR119" s="27"/>
      <c r="BS119" s="27"/>
      <c r="BT119" s="27"/>
      <c r="BU119" s="27"/>
      <c r="BV119" s="27"/>
      <c r="BW119" s="27"/>
      <c r="BX119" s="27"/>
      <c r="BY119" s="27"/>
      <c r="BZ119" s="27"/>
      <c r="CA119" s="27"/>
      <c r="CB119" s="27"/>
      <c r="CC119" s="27"/>
      <c r="CD119" s="27"/>
      <c r="CE119" s="27"/>
      <c r="CF119" s="27"/>
      <c r="CG119" s="27"/>
      <c r="CH119" s="27"/>
      <c r="CI119" s="27"/>
      <c r="CJ119" s="27"/>
      <c r="CK119" s="27"/>
      <c r="CL119" s="27"/>
      <c r="CM119" s="27"/>
      <c r="CN119" s="27"/>
      <c r="CO119" s="27"/>
      <c r="CP119" s="27"/>
      <c r="CQ119" s="27"/>
      <c r="CR119" s="27"/>
      <c r="CS119" s="27"/>
      <c r="CT119" s="27"/>
      <c r="CU119" s="27"/>
      <c r="CV119" s="27"/>
      <c r="CW119" s="27"/>
      <c r="CX119" s="27"/>
      <c r="CY119" s="27"/>
      <c r="CZ119" s="27"/>
      <c r="DA119" s="27"/>
      <c r="DB119" s="27"/>
      <c r="DC119" s="27"/>
      <c r="DD119" s="27"/>
      <c r="DE119" s="27"/>
      <c r="DF119" s="27"/>
      <c r="DG119" s="27"/>
      <c r="DH119" s="27"/>
      <c r="DI119" s="27"/>
      <c r="DJ119" s="27"/>
      <c r="DK119" s="27"/>
      <c r="DL119" s="27"/>
      <c r="DM119" s="27"/>
      <c r="DN119" s="27"/>
      <c r="DO119" s="27"/>
      <c r="DP119" s="27"/>
      <c r="DQ119" s="27"/>
      <c r="DR119" s="27"/>
      <c r="DS119" s="27"/>
      <c r="DT119" s="27"/>
    </row>
    <row r="120" spans="2:124" ht="20.25" customHeight="1" x14ac:dyDescent="0.2">
      <c r="B120" s="27"/>
      <c r="C120" s="27"/>
      <c r="D120" s="27"/>
      <c r="E120" s="27"/>
      <c r="F120" s="27"/>
      <c r="G120" s="27"/>
      <c r="H120" s="27"/>
      <c r="I120" s="27"/>
      <c r="J120" s="27"/>
      <c r="K120" s="27"/>
      <c r="L120" s="27">
        <f t="shared" si="12"/>
        <v>0</v>
      </c>
      <c r="M120" s="27">
        <f>IF(OR($C$5=$CB$16,$C$5=$CC$16),N120*1.05,N120)</f>
        <v>6300.0034374999996</v>
      </c>
      <c r="N120" s="27">
        <v>6300.0034374999996</v>
      </c>
      <c r="O120" s="27"/>
      <c r="P120" s="27"/>
      <c r="Q120" s="27"/>
      <c r="R120" s="27"/>
      <c r="S120" s="27"/>
      <c r="T120" s="27"/>
      <c r="U120" s="27"/>
      <c r="V120" s="27"/>
      <c r="W120" s="27"/>
      <c r="X120" s="27"/>
      <c r="Y120" s="27"/>
      <c r="Z120" s="27"/>
      <c r="AA120" s="27"/>
      <c r="AB120" s="27"/>
      <c r="AC120" s="27"/>
      <c r="AD120" s="27"/>
      <c r="AE120" s="27"/>
      <c r="AF120" s="27"/>
      <c r="AG120" s="27"/>
      <c r="AH120" s="27"/>
      <c r="AI120" s="27"/>
      <c r="AJ120" s="27"/>
      <c r="AK120" s="27"/>
      <c r="AL120" s="27"/>
      <c r="AM120" s="27"/>
      <c r="AN120" s="27"/>
      <c r="AO120" s="27"/>
      <c r="AP120" s="27"/>
      <c r="AQ120" s="27"/>
      <c r="AR120" s="27"/>
      <c r="AS120" s="27"/>
      <c r="AT120" s="27"/>
      <c r="AU120" s="27"/>
      <c r="AV120" s="27"/>
      <c r="AW120" s="27"/>
      <c r="AX120" s="27"/>
      <c r="AY120" s="27"/>
      <c r="AZ120" s="27"/>
      <c r="BA120" s="27"/>
      <c r="BB120" s="27"/>
      <c r="BC120" s="27"/>
      <c r="BD120" s="27"/>
      <c r="BE120" s="27"/>
      <c r="BF120" s="27"/>
      <c r="BG120" s="27"/>
      <c r="BH120" s="27"/>
      <c r="BI120" s="27"/>
      <c r="BJ120" s="27"/>
      <c r="BK120" s="27"/>
      <c r="BL120" s="27"/>
      <c r="BM120" s="27"/>
      <c r="BN120" s="27"/>
      <c r="BO120" s="27"/>
      <c r="BP120" s="27"/>
      <c r="BQ120" s="27"/>
      <c r="BR120" s="27"/>
      <c r="BS120" s="27"/>
      <c r="BT120" s="27"/>
      <c r="BU120" s="27"/>
      <c r="BV120" s="27"/>
      <c r="BW120" s="27"/>
      <c r="BX120" s="27"/>
      <c r="BY120" s="27"/>
      <c r="BZ120" s="27"/>
      <c r="CA120" s="27"/>
      <c r="CB120" s="27"/>
      <c r="CC120" s="27"/>
      <c r="CD120" s="27"/>
      <c r="CE120" s="27"/>
      <c r="CF120" s="27"/>
      <c r="CG120" s="27"/>
      <c r="CH120" s="27"/>
      <c r="CI120" s="27"/>
      <c r="CJ120" s="27"/>
      <c r="CK120" s="27"/>
      <c r="CL120" s="27"/>
      <c r="CM120" s="27"/>
      <c r="CN120" s="27"/>
      <c r="CO120" s="27"/>
      <c r="CP120" s="27"/>
      <c r="CQ120" s="27"/>
      <c r="CR120" s="27"/>
      <c r="CS120" s="27"/>
      <c r="CT120" s="27"/>
      <c r="CU120" s="27"/>
      <c r="CV120" s="27"/>
      <c r="CW120" s="27"/>
      <c r="CX120" s="27"/>
      <c r="CY120" s="27"/>
      <c r="CZ120" s="27"/>
      <c r="DA120" s="27"/>
      <c r="DB120" s="27"/>
      <c r="DC120" s="27"/>
      <c r="DD120" s="27"/>
      <c r="DE120" s="27"/>
      <c r="DF120" s="27"/>
      <c r="DG120" s="27"/>
      <c r="DH120" s="27"/>
      <c r="DI120" s="27"/>
      <c r="DJ120" s="27"/>
      <c r="DK120" s="27"/>
      <c r="DL120" s="27"/>
      <c r="DM120" s="27"/>
      <c r="DN120" s="27"/>
      <c r="DO120" s="27"/>
      <c r="DP120" s="27"/>
      <c r="DQ120" s="27"/>
      <c r="DR120" s="27"/>
      <c r="DS120" s="27"/>
      <c r="DT120" s="27"/>
    </row>
    <row r="121" spans="2:124" ht="15.75" customHeight="1" x14ac:dyDescent="0.2">
      <c r="B121" s="27"/>
      <c r="C121" s="27"/>
      <c r="D121" s="27"/>
      <c r="E121" s="27"/>
      <c r="F121" s="27"/>
      <c r="G121" s="27"/>
      <c r="H121" s="27"/>
      <c r="I121" s="27"/>
      <c r="J121" s="27"/>
      <c r="K121" s="27"/>
      <c r="L121" s="27">
        <f t="shared" si="12"/>
        <v>0</v>
      </c>
      <c r="M121" s="27">
        <f>M120*1.0375</f>
        <v>6536.2535664062498</v>
      </c>
      <c r="N121" s="27">
        <v>6536.2535664062498</v>
      </c>
      <c r="O121" s="27"/>
      <c r="P121" s="27"/>
      <c r="Q121" s="27"/>
      <c r="R121" s="27"/>
      <c r="S121" s="27"/>
      <c r="T121" s="27"/>
      <c r="U121" s="27"/>
      <c r="V121" s="27"/>
      <c r="W121" s="27"/>
      <c r="X121" s="27"/>
      <c r="Y121" s="27"/>
      <c r="Z121" s="27"/>
      <c r="AA121" s="27"/>
      <c r="AB121" s="27"/>
      <c r="AC121" s="27"/>
      <c r="AD121" s="27"/>
      <c r="AE121" s="27"/>
      <c r="AF121" s="27"/>
      <c r="AG121" s="27"/>
      <c r="AH121" s="27"/>
      <c r="AI121" s="27"/>
      <c r="AJ121" s="27"/>
      <c r="AK121" s="27"/>
      <c r="AL121" s="27"/>
      <c r="AM121" s="27"/>
      <c r="AN121" s="27"/>
      <c r="AO121" s="27"/>
      <c r="AP121" s="27"/>
      <c r="AQ121" s="27"/>
      <c r="AR121" s="27"/>
      <c r="AS121" s="27"/>
      <c r="AT121" s="27"/>
      <c r="AU121" s="27"/>
      <c r="AV121" s="27"/>
      <c r="AW121" s="27"/>
      <c r="AX121" s="27"/>
      <c r="AY121" s="27"/>
      <c r="AZ121" s="27"/>
      <c r="BA121" s="27"/>
      <c r="BB121" s="27"/>
      <c r="BC121" s="27"/>
      <c r="BD121" s="27"/>
      <c r="BE121" s="27"/>
      <c r="BF121" s="27"/>
      <c r="BG121" s="27"/>
      <c r="BH121" s="27"/>
      <c r="BI121" s="27"/>
      <c r="BJ121" s="27"/>
      <c r="BK121" s="27"/>
      <c r="BL121" s="27"/>
      <c r="BM121" s="27"/>
      <c r="BN121" s="27"/>
      <c r="BO121" s="27"/>
      <c r="BP121" s="27"/>
      <c r="BQ121" s="27"/>
      <c r="BR121" s="27"/>
      <c r="BS121" s="27"/>
      <c r="BT121" s="27"/>
      <c r="BU121" s="27"/>
      <c r="BV121" s="27"/>
      <c r="BW121" s="27"/>
      <c r="BX121" s="27"/>
      <c r="BY121" s="27"/>
      <c r="BZ121" s="27"/>
      <c r="CA121" s="27"/>
      <c r="CB121" s="27"/>
      <c r="CC121" s="27"/>
      <c r="CD121" s="27"/>
      <c r="CE121" s="27"/>
      <c r="CF121" s="27"/>
      <c r="CG121" s="27"/>
      <c r="CH121" s="27"/>
      <c r="CI121" s="27"/>
      <c r="CJ121" s="27"/>
      <c r="CK121" s="27"/>
      <c r="CL121" s="27"/>
      <c r="CM121" s="27"/>
      <c r="CN121" s="27"/>
      <c r="CO121" s="27"/>
      <c r="CP121" s="27"/>
      <c r="CQ121" s="27"/>
      <c r="CR121" s="27"/>
      <c r="CS121" s="27"/>
      <c r="CT121" s="27"/>
      <c r="CU121" s="27"/>
      <c r="CV121" s="27"/>
      <c r="CW121" s="27"/>
      <c r="CX121" s="27"/>
      <c r="CY121" s="27"/>
      <c r="CZ121" s="27"/>
      <c r="DA121" s="27"/>
      <c r="DB121" s="27"/>
      <c r="DC121" s="27"/>
      <c r="DD121" s="27"/>
      <c r="DE121" s="27"/>
      <c r="DF121" s="27"/>
      <c r="DG121" s="27"/>
      <c r="DH121" s="27"/>
      <c r="DI121" s="27"/>
      <c r="DJ121" s="27"/>
      <c r="DK121" s="27"/>
      <c r="DL121" s="27"/>
      <c r="DM121" s="27"/>
      <c r="DN121" s="27"/>
      <c r="DO121" s="27"/>
      <c r="DP121" s="27"/>
      <c r="DQ121" s="27"/>
      <c r="DR121" s="27"/>
      <c r="DS121" s="27"/>
      <c r="DT121" s="27"/>
    </row>
    <row r="122" spans="2:124" ht="20.25" customHeight="1" x14ac:dyDescent="0.2">
      <c r="B122" s="27"/>
      <c r="C122" s="27"/>
      <c r="D122" s="27"/>
      <c r="E122" s="27"/>
      <c r="F122" s="27"/>
      <c r="G122" s="27"/>
      <c r="H122" s="27"/>
      <c r="I122" s="27"/>
      <c r="J122" s="27"/>
      <c r="K122" s="27"/>
      <c r="L122" s="27">
        <f t="shared" si="12"/>
        <v>0</v>
      </c>
      <c r="M122" s="27">
        <f>IF(OR($C$5=$CB$16,$C$5=$CC$16),N122*1.05,N122)</f>
        <v>6772.5036953124991</v>
      </c>
      <c r="N122" s="27">
        <v>6772.5036953124991</v>
      </c>
      <c r="O122" s="27"/>
      <c r="P122" s="27"/>
      <c r="Q122" s="27"/>
      <c r="R122" s="27"/>
      <c r="S122" s="27"/>
      <c r="T122" s="27"/>
      <c r="U122" s="27"/>
      <c r="V122" s="27"/>
      <c r="W122" s="27"/>
      <c r="X122" s="27"/>
      <c r="Y122" s="27"/>
      <c r="Z122" s="27"/>
      <c r="AA122" s="27"/>
      <c r="AB122" s="27"/>
      <c r="AC122" s="27"/>
      <c r="AD122" s="27"/>
      <c r="AE122" s="27"/>
      <c r="AF122" s="27"/>
      <c r="AG122" s="27"/>
      <c r="AH122" s="27"/>
      <c r="AI122" s="27"/>
      <c r="AJ122" s="27"/>
      <c r="AK122" s="27"/>
      <c r="AL122" s="27"/>
      <c r="AM122" s="27"/>
      <c r="AN122" s="27"/>
      <c r="AO122" s="27"/>
      <c r="AP122" s="27"/>
      <c r="AQ122" s="27"/>
      <c r="AR122" s="27"/>
      <c r="AS122" s="27"/>
      <c r="AT122" s="27"/>
      <c r="AU122" s="27"/>
      <c r="AV122" s="27"/>
      <c r="AW122" s="27"/>
      <c r="AX122" s="27"/>
      <c r="AY122" s="27"/>
      <c r="AZ122" s="27"/>
      <c r="BA122" s="27"/>
      <c r="BB122" s="27"/>
      <c r="BC122" s="27"/>
      <c r="BD122" s="27"/>
      <c r="BE122" s="27"/>
      <c r="BF122" s="27"/>
      <c r="BG122" s="27"/>
      <c r="BH122" s="27"/>
      <c r="BI122" s="27"/>
      <c r="BJ122" s="27"/>
      <c r="BK122" s="27"/>
      <c r="BL122" s="27"/>
      <c r="BM122" s="27"/>
      <c r="BN122" s="27"/>
      <c r="BO122" s="27"/>
      <c r="BP122" s="27"/>
      <c r="BQ122" s="27"/>
      <c r="BR122" s="27"/>
      <c r="BS122" s="27"/>
      <c r="BT122" s="27"/>
      <c r="BU122" s="27"/>
      <c r="BV122" s="27"/>
      <c r="BW122" s="27"/>
      <c r="BX122" s="27"/>
      <c r="BY122" s="27"/>
      <c r="BZ122" s="27"/>
      <c r="CA122" s="27"/>
      <c r="CB122" s="27"/>
      <c r="CC122" s="27"/>
      <c r="CD122" s="27"/>
      <c r="CE122" s="27"/>
      <c r="CF122" s="27"/>
      <c r="CG122" s="27"/>
      <c r="CH122" s="27"/>
      <c r="CI122" s="27"/>
      <c r="CJ122" s="27"/>
      <c r="CK122" s="27"/>
      <c r="CL122" s="27"/>
      <c r="CM122" s="27"/>
      <c r="CN122" s="27"/>
      <c r="CO122" s="27"/>
      <c r="CP122" s="27"/>
      <c r="CQ122" s="27"/>
      <c r="CR122" s="27"/>
      <c r="CS122" s="27"/>
      <c r="CT122" s="27"/>
      <c r="CU122" s="27"/>
      <c r="CV122" s="27"/>
      <c r="CW122" s="27"/>
      <c r="CX122" s="27"/>
      <c r="CY122" s="27"/>
      <c r="CZ122" s="27"/>
      <c r="DA122" s="27"/>
      <c r="DB122" s="27"/>
      <c r="DC122" s="27"/>
      <c r="DD122" s="27"/>
      <c r="DE122" s="27"/>
      <c r="DF122" s="27"/>
      <c r="DG122" s="27"/>
      <c r="DH122" s="27"/>
      <c r="DI122" s="27"/>
      <c r="DJ122" s="27"/>
      <c r="DK122" s="27"/>
      <c r="DL122" s="27"/>
      <c r="DM122" s="27"/>
      <c r="DN122" s="27"/>
      <c r="DO122" s="27"/>
      <c r="DP122" s="27"/>
      <c r="DQ122" s="27"/>
      <c r="DR122" s="27"/>
      <c r="DS122" s="27"/>
      <c r="DT122" s="27"/>
    </row>
    <row r="123" spans="2:124" ht="14.25" customHeight="1" x14ac:dyDescent="0.2">
      <c r="B123" s="27"/>
      <c r="C123" s="27"/>
      <c r="D123" s="27"/>
      <c r="E123" s="27"/>
      <c r="F123" s="27"/>
      <c r="G123" s="27"/>
      <c r="H123" s="27"/>
      <c r="I123" s="27"/>
      <c r="J123" s="27"/>
      <c r="K123" s="27"/>
      <c r="L123" s="27">
        <f t="shared" si="12"/>
        <v>0</v>
      </c>
      <c r="M123" s="27">
        <f>M122*1.0375</f>
        <v>7026.472583886718</v>
      </c>
      <c r="N123" s="27">
        <v>7026.472583886718</v>
      </c>
      <c r="O123" s="27"/>
      <c r="P123" s="27"/>
      <c r="Q123" s="27"/>
      <c r="R123" s="27"/>
      <c r="S123" s="27"/>
      <c r="T123" s="27"/>
      <c r="U123" s="27"/>
      <c r="V123" s="27"/>
      <c r="W123" s="27"/>
      <c r="X123" s="27"/>
      <c r="Y123" s="27"/>
      <c r="Z123" s="27"/>
      <c r="AA123" s="27"/>
      <c r="AB123" s="27"/>
      <c r="AC123" s="27"/>
      <c r="AD123" s="27"/>
      <c r="AE123" s="27"/>
      <c r="AF123" s="27"/>
      <c r="AG123" s="27"/>
      <c r="AH123" s="27"/>
      <c r="AI123" s="27"/>
      <c r="AJ123" s="27"/>
      <c r="AK123" s="27"/>
      <c r="AL123" s="27"/>
      <c r="AM123" s="27"/>
      <c r="AN123" s="27"/>
      <c r="AO123" s="27"/>
      <c r="AP123" s="27"/>
      <c r="AQ123" s="27"/>
      <c r="AR123" s="27"/>
      <c r="AS123" s="27"/>
      <c r="AT123" s="27"/>
      <c r="AU123" s="27"/>
      <c r="AV123" s="27"/>
      <c r="AW123" s="27"/>
      <c r="AX123" s="27"/>
      <c r="AY123" s="27"/>
      <c r="AZ123" s="27"/>
      <c r="BA123" s="27"/>
      <c r="BB123" s="27"/>
      <c r="BC123" s="27"/>
      <c r="BD123" s="27"/>
      <c r="BE123" s="27"/>
      <c r="BF123" s="27"/>
      <c r="BG123" s="27"/>
      <c r="BH123" s="27"/>
      <c r="BI123" s="27"/>
      <c r="BJ123" s="27"/>
      <c r="BK123" s="27"/>
      <c r="BL123" s="27"/>
      <c r="BM123" s="27"/>
      <c r="BN123" s="27"/>
      <c r="BO123" s="27"/>
      <c r="BP123" s="27"/>
      <c r="BQ123" s="27"/>
      <c r="BR123" s="27"/>
      <c r="BS123" s="27"/>
      <c r="BT123" s="27"/>
      <c r="BU123" s="27"/>
      <c r="BV123" s="27"/>
      <c r="BW123" s="27"/>
      <c r="BX123" s="27"/>
      <c r="BY123" s="27"/>
      <c r="BZ123" s="27"/>
      <c r="CA123" s="27"/>
      <c r="CB123" s="27"/>
      <c r="CC123" s="27"/>
      <c r="CD123" s="27"/>
      <c r="CE123" s="27"/>
      <c r="CF123" s="27"/>
      <c r="CG123" s="27"/>
      <c r="CH123" s="27"/>
      <c r="CI123" s="27"/>
      <c r="CJ123" s="27"/>
      <c r="CK123" s="27"/>
      <c r="CL123" s="27"/>
      <c r="CM123" s="27"/>
      <c r="CN123" s="27"/>
      <c r="CO123" s="27"/>
      <c r="CP123" s="27"/>
      <c r="CQ123" s="27"/>
      <c r="CR123" s="27"/>
      <c r="CS123" s="27"/>
      <c r="CT123" s="27"/>
      <c r="CU123" s="27"/>
      <c r="CV123" s="27"/>
      <c r="CW123" s="27"/>
      <c r="CX123" s="27"/>
      <c r="CY123" s="27"/>
      <c r="CZ123" s="27"/>
      <c r="DA123" s="27"/>
      <c r="DB123" s="27"/>
      <c r="DC123" s="27"/>
      <c r="DD123" s="27"/>
      <c r="DE123" s="27"/>
      <c r="DF123" s="27"/>
      <c r="DG123" s="27"/>
      <c r="DH123" s="27"/>
      <c r="DI123" s="27"/>
      <c r="DJ123" s="27"/>
      <c r="DK123" s="27"/>
      <c r="DL123" s="27"/>
      <c r="DM123" s="27"/>
      <c r="DN123" s="27"/>
      <c r="DO123" s="27"/>
      <c r="DP123" s="27"/>
      <c r="DQ123" s="27"/>
      <c r="DR123" s="27"/>
      <c r="DS123" s="27"/>
      <c r="DT123" s="27"/>
    </row>
    <row r="124" spans="2:124" ht="16.5" customHeight="1" x14ac:dyDescent="0.2">
      <c r="B124" s="27"/>
      <c r="C124" s="27"/>
      <c r="D124" s="27"/>
      <c r="E124" s="27"/>
      <c r="F124" s="27"/>
      <c r="G124" s="27"/>
      <c r="H124" s="27"/>
      <c r="I124" s="27"/>
      <c r="J124" s="27"/>
      <c r="K124" s="27"/>
      <c r="L124" s="27">
        <f t="shared" si="12"/>
        <v>0</v>
      </c>
      <c r="M124" s="27">
        <f>IF(OR($C$5=$CB$16,$C$5=$CC$16),N124*1.05,N124)</f>
        <v>7280.441472460936</v>
      </c>
      <c r="N124" s="27">
        <v>7280.441472460936</v>
      </c>
      <c r="O124" s="27"/>
      <c r="P124" s="27"/>
      <c r="Q124" s="27"/>
      <c r="R124" s="27"/>
      <c r="S124" s="27"/>
      <c r="T124" s="27"/>
      <c r="U124" s="27"/>
      <c r="V124" s="27"/>
      <c r="W124" s="27"/>
      <c r="X124" s="27"/>
      <c r="Y124" s="27"/>
      <c r="Z124" s="27"/>
      <c r="AA124" s="27"/>
      <c r="AB124" s="27"/>
      <c r="AC124" s="27"/>
      <c r="AD124" s="27"/>
      <c r="AE124" s="27"/>
      <c r="AF124" s="27"/>
      <c r="AG124" s="27"/>
      <c r="AH124" s="27"/>
      <c r="AI124" s="27"/>
      <c r="AJ124" s="27"/>
      <c r="AK124" s="27"/>
      <c r="AL124" s="27"/>
      <c r="AM124" s="27"/>
      <c r="AN124" s="27"/>
      <c r="AO124" s="27"/>
      <c r="AP124" s="27"/>
      <c r="AQ124" s="27"/>
      <c r="AR124" s="27"/>
      <c r="AS124" s="27"/>
      <c r="AT124" s="27"/>
      <c r="AU124" s="27"/>
      <c r="AV124" s="27"/>
      <c r="AW124" s="27"/>
      <c r="AX124" s="27"/>
      <c r="AY124" s="27"/>
      <c r="AZ124" s="27"/>
      <c r="BA124" s="27"/>
      <c r="BB124" s="27"/>
      <c r="BC124" s="27"/>
      <c r="BD124" s="27"/>
      <c r="BE124" s="27"/>
      <c r="BF124" s="27"/>
      <c r="BG124" s="27"/>
      <c r="BH124" s="27"/>
      <c r="BI124" s="27"/>
      <c r="BJ124" s="27"/>
      <c r="BK124" s="27"/>
      <c r="BL124" s="27"/>
      <c r="BM124" s="27"/>
      <c r="BN124" s="27"/>
      <c r="BO124" s="27"/>
      <c r="BP124" s="27"/>
      <c r="BQ124" s="27"/>
      <c r="BR124" s="27"/>
      <c r="BS124" s="27"/>
      <c r="BT124" s="27"/>
      <c r="BU124" s="27"/>
      <c r="BV124" s="27"/>
      <c r="BW124" s="27"/>
      <c r="BX124" s="27"/>
      <c r="BY124" s="27"/>
      <c r="BZ124" s="27"/>
      <c r="CA124" s="27"/>
      <c r="CB124" s="27"/>
      <c r="CC124" s="27"/>
      <c r="CD124" s="27"/>
      <c r="CE124" s="27"/>
      <c r="CF124" s="27"/>
      <c r="CG124" s="27"/>
      <c r="CH124" s="27"/>
      <c r="CI124" s="27"/>
      <c r="CJ124" s="27"/>
      <c r="CK124" s="27"/>
      <c r="CL124" s="27"/>
      <c r="CM124" s="27"/>
      <c r="CN124" s="27"/>
      <c r="CO124" s="27"/>
      <c r="CP124" s="27"/>
      <c r="CQ124" s="27"/>
      <c r="CR124" s="27"/>
      <c r="CS124" s="27"/>
      <c r="CT124" s="27"/>
      <c r="CU124" s="27"/>
      <c r="CV124" s="27"/>
      <c r="CW124" s="27"/>
      <c r="CX124" s="27"/>
      <c r="CY124" s="27"/>
      <c r="CZ124" s="27"/>
      <c r="DA124" s="27"/>
      <c r="DB124" s="27"/>
      <c r="DC124" s="27"/>
      <c r="DD124" s="27"/>
      <c r="DE124" s="27"/>
      <c r="DF124" s="27"/>
      <c r="DG124" s="27"/>
      <c r="DH124" s="27"/>
      <c r="DI124" s="27"/>
      <c r="DJ124" s="27"/>
      <c r="DK124" s="27"/>
      <c r="DL124" s="27"/>
      <c r="DM124" s="27"/>
      <c r="DN124" s="27"/>
      <c r="DO124" s="27"/>
      <c r="DP124" s="27"/>
      <c r="DQ124" s="27"/>
      <c r="DR124" s="27"/>
      <c r="DS124" s="27"/>
      <c r="DT124" s="27"/>
    </row>
    <row r="125" spans="2:124" ht="15" customHeight="1" x14ac:dyDescent="0.2">
      <c r="B125" s="27"/>
      <c r="C125" s="27"/>
      <c r="D125" s="27"/>
      <c r="E125" s="27"/>
      <c r="F125" s="27"/>
      <c r="G125" s="27"/>
      <c r="H125" s="27"/>
      <c r="I125" s="27"/>
      <c r="J125" s="27"/>
      <c r="K125" s="27"/>
      <c r="L125" s="27">
        <f t="shared" si="12"/>
        <v>0</v>
      </c>
      <c r="M125" s="27">
        <f>M124*1.0375</f>
        <v>7553.4580276782217</v>
      </c>
      <c r="N125" s="27">
        <v>7553.4580276782217</v>
      </c>
      <c r="O125" s="27"/>
      <c r="P125" s="27"/>
      <c r="Q125" s="27"/>
      <c r="R125" s="27"/>
      <c r="S125" s="27"/>
      <c r="T125" s="27"/>
      <c r="U125" s="27"/>
      <c r="V125" s="27"/>
      <c r="W125" s="27"/>
      <c r="X125" s="27"/>
      <c r="Y125" s="27"/>
      <c r="Z125" s="27"/>
      <c r="AA125" s="27"/>
      <c r="AB125" s="27"/>
      <c r="AC125" s="27"/>
      <c r="AD125" s="27"/>
      <c r="AE125" s="27"/>
      <c r="AF125" s="27"/>
      <c r="AG125" s="27"/>
      <c r="AH125" s="27"/>
      <c r="AI125" s="27"/>
      <c r="AJ125" s="27"/>
      <c r="AK125" s="27"/>
      <c r="AL125" s="27"/>
      <c r="AM125" s="27"/>
      <c r="AN125" s="27"/>
      <c r="AO125" s="27"/>
      <c r="AP125" s="27"/>
      <c r="AQ125" s="27"/>
      <c r="AR125" s="27"/>
      <c r="AS125" s="27"/>
      <c r="AT125" s="27"/>
      <c r="AU125" s="27"/>
      <c r="AV125" s="27"/>
      <c r="AW125" s="27"/>
      <c r="AX125" s="27"/>
      <c r="AY125" s="27"/>
      <c r="AZ125" s="27"/>
      <c r="BA125" s="27"/>
      <c r="BB125" s="27"/>
      <c r="BC125" s="27"/>
      <c r="BD125" s="27"/>
      <c r="BE125" s="27"/>
      <c r="BF125" s="27"/>
      <c r="BG125" s="27"/>
      <c r="BH125" s="27"/>
      <c r="BI125" s="27"/>
      <c r="BJ125" s="27"/>
      <c r="BK125" s="27"/>
      <c r="BL125" s="27"/>
      <c r="BM125" s="27"/>
      <c r="BN125" s="27"/>
      <c r="BO125" s="27"/>
      <c r="BP125" s="27"/>
      <c r="BQ125" s="27"/>
      <c r="BR125" s="27"/>
      <c r="BS125" s="27"/>
      <c r="BT125" s="27"/>
      <c r="BU125" s="27"/>
      <c r="BV125" s="27"/>
      <c r="BW125" s="27"/>
      <c r="BX125" s="27"/>
      <c r="BY125" s="27"/>
      <c r="BZ125" s="27"/>
      <c r="CA125" s="27"/>
      <c r="CB125" s="27"/>
      <c r="CC125" s="27"/>
      <c r="CD125" s="27"/>
      <c r="CE125" s="27"/>
      <c r="CF125" s="27"/>
      <c r="CG125" s="27"/>
      <c r="CH125" s="27"/>
      <c r="CI125" s="27"/>
      <c r="CJ125" s="27"/>
      <c r="CK125" s="27"/>
      <c r="CL125" s="27"/>
      <c r="CM125" s="27"/>
      <c r="CN125" s="27"/>
      <c r="CO125" s="27"/>
      <c r="CP125" s="27"/>
      <c r="CQ125" s="27"/>
      <c r="CR125" s="27"/>
      <c r="CS125" s="27"/>
      <c r="CT125" s="27"/>
      <c r="CU125" s="27"/>
      <c r="CV125" s="27"/>
      <c r="CW125" s="27"/>
      <c r="CX125" s="27"/>
      <c r="CY125" s="27"/>
      <c r="CZ125" s="27"/>
      <c r="DA125" s="27"/>
      <c r="DB125" s="27"/>
      <c r="DC125" s="27"/>
      <c r="DD125" s="27"/>
      <c r="DE125" s="27"/>
      <c r="DF125" s="27"/>
      <c r="DG125" s="27"/>
      <c r="DH125" s="27"/>
      <c r="DI125" s="27"/>
      <c r="DJ125" s="27"/>
      <c r="DK125" s="27"/>
      <c r="DL125" s="27"/>
      <c r="DM125" s="27"/>
      <c r="DN125" s="27"/>
      <c r="DO125" s="27"/>
      <c r="DP125" s="27"/>
      <c r="DQ125" s="27"/>
      <c r="DR125" s="27"/>
      <c r="DS125" s="27"/>
      <c r="DT125" s="27"/>
    </row>
    <row r="126" spans="2:124" ht="15" customHeight="1" x14ac:dyDescent="0.2">
      <c r="B126" s="27"/>
      <c r="C126" s="27"/>
      <c r="D126" s="27"/>
      <c r="E126" s="27"/>
      <c r="F126" s="27"/>
      <c r="G126" s="27"/>
      <c r="H126" s="27">
        <f t="shared" ref="H126:H132" si="13">I126*1.05</f>
        <v>0</v>
      </c>
      <c r="I126" s="27"/>
      <c r="J126" s="27"/>
      <c r="K126" s="27"/>
      <c r="L126" s="27">
        <f t="shared" si="12"/>
        <v>0</v>
      </c>
      <c r="M126" s="27">
        <f>IF(OR($C$5=$CB$16,$C$5=$CC$16),N126*1.05,N126)</f>
        <v>7826.4745828955056</v>
      </c>
      <c r="N126" s="27">
        <v>7826.4745828955056</v>
      </c>
      <c r="O126" s="27"/>
      <c r="P126" s="27"/>
      <c r="Q126" s="27"/>
      <c r="R126" s="27"/>
      <c r="S126" s="27"/>
      <c r="T126" s="27"/>
      <c r="U126" s="27"/>
      <c r="V126" s="27"/>
      <c r="W126" s="27"/>
      <c r="X126" s="27"/>
      <c r="Y126" s="27"/>
      <c r="Z126" s="27"/>
      <c r="AA126" s="27"/>
      <c r="AB126" s="27"/>
      <c r="AC126" s="27"/>
      <c r="AD126" s="27"/>
      <c r="AE126" s="27"/>
      <c r="AF126" s="27"/>
      <c r="AG126" s="27"/>
      <c r="AH126" s="27"/>
      <c r="AI126" s="27"/>
      <c r="AJ126" s="27"/>
      <c r="AK126" s="27"/>
      <c r="AL126" s="27"/>
      <c r="AM126" s="27"/>
      <c r="AN126" s="27"/>
      <c r="AO126" s="27"/>
      <c r="AP126" s="27"/>
      <c r="AQ126" s="27"/>
      <c r="AR126" s="27"/>
      <c r="AS126" s="27"/>
      <c r="AT126" s="27"/>
      <c r="AU126" s="27"/>
      <c r="AV126" s="27"/>
      <c r="AW126" s="27"/>
      <c r="AX126" s="27"/>
      <c r="AY126" s="27"/>
      <c r="AZ126" s="27"/>
      <c r="BA126" s="27"/>
      <c r="BB126" s="27"/>
      <c r="BC126" s="27"/>
      <c r="BD126" s="27"/>
      <c r="BE126" s="27"/>
      <c r="BF126" s="27"/>
      <c r="BG126" s="27"/>
      <c r="BH126" s="27"/>
      <c r="BI126" s="27"/>
      <c r="BJ126" s="27"/>
      <c r="BK126" s="27"/>
      <c r="BL126" s="27"/>
      <c r="BM126" s="27"/>
      <c r="BN126" s="27"/>
      <c r="BO126" s="27"/>
      <c r="BP126" s="27"/>
      <c r="BQ126" s="27"/>
      <c r="BR126" s="27"/>
      <c r="BS126" s="27"/>
      <c r="BT126" s="27"/>
      <c r="BU126" s="27"/>
      <c r="BV126" s="27"/>
      <c r="BW126" s="27"/>
      <c r="BX126" s="27"/>
      <c r="BY126" s="27"/>
      <c r="BZ126" s="27"/>
      <c r="CA126" s="27"/>
      <c r="CB126" s="27"/>
      <c r="CC126" s="27"/>
      <c r="CD126" s="27"/>
      <c r="CE126" s="27"/>
      <c r="CF126" s="27"/>
      <c r="CG126" s="27"/>
      <c r="CH126" s="27"/>
      <c r="CI126" s="27"/>
      <c r="CJ126" s="27"/>
      <c r="CK126" s="27"/>
      <c r="CL126" s="27"/>
      <c r="CM126" s="27"/>
      <c r="CN126" s="27"/>
      <c r="CO126" s="27"/>
      <c r="CP126" s="27"/>
      <c r="CQ126" s="27"/>
      <c r="CR126" s="27"/>
      <c r="CS126" s="27"/>
      <c r="CT126" s="27"/>
      <c r="CU126" s="27"/>
      <c r="CV126" s="27"/>
      <c r="CW126" s="27"/>
      <c r="CX126" s="27"/>
      <c r="CY126" s="27"/>
      <c r="CZ126" s="27"/>
      <c r="DA126" s="27"/>
      <c r="DB126" s="27"/>
      <c r="DC126" s="27"/>
      <c r="DD126" s="27"/>
      <c r="DE126" s="27"/>
      <c r="DF126" s="27"/>
      <c r="DG126" s="27"/>
      <c r="DH126" s="27"/>
      <c r="DI126" s="27"/>
      <c r="DJ126" s="27"/>
      <c r="DK126" s="27"/>
      <c r="DL126" s="27"/>
      <c r="DM126" s="27"/>
      <c r="DN126" s="27"/>
      <c r="DO126" s="27"/>
      <c r="DP126" s="27"/>
      <c r="DQ126" s="27"/>
      <c r="DR126" s="27"/>
      <c r="DS126" s="27"/>
      <c r="DT126" s="27"/>
    </row>
    <row r="127" spans="2:124" ht="15.75" customHeight="1" x14ac:dyDescent="0.2">
      <c r="B127" s="27"/>
      <c r="C127" s="27"/>
      <c r="D127" s="27"/>
      <c r="E127" s="27"/>
      <c r="F127" s="27"/>
      <c r="G127" s="27"/>
      <c r="H127" s="27">
        <f t="shared" si="13"/>
        <v>0</v>
      </c>
      <c r="I127" s="27"/>
      <c r="J127" s="27"/>
      <c r="K127" s="27"/>
      <c r="L127" s="27">
        <f t="shared" si="12"/>
        <v>0</v>
      </c>
      <c r="M127" s="27">
        <f>M126*1.0375</f>
        <v>8119.9673797540881</v>
      </c>
      <c r="N127" s="27">
        <v>8119.9673797540881</v>
      </c>
      <c r="O127" s="27"/>
      <c r="P127" s="27"/>
      <c r="Q127" s="27"/>
      <c r="R127" s="27"/>
      <c r="S127" s="27"/>
      <c r="T127" s="27"/>
      <c r="U127" s="27"/>
      <c r="V127" s="27"/>
      <c r="W127" s="27"/>
      <c r="X127" s="27"/>
      <c r="Y127" s="27"/>
      <c r="Z127" s="27"/>
      <c r="AA127" s="27"/>
      <c r="AB127" s="27"/>
      <c r="AC127" s="27"/>
      <c r="AD127" s="27"/>
      <c r="AE127" s="27"/>
      <c r="AF127" s="27"/>
      <c r="AG127" s="27"/>
      <c r="AH127" s="27"/>
      <c r="AI127" s="27"/>
      <c r="AJ127" s="27"/>
      <c r="AK127" s="27"/>
      <c r="AL127" s="27"/>
      <c r="AM127" s="27"/>
      <c r="AN127" s="27"/>
      <c r="AO127" s="27"/>
      <c r="AP127" s="27"/>
      <c r="AQ127" s="27"/>
      <c r="AR127" s="27"/>
      <c r="AS127" s="27"/>
      <c r="AT127" s="27"/>
      <c r="AU127" s="27"/>
      <c r="AV127" s="27"/>
      <c r="AW127" s="27"/>
      <c r="AX127" s="27"/>
      <c r="AY127" s="27"/>
      <c r="AZ127" s="27"/>
      <c r="BA127" s="27"/>
      <c r="BB127" s="27"/>
      <c r="BC127" s="27"/>
      <c r="BD127" s="27"/>
      <c r="BE127" s="27"/>
      <c r="BF127" s="27"/>
      <c r="BG127" s="27"/>
      <c r="BH127" s="27"/>
      <c r="BI127" s="27"/>
      <c r="BJ127" s="27"/>
      <c r="BK127" s="27"/>
      <c r="BL127" s="27"/>
      <c r="BM127" s="27"/>
      <c r="BN127" s="27"/>
      <c r="BO127" s="27"/>
      <c r="BP127" s="27"/>
      <c r="BQ127" s="27"/>
      <c r="BR127" s="27"/>
      <c r="BS127" s="27"/>
      <c r="BT127" s="27"/>
      <c r="BU127" s="27"/>
      <c r="BV127" s="27"/>
      <c r="BW127" s="27"/>
      <c r="BX127" s="27"/>
      <c r="BY127" s="27"/>
      <c r="BZ127" s="27"/>
      <c r="CA127" s="27"/>
      <c r="CB127" s="27"/>
      <c r="CC127" s="27"/>
      <c r="CD127" s="27"/>
      <c r="CE127" s="27"/>
      <c r="CF127" s="27"/>
      <c r="CG127" s="27"/>
      <c r="CH127" s="27"/>
      <c r="CI127" s="27"/>
      <c r="CJ127" s="27"/>
      <c r="CK127" s="27"/>
      <c r="CL127" s="27"/>
      <c r="CM127" s="27"/>
      <c r="CN127" s="27"/>
      <c r="CO127" s="27"/>
      <c r="CP127" s="27"/>
      <c r="CQ127" s="27"/>
      <c r="CR127" s="27"/>
      <c r="CS127" s="27"/>
      <c r="CT127" s="27"/>
      <c r="CU127" s="27"/>
      <c r="CV127" s="27"/>
      <c r="CW127" s="27"/>
      <c r="CX127" s="27"/>
      <c r="CY127" s="27"/>
      <c r="CZ127" s="27"/>
      <c r="DA127" s="27"/>
      <c r="DB127" s="27"/>
      <c r="DC127" s="27"/>
      <c r="DD127" s="27"/>
      <c r="DE127" s="27"/>
      <c r="DF127" s="27"/>
      <c r="DG127" s="27"/>
      <c r="DH127" s="27"/>
      <c r="DI127" s="27"/>
      <c r="DJ127" s="27"/>
      <c r="DK127" s="27"/>
      <c r="DL127" s="27"/>
      <c r="DM127" s="27"/>
      <c r="DN127" s="27"/>
      <c r="DO127" s="27"/>
      <c r="DP127" s="27"/>
      <c r="DQ127" s="27"/>
      <c r="DR127" s="27"/>
      <c r="DS127" s="27"/>
      <c r="DT127" s="27"/>
    </row>
    <row r="128" spans="2:124" ht="12" customHeight="1" x14ac:dyDescent="0.2">
      <c r="B128" s="27"/>
      <c r="C128" s="27"/>
      <c r="D128" s="27"/>
      <c r="E128" s="27"/>
      <c r="F128" s="27"/>
      <c r="G128" s="27"/>
      <c r="H128" s="27">
        <f t="shared" si="13"/>
        <v>0</v>
      </c>
      <c r="I128" s="27"/>
      <c r="J128" s="27"/>
      <c r="K128" s="27"/>
      <c r="L128" s="27">
        <f t="shared" si="12"/>
        <v>0</v>
      </c>
      <c r="M128" s="27">
        <f>IF(OR($C$5=$CB$16,$C$5=$CC$16),N128*1.05,N128)</f>
        <v>8413.4601766126689</v>
      </c>
      <c r="N128" s="27">
        <v>8413.4601766126689</v>
      </c>
      <c r="O128" s="27"/>
      <c r="P128" s="27"/>
      <c r="Q128" s="27"/>
      <c r="R128" s="27"/>
      <c r="S128" s="27"/>
      <c r="T128" s="27"/>
      <c r="U128" s="27"/>
      <c r="V128" s="27"/>
      <c r="W128" s="27"/>
      <c r="X128" s="27"/>
      <c r="Y128" s="27"/>
      <c r="Z128" s="27"/>
      <c r="AA128" s="27"/>
      <c r="AB128" s="27"/>
      <c r="AC128" s="27"/>
      <c r="AD128" s="27"/>
      <c r="AE128" s="27"/>
      <c r="AF128" s="27"/>
      <c r="AG128" s="27"/>
      <c r="AH128" s="27"/>
      <c r="AI128" s="27"/>
      <c r="AJ128" s="27"/>
      <c r="AK128" s="27"/>
      <c r="AL128" s="27"/>
      <c r="AM128" s="27"/>
      <c r="AN128" s="27"/>
      <c r="AO128" s="27"/>
      <c r="AP128" s="27"/>
      <c r="AQ128" s="27"/>
      <c r="AR128" s="27"/>
      <c r="AS128" s="27"/>
      <c r="AT128" s="27"/>
      <c r="AU128" s="27"/>
      <c r="AV128" s="27"/>
      <c r="AW128" s="27"/>
      <c r="AX128" s="27"/>
      <c r="AY128" s="27"/>
      <c r="AZ128" s="27"/>
      <c r="BA128" s="27"/>
      <c r="BB128" s="27"/>
      <c r="BC128" s="27"/>
      <c r="BD128" s="27"/>
      <c r="BE128" s="27"/>
      <c r="BF128" s="27"/>
      <c r="BG128" s="27"/>
      <c r="BH128" s="27"/>
      <c r="BI128" s="27"/>
      <c r="BJ128" s="27"/>
      <c r="BK128" s="27"/>
      <c r="BL128" s="27"/>
      <c r="BM128" s="27"/>
      <c r="BN128" s="27"/>
      <c r="BO128" s="27"/>
      <c r="BP128" s="27"/>
      <c r="BQ128" s="27"/>
      <c r="BR128" s="27"/>
      <c r="BS128" s="27"/>
      <c r="BT128" s="27"/>
      <c r="BU128" s="27"/>
      <c r="BV128" s="27"/>
      <c r="BW128" s="27"/>
      <c r="BX128" s="27"/>
      <c r="BY128" s="27"/>
      <c r="BZ128" s="27"/>
      <c r="CA128" s="27"/>
      <c r="CB128" s="27"/>
      <c r="CC128" s="27"/>
      <c r="CD128" s="27"/>
      <c r="CE128" s="27"/>
      <c r="CF128" s="27"/>
      <c r="CG128" s="27"/>
      <c r="CH128" s="27"/>
      <c r="CI128" s="27"/>
      <c r="CJ128" s="27"/>
      <c r="CK128" s="27"/>
      <c r="CL128" s="27"/>
      <c r="CM128" s="27"/>
      <c r="CN128" s="27"/>
      <c r="CO128" s="27"/>
      <c r="CP128" s="27"/>
      <c r="CQ128" s="27"/>
      <c r="CR128" s="27"/>
      <c r="CS128" s="27"/>
      <c r="CT128" s="27"/>
      <c r="CU128" s="27"/>
      <c r="CV128" s="27"/>
      <c r="CW128" s="27"/>
      <c r="CX128" s="27"/>
      <c r="CY128" s="27"/>
      <c r="CZ128" s="27"/>
      <c r="DA128" s="27"/>
      <c r="DB128" s="27"/>
      <c r="DC128" s="27"/>
      <c r="DD128" s="27"/>
      <c r="DE128" s="27"/>
      <c r="DF128" s="27"/>
      <c r="DG128" s="27"/>
      <c r="DH128" s="27"/>
      <c r="DI128" s="27"/>
      <c r="DJ128" s="27"/>
      <c r="DK128" s="27"/>
      <c r="DL128" s="27"/>
      <c r="DM128" s="27"/>
      <c r="DN128" s="27"/>
      <c r="DO128" s="27"/>
      <c r="DP128" s="27"/>
      <c r="DQ128" s="27"/>
      <c r="DR128" s="27"/>
      <c r="DS128" s="27"/>
      <c r="DT128" s="27"/>
    </row>
    <row r="129" spans="2:124" ht="12" customHeight="1" x14ac:dyDescent="0.2">
      <c r="B129" s="27"/>
      <c r="C129" s="27"/>
      <c r="D129" s="27"/>
      <c r="E129" s="27"/>
      <c r="F129" s="27"/>
      <c r="G129" s="27"/>
      <c r="H129" s="27">
        <f t="shared" si="13"/>
        <v>0</v>
      </c>
      <c r="I129" s="27"/>
      <c r="J129" s="27"/>
      <c r="K129" s="27"/>
      <c r="L129" s="27">
        <f t="shared" si="12"/>
        <v>0</v>
      </c>
      <c r="M129" s="27">
        <f>M128*1.0375</f>
        <v>8728.9649332356439</v>
      </c>
      <c r="N129" s="27">
        <v>8728.9649332356439</v>
      </c>
      <c r="O129" s="27"/>
      <c r="P129" s="27"/>
      <c r="Q129" s="27"/>
      <c r="R129" s="27"/>
      <c r="S129" s="27"/>
      <c r="T129" s="27"/>
      <c r="U129" s="27"/>
      <c r="V129" s="27"/>
      <c r="W129" s="27"/>
      <c r="X129" s="27"/>
      <c r="Y129" s="27"/>
      <c r="Z129" s="27"/>
      <c r="AA129" s="27"/>
      <c r="AB129" s="27"/>
      <c r="AC129" s="27"/>
      <c r="AD129" s="27"/>
      <c r="AE129" s="27"/>
      <c r="AF129" s="27"/>
      <c r="AG129" s="27"/>
      <c r="AH129" s="27"/>
      <c r="AI129" s="27"/>
      <c r="AJ129" s="27"/>
      <c r="AK129" s="27"/>
      <c r="AL129" s="27"/>
      <c r="AM129" s="27"/>
      <c r="AN129" s="27"/>
      <c r="AO129" s="27"/>
      <c r="AP129" s="27"/>
      <c r="AQ129" s="27"/>
      <c r="AR129" s="27"/>
      <c r="AS129" s="27"/>
      <c r="AT129" s="27"/>
      <c r="AU129" s="27"/>
      <c r="AV129" s="27"/>
      <c r="AW129" s="27"/>
      <c r="AX129" s="27"/>
      <c r="AY129" s="27"/>
      <c r="AZ129" s="27"/>
      <c r="BA129" s="27"/>
      <c r="BB129" s="27"/>
      <c r="BC129" s="27"/>
      <c r="BD129" s="27"/>
      <c r="BE129" s="27"/>
      <c r="BF129" s="27"/>
      <c r="BG129" s="27"/>
      <c r="BH129" s="27"/>
      <c r="BI129" s="27"/>
      <c r="BJ129" s="27"/>
      <c r="BK129" s="27"/>
      <c r="BL129" s="27"/>
      <c r="BM129" s="27"/>
      <c r="BN129" s="27"/>
      <c r="BO129" s="27"/>
      <c r="BP129" s="27"/>
      <c r="BQ129" s="27"/>
      <c r="BR129" s="27"/>
      <c r="BS129" s="27"/>
      <c r="BT129" s="27"/>
      <c r="BU129" s="27"/>
      <c r="BV129" s="27"/>
      <c r="BW129" s="27"/>
      <c r="BX129" s="27"/>
      <c r="BY129" s="27"/>
      <c r="BZ129" s="27"/>
      <c r="CA129" s="27"/>
      <c r="CB129" s="27"/>
      <c r="CC129" s="27"/>
      <c r="CD129" s="27"/>
      <c r="CE129" s="27"/>
      <c r="CF129" s="27"/>
      <c r="CG129" s="27"/>
      <c r="CH129" s="27"/>
      <c r="CI129" s="27"/>
      <c r="CJ129" s="27"/>
      <c r="CK129" s="27"/>
      <c r="CL129" s="27"/>
      <c r="CM129" s="27"/>
      <c r="CN129" s="27"/>
      <c r="CO129" s="27"/>
      <c r="CP129" s="27"/>
      <c r="CQ129" s="27"/>
      <c r="CR129" s="27"/>
      <c r="CS129" s="27"/>
      <c r="CT129" s="27"/>
      <c r="CU129" s="27"/>
      <c r="CV129" s="27"/>
      <c r="CW129" s="27"/>
      <c r="CX129" s="27"/>
      <c r="CY129" s="27"/>
      <c r="CZ129" s="27"/>
      <c r="DA129" s="27"/>
      <c r="DB129" s="27"/>
      <c r="DC129" s="27"/>
      <c r="DD129" s="27"/>
      <c r="DE129" s="27"/>
      <c r="DF129" s="27"/>
      <c r="DG129" s="27"/>
      <c r="DH129" s="27"/>
      <c r="DI129" s="27"/>
      <c r="DJ129" s="27"/>
      <c r="DK129" s="27"/>
      <c r="DL129" s="27"/>
      <c r="DM129" s="27"/>
      <c r="DN129" s="27"/>
      <c r="DO129" s="27"/>
      <c r="DP129" s="27"/>
      <c r="DQ129" s="27"/>
      <c r="DR129" s="27"/>
      <c r="DS129" s="27"/>
      <c r="DT129" s="27"/>
    </row>
    <row r="130" spans="2:124" ht="12" customHeight="1" x14ac:dyDescent="0.2">
      <c r="B130" s="27"/>
      <c r="C130" s="27"/>
      <c r="D130" s="27"/>
      <c r="E130" s="27"/>
      <c r="F130" s="27"/>
      <c r="G130" s="27"/>
      <c r="H130" s="27">
        <f t="shared" si="13"/>
        <v>0</v>
      </c>
      <c r="I130" s="27"/>
      <c r="J130" s="27"/>
      <c r="K130" s="27"/>
      <c r="L130" s="27">
        <f t="shared" si="12"/>
        <v>0</v>
      </c>
      <c r="M130" s="27">
        <f>IF(OR($C$5=$CB$16,$C$5=$CC$16),N130*1.05,N130)</f>
        <v>9044.4696898586189</v>
      </c>
      <c r="N130" s="27">
        <v>9044.4696898586189</v>
      </c>
      <c r="O130" s="27"/>
      <c r="P130" s="27"/>
      <c r="Q130" s="27"/>
      <c r="R130" s="27"/>
      <c r="S130" s="27"/>
      <c r="T130" s="27"/>
      <c r="U130" s="27"/>
      <c r="V130" s="27"/>
      <c r="W130" s="27"/>
      <c r="X130" s="27"/>
      <c r="Y130" s="27"/>
      <c r="Z130" s="27"/>
      <c r="AA130" s="27"/>
      <c r="AB130" s="27"/>
      <c r="AC130" s="27"/>
      <c r="AD130" s="27"/>
      <c r="AE130" s="27"/>
      <c r="AF130" s="27"/>
      <c r="AG130" s="27"/>
      <c r="AH130" s="27"/>
      <c r="AI130" s="27"/>
      <c r="AJ130" s="27"/>
      <c r="AK130" s="27"/>
      <c r="AL130" s="27"/>
      <c r="AM130" s="27"/>
      <c r="AN130" s="27"/>
      <c r="AO130" s="27"/>
      <c r="AP130" s="27"/>
      <c r="AQ130" s="27"/>
      <c r="AR130" s="27"/>
      <c r="AS130" s="27"/>
      <c r="AT130" s="27"/>
      <c r="AU130" s="27"/>
      <c r="AV130" s="27"/>
      <c r="AW130" s="27"/>
      <c r="AX130" s="27"/>
      <c r="AY130" s="27"/>
      <c r="AZ130" s="27"/>
      <c r="BA130" s="27"/>
      <c r="BB130" s="27"/>
      <c r="BC130" s="27"/>
      <c r="BD130" s="27"/>
      <c r="BE130" s="27"/>
      <c r="BF130" s="27"/>
      <c r="BG130" s="27"/>
      <c r="BH130" s="27"/>
      <c r="BI130" s="27"/>
      <c r="BJ130" s="27"/>
      <c r="BK130" s="27"/>
      <c r="BL130" s="27"/>
      <c r="BM130" s="27"/>
      <c r="BN130" s="27"/>
      <c r="BO130" s="27"/>
      <c r="BP130" s="27"/>
      <c r="BQ130" s="27"/>
      <c r="BR130" s="27"/>
      <c r="BS130" s="27"/>
      <c r="BT130" s="27"/>
      <c r="BU130" s="27"/>
      <c r="BV130" s="27"/>
      <c r="BW130" s="27"/>
      <c r="BX130" s="27"/>
      <c r="BY130" s="27"/>
      <c r="BZ130" s="27"/>
      <c r="CA130" s="27"/>
      <c r="CB130" s="27"/>
      <c r="CC130" s="27"/>
      <c r="CD130" s="27"/>
      <c r="CE130" s="27"/>
      <c r="CF130" s="27"/>
      <c r="CG130" s="27"/>
      <c r="CH130" s="27"/>
      <c r="CI130" s="27"/>
      <c r="CJ130" s="27"/>
      <c r="CK130" s="27"/>
      <c r="CL130" s="27"/>
      <c r="CM130" s="27"/>
      <c r="CN130" s="27"/>
      <c r="CO130" s="27"/>
      <c r="CP130" s="27"/>
      <c r="CQ130" s="27"/>
      <c r="CR130" s="27"/>
      <c r="CS130" s="27"/>
      <c r="CT130" s="27"/>
      <c r="CU130" s="27"/>
      <c r="CV130" s="27"/>
      <c r="CW130" s="27"/>
      <c r="CX130" s="27"/>
      <c r="CY130" s="27"/>
      <c r="CZ130" s="27"/>
      <c r="DA130" s="27"/>
      <c r="DB130" s="27"/>
      <c r="DC130" s="27"/>
      <c r="DD130" s="27"/>
      <c r="DE130" s="27"/>
      <c r="DF130" s="27"/>
      <c r="DG130" s="27"/>
      <c r="DH130" s="27"/>
      <c r="DI130" s="27"/>
      <c r="DJ130" s="27"/>
      <c r="DK130" s="27"/>
      <c r="DL130" s="27"/>
      <c r="DM130" s="27"/>
      <c r="DN130" s="27"/>
      <c r="DO130" s="27"/>
      <c r="DP130" s="27"/>
      <c r="DQ130" s="27"/>
      <c r="DR130" s="27"/>
      <c r="DS130" s="27"/>
      <c r="DT130" s="27"/>
    </row>
    <row r="131" spans="2:124" ht="12" customHeight="1" x14ac:dyDescent="0.2">
      <c r="B131" s="27"/>
      <c r="C131" s="27"/>
      <c r="D131" s="27"/>
      <c r="E131" s="27"/>
      <c r="F131" s="27"/>
      <c r="G131" s="27"/>
      <c r="H131" s="27">
        <f t="shared" si="13"/>
        <v>0</v>
      </c>
      <c r="I131" s="27"/>
      <c r="J131" s="27"/>
      <c r="K131" s="27"/>
      <c r="L131" s="27">
        <f t="shared" si="12"/>
        <v>0</v>
      </c>
      <c r="M131" s="27">
        <f>M130*1.0375</f>
        <v>9383.6373032283173</v>
      </c>
      <c r="N131" s="27">
        <v>9428.8596516776106</v>
      </c>
      <c r="O131" s="27"/>
      <c r="P131" s="27"/>
      <c r="Q131" s="27"/>
      <c r="R131" s="27"/>
      <c r="S131" s="27"/>
      <c r="T131" s="27"/>
      <c r="U131" s="27"/>
      <c r="V131" s="27"/>
      <c r="W131" s="27"/>
      <c r="X131" s="27"/>
      <c r="Y131" s="27"/>
      <c r="Z131" s="27"/>
      <c r="AA131" s="27"/>
      <c r="AB131" s="27"/>
      <c r="AC131" s="27"/>
      <c r="AD131" s="27"/>
      <c r="AE131" s="27"/>
      <c r="AF131" s="27"/>
      <c r="AG131" s="27"/>
      <c r="AH131" s="27"/>
      <c r="AI131" s="27"/>
      <c r="AJ131" s="27"/>
      <c r="AK131" s="27"/>
      <c r="AL131" s="27"/>
      <c r="AM131" s="27"/>
      <c r="AN131" s="27"/>
      <c r="AO131" s="27"/>
      <c r="AP131" s="27"/>
      <c r="AQ131" s="27"/>
      <c r="AR131" s="27"/>
      <c r="AS131" s="27"/>
      <c r="AT131" s="27"/>
      <c r="AU131" s="27"/>
      <c r="AV131" s="27"/>
      <c r="AW131" s="27"/>
      <c r="AX131" s="27"/>
      <c r="AY131" s="27"/>
      <c r="AZ131" s="27"/>
      <c r="BA131" s="27"/>
      <c r="BB131" s="27"/>
      <c r="BC131" s="27"/>
      <c r="BD131" s="27"/>
      <c r="BE131" s="27"/>
      <c r="BF131" s="27"/>
      <c r="BG131" s="27"/>
      <c r="BH131" s="27"/>
      <c r="BI131" s="27"/>
      <c r="BJ131" s="27"/>
      <c r="BK131" s="27"/>
      <c r="BL131" s="27"/>
      <c r="BM131" s="27"/>
      <c r="BN131" s="27"/>
      <c r="BO131" s="27"/>
      <c r="BP131" s="27"/>
      <c r="BQ131" s="27"/>
      <c r="BR131" s="27"/>
      <c r="BS131" s="27"/>
      <c r="BT131" s="27"/>
      <c r="BU131" s="27"/>
      <c r="BV131" s="27"/>
      <c r="BW131" s="27"/>
      <c r="BX131" s="27"/>
      <c r="BY131" s="27"/>
      <c r="BZ131" s="27"/>
      <c r="CA131" s="27"/>
      <c r="CB131" s="27"/>
      <c r="CC131" s="27"/>
      <c r="CD131" s="27"/>
      <c r="CE131" s="27"/>
      <c r="CF131" s="27"/>
      <c r="CG131" s="27"/>
      <c r="CH131" s="27"/>
      <c r="CI131" s="27"/>
      <c r="CJ131" s="27"/>
      <c r="CK131" s="27"/>
      <c r="CL131" s="27"/>
      <c r="CM131" s="27"/>
      <c r="CN131" s="27"/>
      <c r="CO131" s="27"/>
      <c r="CP131" s="27"/>
      <c r="CQ131" s="27"/>
      <c r="CR131" s="27"/>
      <c r="CS131" s="27"/>
      <c r="CT131" s="27"/>
      <c r="CU131" s="27"/>
      <c r="CV131" s="27"/>
      <c r="CW131" s="27"/>
      <c r="CX131" s="27"/>
      <c r="CY131" s="27"/>
      <c r="CZ131" s="27"/>
      <c r="DA131" s="27"/>
      <c r="DB131" s="27"/>
      <c r="DC131" s="27"/>
      <c r="DD131" s="27"/>
      <c r="DE131" s="27"/>
      <c r="DF131" s="27"/>
      <c r="DG131" s="27"/>
      <c r="DH131" s="27"/>
      <c r="DI131" s="27"/>
      <c r="DJ131" s="27"/>
      <c r="DK131" s="27"/>
      <c r="DL131" s="27"/>
      <c r="DM131" s="27"/>
      <c r="DN131" s="27"/>
      <c r="DO131" s="27"/>
      <c r="DP131" s="27"/>
      <c r="DQ131" s="27"/>
      <c r="DR131" s="27"/>
      <c r="DS131" s="27"/>
      <c r="DT131" s="27"/>
    </row>
    <row r="132" spans="2:124" ht="12" customHeight="1" x14ac:dyDescent="0.2">
      <c r="B132" s="27"/>
      <c r="C132" s="27"/>
      <c r="D132" s="27"/>
      <c r="E132" s="27"/>
      <c r="F132" s="27"/>
      <c r="G132" s="27"/>
      <c r="H132" s="27">
        <f t="shared" si="13"/>
        <v>0</v>
      </c>
      <c r="I132" s="27"/>
      <c r="J132" s="27"/>
      <c r="K132" s="27"/>
      <c r="L132" s="27">
        <f t="shared" si="12"/>
        <v>0</v>
      </c>
      <c r="M132" s="27">
        <f>IF(OR($C$5=$CB$16,$C$5=$CC$16),N132*1.05,N132)</f>
        <v>9813.2496134966004</v>
      </c>
      <c r="N132" s="27">
        <v>9813.2496134966004</v>
      </c>
      <c r="O132" s="27"/>
      <c r="P132" s="27"/>
      <c r="Q132" s="27"/>
      <c r="R132" s="27"/>
      <c r="S132" s="27"/>
      <c r="T132" s="27"/>
      <c r="U132" s="27"/>
      <c r="V132" s="27"/>
      <c r="W132" s="27"/>
      <c r="X132" s="27"/>
      <c r="Y132" s="27"/>
      <c r="Z132" s="27"/>
      <c r="AA132" s="27"/>
      <c r="AB132" s="27"/>
      <c r="AC132" s="27"/>
      <c r="AD132" s="27"/>
      <c r="AE132" s="27"/>
      <c r="AF132" s="27"/>
      <c r="AG132" s="27"/>
      <c r="AH132" s="27"/>
      <c r="AI132" s="27"/>
      <c r="AJ132" s="27"/>
      <c r="AK132" s="27"/>
      <c r="AL132" s="27"/>
      <c r="AM132" s="27"/>
      <c r="AN132" s="27"/>
      <c r="AO132" s="27"/>
      <c r="AP132" s="27"/>
      <c r="AQ132" s="27"/>
      <c r="AR132" s="27"/>
      <c r="AS132" s="27"/>
      <c r="AT132" s="27"/>
      <c r="AU132" s="27"/>
      <c r="AV132" s="27"/>
      <c r="AW132" s="27"/>
      <c r="AX132" s="27"/>
      <c r="AY132" s="27"/>
      <c r="AZ132" s="27"/>
      <c r="BA132" s="27"/>
      <c r="BB132" s="27"/>
      <c r="BC132" s="27"/>
      <c r="BD132" s="27"/>
      <c r="BE132" s="27"/>
      <c r="BF132" s="27"/>
      <c r="BG132" s="27"/>
      <c r="BH132" s="27"/>
      <c r="BI132" s="27"/>
      <c r="BJ132" s="27"/>
      <c r="BK132" s="27"/>
      <c r="BL132" s="27"/>
      <c r="BM132" s="27"/>
      <c r="BN132" s="27"/>
      <c r="BO132" s="27"/>
      <c r="BP132" s="27"/>
      <c r="BQ132" s="27"/>
      <c r="BR132" s="27"/>
      <c r="BS132" s="27"/>
      <c r="BT132" s="27"/>
      <c r="BU132" s="27"/>
      <c r="BV132" s="27"/>
      <c r="BW132" s="27"/>
      <c r="BX132" s="27"/>
      <c r="BY132" s="27"/>
      <c r="BZ132" s="27"/>
      <c r="CA132" s="27"/>
      <c r="CB132" s="27"/>
      <c r="CC132" s="27"/>
      <c r="CD132" s="27"/>
      <c r="CE132" s="27"/>
      <c r="CF132" s="27"/>
      <c r="CG132" s="27"/>
      <c r="CH132" s="27"/>
      <c r="CI132" s="27"/>
      <c r="CJ132" s="27"/>
      <c r="CK132" s="27"/>
      <c r="CL132" s="27"/>
      <c r="CM132" s="27"/>
      <c r="CN132" s="27"/>
      <c r="CO132" s="27"/>
      <c r="CP132" s="27"/>
      <c r="CQ132" s="27"/>
      <c r="CR132" s="27"/>
      <c r="CS132" s="27"/>
      <c r="CT132" s="27"/>
      <c r="CU132" s="27"/>
      <c r="CV132" s="27"/>
      <c r="CW132" s="27"/>
      <c r="CX132" s="27"/>
      <c r="CY132" s="27"/>
      <c r="CZ132" s="27"/>
      <c r="DA132" s="27"/>
      <c r="DB132" s="27"/>
      <c r="DC132" s="27"/>
      <c r="DD132" s="27"/>
      <c r="DE132" s="27"/>
      <c r="DF132" s="27"/>
      <c r="DG132" s="27"/>
      <c r="DH132" s="27"/>
      <c r="DI132" s="27"/>
      <c r="DJ132" s="27"/>
      <c r="DK132" s="27"/>
      <c r="DL132" s="27"/>
      <c r="DM132" s="27"/>
      <c r="DN132" s="27"/>
      <c r="DO132" s="27"/>
      <c r="DP132" s="27"/>
      <c r="DQ132" s="27"/>
      <c r="DR132" s="27"/>
      <c r="DS132" s="27"/>
      <c r="DT132" s="27"/>
    </row>
    <row r="133" spans="2:124" ht="17.25" customHeight="1" x14ac:dyDescent="0.2">
      <c r="B133" s="27"/>
      <c r="C133" s="27"/>
      <c r="D133" s="27"/>
      <c r="E133" s="27"/>
      <c r="F133" s="27"/>
      <c r="G133" s="27"/>
      <c r="H133" s="27"/>
      <c r="I133" s="27"/>
      <c r="J133" s="27"/>
      <c r="K133" s="27"/>
      <c r="L133" s="27"/>
      <c r="M133" s="27">
        <f>M132*1.0375</f>
        <v>10181.246474002724</v>
      </c>
      <c r="N133" s="27">
        <v>10230.312722070206</v>
      </c>
      <c r="O133" s="27"/>
      <c r="P133" s="27"/>
      <c r="Q133" s="27"/>
      <c r="R133" s="27"/>
      <c r="S133" s="27"/>
      <c r="T133" s="27"/>
      <c r="U133" s="27"/>
      <c r="V133" s="27"/>
      <c r="W133" s="27"/>
      <c r="X133" s="27"/>
      <c r="Y133" s="27"/>
      <c r="Z133" s="27"/>
      <c r="AA133" s="27"/>
      <c r="AB133" s="27"/>
      <c r="AC133" s="27"/>
      <c r="AD133" s="27"/>
      <c r="AE133" s="27"/>
      <c r="AF133" s="27"/>
      <c r="AG133" s="27"/>
      <c r="AH133" s="27"/>
      <c r="AI133" s="27"/>
      <c r="AJ133" s="27"/>
      <c r="AK133" s="27"/>
      <c r="AL133" s="27"/>
      <c r="AM133" s="27"/>
      <c r="AN133" s="27"/>
      <c r="AO133" s="27"/>
      <c r="AP133" s="27"/>
      <c r="AQ133" s="27"/>
      <c r="AR133" s="27"/>
      <c r="AS133" s="27"/>
      <c r="AT133" s="27"/>
      <c r="AU133" s="27"/>
      <c r="AV133" s="27"/>
      <c r="AW133" s="27"/>
      <c r="AX133" s="27"/>
      <c r="AY133" s="27"/>
      <c r="AZ133" s="27"/>
      <c r="BA133" s="27"/>
      <c r="BB133" s="27"/>
      <c r="BC133" s="27"/>
      <c r="BD133" s="27"/>
      <c r="BE133" s="27"/>
      <c r="BF133" s="27"/>
      <c r="BG133" s="27"/>
      <c r="BH133" s="27"/>
      <c r="BI133" s="27"/>
      <c r="BJ133" s="27"/>
      <c r="BK133" s="27"/>
      <c r="BL133" s="27"/>
      <c r="BM133" s="27"/>
      <c r="BN133" s="27"/>
      <c r="BO133" s="27"/>
      <c r="BP133" s="27"/>
      <c r="BQ133" s="27"/>
      <c r="BR133" s="27"/>
      <c r="BS133" s="27"/>
      <c r="BT133" s="27"/>
      <c r="BU133" s="27"/>
      <c r="BV133" s="27"/>
      <c r="BW133" s="27"/>
      <c r="BX133" s="27"/>
      <c r="BY133" s="27"/>
      <c r="BZ133" s="27"/>
      <c r="CA133" s="27"/>
      <c r="CB133" s="27"/>
      <c r="CC133" s="27"/>
      <c r="CD133" s="27"/>
      <c r="CE133" s="27"/>
      <c r="CF133" s="27"/>
      <c r="CG133" s="27"/>
      <c r="CH133" s="27"/>
      <c r="CI133" s="27"/>
      <c r="CJ133" s="27"/>
      <c r="CK133" s="27"/>
      <c r="CL133" s="27"/>
      <c r="CM133" s="27"/>
      <c r="CN133" s="27"/>
      <c r="CO133" s="27"/>
      <c r="CP133" s="27"/>
      <c r="CQ133" s="27"/>
      <c r="CR133" s="27"/>
      <c r="CS133" s="27"/>
      <c r="CT133" s="27"/>
      <c r="CU133" s="27"/>
      <c r="CV133" s="27"/>
      <c r="CW133" s="27"/>
      <c r="CX133" s="27"/>
      <c r="CY133" s="27"/>
      <c r="CZ133" s="27"/>
      <c r="DA133" s="27"/>
      <c r="DB133" s="27"/>
      <c r="DC133" s="27"/>
      <c r="DD133" s="27"/>
      <c r="DE133" s="27"/>
      <c r="DF133" s="27"/>
      <c r="DG133" s="27"/>
      <c r="DH133" s="27"/>
      <c r="DI133" s="27"/>
      <c r="DJ133" s="27"/>
      <c r="DK133" s="27"/>
      <c r="DL133" s="27"/>
      <c r="DM133" s="27"/>
      <c r="DN133" s="27"/>
      <c r="DO133" s="27"/>
      <c r="DP133" s="27"/>
      <c r="DQ133" s="27"/>
      <c r="DR133" s="27"/>
      <c r="DS133" s="27"/>
      <c r="DT133" s="27"/>
    </row>
    <row r="134" spans="2:124" ht="17.25" customHeight="1" x14ac:dyDescent="0.2">
      <c r="B134" s="27" t="s">
        <v>41</v>
      </c>
      <c r="C134" s="27">
        <v>35</v>
      </c>
      <c r="D134" s="27">
        <f>IFERROR(T29,0%)</f>
        <v>0</v>
      </c>
      <c r="E134" s="27" t="s">
        <v>474</v>
      </c>
      <c r="F134" s="27"/>
      <c r="G134" s="27"/>
      <c r="H134" s="27"/>
      <c r="I134" s="27"/>
      <c r="J134" s="27"/>
      <c r="K134" s="27"/>
      <c r="L134" s="27"/>
      <c r="M134" s="27">
        <f>IF(OR($C$5=$CB$16,$C$5=$CC$16),N134*1.05,N134)</f>
        <v>10647.37583064381</v>
      </c>
      <c r="N134" s="27">
        <v>10647.37583064381</v>
      </c>
      <c r="O134" s="27"/>
      <c r="P134" s="27"/>
      <c r="Q134" s="27"/>
      <c r="R134" s="27"/>
      <c r="S134" s="27"/>
      <c r="T134" s="27"/>
      <c r="U134" s="27"/>
      <c r="V134" s="27"/>
      <c r="W134" s="27"/>
      <c r="X134" s="27"/>
      <c r="Y134" s="27"/>
      <c r="Z134" s="27"/>
      <c r="AA134" s="27"/>
      <c r="AB134" s="27"/>
      <c r="AC134" s="27"/>
      <c r="AD134" s="27"/>
      <c r="AE134" s="27"/>
      <c r="AF134" s="27"/>
      <c r="AG134" s="27"/>
      <c r="AH134" s="27"/>
      <c r="AI134" s="27"/>
      <c r="AJ134" s="27"/>
      <c r="AK134" s="27"/>
      <c r="AL134" s="27"/>
      <c r="AM134" s="27"/>
      <c r="AN134" s="27"/>
      <c r="AO134" s="27"/>
      <c r="AP134" s="27"/>
      <c r="AQ134" s="27"/>
      <c r="AR134" s="27"/>
      <c r="AS134" s="27"/>
      <c r="AT134" s="27"/>
      <c r="AU134" s="27"/>
      <c r="AV134" s="27"/>
      <c r="AW134" s="27"/>
      <c r="AX134" s="27"/>
      <c r="AY134" s="27"/>
      <c r="AZ134" s="27"/>
      <c r="BA134" s="27"/>
      <c r="BB134" s="27"/>
      <c r="BC134" s="27"/>
      <c r="BD134" s="27"/>
      <c r="BE134" s="27"/>
      <c r="BF134" s="27"/>
      <c r="BG134" s="27"/>
      <c r="BH134" s="27"/>
      <c r="BI134" s="27"/>
      <c r="BJ134" s="27"/>
      <c r="BK134" s="27"/>
      <c r="BL134" s="27"/>
      <c r="BM134" s="27"/>
      <c r="BN134" s="27"/>
      <c r="BO134" s="27"/>
      <c r="BP134" s="27"/>
      <c r="BQ134" s="27"/>
      <c r="BR134" s="27"/>
      <c r="BS134" s="27"/>
      <c r="BT134" s="27"/>
      <c r="BU134" s="27"/>
      <c r="BV134" s="27"/>
      <c r="BW134" s="27"/>
      <c r="BX134" s="27"/>
      <c r="BY134" s="27"/>
      <c r="BZ134" s="27"/>
      <c r="CA134" s="27"/>
      <c r="CB134" s="27"/>
      <c r="CC134" s="27"/>
      <c r="CD134" s="27"/>
      <c r="CE134" s="27"/>
      <c r="CF134" s="27"/>
      <c r="CG134" s="27"/>
      <c r="CH134" s="27"/>
      <c r="CI134" s="27"/>
      <c r="CJ134" s="27"/>
      <c r="CK134" s="27"/>
      <c r="CL134" s="27"/>
      <c r="CM134" s="27"/>
      <c r="CN134" s="27"/>
      <c r="CO134" s="27"/>
      <c r="CP134" s="27"/>
      <c r="CQ134" s="27"/>
      <c r="CR134" s="27"/>
      <c r="CS134" s="27"/>
      <c r="CT134" s="27"/>
      <c r="CU134" s="27"/>
      <c r="CV134" s="27"/>
      <c r="CW134" s="27"/>
      <c r="CX134" s="27"/>
      <c r="CY134" s="27"/>
      <c r="CZ134" s="27"/>
      <c r="DA134" s="27"/>
      <c r="DB134" s="27"/>
      <c r="DC134" s="27"/>
      <c r="DD134" s="27"/>
      <c r="DE134" s="27"/>
      <c r="DF134" s="27"/>
      <c r="DG134" s="27"/>
      <c r="DH134" s="27"/>
      <c r="DI134" s="27"/>
      <c r="DJ134" s="27"/>
      <c r="DK134" s="27"/>
      <c r="DL134" s="27"/>
      <c r="DM134" s="27"/>
      <c r="DN134" s="27"/>
      <c r="DO134" s="27"/>
      <c r="DP134" s="27"/>
      <c r="DQ134" s="27"/>
      <c r="DR134" s="27"/>
      <c r="DS134" s="27"/>
      <c r="DT134" s="27"/>
    </row>
    <row r="135" spans="2:124" ht="17.25" customHeight="1" x14ac:dyDescent="0.2">
      <c r="B135" s="27" t="s">
        <v>40</v>
      </c>
      <c r="C135" s="27">
        <v>0</v>
      </c>
      <c r="D135" s="27">
        <f>IFERROR(T30,0%)</f>
        <v>0</v>
      </c>
      <c r="E135" s="27" t="s">
        <v>475</v>
      </c>
      <c r="F135" s="27"/>
      <c r="G135" s="27"/>
      <c r="H135" s="27"/>
      <c r="I135" s="27"/>
      <c r="J135" s="27"/>
      <c r="K135" s="27"/>
      <c r="L135" s="27"/>
      <c r="M135" s="27">
        <f>M134*1.0375</f>
        <v>11046.652424292954</v>
      </c>
      <c r="N135" s="27">
        <v>11099.889303446173</v>
      </c>
      <c r="O135" s="27"/>
      <c r="P135" s="27"/>
      <c r="Q135" s="27"/>
      <c r="R135" s="27"/>
      <c r="S135" s="27"/>
      <c r="T135" s="27"/>
      <c r="U135" s="27"/>
      <c r="V135" s="27"/>
      <c r="W135" s="27"/>
      <c r="X135" s="27"/>
      <c r="Y135" s="27"/>
      <c r="Z135" s="27"/>
      <c r="AA135" s="27"/>
      <c r="AB135" s="27"/>
      <c r="AC135" s="27"/>
      <c r="AD135" s="27"/>
      <c r="AE135" s="27"/>
      <c r="AF135" s="27"/>
      <c r="AG135" s="27"/>
      <c r="AH135" s="27"/>
      <c r="AI135" s="27"/>
      <c r="AJ135" s="27"/>
      <c r="AK135" s="27"/>
      <c r="AL135" s="27"/>
      <c r="AM135" s="27"/>
      <c r="AN135" s="27"/>
      <c r="AO135" s="27"/>
      <c r="AP135" s="27"/>
      <c r="AQ135" s="27"/>
      <c r="AR135" s="27"/>
      <c r="AS135" s="27"/>
      <c r="AT135" s="27"/>
      <c r="AU135" s="27"/>
      <c r="AV135" s="27"/>
      <c r="AW135" s="27"/>
      <c r="AX135" s="27"/>
      <c r="AY135" s="27"/>
      <c r="AZ135" s="27"/>
      <c r="BA135" s="27"/>
      <c r="BB135" s="27"/>
      <c r="BC135" s="27"/>
      <c r="BD135" s="27"/>
      <c r="BE135" s="27"/>
      <c r="BF135" s="27"/>
      <c r="BG135" s="27"/>
      <c r="BH135" s="27"/>
      <c r="BI135" s="27"/>
      <c r="BJ135" s="27"/>
      <c r="BK135" s="27"/>
      <c r="BL135" s="27"/>
      <c r="BM135" s="27"/>
      <c r="BN135" s="27"/>
      <c r="BO135" s="27"/>
      <c r="BP135" s="27"/>
      <c r="BQ135" s="27"/>
      <c r="BR135" s="27"/>
      <c r="BS135" s="27"/>
      <c r="BT135" s="27"/>
      <c r="BU135" s="27"/>
      <c r="BV135" s="27"/>
      <c r="BW135" s="27"/>
      <c r="BX135" s="27"/>
      <c r="BY135" s="27"/>
      <c r="BZ135" s="27"/>
      <c r="CA135" s="27"/>
      <c r="CB135" s="27"/>
      <c r="CC135" s="27"/>
      <c r="CD135" s="27"/>
      <c r="CE135" s="27"/>
      <c r="CF135" s="27"/>
      <c r="CG135" s="27"/>
      <c r="CH135" s="27"/>
      <c r="CI135" s="27"/>
      <c r="CJ135" s="27"/>
      <c r="CK135" s="27"/>
      <c r="CL135" s="27"/>
      <c r="CM135" s="27"/>
      <c r="CN135" s="27"/>
      <c r="CO135" s="27"/>
      <c r="CP135" s="27"/>
      <c r="CQ135" s="27"/>
      <c r="CR135" s="27"/>
      <c r="CS135" s="27"/>
      <c r="CT135" s="27"/>
      <c r="CU135" s="27"/>
      <c r="CV135" s="27"/>
      <c r="CW135" s="27"/>
      <c r="CX135" s="27"/>
      <c r="CY135" s="27"/>
      <c r="CZ135" s="27"/>
      <c r="DA135" s="27"/>
      <c r="DB135" s="27"/>
      <c r="DC135" s="27"/>
      <c r="DD135" s="27"/>
      <c r="DE135" s="27"/>
      <c r="DF135" s="27"/>
      <c r="DG135" s="27"/>
      <c r="DH135" s="27"/>
      <c r="DI135" s="27"/>
      <c r="DJ135" s="27"/>
      <c r="DK135" s="27"/>
      <c r="DL135" s="27"/>
      <c r="DM135" s="27"/>
      <c r="DN135" s="27"/>
      <c r="DO135" s="27"/>
      <c r="DP135" s="27"/>
      <c r="DQ135" s="27"/>
      <c r="DR135" s="27"/>
      <c r="DS135" s="27"/>
      <c r="DT135" s="27"/>
    </row>
    <row r="136" spans="2:124" ht="17.25" customHeight="1" x14ac:dyDescent="0.2">
      <c r="B136" s="27"/>
      <c r="C136" s="27"/>
      <c r="D136" s="27"/>
      <c r="E136" s="27"/>
      <c r="F136" s="27"/>
      <c r="G136" s="27"/>
      <c r="H136" s="27"/>
      <c r="I136" s="27"/>
      <c r="J136" s="27"/>
      <c r="K136" s="27"/>
      <c r="L136" s="27"/>
      <c r="M136" s="27">
        <f>IF(OR($C$5=$CB$16,$C$5=$CC$16),N136*1.05,N136)</f>
        <v>11552.402776248533</v>
      </c>
      <c r="N136" s="27">
        <v>11552.402776248533</v>
      </c>
      <c r="O136" s="27"/>
      <c r="P136" s="27"/>
      <c r="Q136" s="27"/>
      <c r="R136" s="27"/>
      <c r="S136" s="27"/>
      <c r="T136" s="27"/>
      <c r="U136" s="27"/>
      <c r="V136" s="27"/>
      <c r="W136" s="27"/>
      <c r="X136" s="27"/>
      <c r="Y136" s="27"/>
      <c r="Z136" s="27"/>
      <c r="AA136" s="27"/>
      <c r="AB136" s="27"/>
      <c r="AC136" s="27"/>
      <c r="AD136" s="27"/>
      <c r="AE136" s="27"/>
      <c r="AF136" s="27"/>
      <c r="AG136" s="27"/>
      <c r="AH136" s="27"/>
      <c r="AI136" s="27"/>
      <c r="AJ136" s="27"/>
      <c r="AK136" s="27"/>
      <c r="AL136" s="27"/>
      <c r="AM136" s="27"/>
      <c r="AN136" s="27"/>
      <c r="AO136" s="27"/>
      <c r="AP136" s="27"/>
      <c r="AQ136" s="27"/>
      <c r="AR136" s="27"/>
      <c r="AS136" s="27"/>
      <c r="AT136" s="27"/>
      <c r="AU136" s="27"/>
      <c r="AV136" s="27"/>
      <c r="AW136" s="27"/>
      <c r="AX136" s="27"/>
      <c r="AY136" s="27"/>
      <c r="AZ136" s="27"/>
      <c r="BA136" s="27"/>
      <c r="BB136" s="27"/>
      <c r="BC136" s="27"/>
      <c r="BD136" s="27"/>
      <c r="BE136" s="27"/>
      <c r="BF136" s="27"/>
      <c r="BG136" s="27"/>
      <c r="BH136" s="27"/>
      <c r="BI136" s="27"/>
      <c r="BJ136" s="27"/>
      <c r="BK136" s="27"/>
      <c r="BL136" s="27"/>
      <c r="BM136" s="27"/>
      <c r="BN136" s="27"/>
      <c r="BO136" s="27"/>
      <c r="BP136" s="27"/>
      <c r="BQ136" s="27"/>
      <c r="BR136" s="27"/>
      <c r="BS136" s="27"/>
      <c r="BT136" s="27"/>
      <c r="BU136" s="27"/>
      <c r="BV136" s="27"/>
      <c r="BW136" s="27"/>
      <c r="BX136" s="27"/>
      <c r="BY136" s="27"/>
      <c r="BZ136" s="27"/>
      <c r="CA136" s="27"/>
      <c r="CB136" s="27"/>
      <c r="CC136" s="27"/>
      <c r="CD136" s="27"/>
      <c r="CE136" s="27"/>
      <c r="CF136" s="27"/>
      <c r="CG136" s="27"/>
      <c r="CH136" s="27"/>
      <c r="CI136" s="27"/>
      <c r="CJ136" s="27"/>
      <c r="CK136" s="27"/>
      <c r="CL136" s="27"/>
      <c r="CM136" s="27"/>
      <c r="CN136" s="27"/>
      <c r="CO136" s="27"/>
      <c r="CP136" s="27"/>
      <c r="CQ136" s="27"/>
      <c r="CR136" s="27"/>
      <c r="CS136" s="27"/>
      <c r="CT136" s="27"/>
      <c r="CU136" s="27"/>
      <c r="CV136" s="27"/>
      <c r="CW136" s="27"/>
      <c r="CX136" s="27"/>
      <c r="CY136" s="27"/>
      <c r="CZ136" s="27"/>
      <c r="DA136" s="27"/>
      <c r="DB136" s="27"/>
      <c r="DC136" s="27"/>
      <c r="DD136" s="27"/>
      <c r="DE136" s="27"/>
      <c r="DF136" s="27"/>
      <c r="DG136" s="27"/>
      <c r="DH136" s="27"/>
      <c r="DI136" s="27"/>
      <c r="DJ136" s="27"/>
      <c r="DK136" s="27"/>
      <c r="DL136" s="27"/>
      <c r="DM136" s="27"/>
      <c r="DN136" s="27"/>
      <c r="DO136" s="27"/>
      <c r="DP136" s="27"/>
      <c r="DQ136" s="27"/>
      <c r="DR136" s="27"/>
      <c r="DS136" s="27"/>
      <c r="DT136" s="27"/>
    </row>
    <row r="137" spans="2:124" ht="17.25" customHeight="1" x14ac:dyDescent="0.2">
      <c r="B137" s="27"/>
      <c r="C137" s="27"/>
      <c r="D137" s="27"/>
      <c r="E137" s="27"/>
      <c r="F137" s="27"/>
      <c r="G137" s="27"/>
      <c r="H137" s="27" t="s">
        <v>476</v>
      </c>
      <c r="I137" s="27"/>
      <c r="J137" s="27"/>
      <c r="K137" s="27"/>
      <c r="L137" s="27"/>
      <c r="M137" s="27"/>
      <c r="N137" s="27"/>
      <c r="O137" s="27"/>
      <c r="P137" s="27"/>
      <c r="Q137" s="27"/>
      <c r="R137" s="27"/>
      <c r="S137" s="27"/>
      <c r="T137" s="27"/>
      <c r="U137" s="27"/>
      <c r="V137" s="27"/>
      <c r="W137" s="27"/>
      <c r="X137" s="27"/>
      <c r="Y137" s="27"/>
      <c r="Z137" s="27"/>
      <c r="AA137" s="27"/>
      <c r="AB137" s="27"/>
      <c r="AC137" s="27"/>
      <c r="AD137" s="27"/>
      <c r="AE137" s="27"/>
      <c r="AF137" s="27"/>
      <c r="AG137" s="27"/>
      <c r="AH137" s="27"/>
      <c r="AI137" s="27"/>
      <c r="AJ137" s="27"/>
      <c r="AK137" s="27"/>
      <c r="AL137" s="27"/>
      <c r="AM137" s="27"/>
      <c r="AN137" s="27"/>
      <c r="AO137" s="27"/>
      <c r="AP137" s="27"/>
      <c r="AQ137" s="27"/>
      <c r="AR137" s="27"/>
      <c r="AS137" s="27"/>
      <c r="AT137" s="27"/>
      <c r="AU137" s="27"/>
      <c r="AV137" s="27"/>
      <c r="AW137" s="27"/>
      <c r="AX137" s="27"/>
      <c r="AY137" s="27"/>
      <c r="AZ137" s="27"/>
      <c r="BA137" s="27"/>
      <c r="BB137" s="27"/>
      <c r="BC137" s="27"/>
      <c r="BD137" s="27"/>
      <c r="BE137" s="27"/>
      <c r="BF137" s="27"/>
      <c r="BG137" s="27"/>
      <c r="BH137" s="27"/>
      <c r="BI137" s="27"/>
      <c r="BJ137" s="27"/>
      <c r="BK137" s="27"/>
      <c r="BL137" s="27"/>
      <c r="BM137" s="27"/>
      <c r="BN137" s="27"/>
      <c r="BO137" s="27"/>
      <c r="BP137" s="27"/>
      <c r="BQ137" s="27"/>
      <c r="BR137" s="27"/>
      <c r="BS137" s="27"/>
      <c r="BT137" s="27"/>
      <c r="BU137" s="27"/>
      <c r="BV137" s="27"/>
      <c r="BW137" s="27"/>
      <c r="BX137" s="27"/>
      <c r="BY137" s="27"/>
      <c r="BZ137" s="27"/>
      <c r="CA137" s="27"/>
      <c r="CB137" s="27"/>
      <c r="CC137" s="27"/>
      <c r="CD137" s="27"/>
      <c r="CE137" s="27"/>
      <c r="CF137" s="27"/>
      <c r="CG137" s="27"/>
      <c r="CH137" s="27"/>
      <c r="CI137" s="27"/>
      <c r="CJ137" s="27"/>
      <c r="CK137" s="27"/>
      <c r="CL137" s="27"/>
      <c r="CM137" s="27"/>
      <c r="CN137" s="27"/>
      <c r="CO137" s="27"/>
      <c r="CP137" s="27"/>
      <c r="CQ137" s="27"/>
      <c r="CR137" s="27"/>
      <c r="CS137" s="27"/>
      <c r="CT137" s="27"/>
      <c r="CU137" s="27"/>
      <c r="CV137" s="27"/>
      <c r="CW137" s="27"/>
      <c r="CX137" s="27"/>
      <c r="CY137" s="27"/>
      <c r="CZ137" s="27"/>
      <c r="DA137" s="27"/>
      <c r="DB137" s="27"/>
      <c r="DC137" s="27"/>
      <c r="DD137" s="27"/>
      <c r="DE137" s="27"/>
      <c r="DF137" s="27"/>
      <c r="DG137" s="27"/>
      <c r="DH137" s="27"/>
      <c r="DI137" s="27"/>
      <c r="DJ137" s="27"/>
      <c r="DK137" s="27"/>
      <c r="DL137" s="27"/>
      <c r="DM137" s="27"/>
      <c r="DN137" s="27"/>
      <c r="DO137" s="27"/>
      <c r="DP137" s="27"/>
      <c r="DQ137" s="27"/>
      <c r="DR137" s="27"/>
      <c r="DS137" s="27"/>
      <c r="DT137" s="27"/>
    </row>
    <row r="138" spans="2:124" ht="17.25" customHeight="1" x14ac:dyDescent="0.2">
      <c r="B138" s="27"/>
      <c r="C138" s="27"/>
      <c r="D138" s="27"/>
      <c r="E138" s="27"/>
      <c r="F138" s="27"/>
      <c r="G138" s="27"/>
      <c r="H138" s="27" t="s">
        <v>477</v>
      </c>
      <c r="I138" s="27"/>
      <c r="J138" s="27"/>
      <c r="K138" s="27"/>
      <c r="L138" s="27"/>
      <c r="M138" s="27"/>
      <c r="N138" s="27"/>
      <c r="O138" s="27"/>
      <c r="P138" s="27"/>
      <c r="Q138" s="27"/>
      <c r="R138" s="27"/>
      <c r="S138" s="27"/>
      <c r="T138" s="27"/>
      <c r="U138" s="27"/>
      <c r="V138" s="27"/>
      <c r="W138" s="27"/>
      <c r="X138" s="27"/>
      <c r="Y138" s="27"/>
      <c r="Z138" s="27"/>
      <c r="AA138" s="27"/>
      <c r="AB138" s="27"/>
      <c r="AC138" s="27"/>
      <c r="AD138" s="27"/>
      <c r="AE138" s="27"/>
      <c r="AF138" s="27"/>
      <c r="AG138" s="27"/>
      <c r="AH138" s="27"/>
      <c r="AI138" s="27"/>
      <c r="AJ138" s="27"/>
      <c r="AK138" s="27"/>
      <c r="AL138" s="27"/>
      <c r="AM138" s="27"/>
      <c r="AN138" s="27"/>
      <c r="AO138" s="27"/>
      <c r="AP138" s="27"/>
      <c r="AQ138" s="27"/>
      <c r="AR138" s="27"/>
      <c r="AS138" s="27"/>
      <c r="AT138" s="27"/>
      <c r="AU138" s="27"/>
      <c r="AV138" s="27"/>
      <c r="AW138" s="27"/>
      <c r="AX138" s="27"/>
      <c r="AY138" s="27"/>
      <c r="AZ138" s="27"/>
      <c r="BA138" s="27"/>
      <c r="BB138" s="27"/>
      <c r="BC138" s="27"/>
      <c r="BD138" s="27"/>
      <c r="BE138" s="27"/>
      <c r="BF138" s="27"/>
      <c r="BG138" s="27"/>
      <c r="BH138" s="27"/>
      <c r="BI138" s="27"/>
      <c r="BJ138" s="27"/>
      <c r="BK138" s="27"/>
      <c r="BL138" s="27"/>
      <c r="BM138" s="27"/>
      <c r="BN138" s="27"/>
      <c r="BO138" s="27"/>
      <c r="BP138" s="27"/>
      <c r="BQ138" s="27"/>
      <c r="BR138" s="27"/>
      <c r="BS138" s="27"/>
      <c r="BT138" s="27"/>
      <c r="BU138" s="27"/>
      <c r="BV138" s="27"/>
      <c r="BW138" s="27"/>
      <c r="BX138" s="27"/>
      <c r="BY138" s="27"/>
      <c r="BZ138" s="27"/>
      <c r="CA138" s="27"/>
      <c r="CB138" s="27"/>
      <c r="CC138" s="27"/>
      <c r="CD138" s="27"/>
      <c r="CE138" s="27"/>
      <c r="CF138" s="27"/>
      <c r="CG138" s="27"/>
      <c r="CH138" s="27"/>
      <c r="CI138" s="27"/>
      <c r="CJ138" s="27"/>
      <c r="CK138" s="27"/>
      <c r="CL138" s="27"/>
      <c r="CM138" s="27"/>
      <c r="CN138" s="27"/>
      <c r="CO138" s="27"/>
      <c r="CP138" s="27"/>
      <c r="CQ138" s="27"/>
      <c r="CR138" s="27"/>
      <c r="CS138" s="27"/>
      <c r="CT138" s="27"/>
      <c r="CU138" s="27"/>
      <c r="CV138" s="27"/>
      <c r="CW138" s="27"/>
      <c r="CX138" s="27"/>
      <c r="CY138" s="27"/>
      <c r="CZ138" s="27"/>
      <c r="DA138" s="27"/>
      <c r="DB138" s="27"/>
      <c r="DC138" s="27"/>
      <c r="DD138" s="27"/>
      <c r="DE138" s="27"/>
      <c r="DF138" s="27"/>
      <c r="DG138" s="27"/>
      <c r="DH138" s="27"/>
      <c r="DI138" s="27"/>
      <c r="DJ138" s="27"/>
      <c r="DK138" s="27"/>
      <c r="DL138" s="27"/>
      <c r="DM138" s="27"/>
      <c r="DN138" s="27"/>
      <c r="DO138" s="27"/>
      <c r="DP138" s="27"/>
      <c r="DQ138" s="27"/>
      <c r="DR138" s="27"/>
      <c r="DS138" s="27"/>
      <c r="DT138" s="27"/>
    </row>
    <row r="139" spans="2:124" ht="17.25" customHeight="1" x14ac:dyDescent="0.2">
      <c r="B139" s="27" t="s">
        <v>478</v>
      </c>
      <c r="C139" s="27"/>
      <c r="D139" s="27"/>
      <c r="E139" s="27"/>
      <c r="F139" s="27"/>
      <c r="G139" s="27"/>
      <c r="H139" s="27" t="s">
        <v>479</v>
      </c>
      <c r="I139" s="27"/>
      <c r="J139" s="27"/>
      <c r="K139" s="27"/>
      <c r="L139" s="27"/>
      <c r="M139" s="27"/>
      <c r="N139" s="27"/>
      <c r="O139" s="27"/>
      <c r="P139" s="27"/>
      <c r="Q139" s="27"/>
      <c r="R139" s="27"/>
      <c r="S139" s="27"/>
      <c r="T139" s="27"/>
      <c r="U139" s="27"/>
      <c r="V139" s="27"/>
      <c r="W139" s="27"/>
      <c r="X139" s="27"/>
      <c r="Y139" s="27"/>
      <c r="Z139" s="27"/>
      <c r="AA139" s="27"/>
      <c r="AB139" s="27"/>
      <c r="AC139" s="27"/>
      <c r="AD139" s="27"/>
      <c r="AE139" s="27"/>
      <c r="AF139" s="27"/>
      <c r="AG139" s="27"/>
      <c r="AH139" s="27"/>
      <c r="AI139" s="27"/>
      <c r="AJ139" s="27"/>
      <c r="AK139" s="27"/>
      <c r="AL139" s="27"/>
      <c r="AM139" s="27"/>
      <c r="AN139" s="27"/>
      <c r="AO139" s="27"/>
      <c r="AP139" s="27"/>
      <c r="AQ139" s="27"/>
      <c r="AR139" s="27"/>
      <c r="AS139" s="27"/>
      <c r="AT139" s="27"/>
      <c r="AU139" s="27"/>
      <c r="AV139" s="27"/>
      <c r="AW139" s="27"/>
      <c r="AX139" s="27"/>
      <c r="AY139" s="27"/>
      <c r="AZ139" s="27"/>
      <c r="BA139" s="27"/>
      <c r="BB139" s="27"/>
      <c r="BC139" s="27"/>
      <c r="BD139" s="27"/>
      <c r="BE139" s="27"/>
      <c r="BF139" s="27"/>
      <c r="BG139" s="27"/>
      <c r="BH139" s="27"/>
      <c r="BI139" s="27"/>
      <c r="BJ139" s="27"/>
      <c r="BK139" s="27"/>
      <c r="BL139" s="27"/>
      <c r="BM139" s="27"/>
      <c r="BN139" s="27"/>
      <c r="BO139" s="27"/>
      <c r="BP139" s="27"/>
      <c r="BQ139" s="27"/>
      <c r="BR139" s="27"/>
      <c r="BS139" s="27"/>
      <c r="BT139" s="27"/>
      <c r="BU139" s="27"/>
      <c r="BV139" s="27"/>
      <c r="BW139" s="27"/>
      <c r="BX139" s="27"/>
      <c r="BY139" s="27"/>
      <c r="BZ139" s="27"/>
      <c r="CA139" s="27"/>
      <c r="CB139" s="27"/>
      <c r="CC139" s="27"/>
      <c r="CD139" s="27"/>
      <c r="CE139" s="27"/>
      <c r="CF139" s="27"/>
      <c r="CG139" s="27"/>
      <c r="CH139" s="27"/>
      <c r="CI139" s="27"/>
      <c r="CJ139" s="27"/>
      <c r="CK139" s="27"/>
      <c r="CL139" s="27"/>
      <c r="CM139" s="27"/>
      <c r="CN139" s="27"/>
      <c r="CO139" s="27"/>
      <c r="CP139" s="27"/>
      <c r="CQ139" s="27"/>
      <c r="CR139" s="27"/>
      <c r="CS139" s="27"/>
      <c r="CT139" s="27"/>
      <c r="CU139" s="27"/>
      <c r="CV139" s="27"/>
      <c r="CW139" s="27"/>
      <c r="CX139" s="27"/>
      <c r="CY139" s="27"/>
      <c r="CZ139" s="27"/>
      <c r="DA139" s="27"/>
      <c r="DB139" s="27"/>
      <c r="DC139" s="27"/>
      <c r="DD139" s="27"/>
      <c r="DE139" s="27"/>
      <c r="DF139" s="27"/>
      <c r="DG139" s="27"/>
      <c r="DH139" s="27"/>
      <c r="DI139" s="27"/>
      <c r="DJ139" s="27"/>
      <c r="DK139" s="27"/>
      <c r="DL139" s="27"/>
      <c r="DM139" s="27"/>
      <c r="DN139" s="27"/>
      <c r="DO139" s="27"/>
      <c r="DP139" s="27"/>
      <c r="DQ139" s="27"/>
      <c r="DR139" s="27"/>
      <c r="DS139" s="27"/>
      <c r="DT139" s="27"/>
    </row>
    <row r="140" spans="2:124" ht="17.25" customHeight="1" x14ac:dyDescent="0.2">
      <c r="B140" s="27" t="s">
        <v>480</v>
      </c>
      <c r="C140" s="27" t="s">
        <v>481</v>
      </c>
      <c r="D140" s="27" t="s">
        <v>482</v>
      </c>
      <c r="E140" s="27" t="s">
        <v>483</v>
      </c>
      <c r="F140" s="27"/>
      <c r="G140" s="27"/>
      <c r="H140" s="27"/>
      <c r="I140" s="27"/>
      <c r="J140" s="27"/>
      <c r="K140" s="27"/>
      <c r="L140" s="27"/>
      <c r="M140" s="27"/>
      <c r="N140" s="27"/>
      <c r="O140" s="27"/>
      <c r="P140" s="27"/>
      <c r="Q140" s="27"/>
      <c r="R140" s="27"/>
      <c r="S140" s="27"/>
      <c r="T140" s="27"/>
      <c r="U140" s="27"/>
      <c r="V140" s="27"/>
      <c r="W140" s="27"/>
      <c r="X140" s="27"/>
      <c r="Y140" s="27"/>
      <c r="Z140" s="27"/>
      <c r="AA140" s="27"/>
      <c r="AB140" s="27"/>
      <c r="AC140" s="27"/>
      <c r="AD140" s="27"/>
      <c r="AE140" s="27"/>
      <c r="AF140" s="27"/>
      <c r="AG140" s="27"/>
      <c r="AH140" s="27"/>
      <c r="AI140" s="27"/>
      <c r="AJ140" s="27"/>
      <c r="AK140" s="27"/>
      <c r="AL140" s="27"/>
      <c r="AM140" s="27"/>
      <c r="AN140" s="27"/>
      <c r="AO140" s="27"/>
      <c r="AP140" s="27"/>
      <c r="AQ140" s="27"/>
      <c r="AR140" s="27"/>
      <c r="AS140" s="27"/>
      <c r="AT140" s="27"/>
      <c r="AU140" s="27"/>
      <c r="AV140" s="27"/>
      <c r="AW140" s="27"/>
      <c r="AX140" s="27"/>
      <c r="AY140" s="27"/>
      <c r="AZ140" s="27"/>
      <c r="BA140" s="27"/>
      <c r="BB140" s="27"/>
      <c r="BC140" s="27"/>
      <c r="BD140" s="27"/>
      <c r="BE140" s="27"/>
      <c r="BF140" s="27"/>
      <c r="BG140" s="27"/>
      <c r="BH140" s="27"/>
      <c r="BI140" s="27"/>
      <c r="BJ140" s="27"/>
      <c r="BK140" s="27"/>
      <c r="BL140" s="27"/>
      <c r="BM140" s="27"/>
      <c r="BN140" s="27"/>
      <c r="BO140" s="27"/>
      <c r="BP140" s="27"/>
      <c r="BQ140" s="27"/>
      <c r="BR140" s="27"/>
      <c r="BS140" s="27"/>
      <c r="BT140" s="27"/>
      <c r="BU140" s="27"/>
      <c r="BV140" s="27"/>
      <c r="BW140" s="27"/>
      <c r="BX140" s="27"/>
      <c r="BY140" s="27"/>
      <c r="BZ140" s="27"/>
      <c r="CA140" s="27"/>
      <c r="CB140" s="27"/>
      <c r="CC140" s="27"/>
      <c r="CD140" s="27"/>
      <c r="CE140" s="27"/>
      <c r="CF140" s="27"/>
      <c r="CG140" s="27"/>
      <c r="CH140" s="27"/>
      <c r="CI140" s="27"/>
      <c r="CJ140" s="27"/>
      <c r="CK140" s="27"/>
      <c r="CL140" s="27"/>
      <c r="CM140" s="27"/>
      <c r="CN140" s="27"/>
      <c r="CO140" s="27"/>
      <c r="CP140" s="27"/>
      <c r="CQ140" s="27"/>
      <c r="CR140" s="27"/>
      <c r="CS140" s="27"/>
      <c r="CT140" s="27"/>
      <c r="CU140" s="27"/>
      <c r="CV140" s="27"/>
      <c r="CW140" s="27"/>
      <c r="CX140" s="27"/>
      <c r="CY140" s="27"/>
      <c r="CZ140" s="27"/>
      <c r="DA140" s="27"/>
      <c r="DB140" s="27"/>
      <c r="DC140" s="27"/>
      <c r="DD140" s="27"/>
      <c r="DE140" s="27"/>
      <c r="DF140" s="27"/>
      <c r="DG140" s="27"/>
      <c r="DH140" s="27"/>
      <c r="DI140" s="27"/>
      <c r="DJ140" s="27"/>
      <c r="DK140" s="27"/>
      <c r="DL140" s="27"/>
      <c r="DM140" s="27"/>
      <c r="DN140" s="27"/>
      <c r="DO140" s="27"/>
      <c r="DP140" s="27"/>
      <c r="DQ140" s="27"/>
      <c r="DR140" s="27"/>
      <c r="DS140" s="27"/>
      <c r="DT140" s="27"/>
    </row>
    <row r="141" spans="2:124" ht="17.25" customHeight="1" x14ac:dyDescent="0.2">
      <c r="B141" s="27" t="s">
        <v>484</v>
      </c>
      <c r="C141" s="27">
        <v>0.17</v>
      </c>
      <c r="D141" s="27">
        <v>0.27</v>
      </c>
      <c r="E141" s="27">
        <f>C141+12.5%</f>
        <v>0.29500000000000004</v>
      </c>
      <c r="F141" s="27"/>
      <c r="G141" s="27"/>
      <c r="H141" s="27"/>
      <c r="I141" s="27"/>
      <c r="J141" s="27"/>
      <c r="K141" s="27"/>
      <c r="L141" s="27"/>
      <c r="M141" s="27"/>
      <c r="N141" s="27"/>
      <c r="O141" s="27"/>
      <c r="P141" s="27"/>
      <c r="Q141" s="27"/>
      <c r="R141" s="27"/>
      <c r="S141" s="27"/>
      <c r="T141" s="27"/>
      <c r="U141" s="27"/>
      <c r="V141" s="27"/>
      <c r="W141" s="27"/>
      <c r="X141" s="27"/>
      <c r="Y141" s="27"/>
      <c r="Z141" s="27"/>
      <c r="AA141" s="27"/>
      <c r="AB141" s="27"/>
      <c r="AC141" s="27"/>
      <c r="AD141" s="27"/>
      <c r="AE141" s="27"/>
      <c r="AF141" s="27"/>
      <c r="AG141" s="27"/>
      <c r="AH141" s="27"/>
      <c r="AI141" s="27"/>
      <c r="AJ141" s="27"/>
      <c r="AK141" s="27"/>
      <c r="AL141" s="27"/>
      <c r="AM141" s="27"/>
      <c r="AN141" s="27"/>
      <c r="AO141" s="27"/>
      <c r="AP141" s="27"/>
      <c r="AQ141" s="27"/>
      <c r="AR141" s="27"/>
      <c r="AS141" s="27"/>
      <c r="AT141" s="27"/>
      <c r="AU141" s="27"/>
      <c r="AV141" s="27"/>
      <c r="AW141" s="27"/>
      <c r="AX141" s="27"/>
      <c r="AY141" s="27"/>
      <c r="AZ141" s="27"/>
      <c r="BA141" s="27"/>
      <c r="BB141" s="27"/>
      <c r="BC141" s="27"/>
      <c r="BD141" s="27"/>
      <c r="BE141" s="27"/>
      <c r="BF141" s="27"/>
      <c r="BG141" s="27"/>
      <c r="BH141" s="27"/>
      <c r="BI141" s="27"/>
      <c r="BJ141" s="27"/>
      <c r="BK141" s="27"/>
      <c r="BL141" s="27"/>
      <c r="BM141" s="27"/>
      <c r="BN141" s="27"/>
      <c r="BO141" s="27"/>
      <c r="BP141" s="27"/>
      <c r="BQ141" s="27"/>
      <c r="BR141" s="27"/>
      <c r="BS141" s="27"/>
      <c r="BT141" s="27"/>
      <c r="BU141" s="27"/>
      <c r="BV141" s="27"/>
      <c r="BW141" s="27"/>
      <c r="BX141" s="27"/>
      <c r="BY141" s="27"/>
      <c r="BZ141" s="27"/>
      <c r="CA141" s="27"/>
      <c r="CB141" s="27"/>
      <c r="CC141" s="27"/>
      <c r="CD141" s="27"/>
      <c r="CE141" s="27"/>
      <c r="CF141" s="27"/>
      <c r="CG141" s="27"/>
      <c r="CH141" s="27"/>
      <c r="CI141" s="27"/>
      <c r="CJ141" s="27"/>
      <c r="CK141" s="27"/>
      <c r="CL141" s="27"/>
      <c r="CM141" s="27"/>
      <c r="CN141" s="27"/>
      <c r="CO141" s="27"/>
      <c r="CP141" s="27"/>
      <c r="CQ141" s="27"/>
      <c r="CR141" s="27"/>
      <c r="CS141" s="27"/>
      <c r="CT141" s="27"/>
      <c r="CU141" s="27"/>
      <c r="CV141" s="27"/>
      <c r="CW141" s="27"/>
      <c r="CX141" s="27"/>
      <c r="CY141" s="27"/>
      <c r="CZ141" s="27"/>
      <c r="DA141" s="27"/>
      <c r="DB141" s="27"/>
      <c r="DC141" s="27"/>
      <c r="DD141" s="27"/>
      <c r="DE141" s="27"/>
      <c r="DF141" s="27"/>
      <c r="DG141" s="27"/>
      <c r="DH141" s="27"/>
      <c r="DI141" s="27"/>
      <c r="DJ141" s="27"/>
      <c r="DK141" s="27"/>
      <c r="DL141" s="27"/>
      <c r="DM141" s="27"/>
      <c r="DN141" s="27"/>
      <c r="DO141" s="27"/>
      <c r="DP141" s="27"/>
      <c r="DQ141" s="27"/>
      <c r="DR141" s="27"/>
      <c r="DS141" s="27"/>
      <c r="DT141" s="27"/>
    </row>
    <row r="142" spans="2:124" ht="17.25" customHeight="1" x14ac:dyDescent="0.2">
      <c r="B142" s="27" t="s">
        <v>485</v>
      </c>
      <c r="C142" s="27">
        <v>0.2</v>
      </c>
      <c r="D142" s="27">
        <v>0.3</v>
      </c>
      <c r="E142" s="27">
        <f>C142+12.5%</f>
        <v>0.32500000000000001</v>
      </c>
      <c r="F142" s="27"/>
      <c r="G142" s="27" t="e">
        <f>IF(G145&lt;27.4,100/36*G145,IF(G145&lt;29,(100/36*(G145+1.5)),(100/36*(G145+2))))</f>
        <v>#REF!</v>
      </c>
      <c r="H142" s="27"/>
      <c r="I142" s="27"/>
      <c r="J142" s="27"/>
      <c r="K142" s="27"/>
      <c r="L142" s="27"/>
      <c r="M142" s="27"/>
      <c r="N142" s="27"/>
      <c r="O142" s="27"/>
      <c r="P142" s="27"/>
      <c r="Q142" s="27"/>
      <c r="R142" s="27"/>
      <c r="S142" s="27"/>
      <c r="T142" s="27"/>
      <c r="U142" s="27"/>
      <c r="V142" s="27"/>
      <c r="W142" s="27"/>
      <c r="X142" s="27"/>
      <c r="Y142" s="27"/>
      <c r="Z142" s="27"/>
      <c r="AA142" s="27"/>
      <c r="AB142" s="27"/>
      <c r="AC142" s="27"/>
      <c r="AD142" s="27"/>
      <c r="AE142" s="27"/>
      <c r="AF142" s="27"/>
      <c r="AG142" s="27"/>
      <c r="AH142" s="27"/>
      <c r="AI142" s="27"/>
      <c r="AJ142" s="27"/>
      <c r="AK142" s="27"/>
      <c r="AL142" s="27"/>
      <c r="AM142" s="27"/>
      <c r="AN142" s="27"/>
      <c r="AO142" s="27"/>
      <c r="AP142" s="27"/>
      <c r="AQ142" s="27"/>
      <c r="AR142" s="27"/>
      <c r="AS142" s="27"/>
      <c r="AT142" s="27"/>
      <c r="AU142" s="27"/>
      <c r="AV142" s="27"/>
      <c r="AW142" s="27"/>
      <c r="AX142" s="27"/>
      <c r="AY142" s="27"/>
      <c r="AZ142" s="27"/>
      <c r="BA142" s="27"/>
      <c r="BB142" s="27"/>
      <c r="BC142" s="27"/>
      <c r="BD142" s="27"/>
      <c r="BE142" s="27"/>
      <c r="BF142" s="27"/>
      <c r="BG142" s="27"/>
      <c r="BH142" s="27"/>
      <c r="BI142" s="27"/>
      <c r="BJ142" s="27"/>
      <c r="BK142" s="27"/>
      <c r="BL142" s="27"/>
      <c r="BM142" s="27"/>
      <c r="BN142" s="27"/>
      <c r="BO142" s="27"/>
      <c r="BP142" s="27"/>
      <c r="BQ142" s="27"/>
      <c r="BR142" s="27"/>
      <c r="BS142" s="27"/>
      <c r="BT142" s="27"/>
      <c r="BU142" s="27"/>
      <c r="BV142" s="27"/>
      <c r="BW142" s="27"/>
      <c r="BX142" s="27"/>
      <c r="BY142" s="27"/>
      <c r="BZ142" s="27"/>
      <c r="CA142" s="27"/>
      <c r="CB142" s="27"/>
      <c r="CC142" s="27"/>
      <c r="CD142" s="27"/>
      <c r="CE142" s="27"/>
      <c r="CF142" s="27"/>
      <c r="CG142" s="27"/>
      <c r="CH142" s="27"/>
      <c r="CI142" s="27"/>
      <c r="CJ142" s="27"/>
      <c r="CK142" s="27"/>
      <c r="CL142" s="27"/>
      <c r="CM142" s="27"/>
      <c r="CN142" s="27"/>
      <c r="CO142" s="27"/>
      <c r="CP142" s="27"/>
      <c r="CQ142" s="27"/>
      <c r="CR142" s="27"/>
      <c r="CS142" s="27"/>
      <c r="CT142" s="27"/>
      <c r="CU142" s="27"/>
      <c r="CV142" s="27"/>
      <c r="CW142" s="27"/>
      <c r="CX142" s="27"/>
      <c r="CY142" s="27"/>
      <c r="CZ142" s="27"/>
      <c r="DA142" s="27"/>
      <c r="DB142" s="27"/>
      <c r="DC142" s="27"/>
      <c r="DD142" s="27"/>
      <c r="DE142" s="27"/>
      <c r="DF142" s="27"/>
      <c r="DG142" s="27"/>
      <c r="DH142" s="27"/>
      <c r="DI142" s="27"/>
      <c r="DJ142" s="27"/>
      <c r="DK142" s="27"/>
      <c r="DL142" s="27"/>
      <c r="DM142" s="27"/>
      <c r="DN142" s="27"/>
      <c r="DO142" s="27"/>
      <c r="DP142" s="27"/>
      <c r="DQ142" s="27"/>
      <c r="DR142" s="27"/>
      <c r="DS142" s="27"/>
      <c r="DT142" s="27"/>
    </row>
    <row r="143" spans="2:124" ht="17.25" customHeight="1" x14ac:dyDescent="0.2">
      <c r="B143" s="27" t="s">
        <v>486</v>
      </c>
      <c r="C143" s="27">
        <v>0.24</v>
      </c>
      <c r="D143" s="27">
        <v>0.34</v>
      </c>
      <c r="E143" s="27">
        <f>C143+12.5%</f>
        <v>0.36499999999999999</v>
      </c>
      <c r="F143" s="27" t="e">
        <f>IF(F146&lt;27.4,100/36*F146,IF(F146&lt;29,(100/36*(F146+1.5)),(100/36*(F146+2))))</f>
        <v>#REF!</v>
      </c>
      <c r="G143" s="27"/>
      <c r="H143" s="27"/>
      <c r="I143" s="27"/>
      <c r="J143" s="27"/>
      <c r="K143" s="27"/>
      <c r="L143" s="27"/>
      <c r="M143" s="27"/>
      <c r="N143" s="27"/>
      <c r="O143" s="27"/>
      <c r="P143" s="27"/>
      <c r="Q143" s="27"/>
      <c r="R143" s="27"/>
      <c r="S143" s="27"/>
      <c r="T143" s="27"/>
      <c r="U143" s="27"/>
      <c r="V143" s="27"/>
      <c r="W143" s="27"/>
      <c r="X143" s="27"/>
      <c r="Y143" s="27"/>
      <c r="Z143" s="27"/>
      <c r="AA143" s="27"/>
      <c r="AB143" s="27"/>
      <c r="AC143" s="27"/>
      <c r="AD143" s="27"/>
      <c r="AE143" s="27"/>
      <c r="AF143" s="27"/>
      <c r="AG143" s="27"/>
      <c r="AH143" s="27"/>
      <c r="AI143" s="27"/>
      <c r="AJ143" s="27"/>
      <c r="AK143" s="27"/>
      <c r="AL143" s="27"/>
      <c r="AM143" s="27"/>
      <c r="AN143" s="27"/>
      <c r="AO143" s="27"/>
      <c r="AP143" s="27"/>
      <c r="AQ143" s="27"/>
      <c r="AR143" s="27"/>
      <c r="AS143" s="27"/>
      <c r="AT143" s="27"/>
      <c r="AU143" s="27"/>
      <c r="AV143" s="27"/>
      <c r="AW143" s="27"/>
      <c r="AX143" s="27"/>
      <c r="AY143" s="27"/>
      <c r="AZ143" s="27"/>
      <c r="BA143" s="27"/>
      <c r="BB143" s="27"/>
      <c r="BC143" s="27"/>
      <c r="BD143" s="27"/>
      <c r="BE143" s="27"/>
      <c r="BF143" s="27"/>
      <c r="BG143" s="27"/>
      <c r="BH143" s="27"/>
      <c r="BI143" s="27"/>
      <c r="BJ143" s="27"/>
      <c r="BK143" s="27"/>
      <c r="BL143" s="27"/>
      <c r="BM143" s="27"/>
      <c r="BN143" s="27"/>
      <c r="BO143" s="27"/>
      <c r="BP143" s="27"/>
      <c r="BQ143" s="27"/>
      <c r="BR143" s="27"/>
      <c r="BS143" s="27"/>
      <c r="BT143" s="27"/>
      <c r="BU143" s="27"/>
      <c r="BV143" s="27"/>
      <c r="BW143" s="27"/>
      <c r="BX143" s="27"/>
      <c r="BY143" s="27"/>
      <c r="BZ143" s="27"/>
      <c r="CA143" s="27"/>
      <c r="CB143" s="27"/>
      <c r="CC143" s="27"/>
      <c r="CD143" s="27"/>
      <c r="CE143" s="27"/>
      <c r="CF143" s="27"/>
      <c r="CG143" s="27"/>
      <c r="CH143" s="27"/>
      <c r="CI143" s="27"/>
      <c r="CJ143" s="27"/>
      <c r="CK143" s="27"/>
      <c r="CL143" s="27"/>
      <c r="CM143" s="27"/>
      <c r="CN143" s="27"/>
      <c r="CO143" s="27"/>
      <c r="CP143" s="27"/>
      <c r="CQ143" s="27"/>
      <c r="CR143" s="27"/>
      <c r="CS143" s="27"/>
      <c r="CT143" s="27"/>
      <c r="CU143" s="27"/>
      <c r="CV143" s="27"/>
      <c r="CW143" s="27"/>
      <c r="CX143" s="27"/>
      <c r="CY143" s="27"/>
      <c r="CZ143" s="27"/>
      <c r="DA143" s="27"/>
      <c r="DB143" s="27"/>
      <c r="DC143" s="27"/>
      <c r="DD143" s="27"/>
      <c r="DE143" s="27"/>
      <c r="DF143" s="27"/>
      <c r="DG143" s="27"/>
      <c r="DH143" s="27"/>
      <c r="DI143" s="27"/>
      <c r="DJ143" s="27"/>
      <c r="DK143" s="27"/>
      <c r="DL143" s="27"/>
      <c r="DM143" s="27"/>
      <c r="DN143" s="27"/>
      <c r="DO143" s="27"/>
      <c r="DP143" s="27"/>
      <c r="DQ143" s="27"/>
      <c r="DR143" s="27"/>
      <c r="DS143" s="27"/>
      <c r="DT143" s="27"/>
    </row>
    <row r="144" spans="2:124" ht="17.25" customHeight="1" x14ac:dyDescent="0.2">
      <c r="B144" s="27" t="s">
        <v>487</v>
      </c>
      <c r="C144" s="27">
        <v>0.27</v>
      </c>
      <c r="D144" s="27">
        <v>0.37</v>
      </c>
      <c r="E144" s="27">
        <f>C144+12.5%</f>
        <v>0.39500000000000002</v>
      </c>
      <c r="F144" s="27">
        <f>IF(C14&gt;0,30*C9-3,30*C9)</f>
        <v>0</v>
      </c>
      <c r="G144" s="27"/>
      <c r="H144" s="27"/>
      <c r="I144" s="27"/>
      <c r="J144" s="27"/>
      <c r="K144" s="27"/>
      <c r="L144" s="27"/>
      <c r="M144" s="27"/>
      <c r="N144" s="27"/>
      <c r="O144" s="27"/>
      <c r="P144" s="27"/>
      <c r="Q144" s="27"/>
      <c r="R144" s="27"/>
      <c r="S144" s="27"/>
      <c r="T144" s="27"/>
      <c r="U144" s="27"/>
      <c r="V144" s="27"/>
      <c r="W144" s="27"/>
      <c r="X144" s="27"/>
      <c r="Y144" s="27"/>
      <c r="Z144" s="27"/>
      <c r="AA144" s="27"/>
      <c r="AB144" s="27"/>
      <c r="AC144" s="27"/>
      <c r="AD144" s="27"/>
      <c r="AE144" s="27"/>
      <c r="AF144" s="27"/>
      <c r="AG144" s="27"/>
      <c r="AH144" s="27"/>
      <c r="AI144" s="27"/>
      <c r="AJ144" s="27"/>
      <c r="AK144" s="27"/>
      <c r="AL144" s="27"/>
      <c r="AM144" s="27"/>
      <c r="AN144" s="27"/>
      <c r="AO144" s="27"/>
      <c r="AP144" s="27"/>
      <c r="AQ144" s="27"/>
      <c r="AR144" s="27"/>
      <c r="AS144" s="27"/>
      <c r="AT144" s="27"/>
      <c r="AU144" s="27"/>
      <c r="AV144" s="27"/>
      <c r="AW144" s="27"/>
      <c r="AX144" s="27"/>
      <c r="AY144" s="27"/>
      <c r="AZ144" s="27"/>
      <c r="BA144" s="27"/>
      <c r="BB144" s="27"/>
      <c r="BC144" s="27"/>
      <c r="BD144" s="27"/>
      <c r="BE144" s="27"/>
      <c r="BF144" s="27"/>
      <c r="BG144" s="27"/>
      <c r="BH144" s="27"/>
      <c r="BI144" s="27"/>
      <c r="BJ144" s="27"/>
      <c r="BK144" s="27"/>
      <c r="BL144" s="27"/>
      <c r="BM144" s="27"/>
      <c r="BN144" s="27"/>
      <c r="BO144" s="27"/>
      <c r="BP144" s="27"/>
      <c r="BQ144" s="27"/>
      <c r="BR144" s="27"/>
      <c r="BS144" s="27"/>
      <c r="BT144" s="27"/>
      <c r="BU144" s="27"/>
      <c r="BV144" s="27"/>
      <c r="BW144" s="27"/>
      <c r="BX144" s="27"/>
      <c r="BY144" s="27"/>
      <c r="BZ144" s="27"/>
      <c r="CA144" s="27"/>
      <c r="CB144" s="27"/>
      <c r="CC144" s="27"/>
      <c r="CD144" s="27"/>
      <c r="CE144" s="27"/>
      <c r="CF144" s="27"/>
      <c r="CG144" s="27"/>
      <c r="CH144" s="27"/>
      <c r="CI144" s="27"/>
      <c r="CJ144" s="27"/>
      <c r="CK144" s="27"/>
      <c r="CL144" s="27"/>
      <c r="CM144" s="27"/>
      <c r="CN144" s="27"/>
      <c r="CO144" s="27"/>
      <c r="CP144" s="27"/>
      <c r="CQ144" s="27"/>
      <c r="CR144" s="27"/>
      <c r="CS144" s="27"/>
      <c r="CT144" s="27"/>
      <c r="CU144" s="27"/>
      <c r="CV144" s="27"/>
      <c r="CW144" s="27"/>
      <c r="CX144" s="27"/>
      <c r="CY144" s="27"/>
      <c r="CZ144" s="27"/>
      <c r="DA144" s="27"/>
      <c r="DB144" s="27"/>
      <c r="DC144" s="27"/>
      <c r="DD144" s="27"/>
      <c r="DE144" s="27"/>
      <c r="DF144" s="27"/>
      <c r="DG144" s="27"/>
      <c r="DH144" s="27"/>
      <c r="DI144" s="27"/>
      <c r="DJ144" s="27"/>
      <c r="DK144" s="27"/>
      <c r="DL144" s="27"/>
      <c r="DM144" s="27"/>
      <c r="DN144" s="27"/>
      <c r="DO144" s="27"/>
      <c r="DP144" s="27"/>
      <c r="DQ144" s="27"/>
      <c r="DR144" s="27"/>
      <c r="DS144" s="27"/>
      <c r="DT144" s="27"/>
    </row>
    <row r="145" spans="2:124" ht="17.25" customHeight="1" x14ac:dyDescent="0.2">
      <c r="B145" s="27" t="s">
        <v>488</v>
      </c>
      <c r="C145" s="27">
        <v>0.16</v>
      </c>
      <c r="D145" s="27"/>
      <c r="E145" s="27" t="s">
        <v>489</v>
      </c>
      <c r="F145" s="27" t="e">
        <f>IF(#REF!=0,0,IF(C9&gt;0.7999,3,0))</f>
        <v>#REF!</v>
      </c>
      <c r="G145" s="27" t="e">
        <f>F146+2</f>
        <v>#REF!</v>
      </c>
      <c r="H145" s="27"/>
      <c r="I145" s="27"/>
      <c r="J145" s="27"/>
      <c r="K145" s="27"/>
      <c r="L145" s="27"/>
      <c r="M145" s="27"/>
      <c r="N145" s="27"/>
      <c r="O145" s="27"/>
      <c r="P145" s="27"/>
      <c r="Q145" s="27"/>
      <c r="R145" s="27"/>
      <c r="S145" s="27"/>
      <c r="T145" s="27"/>
      <c r="U145" s="27"/>
      <c r="V145" s="27"/>
      <c r="W145" s="27"/>
      <c r="X145" s="27"/>
      <c r="Y145" s="27"/>
      <c r="Z145" s="27"/>
      <c r="AA145" s="27"/>
      <c r="AB145" s="27"/>
      <c r="AC145" s="27"/>
      <c r="AD145" s="27"/>
      <c r="AE145" s="27"/>
      <c r="AF145" s="27"/>
      <c r="AG145" s="27"/>
      <c r="AH145" s="27"/>
      <c r="AI145" s="27"/>
      <c r="AJ145" s="27"/>
      <c r="AK145" s="27"/>
      <c r="AL145" s="27"/>
      <c r="AM145" s="27"/>
      <c r="AN145" s="27"/>
      <c r="AO145" s="27"/>
      <c r="AP145" s="27"/>
      <c r="AQ145" s="27"/>
      <c r="AR145" s="27"/>
      <c r="AS145" s="27"/>
      <c r="AT145" s="27"/>
      <c r="AU145" s="27"/>
      <c r="AV145" s="27"/>
      <c r="AW145" s="27"/>
      <c r="AX145" s="27"/>
      <c r="AY145" s="27"/>
      <c r="AZ145" s="27"/>
      <c r="BA145" s="27"/>
      <c r="BB145" s="27"/>
      <c r="BC145" s="27"/>
      <c r="BD145" s="27"/>
      <c r="BE145" s="27"/>
      <c r="BF145" s="27"/>
      <c r="BG145" s="27"/>
      <c r="BH145" s="27"/>
      <c r="BI145" s="27"/>
      <c r="BJ145" s="27"/>
      <c r="BK145" s="27"/>
      <c r="BL145" s="27"/>
      <c r="BM145" s="27"/>
      <c r="BN145" s="27"/>
      <c r="BO145" s="27"/>
      <c r="BP145" s="27"/>
      <c r="BQ145" s="27"/>
      <c r="BR145" s="27"/>
      <c r="BS145" s="27"/>
      <c r="BT145" s="27"/>
      <c r="BU145" s="27"/>
      <c r="BV145" s="27"/>
      <c r="BW145" s="27"/>
      <c r="BX145" s="27"/>
      <c r="BY145" s="27"/>
      <c r="BZ145" s="27"/>
      <c r="CA145" s="27"/>
      <c r="CB145" s="27"/>
      <c r="CC145" s="27"/>
      <c r="CD145" s="27"/>
      <c r="CE145" s="27"/>
      <c r="CF145" s="27"/>
      <c r="CG145" s="27"/>
      <c r="CH145" s="27"/>
      <c r="CI145" s="27"/>
      <c r="CJ145" s="27"/>
      <c r="CK145" s="27"/>
      <c r="CL145" s="27"/>
      <c r="CM145" s="27"/>
      <c r="CN145" s="27"/>
      <c r="CO145" s="27"/>
      <c r="CP145" s="27"/>
      <c r="CQ145" s="27"/>
      <c r="CR145" s="27"/>
      <c r="CS145" s="27"/>
      <c r="CT145" s="27"/>
      <c r="CU145" s="27"/>
      <c r="CV145" s="27"/>
      <c r="CW145" s="27"/>
      <c r="CX145" s="27"/>
      <c r="CY145" s="27"/>
      <c r="CZ145" s="27"/>
      <c r="DA145" s="27"/>
      <c r="DB145" s="27"/>
      <c r="DC145" s="27"/>
      <c r="DD145" s="27"/>
      <c r="DE145" s="27"/>
      <c r="DF145" s="27"/>
      <c r="DG145" s="27"/>
      <c r="DH145" s="27"/>
      <c r="DI145" s="27"/>
      <c r="DJ145" s="27"/>
      <c r="DK145" s="27"/>
      <c r="DL145" s="27"/>
      <c r="DM145" s="27"/>
      <c r="DN145" s="27"/>
      <c r="DO145" s="27"/>
      <c r="DP145" s="27"/>
      <c r="DQ145" s="27"/>
      <c r="DR145" s="27"/>
      <c r="DS145" s="27"/>
      <c r="DT145" s="27"/>
    </row>
    <row r="146" spans="2:124" ht="17.25" customHeight="1" x14ac:dyDescent="0.2">
      <c r="B146" s="27" t="s">
        <v>8</v>
      </c>
      <c r="C146" s="27" t="s">
        <v>28</v>
      </c>
      <c r="D146" s="27"/>
      <c r="E146" s="27" t="s">
        <v>490</v>
      </c>
      <c r="F146" s="27" t="e">
        <f>F144-F145</f>
        <v>#REF!</v>
      </c>
      <c r="G146" s="27">
        <v>341</v>
      </c>
      <c r="H146" s="27"/>
      <c r="I146" s="27"/>
      <c r="J146" s="27"/>
      <c r="K146" s="27"/>
      <c r="L146" s="27"/>
      <c r="M146" s="27"/>
      <c r="N146" s="27"/>
      <c r="O146" s="27"/>
      <c r="P146" s="27"/>
      <c r="Q146" s="27"/>
      <c r="R146" s="27"/>
      <c r="S146" s="27"/>
      <c r="T146" s="27"/>
      <c r="U146" s="27"/>
      <c r="V146" s="27"/>
      <c r="W146" s="27"/>
      <c r="X146" s="27"/>
      <c r="Y146" s="27"/>
      <c r="Z146" s="27"/>
      <c r="AA146" s="27"/>
      <c r="AB146" s="27"/>
      <c r="AC146" s="27"/>
      <c r="AD146" s="27"/>
      <c r="AE146" s="27"/>
      <c r="AF146" s="27"/>
      <c r="AG146" s="27"/>
      <c r="AH146" s="27"/>
      <c r="AI146" s="27"/>
      <c r="AJ146" s="27"/>
      <c r="AK146" s="27"/>
      <c r="AL146" s="27"/>
      <c r="AM146" s="27"/>
      <c r="AN146" s="27"/>
      <c r="AO146" s="27"/>
      <c r="AP146" s="27"/>
      <c r="AQ146" s="27"/>
      <c r="AR146" s="27"/>
      <c r="AS146" s="27"/>
      <c r="AT146" s="27"/>
      <c r="AU146" s="27"/>
      <c r="AV146" s="27"/>
      <c r="AW146" s="27"/>
      <c r="AX146" s="27"/>
      <c r="AY146" s="27"/>
      <c r="AZ146" s="27"/>
      <c r="BA146" s="27"/>
      <c r="BB146" s="27"/>
      <c r="BC146" s="27"/>
      <c r="BD146" s="27"/>
      <c r="BE146" s="27"/>
      <c r="BF146" s="27"/>
      <c r="BG146" s="27"/>
      <c r="BH146" s="27"/>
      <c r="BI146" s="27"/>
      <c r="BJ146" s="27"/>
      <c r="BK146" s="27"/>
      <c r="BL146" s="27"/>
      <c r="BM146" s="27"/>
      <c r="BN146" s="27"/>
      <c r="BO146" s="27"/>
      <c r="BP146" s="27"/>
      <c r="BQ146" s="27"/>
      <c r="BR146" s="27"/>
      <c r="BS146" s="27"/>
      <c r="BT146" s="27"/>
      <c r="BU146" s="27"/>
      <c r="BV146" s="27"/>
      <c r="BW146" s="27"/>
      <c r="BX146" s="27"/>
      <c r="BY146" s="27"/>
      <c r="BZ146" s="27"/>
      <c r="CA146" s="27"/>
      <c r="CB146" s="27"/>
      <c r="CC146" s="27"/>
      <c r="CD146" s="27"/>
      <c r="CE146" s="27"/>
      <c r="CF146" s="27"/>
      <c r="CG146" s="27"/>
      <c r="CH146" s="27"/>
      <c r="CI146" s="27"/>
      <c r="CJ146" s="27"/>
      <c r="CK146" s="27"/>
      <c r="CL146" s="27"/>
      <c r="CM146" s="27"/>
      <c r="CN146" s="27"/>
      <c r="CO146" s="27"/>
      <c r="CP146" s="27"/>
      <c r="CQ146" s="27"/>
      <c r="CR146" s="27"/>
      <c r="CS146" s="27"/>
      <c r="CT146" s="27"/>
      <c r="CU146" s="27"/>
      <c r="CV146" s="27"/>
      <c r="CW146" s="27"/>
      <c r="CX146" s="27"/>
      <c r="CY146" s="27"/>
      <c r="CZ146" s="27"/>
      <c r="DA146" s="27"/>
      <c r="DB146" s="27"/>
      <c r="DC146" s="27"/>
      <c r="DD146" s="27"/>
      <c r="DE146" s="27"/>
      <c r="DF146" s="27"/>
      <c r="DG146" s="27"/>
      <c r="DH146" s="27"/>
      <c r="DI146" s="27"/>
      <c r="DJ146" s="27"/>
      <c r="DK146" s="27"/>
      <c r="DL146" s="27"/>
      <c r="DM146" s="27"/>
      <c r="DN146" s="27"/>
      <c r="DO146" s="27"/>
      <c r="DP146" s="27"/>
      <c r="DQ146" s="27"/>
      <c r="DR146" s="27"/>
      <c r="DS146" s="27"/>
      <c r="DT146" s="27"/>
    </row>
    <row r="147" spans="2:124" ht="17.25" customHeight="1" x14ac:dyDescent="0.2">
      <c r="B147" s="27"/>
      <c r="C147" s="27"/>
      <c r="D147" s="27"/>
      <c r="E147" s="27"/>
      <c r="F147" s="27" t="s">
        <v>491</v>
      </c>
      <c r="G147" s="27">
        <v>230</v>
      </c>
      <c r="H147" s="27"/>
      <c r="I147" s="27"/>
      <c r="J147" s="27"/>
      <c r="K147" s="27"/>
      <c r="L147" s="27"/>
      <c r="M147" s="27"/>
      <c r="N147" s="27"/>
      <c r="O147" s="27"/>
      <c r="P147" s="27"/>
      <c r="Q147" s="27"/>
      <c r="R147" s="27"/>
      <c r="S147" s="27"/>
      <c r="T147" s="27"/>
      <c r="U147" s="27"/>
      <c r="V147" s="27"/>
      <c r="W147" s="27"/>
      <c r="X147" s="27"/>
      <c r="Y147" s="27"/>
      <c r="Z147" s="27"/>
      <c r="AA147" s="27"/>
      <c r="AB147" s="27"/>
      <c r="AC147" s="27"/>
      <c r="AD147" s="27"/>
      <c r="AE147" s="27"/>
      <c r="AF147" s="27"/>
      <c r="AG147" s="27"/>
      <c r="AH147" s="27"/>
      <c r="AI147" s="27"/>
      <c r="AJ147" s="27"/>
      <c r="AK147" s="27"/>
      <c r="AL147" s="27"/>
      <c r="AM147" s="27"/>
      <c r="AN147" s="27"/>
      <c r="AO147" s="27"/>
      <c r="AP147" s="27"/>
      <c r="AQ147" s="27"/>
      <c r="AR147" s="27"/>
      <c r="AS147" s="27"/>
      <c r="AT147" s="27"/>
      <c r="AU147" s="27"/>
      <c r="AV147" s="27"/>
      <c r="AW147" s="27"/>
      <c r="AX147" s="27"/>
      <c r="AY147" s="27"/>
      <c r="AZ147" s="27"/>
      <c r="BA147" s="27"/>
      <c r="BB147" s="27"/>
      <c r="BC147" s="27"/>
      <c r="BD147" s="27"/>
      <c r="BE147" s="27"/>
      <c r="BF147" s="27"/>
      <c r="BG147" s="27"/>
      <c r="BH147" s="27"/>
      <c r="BI147" s="27"/>
      <c r="BJ147" s="27"/>
      <c r="BK147" s="27"/>
      <c r="BL147" s="27"/>
      <c r="BM147" s="27"/>
      <c r="BN147" s="27"/>
      <c r="BO147" s="27"/>
      <c r="BP147" s="27"/>
      <c r="BQ147" s="27"/>
      <c r="BR147" s="27"/>
      <c r="BS147" s="27"/>
      <c r="BT147" s="27"/>
      <c r="BU147" s="27"/>
      <c r="BV147" s="27"/>
      <c r="BW147" s="27"/>
      <c r="BX147" s="27"/>
      <c r="BY147" s="27"/>
      <c r="BZ147" s="27"/>
      <c r="CA147" s="27"/>
      <c r="CB147" s="27"/>
      <c r="CC147" s="27"/>
      <c r="CD147" s="27"/>
      <c r="CE147" s="27"/>
      <c r="CF147" s="27"/>
      <c r="CG147" s="27"/>
      <c r="CH147" s="27"/>
      <c r="CI147" s="27"/>
      <c r="CJ147" s="27"/>
      <c r="CK147" s="27"/>
      <c r="CL147" s="27"/>
      <c r="CM147" s="27"/>
      <c r="CN147" s="27"/>
      <c r="CO147" s="27"/>
      <c r="CP147" s="27"/>
      <c r="CQ147" s="27"/>
      <c r="CR147" s="27"/>
      <c r="CS147" s="27"/>
      <c r="CT147" s="27"/>
      <c r="CU147" s="27"/>
      <c r="CV147" s="27"/>
      <c r="CW147" s="27"/>
      <c r="CX147" s="27"/>
      <c r="CY147" s="27"/>
      <c r="CZ147" s="27"/>
      <c r="DA147" s="27"/>
      <c r="DB147" s="27"/>
      <c r="DC147" s="27"/>
      <c r="DD147" s="27"/>
      <c r="DE147" s="27"/>
      <c r="DF147" s="27"/>
      <c r="DG147" s="27"/>
      <c r="DH147" s="27"/>
      <c r="DI147" s="27"/>
      <c r="DJ147" s="27"/>
      <c r="DK147" s="27"/>
      <c r="DL147" s="27"/>
      <c r="DM147" s="27"/>
      <c r="DN147" s="27"/>
      <c r="DO147" s="27"/>
      <c r="DP147" s="27"/>
      <c r="DQ147" s="27"/>
      <c r="DR147" s="27"/>
      <c r="DS147" s="27"/>
      <c r="DT147" s="27"/>
    </row>
    <row r="148" spans="2:124" ht="17.25" customHeight="1" x14ac:dyDescent="0.2">
      <c r="B148" s="27"/>
      <c r="C148" s="27"/>
      <c r="D148" s="27"/>
      <c r="E148" s="27" t="s">
        <v>8</v>
      </c>
      <c r="F148" s="27" t="s">
        <v>492</v>
      </c>
      <c r="G148" s="27"/>
      <c r="H148" s="27"/>
      <c r="I148" s="27"/>
      <c r="J148" s="27"/>
      <c r="K148" s="27"/>
      <c r="L148" s="27"/>
      <c r="M148" s="27"/>
      <c r="N148" s="27"/>
      <c r="O148" s="27"/>
      <c r="P148" s="27"/>
      <c r="Q148" s="27"/>
      <c r="R148" s="27"/>
      <c r="S148" s="27"/>
      <c r="T148" s="27"/>
      <c r="U148" s="27"/>
      <c r="V148" s="27"/>
      <c r="W148" s="27"/>
      <c r="X148" s="27"/>
      <c r="Y148" s="27"/>
      <c r="Z148" s="27"/>
      <c r="AA148" s="27"/>
      <c r="AB148" s="27"/>
      <c r="AC148" s="27"/>
      <c r="AD148" s="27"/>
      <c r="AE148" s="27"/>
      <c r="AF148" s="27"/>
      <c r="AG148" s="27"/>
      <c r="AH148" s="27"/>
      <c r="AI148" s="27"/>
      <c r="AJ148" s="27"/>
      <c r="AK148" s="27"/>
      <c r="AL148" s="27"/>
      <c r="AM148" s="27"/>
      <c r="AN148" s="27"/>
      <c r="AO148" s="27"/>
      <c r="AP148" s="27"/>
      <c r="AQ148" s="27"/>
      <c r="AR148" s="27"/>
      <c r="AS148" s="27"/>
      <c r="AT148" s="27"/>
      <c r="AU148" s="27"/>
      <c r="AV148" s="27"/>
      <c r="AW148" s="27"/>
      <c r="AX148" s="27"/>
      <c r="AY148" s="27"/>
      <c r="AZ148" s="27"/>
      <c r="BA148" s="27"/>
      <c r="BB148" s="27"/>
      <c r="BC148" s="27"/>
      <c r="BD148" s="27"/>
      <c r="BE148" s="27"/>
      <c r="BF148" s="27"/>
      <c r="BG148" s="27"/>
      <c r="BH148" s="27"/>
      <c r="BI148" s="27"/>
      <c r="BJ148" s="27"/>
      <c r="BK148" s="27"/>
      <c r="BL148" s="27"/>
      <c r="BM148" s="27"/>
      <c r="BN148" s="27"/>
      <c r="BO148" s="27"/>
      <c r="BP148" s="27"/>
      <c r="BQ148" s="27"/>
      <c r="BR148" s="27"/>
      <c r="BS148" s="27"/>
      <c r="BT148" s="27"/>
      <c r="BU148" s="27"/>
      <c r="BV148" s="27"/>
      <c r="BW148" s="27"/>
      <c r="BX148" s="27"/>
      <c r="BY148" s="27"/>
      <c r="BZ148" s="27"/>
      <c r="CA148" s="27"/>
      <c r="CB148" s="27"/>
      <c r="CC148" s="27"/>
      <c r="CD148" s="27"/>
      <c r="CE148" s="27"/>
      <c r="CF148" s="27"/>
      <c r="CG148" s="27"/>
      <c r="CH148" s="27"/>
      <c r="CI148" s="27"/>
      <c r="CJ148" s="27"/>
      <c r="CK148" s="27"/>
      <c r="CL148" s="27"/>
      <c r="CM148" s="27"/>
      <c r="CN148" s="27"/>
      <c r="CO148" s="27"/>
      <c r="CP148" s="27"/>
      <c r="CQ148" s="27"/>
      <c r="CR148" s="27"/>
      <c r="CS148" s="27"/>
      <c r="CT148" s="27"/>
      <c r="CU148" s="27"/>
      <c r="CV148" s="27"/>
      <c r="CW148" s="27"/>
      <c r="CX148" s="27"/>
      <c r="CY148" s="27"/>
      <c r="CZ148" s="27"/>
      <c r="DA148" s="27"/>
      <c r="DB148" s="27"/>
      <c r="DC148" s="27"/>
      <c r="DD148" s="27"/>
      <c r="DE148" s="27"/>
      <c r="DF148" s="27"/>
      <c r="DG148" s="27"/>
      <c r="DH148" s="27"/>
      <c r="DI148" s="27"/>
      <c r="DJ148" s="27"/>
      <c r="DK148" s="27"/>
      <c r="DL148" s="27"/>
      <c r="DM148" s="27"/>
      <c r="DN148" s="27"/>
      <c r="DO148" s="27"/>
      <c r="DP148" s="27"/>
      <c r="DQ148" s="27"/>
      <c r="DR148" s="27"/>
      <c r="DS148" s="27"/>
      <c r="DT148" s="27"/>
    </row>
    <row r="149" spans="2:124" ht="12" customHeight="1" x14ac:dyDescent="0.2">
      <c r="B149" s="27" t="s">
        <v>8</v>
      </c>
      <c r="C149" s="27"/>
      <c r="D149" s="27"/>
      <c r="E149" s="27" t="s">
        <v>27</v>
      </c>
      <c r="F149" s="27"/>
      <c r="G149" s="27" t="s">
        <v>438</v>
      </c>
      <c r="H149" s="27" t="s">
        <v>493</v>
      </c>
      <c r="I149" s="27"/>
      <c r="J149" s="27"/>
      <c r="K149" s="27"/>
      <c r="L149" s="27"/>
      <c r="M149" s="27"/>
      <c r="N149" s="27"/>
      <c r="O149" s="27"/>
      <c r="P149" s="27"/>
      <c r="Q149" s="27"/>
      <c r="R149" s="27"/>
      <c r="S149" s="27"/>
      <c r="T149" s="27"/>
      <c r="U149" s="27"/>
      <c r="V149" s="27"/>
      <c r="W149" s="27"/>
      <c r="X149" s="27"/>
      <c r="Y149" s="27"/>
      <c r="Z149" s="27"/>
      <c r="AA149" s="27"/>
      <c r="AB149" s="27"/>
      <c r="AC149" s="27"/>
      <c r="AD149" s="27"/>
      <c r="AE149" s="27"/>
      <c r="AF149" s="27"/>
      <c r="AG149" s="27"/>
      <c r="AH149" s="27"/>
      <c r="AI149" s="27"/>
      <c r="AJ149" s="27"/>
      <c r="AK149" s="27"/>
      <c r="AL149" s="27"/>
      <c r="AM149" s="27"/>
      <c r="AN149" s="27"/>
      <c r="AO149" s="27"/>
      <c r="AP149" s="27"/>
      <c r="AQ149" s="27"/>
      <c r="AR149" s="27"/>
      <c r="AS149" s="27"/>
      <c r="AT149" s="27"/>
      <c r="AU149" s="27"/>
      <c r="AV149" s="27"/>
      <c r="AW149" s="27"/>
      <c r="AX149" s="27"/>
      <c r="AY149" s="27"/>
      <c r="AZ149" s="27"/>
      <c r="BA149" s="27"/>
      <c r="BB149" s="27"/>
      <c r="BC149" s="27"/>
      <c r="BD149" s="27"/>
      <c r="BE149" s="27"/>
      <c r="BF149" s="27"/>
      <c r="BG149" s="27"/>
      <c r="BH149" s="27"/>
      <c r="BI149" s="27"/>
      <c r="BJ149" s="27"/>
      <c r="BK149" s="27"/>
      <c r="BL149" s="27"/>
      <c r="BM149" s="27"/>
      <c r="BN149" s="27"/>
      <c r="BO149" s="27"/>
      <c r="BP149" s="27"/>
      <c r="BQ149" s="27"/>
      <c r="BR149" s="27"/>
      <c r="BS149" s="27"/>
      <c r="BT149" s="27"/>
      <c r="BU149" s="27"/>
      <c r="BV149" s="27"/>
      <c r="BW149" s="27"/>
      <c r="BX149" s="27"/>
      <c r="BY149" s="27"/>
      <c r="BZ149" s="27"/>
      <c r="CA149" s="27"/>
      <c r="CB149" s="27"/>
      <c r="CC149" s="27"/>
      <c r="CD149" s="27"/>
      <c r="CE149" s="27"/>
      <c r="CF149" s="27"/>
      <c r="CG149" s="27"/>
      <c r="CH149" s="27"/>
      <c r="CI149" s="27"/>
      <c r="CJ149" s="27"/>
      <c r="CK149" s="27"/>
      <c r="CL149" s="27"/>
      <c r="CM149" s="27"/>
      <c r="CN149" s="27"/>
      <c r="CO149" s="27"/>
      <c r="CP149" s="27"/>
      <c r="CQ149" s="27"/>
      <c r="CR149" s="27"/>
      <c r="CS149" s="27"/>
      <c r="CT149" s="27"/>
      <c r="CU149" s="27"/>
      <c r="CV149" s="27"/>
      <c r="CW149" s="27"/>
      <c r="CX149" s="27"/>
      <c r="CY149" s="27"/>
      <c r="CZ149" s="27"/>
      <c r="DA149" s="27"/>
      <c r="DB149" s="27"/>
      <c r="DC149" s="27"/>
      <c r="DD149" s="27"/>
      <c r="DE149" s="27"/>
      <c r="DF149" s="27"/>
      <c r="DG149" s="27"/>
      <c r="DH149" s="27"/>
      <c r="DI149" s="27"/>
      <c r="DJ149" s="27"/>
      <c r="DK149" s="27"/>
      <c r="DL149" s="27"/>
      <c r="DM149" s="27"/>
      <c r="DN149" s="27"/>
      <c r="DO149" s="27"/>
      <c r="DP149" s="27"/>
      <c r="DQ149" s="27"/>
      <c r="DR149" s="27"/>
      <c r="DS149" s="27"/>
      <c r="DT149" s="27"/>
    </row>
    <row r="150" spans="2:124" ht="12" customHeight="1" x14ac:dyDescent="0.2">
      <c r="B150" s="27" t="s">
        <v>71</v>
      </c>
      <c r="C150" s="27">
        <v>156.88</v>
      </c>
      <c r="D150" s="27" t="s">
        <v>74</v>
      </c>
      <c r="E150" s="27"/>
      <c r="F150" s="27"/>
      <c r="G150" s="27" t="s">
        <v>439</v>
      </c>
      <c r="H150" s="27"/>
      <c r="I150" s="27"/>
      <c r="J150" s="27"/>
      <c r="K150" s="27"/>
      <c r="L150" s="27"/>
      <c r="M150" s="27"/>
      <c r="N150" s="27"/>
      <c r="O150" s="27"/>
      <c r="P150" s="27"/>
      <c r="Q150" s="27"/>
      <c r="R150" s="27"/>
      <c r="S150" s="27"/>
      <c r="T150" s="27"/>
      <c r="U150" s="27"/>
      <c r="V150" s="27"/>
      <c r="W150" s="27"/>
      <c r="X150" s="27"/>
      <c r="Y150" s="27"/>
      <c r="Z150" s="27"/>
      <c r="AA150" s="27"/>
      <c r="AB150" s="27"/>
      <c r="AC150" s="27"/>
      <c r="AD150" s="27"/>
      <c r="AE150" s="27"/>
      <c r="AF150" s="27"/>
      <c r="AG150" s="27"/>
      <c r="AH150" s="27"/>
      <c r="AI150" s="27"/>
      <c r="AJ150" s="27"/>
      <c r="AK150" s="27"/>
      <c r="AL150" s="27"/>
      <c r="AM150" s="27"/>
      <c r="AN150" s="27"/>
      <c r="AO150" s="27"/>
      <c r="AP150" s="27"/>
      <c r="AQ150" s="27"/>
      <c r="AR150" s="27"/>
      <c r="AS150" s="27"/>
      <c r="AT150" s="27"/>
      <c r="AU150" s="27"/>
      <c r="AV150" s="27"/>
      <c r="AW150" s="27"/>
      <c r="AX150" s="27"/>
      <c r="AY150" s="27"/>
      <c r="AZ150" s="27"/>
      <c r="BA150" s="27"/>
      <c r="BB150" s="27"/>
      <c r="BC150" s="27"/>
      <c r="BD150" s="27"/>
      <c r="BE150" s="27"/>
      <c r="BF150" s="27"/>
      <c r="BG150" s="27"/>
      <c r="BH150" s="27"/>
      <c r="BI150" s="27"/>
      <c r="BJ150" s="27"/>
      <c r="BK150" s="27"/>
      <c r="BL150" s="27"/>
      <c r="BM150" s="27"/>
      <c r="BN150" s="27"/>
      <c r="BO150" s="27"/>
      <c r="BP150" s="27"/>
      <c r="BQ150" s="27"/>
      <c r="BR150" s="27"/>
      <c r="BS150" s="27"/>
      <c r="BT150" s="27"/>
      <c r="BU150" s="27"/>
      <c r="BV150" s="27"/>
      <c r="BW150" s="27"/>
      <c r="BX150" s="27"/>
      <c r="BY150" s="27"/>
      <c r="BZ150" s="27"/>
      <c r="CA150" s="27"/>
      <c r="CB150" s="27"/>
      <c r="CC150" s="27"/>
      <c r="CD150" s="27"/>
      <c r="CE150" s="27"/>
      <c r="CF150" s="27"/>
      <c r="CG150" s="27"/>
      <c r="CH150" s="27"/>
      <c r="CI150" s="27"/>
      <c r="CJ150" s="27"/>
      <c r="CK150" s="27"/>
      <c r="CL150" s="27"/>
      <c r="CM150" s="27"/>
      <c r="CN150" s="27"/>
      <c r="CO150" s="27"/>
      <c r="CP150" s="27"/>
      <c r="CQ150" s="27"/>
      <c r="CR150" s="27"/>
      <c r="CS150" s="27"/>
      <c r="CT150" s="27"/>
      <c r="CU150" s="27"/>
      <c r="CV150" s="27"/>
      <c r="CW150" s="27"/>
      <c r="CX150" s="27"/>
      <c r="CY150" s="27"/>
      <c r="CZ150" s="27"/>
      <c r="DA150" s="27"/>
      <c r="DB150" s="27"/>
      <c r="DC150" s="27"/>
      <c r="DD150" s="27"/>
      <c r="DE150" s="27"/>
      <c r="DF150" s="27"/>
      <c r="DG150" s="27"/>
      <c r="DH150" s="27"/>
      <c r="DI150" s="27"/>
      <c r="DJ150" s="27"/>
      <c r="DK150" s="27"/>
      <c r="DL150" s="27"/>
      <c r="DM150" s="27"/>
      <c r="DN150" s="27"/>
      <c r="DO150" s="27"/>
      <c r="DP150" s="27"/>
      <c r="DQ150" s="27"/>
      <c r="DR150" s="27"/>
      <c r="DS150" s="27"/>
      <c r="DT150" s="27"/>
    </row>
    <row r="151" spans="2:124" ht="12" customHeight="1" x14ac:dyDescent="0.2">
      <c r="B151" s="27" t="s">
        <v>452</v>
      </c>
      <c r="C151" s="27">
        <v>174.47</v>
      </c>
      <c r="D151" s="27" t="s">
        <v>210</v>
      </c>
      <c r="E151" s="27" t="e">
        <f>(VLOOKUP($I$32,O45:P61,2,0))</f>
        <v>#N/A</v>
      </c>
      <c r="F151" s="27"/>
      <c r="G151" s="27" t="s">
        <v>494</v>
      </c>
      <c r="H151" s="27"/>
      <c r="I151" s="27"/>
      <c r="J151" s="27"/>
      <c r="K151" s="27"/>
      <c r="L151" s="27"/>
      <c r="M151" s="27"/>
      <c r="N151" s="27"/>
      <c r="O151" s="27"/>
      <c r="P151" s="27"/>
      <c r="Q151" s="27"/>
      <c r="R151" s="27"/>
      <c r="S151" s="27"/>
      <c r="T151" s="27"/>
      <c r="U151" s="27"/>
      <c r="V151" s="27"/>
      <c r="W151" s="27"/>
      <c r="X151" s="27"/>
      <c r="Y151" s="27"/>
      <c r="Z151" s="27"/>
      <c r="AA151" s="27"/>
      <c r="AB151" s="27"/>
      <c r="AC151" s="27"/>
      <c r="AD151" s="27"/>
      <c r="AE151" s="27"/>
      <c r="AF151" s="27"/>
      <c r="AG151" s="27"/>
      <c r="AH151" s="27"/>
      <c r="AI151" s="27"/>
      <c r="AJ151" s="27"/>
      <c r="AK151" s="27"/>
      <c r="AL151" s="27"/>
      <c r="AM151" s="27"/>
      <c r="AN151" s="27"/>
      <c r="AO151" s="27"/>
      <c r="AP151" s="27"/>
      <c r="AQ151" s="27"/>
      <c r="AR151" s="27"/>
      <c r="AS151" s="27"/>
      <c r="AT151" s="27"/>
      <c r="AU151" s="27"/>
      <c r="AV151" s="27"/>
      <c r="AW151" s="27"/>
      <c r="AX151" s="27"/>
      <c r="AY151" s="27"/>
      <c r="AZ151" s="27"/>
      <c r="BA151" s="27"/>
      <c r="BB151" s="27"/>
      <c r="BC151" s="27"/>
      <c r="BD151" s="27"/>
      <c r="BE151" s="27"/>
      <c r="BF151" s="27"/>
      <c r="BG151" s="27"/>
      <c r="BH151" s="27"/>
      <c r="BI151" s="27"/>
      <c r="BJ151" s="27"/>
      <c r="BK151" s="27"/>
      <c r="BL151" s="27"/>
      <c r="BM151" s="27"/>
      <c r="BN151" s="27"/>
      <c r="BO151" s="27"/>
      <c r="BP151" s="27"/>
      <c r="BQ151" s="27"/>
      <c r="BR151" s="27"/>
      <c r="BS151" s="27"/>
      <c r="BT151" s="27"/>
      <c r="BU151" s="27"/>
      <c r="BV151" s="27"/>
      <c r="BW151" s="27"/>
      <c r="BX151" s="27"/>
      <c r="BY151" s="27"/>
      <c r="BZ151" s="27"/>
      <c r="CA151" s="27"/>
      <c r="CB151" s="27"/>
      <c r="CC151" s="27"/>
      <c r="CD151" s="27"/>
      <c r="CE151" s="27"/>
      <c r="CF151" s="27"/>
      <c r="CG151" s="27"/>
      <c r="CH151" s="27"/>
      <c r="CI151" s="27"/>
      <c r="CJ151" s="27"/>
      <c r="CK151" s="27"/>
      <c r="CL151" s="27"/>
      <c r="CM151" s="27"/>
      <c r="CN151" s="27"/>
      <c r="CO151" s="27"/>
      <c r="CP151" s="27"/>
      <c r="CQ151" s="27"/>
      <c r="CR151" s="27"/>
      <c r="CS151" s="27"/>
      <c r="CT151" s="27"/>
      <c r="CU151" s="27"/>
      <c r="CV151" s="27"/>
      <c r="CW151" s="27"/>
      <c r="CX151" s="27"/>
      <c r="CY151" s="27"/>
      <c r="CZ151" s="27"/>
      <c r="DA151" s="27"/>
      <c r="DB151" s="27"/>
      <c r="DC151" s="27"/>
      <c r="DD151" s="27"/>
      <c r="DE151" s="27"/>
      <c r="DF151" s="27"/>
      <c r="DG151" s="27"/>
      <c r="DH151" s="27"/>
      <c r="DI151" s="27"/>
      <c r="DJ151" s="27"/>
      <c r="DK151" s="27"/>
      <c r="DL151" s="27"/>
      <c r="DM151" s="27"/>
      <c r="DN151" s="27"/>
      <c r="DO151" s="27"/>
      <c r="DP151" s="27"/>
      <c r="DQ151" s="27"/>
      <c r="DR151" s="27"/>
      <c r="DS151" s="27"/>
      <c r="DT151" s="27"/>
    </row>
    <row r="152" spans="2:124" ht="12" customHeight="1" x14ac:dyDescent="0.2">
      <c r="B152" s="27">
        <v>0</v>
      </c>
      <c r="C152" s="27"/>
      <c r="D152" s="27" t="s">
        <v>250</v>
      </c>
      <c r="E152" s="27">
        <v>1</v>
      </c>
      <c r="F152" s="27"/>
      <c r="G152" s="27"/>
      <c r="H152" s="27" t="s">
        <v>495</v>
      </c>
      <c r="I152" s="27" t="str">
        <f>BG59</f>
        <v>ד"ר</v>
      </c>
      <c r="J152" s="27"/>
      <c r="K152" s="27"/>
      <c r="L152" s="27"/>
      <c r="M152" s="27"/>
      <c r="N152" s="27"/>
      <c r="O152" s="27"/>
      <c r="P152" s="27"/>
      <c r="Q152" s="27"/>
      <c r="R152" s="27"/>
      <c r="S152" s="27"/>
      <c r="T152" s="27"/>
      <c r="U152" s="27"/>
      <c r="V152" s="27"/>
      <c r="W152" s="27"/>
      <c r="X152" s="27"/>
      <c r="Y152" s="27"/>
      <c r="Z152" s="27"/>
      <c r="AA152" s="27"/>
      <c r="AB152" s="27"/>
      <c r="AC152" s="27"/>
      <c r="AD152" s="27"/>
      <c r="AE152" s="27"/>
      <c r="AF152" s="27"/>
      <c r="AG152" s="27"/>
      <c r="AH152" s="27"/>
      <c r="AI152" s="27"/>
      <c r="AJ152" s="27"/>
      <c r="AK152" s="27"/>
      <c r="AL152" s="27"/>
      <c r="AM152" s="27"/>
      <c r="AN152" s="27"/>
      <c r="AO152" s="27"/>
      <c r="AP152" s="27"/>
      <c r="AQ152" s="27"/>
      <c r="AR152" s="27"/>
      <c r="AS152" s="27"/>
      <c r="AT152" s="27"/>
      <c r="AU152" s="27"/>
      <c r="AV152" s="27"/>
      <c r="AW152" s="27"/>
      <c r="AX152" s="27"/>
      <c r="AY152" s="27"/>
      <c r="AZ152" s="27"/>
      <c r="BA152" s="27"/>
      <c r="BB152" s="27"/>
      <c r="BC152" s="27"/>
      <c r="BD152" s="27"/>
      <c r="BE152" s="27"/>
      <c r="BF152" s="27"/>
      <c r="BG152" s="27"/>
      <c r="BH152" s="27"/>
      <c r="BI152" s="27"/>
      <c r="BJ152" s="27"/>
      <c r="BK152" s="27"/>
      <c r="BL152" s="27"/>
      <c r="BM152" s="27"/>
      <c r="BN152" s="27"/>
      <c r="BO152" s="27"/>
      <c r="BP152" s="27"/>
      <c r="BQ152" s="27"/>
      <c r="BR152" s="27"/>
      <c r="BS152" s="27"/>
      <c r="BT152" s="27"/>
      <c r="BU152" s="27"/>
      <c r="BV152" s="27"/>
      <c r="BW152" s="27"/>
      <c r="BX152" s="27"/>
      <c r="BY152" s="27"/>
      <c r="BZ152" s="27"/>
      <c r="CA152" s="27"/>
      <c r="CB152" s="27"/>
      <c r="CC152" s="27"/>
      <c r="CD152" s="27"/>
      <c r="CE152" s="27"/>
      <c r="CF152" s="27"/>
      <c r="CG152" s="27"/>
      <c r="CH152" s="27"/>
      <c r="CI152" s="27"/>
      <c r="CJ152" s="27"/>
      <c r="CK152" s="27"/>
      <c r="CL152" s="27"/>
      <c r="CM152" s="27"/>
      <c r="CN152" s="27"/>
      <c r="CO152" s="27"/>
      <c r="CP152" s="27"/>
      <c r="CQ152" s="27"/>
      <c r="CR152" s="27"/>
      <c r="CS152" s="27"/>
      <c r="CT152" s="27"/>
      <c r="CU152" s="27"/>
      <c r="CV152" s="27"/>
      <c r="CW152" s="27"/>
      <c r="CX152" s="27"/>
      <c r="CY152" s="27"/>
      <c r="CZ152" s="27"/>
      <c r="DA152" s="27"/>
      <c r="DB152" s="27"/>
      <c r="DC152" s="27"/>
      <c r="DD152" s="27"/>
      <c r="DE152" s="27"/>
      <c r="DF152" s="27"/>
      <c r="DG152" s="27"/>
      <c r="DH152" s="27"/>
      <c r="DI152" s="27"/>
      <c r="DJ152" s="27"/>
      <c r="DK152" s="27"/>
      <c r="DL152" s="27"/>
      <c r="DM152" s="27"/>
      <c r="DN152" s="27"/>
      <c r="DO152" s="27"/>
      <c r="DP152" s="27"/>
      <c r="DQ152" s="27"/>
      <c r="DR152" s="27"/>
      <c r="DS152" s="27"/>
      <c r="DT152" s="27"/>
    </row>
    <row r="153" spans="2:124" ht="12" customHeight="1" x14ac:dyDescent="0.2">
      <c r="B153" s="27">
        <v>0.16</v>
      </c>
      <c r="C153" s="27"/>
      <c r="D153" s="27"/>
      <c r="E153" s="27">
        <v>2</v>
      </c>
      <c r="F153" s="27"/>
      <c r="G153" s="27" t="s">
        <v>278</v>
      </c>
      <c r="H153" s="27">
        <f>AA35/12</f>
        <v>0</v>
      </c>
      <c r="I153" s="27" t="s">
        <v>496</v>
      </c>
      <c r="J153" s="27"/>
      <c r="K153" s="27"/>
      <c r="L153" s="27"/>
      <c r="M153" s="27"/>
      <c r="N153" s="27"/>
      <c r="O153" s="27"/>
      <c r="P153" s="27"/>
      <c r="Q153" s="27"/>
      <c r="R153" s="27"/>
      <c r="S153" s="27"/>
      <c r="T153" s="27"/>
      <c r="U153" s="27"/>
      <c r="V153" s="27"/>
      <c r="W153" s="27"/>
      <c r="X153" s="27"/>
      <c r="Y153" s="27"/>
      <c r="Z153" s="27"/>
      <c r="AA153" s="27"/>
      <c r="AB153" s="27"/>
      <c r="AC153" s="27"/>
      <c r="AD153" s="27"/>
      <c r="AE153" s="27"/>
      <c r="AF153" s="27"/>
      <c r="AG153" s="27"/>
      <c r="AH153" s="27"/>
      <c r="AI153" s="27"/>
      <c r="AJ153" s="27"/>
      <c r="AK153" s="27"/>
      <c r="AL153" s="27"/>
      <c r="AM153" s="27"/>
      <c r="AN153" s="27"/>
      <c r="AO153" s="27"/>
      <c r="AP153" s="27"/>
      <c r="AQ153" s="27"/>
      <c r="AR153" s="27"/>
      <c r="AS153" s="27"/>
      <c r="AT153" s="27"/>
      <c r="AU153" s="27"/>
      <c r="AV153" s="27"/>
      <c r="AW153" s="27"/>
      <c r="AX153" s="27"/>
      <c r="AY153" s="27"/>
      <c r="AZ153" s="27"/>
      <c r="BA153" s="27"/>
      <c r="BB153" s="27"/>
      <c r="BC153" s="27"/>
      <c r="BD153" s="27"/>
      <c r="BE153" s="27"/>
      <c r="BF153" s="27"/>
      <c r="BG153" s="27"/>
      <c r="BH153" s="27"/>
      <c r="BI153" s="27"/>
      <c r="BJ153" s="27"/>
      <c r="BK153" s="27"/>
      <c r="BL153" s="27"/>
      <c r="BM153" s="27"/>
      <c r="BN153" s="27"/>
      <c r="BO153" s="27"/>
      <c r="BP153" s="27"/>
      <c r="BQ153" s="27"/>
      <c r="BR153" s="27"/>
      <c r="BS153" s="27"/>
      <c r="BT153" s="27"/>
      <c r="BU153" s="27"/>
      <c r="BV153" s="27"/>
      <c r="BW153" s="27"/>
      <c r="BX153" s="27"/>
      <c r="BY153" s="27"/>
      <c r="BZ153" s="27"/>
      <c r="CA153" s="27"/>
      <c r="CB153" s="27"/>
      <c r="CC153" s="27"/>
      <c r="CD153" s="27"/>
      <c r="CE153" s="27"/>
      <c r="CF153" s="27"/>
      <c r="CG153" s="27"/>
      <c r="CH153" s="27"/>
      <c r="CI153" s="27"/>
      <c r="CJ153" s="27"/>
      <c r="CK153" s="27"/>
      <c r="CL153" s="27"/>
      <c r="CM153" s="27"/>
      <c r="CN153" s="27"/>
      <c r="CO153" s="27"/>
      <c r="CP153" s="27"/>
      <c r="CQ153" s="27"/>
      <c r="CR153" s="27"/>
      <c r="CS153" s="27"/>
      <c r="CT153" s="27"/>
      <c r="CU153" s="27"/>
      <c r="CV153" s="27"/>
      <c r="CW153" s="27"/>
      <c r="CX153" s="27"/>
      <c r="CY153" s="27"/>
      <c r="CZ153" s="27"/>
      <c r="DA153" s="27"/>
      <c r="DB153" s="27"/>
      <c r="DC153" s="27"/>
      <c r="DD153" s="27"/>
      <c r="DE153" s="27"/>
      <c r="DF153" s="27"/>
      <c r="DG153" s="27"/>
      <c r="DH153" s="27"/>
      <c r="DI153" s="27"/>
      <c r="DJ153" s="27"/>
      <c r="DK153" s="27"/>
      <c r="DL153" s="27"/>
      <c r="DM153" s="27"/>
      <c r="DN153" s="27"/>
      <c r="DO153" s="27"/>
      <c r="DP153" s="27"/>
      <c r="DQ153" s="27"/>
      <c r="DR153" s="27"/>
      <c r="DS153" s="27"/>
      <c r="DT153" s="27"/>
    </row>
    <row r="154" spans="2:124" ht="12" customHeight="1" x14ac:dyDescent="0.2">
      <c r="B154" s="27" t="s">
        <v>497</v>
      </c>
      <c r="C154" s="27"/>
      <c r="D154" s="27">
        <v>5571</v>
      </c>
      <c r="E154" s="27"/>
      <c r="F154" s="27">
        <v>0</v>
      </c>
      <c r="G154" s="27">
        <v>1</v>
      </c>
      <c r="H154" s="27">
        <f>IF(ABS(BG61-AP31+AY29)&lt;0.26,0,BG61-AP31+AY29)</f>
        <v>112.67</v>
      </c>
      <c r="I154" s="27" t="s">
        <v>59</v>
      </c>
      <c r="J154" s="27"/>
      <c r="K154" s="27"/>
      <c r="L154" s="27"/>
      <c r="M154" s="27"/>
      <c r="N154" s="27"/>
      <c r="O154" s="27"/>
      <c r="P154" s="27"/>
      <c r="Q154" s="27"/>
      <c r="R154" s="27"/>
      <c r="S154" s="27"/>
      <c r="T154" s="27"/>
      <c r="U154" s="27"/>
      <c r="V154" s="27"/>
      <c r="W154" s="27"/>
      <c r="X154" s="27"/>
      <c r="Y154" s="27"/>
      <c r="Z154" s="27"/>
      <c r="AA154" s="27"/>
      <c r="AB154" s="27"/>
      <c r="AC154" s="27"/>
      <c r="AD154" s="27"/>
      <c r="AE154" s="27"/>
      <c r="AF154" s="27"/>
      <c r="AG154" s="27"/>
      <c r="AH154" s="27"/>
      <c r="AI154" s="27"/>
      <c r="AJ154" s="27"/>
      <c r="AK154" s="27"/>
      <c r="AL154" s="27"/>
      <c r="AM154" s="27"/>
      <c r="AN154" s="27"/>
      <c r="AO154" s="27"/>
      <c r="AP154" s="27"/>
      <c r="AQ154" s="27"/>
      <c r="AR154" s="27"/>
      <c r="AS154" s="27"/>
      <c r="AT154" s="27"/>
      <c r="AU154" s="27"/>
      <c r="AV154" s="27"/>
      <c r="AW154" s="27"/>
      <c r="AX154" s="27"/>
      <c r="AY154" s="27"/>
      <c r="AZ154" s="27"/>
      <c r="BA154" s="27"/>
      <c r="BB154" s="27"/>
      <c r="BC154" s="27"/>
      <c r="BD154" s="27"/>
      <c r="BE154" s="27"/>
      <c r="BF154" s="27"/>
      <c r="BG154" s="27"/>
      <c r="BH154" s="27"/>
      <c r="BI154" s="27"/>
      <c r="BJ154" s="27"/>
      <c r="BK154" s="27"/>
      <c r="BL154" s="27"/>
      <c r="BM154" s="27"/>
      <c r="BN154" s="27"/>
      <c r="BO154" s="27"/>
      <c r="BP154" s="27"/>
      <c r="BQ154" s="27"/>
      <c r="BR154" s="27"/>
      <c r="BS154" s="27"/>
      <c r="BT154" s="27"/>
      <c r="BU154" s="27"/>
      <c r="BV154" s="27"/>
      <c r="BW154" s="27"/>
      <c r="BX154" s="27"/>
      <c r="BY154" s="27"/>
      <c r="BZ154" s="27"/>
      <c r="CA154" s="27"/>
      <c r="CB154" s="27"/>
      <c r="CC154" s="27"/>
      <c r="CD154" s="27"/>
      <c r="CE154" s="27"/>
      <c r="CF154" s="27"/>
      <c r="CG154" s="27"/>
      <c r="CH154" s="27"/>
      <c r="CI154" s="27"/>
      <c r="CJ154" s="27"/>
      <c r="CK154" s="27"/>
      <c r="CL154" s="27"/>
      <c r="CM154" s="27"/>
      <c r="CN154" s="27"/>
      <c r="CO154" s="27"/>
      <c r="CP154" s="27"/>
      <c r="CQ154" s="27"/>
      <c r="CR154" s="27"/>
      <c r="CS154" s="27"/>
      <c r="CT154" s="27"/>
      <c r="CU154" s="27"/>
      <c r="CV154" s="27"/>
      <c r="CW154" s="27"/>
      <c r="CX154" s="27"/>
      <c r="CY154" s="27"/>
      <c r="CZ154" s="27"/>
      <c r="DA154" s="27"/>
      <c r="DB154" s="27"/>
      <c r="DC154" s="27"/>
      <c r="DD154" s="27"/>
      <c r="DE154" s="27"/>
      <c r="DF154" s="27"/>
      <c r="DG154" s="27"/>
      <c r="DH154" s="27"/>
      <c r="DI154" s="27"/>
      <c r="DJ154" s="27"/>
      <c r="DK154" s="27"/>
      <c r="DL154" s="27"/>
      <c r="DM154" s="27"/>
      <c r="DN154" s="27"/>
      <c r="DO154" s="27"/>
      <c r="DP154" s="27"/>
      <c r="DQ154" s="27"/>
      <c r="DR154" s="27"/>
      <c r="DS154" s="27"/>
      <c r="DT154" s="27"/>
    </row>
    <row r="155" spans="2:124" ht="12" customHeight="1" x14ac:dyDescent="0.2">
      <c r="B155" s="27" t="s">
        <v>498</v>
      </c>
      <c r="C155" s="27" t="s">
        <v>71</v>
      </c>
      <c r="D155" s="27" t="e">
        <f>(VLOOKUP($I$32,R45:S61,2,0))</f>
        <v>#N/A</v>
      </c>
      <c r="E155" s="27"/>
      <c r="F155" s="27">
        <v>0</v>
      </c>
      <c r="G155" s="27">
        <v>1.5</v>
      </c>
      <c r="H155" s="27">
        <f>(ROUND((ROUND((AK25-AQ22)/365.25,4))*12,2)/12)</f>
        <v>32.415833333333332</v>
      </c>
      <c r="I155" s="27" t="s">
        <v>59</v>
      </c>
      <c r="J155" s="27"/>
      <c r="K155" s="27"/>
      <c r="L155" s="27"/>
      <c r="M155" s="27"/>
      <c r="N155" s="27"/>
      <c r="O155" s="27"/>
      <c r="P155" s="27"/>
      <c r="Q155" s="27"/>
      <c r="R155" s="27"/>
      <c r="S155" s="27"/>
      <c r="T155" s="27"/>
      <c r="U155" s="27"/>
      <c r="V155" s="27"/>
      <c r="W155" s="27"/>
      <c r="X155" s="27"/>
      <c r="Y155" s="27"/>
      <c r="Z155" s="27"/>
      <c r="AA155" s="27"/>
      <c r="AB155" s="27"/>
      <c r="AC155" s="27"/>
      <c r="AD155" s="27"/>
      <c r="AE155" s="27"/>
      <c r="AF155" s="27"/>
      <c r="AG155" s="27"/>
      <c r="AH155" s="27"/>
      <c r="AI155" s="27"/>
      <c r="AJ155" s="27"/>
      <c r="AK155" s="27"/>
      <c r="AL155" s="27"/>
      <c r="AM155" s="27"/>
      <c r="AN155" s="27"/>
      <c r="AO155" s="27"/>
      <c r="AP155" s="27"/>
      <c r="AQ155" s="27"/>
      <c r="AR155" s="27"/>
      <c r="AS155" s="27"/>
      <c r="AT155" s="27"/>
      <c r="AU155" s="27"/>
      <c r="AV155" s="27"/>
      <c r="AW155" s="27"/>
      <c r="AX155" s="27"/>
      <c r="AY155" s="27"/>
      <c r="AZ155" s="27"/>
      <c r="BA155" s="27"/>
      <c r="BB155" s="27"/>
      <c r="BC155" s="27"/>
      <c r="BD155" s="27"/>
      <c r="BE155" s="27"/>
      <c r="BF155" s="27"/>
      <c r="BG155" s="27"/>
      <c r="BH155" s="27"/>
      <c r="BI155" s="27"/>
      <c r="BJ155" s="27"/>
      <c r="BK155" s="27"/>
      <c r="BL155" s="27"/>
      <c r="BM155" s="27"/>
      <c r="BN155" s="27"/>
      <c r="BO155" s="27"/>
      <c r="BP155" s="27"/>
      <c r="BQ155" s="27"/>
      <c r="BR155" s="27"/>
      <c r="BS155" s="27"/>
      <c r="BT155" s="27"/>
      <c r="BU155" s="27"/>
      <c r="BV155" s="27"/>
      <c r="BW155" s="27"/>
      <c r="BX155" s="27"/>
      <c r="BY155" s="27"/>
      <c r="BZ155" s="27"/>
      <c r="CA155" s="27"/>
      <c r="CB155" s="27"/>
      <c r="CC155" s="27"/>
      <c r="CD155" s="27"/>
      <c r="CE155" s="27"/>
      <c r="CF155" s="27"/>
      <c r="CG155" s="27"/>
      <c r="CH155" s="27"/>
      <c r="CI155" s="27"/>
      <c r="CJ155" s="27"/>
      <c r="CK155" s="27"/>
      <c r="CL155" s="27"/>
      <c r="CM155" s="27"/>
      <c r="CN155" s="27"/>
      <c r="CO155" s="27"/>
      <c r="CP155" s="27"/>
      <c r="CQ155" s="27"/>
      <c r="CR155" s="27"/>
      <c r="CS155" s="27"/>
      <c r="CT155" s="27"/>
      <c r="CU155" s="27"/>
      <c r="CV155" s="27"/>
      <c r="CW155" s="27"/>
      <c r="CX155" s="27"/>
      <c r="CY155" s="27"/>
      <c r="CZ155" s="27"/>
      <c r="DA155" s="27"/>
      <c r="DB155" s="27"/>
      <c r="DC155" s="27"/>
      <c r="DD155" s="27"/>
      <c r="DE155" s="27"/>
      <c r="DF155" s="27"/>
      <c r="DG155" s="27"/>
      <c r="DH155" s="27"/>
      <c r="DI155" s="27"/>
      <c r="DJ155" s="27"/>
      <c r="DK155" s="27"/>
      <c r="DL155" s="27"/>
      <c r="DM155" s="27"/>
      <c r="DN155" s="27"/>
      <c r="DO155" s="27"/>
      <c r="DP155" s="27"/>
      <c r="DQ155" s="27"/>
      <c r="DR155" s="27"/>
      <c r="DS155" s="27"/>
      <c r="DT155" s="27"/>
    </row>
    <row r="156" spans="2:124" ht="12" customHeight="1" x14ac:dyDescent="0.2">
      <c r="B156" s="27">
        <v>0.24</v>
      </c>
      <c r="C156" s="27"/>
      <c r="D156" s="27"/>
      <c r="E156" s="27"/>
      <c r="F156" s="27">
        <v>6</v>
      </c>
      <c r="G156" s="27">
        <v>2</v>
      </c>
      <c r="H156" s="27">
        <f>AK23/12</f>
        <v>32.416666666666664</v>
      </c>
      <c r="I156" s="27" t="s">
        <v>59</v>
      </c>
      <c r="J156" s="27"/>
      <c r="K156" s="27"/>
      <c r="L156" s="27"/>
      <c r="M156" s="27"/>
      <c r="N156" s="27"/>
      <c r="O156" s="27"/>
      <c r="P156" s="27"/>
      <c r="Q156" s="27"/>
      <c r="R156" s="27"/>
      <c r="S156" s="27"/>
      <c r="T156" s="27"/>
      <c r="U156" s="27"/>
      <c r="V156" s="27"/>
      <c r="W156" s="27"/>
      <c r="X156" s="27"/>
      <c r="Y156" s="27"/>
      <c r="Z156" s="27"/>
      <c r="AA156" s="27"/>
      <c r="AB156" s="27"/>
      <c r="AC156" s="27"/>
      <c r="AD156" s="27"/>
      <c r="AE156" s="27"/>
      <c r="AF156" s="27"/>
      <c r="AG156" s="27"/>
      <c r="AH156" s="27"/>
      <c r="AI156" s="27"/>
      <c r="AJ156" s="27"/>
      <c r="AK156" s="27"/>
      <c r="AL156" s="27"/>
      <c r="AM156" s="27"/>
      <c r="AN156" s="27"/>
      <c r="AO156" s="27"/>
      <c r="AP156" s="27"/>
      <c r="AQ156" s="27"/>
      <c r="AR156" s="27"/>
      <c r="AS156" s="27"/>
      <c r="AT156" s="27"/>
      <c r="AU156" s="27"/>
      <c r="AV156" s="27"/>
      <c r="AW156" s="27"/>
      <c r="AX156" s="27"/>
      <c r="AY156" s="27"/>
      <c r="AZ156" s="27"/>
      <c r="BA156" s="27"/>
      <c r="BB156" s="27"/>
      <c r="BC156" s="27"/>
      <c r="BD156" s="27"/>
      <c r="BE156" s="27"/>
      <c r="BF156" s="27"/>
      <c r="BG156" s="27"/>
      <c r="BH156" s="27"/>
      <c r="BI156" s="27"/>
      <c r="BJ156" s="27"/>
      <c r="BK156" s="27"/>
      <c r="BL156" s="27"/>
      <c r="BM156" s="27"/>
      <c r="BN156" s="27"/>
      <c r="BO156" s="27"/>
      <c r="BP156" s="27"/>
      <c r="BQ156" s="27"/>
      <c r="BR156" s="27"/>
      <c r="BS156" s="27"/>
      <c r="BT156" s="27"/>
      <c r="BU156" s="27"/>
      <c r="BV156" s="27"/>
      <c r="BW156" s="27"/>
      <c r="BX156" s="27"/>
      <c r="BY156" s="27"/>
      <c r="BZ156" s="27"/>
      <c r="CA156" s="27"/>
      <c r="CB156" s="27"/>
      <c r="CC156" s="27"/>
      <c r="CD156" s="27"/>
      <c r="CE156" s="27"/>
      <c r="CF156" s="27"/>
      <c r="CG156" s="27"/>
      <c r="CH156" s="27"/>
      <c r="CI156" s="27"/>
      <c r="CJ156" s="27"/>
      <c r="CK156" s="27"/>
      <c r="CL156" s="27"/>
      <c r="CM156" s="27"/>
      <c r="CN156" s="27"/>
      <c r="CO156" s="27"/>
      <c r="CP156" s="27"/>
      <c r="CQ156" s="27"/>
      <c r="CR156" s="27"/>
      <c r="CS156" s="27"/>
      <c r="CT156" s="27"/>
      <c r="CU156" s="27"/>
      <c r="CV156" s="27"/>
      <c r="CW156" s="27"/>
      <c r="CX156" s="27"/>
      <c r="CY156" s="27"/>
      <c r="CZ156" s="27"/>
      <c r="DA156" s="27"/>
      <c r="DB156" s="27"/>
      <c r="DC156" s="27"/>
      <c r="DD156" s="27"/>
      <c r="DE156" s="27"/>
      <c r="DF156" s="27"/>
      <c r="DG156" s="27"/>
      <c r="DH156" s="27"/>
      <c r="DI156" s="27"/>
      <c r="DJ156" s="27"/>
      <c r="DK156" s="27"/>
      <c r="DL156" s="27"/>
      <c r="DM156" s="27"/>
      <c r="DN156" s="27"/>
      <c r="DO156" s="27"/>
      <c r="DP156" s="27"/>
      <c r="DQ156" s="27"/>
      <c r="DR156" s="27"/>
      <c r="DS156" s="27"/>
      <c r="DT156" s="27"/>
    </row>
    <row r="157" spans="2:124" ht="7.5" customHeight="1" x14ac:dyDescent="0.2">
      <c r="B157" s="27">
        <v>0.27</v>
      </c>
      <c r="C157" s="27"/>
      <c r="D157" s="27" t="s">
        <v>28</v>
      </c>
      <c r="E157" s="27"/>
      <c r="F157" s="27"/>
      <c r="G157" s="27">
        <v>2.5</v>
      </c>
      <c r="H157" s="27">
        <f>AK24</f>
        <v>0.59709999999999996</v>
      </c>
      <c r="I157" s="27" t="s">
        <v>59</v>
      </c>
      <c r="J157" s="27"/>
      <c r="K157" s="27">
        <v>1</v>
      </c>
      <c r="L157" s="27"/>
      <c r="M157" s="27"/>
      <c r="N157" s="27"/>
      <c r="O157" s="27"/>
      <c r="P157" s="27"/>
      <c r="Q157" s="27"/>
      <c r="R157" s="27"/>
      <c r="S157" s="27"/>
      <c r="T157" s="27"/>
      <c r="U157" s="27"/>
      <c r="V157" s="27"/>
      <c r="W157" s="27"/>
      <c r="X157" s="27"/>
      <c r="Y157" s="27"/>
      <c r="Z157" s="27"/>
      <c r="AA157" s="27"/>
      <c r="AB157" s="27"/>
      <c r="AC157" s="27"/>
      <c r="AD157" s="27"/>
      <c r="AE157" s="27"/>
      <c r="AF157" s="27"/>
      <c r="AG157" s="27"/>
      <c r="AH157" s="27"/>
      <c r="AI157" s="27"/>
      <c r="AJ157" s="27"/>
      <c r="AK157" s="27"/>
      <c r="AL157" s="27"/>
      <c r="AM157" s="27"/>
      <c r="AN157" s="27"/>
      <c r="AO157" s="27"/>
      <c r="AP157" s="27"/>
      <c r="AQ157" s="27"/>
      <c r="AR157" s="27"/>
      <c r="AS157" s="27"/>
      <c r="AT157" s="27"/>
      <c r="AU157" s="27"/>
      <c r="AV157" s="27"/>
      <c r="AW157" s="27"/>
      <c r="AX157" s="27"/>
      <c r="AY157" s="27"/>
      <c r="AZ157" s="27"/>
      <c r="BA157" s="27"/>
      <c r="BB157" s="27"/>
      <c r="BC157" s="27"/>
      <c r="BD157" s="27"/>
      <c r="BE157" s="27"/>
      <c r="BF157" s="27"/>
      <c r="BG157" s="27"/>
      <c r="BH157" s="27"/>
      <c r="BI157" s="27"/>
      <c r="BJ157" s="27"/>
      <c r="BK157" s="27"/>
      <c r="BL157" s="27"/>
      <c r="BM157" s="27"/>
      <c r="BN157" s="27"/>
      <c r="BO157" s="27"/>
      <c r="BP157" s="27"/>
      <c r="BQ157" s="27"/>
      <c r="BR157" s="27"/>
      <c r="BS157" s="27"/>
      <c r="BT157" s="27"/>
      <c r="BU157" s="27"/>
      <c r="BV157" s="27"/>
      <c r="BW157" s="27"/>
      <c r="BX157" s="27"/>
      <c r="BY157" s="27"/>
      <c r="BZ157" s="27"/>
      <c r="CA157" s="27"/>
      <c r="CB157" s="27"/>
      <c r="CC157" s="27"/>
      <c r="CD157" s="27"/>
      <c r="CE157" s="27"/>
      <c r="CF157" s="27"/>
      <c r="CG157" s="27"/>
      <c r="CH157" s="27"/>
      <c r="CI157" s="27"/>
      <c r="CJ157" s="27"/>
      <c r="CK157" s="27"/>
      <c r="CL157" s="27"/>
      <c r="CM157" s="27"/>
      <c r="CN157" s="27"/>
      <c r="CO157" s="27"/>
      <c r="CP157" s="27"/>
      <c r="CQ157" s="27"/>
      <c r="CR157" s="27"/>
      <c r="CS157" s="27"/>
      <c r="CT157" s="27"/>
      <c r="CU157" s="27"/>
      <c r="CV157" s="27"/>
      <c r="CW157" s="27"/>
      <c r="CX157" s="27"/>
      <c r="CY157" s="27"/>
      <c r="CZ157" s="27"/>
      <c r="DA157" s="27"/>
      <c r="DB157" s="27"/>
      <c r="DC157" s="27"/>
      <c r="DD157" s="27"/>
      <c r="DE157" s="27"/>
      <c r="DF157" s="27"/>
      <c r="DG157" s="27"/>
      <c r="DH157" s="27"/>
      <c r="DI157" s="27"/>
      <c r="DJ157" s="27"/>
      <c r="DK157" s="27"/>
      <c r="DL157" s="27"/>
      <c r="DM157" s="27"/>
      <c r="DN157" s="27"/>
      <c r="DO157" s="27"/>
      <c r="DP157" s="27"/>
      <c r="DQ157" s="27"/>
      <c r="DR157" s="27"/>
      <c r="DS157" s="27"/>
      <c r="DT157" s="27"/>
    </row>
    <row r="158" spans="2:124" x14ac:dyDescent="0.2">
      <c r="B158" s="27">
        <v>0.3</v>
      </c>
      <c r="C158" s="27"/>
      <c r="D158" s="27" t="s">
        <v>29</v>
      </c>
      <c r="E158" s="27"/>
      <c r="F158" s="27">
        <v>0</v>
      </c>
      <c r="G158" s="27">
        <v>3</v>
      </c>
      <c r="H158" s="27">
        <f>F158</f>
        <v>0</v>
      </c>
      <c r="I158" s="27" t="s">
        <v>499</v>
      </c>
      <c r="J158" s="27"/>
      <c r="K158" s="27">
        <v>1.5</v>
      </c>
      <c r="L158" s="27"/>
      <c r="M158" s="27"/>
      <c r="N158" s="27"/>
      <c r="O158" s="27"/>
      <c r="P158" s="27"/>
      <c r="Q158" s="27"/>
      <c r="R158" s="27"/>
      <c r="S158" s="27"/>
      <c r="T158" s="27"/>
      <c r="U158" s="27"/>
      <c r="V158" s="27"/>
      <c r="W158" s="27"/>
      <c r="X158" s="27"/>
      <c r="Y158" s="27"/>
      <c r="Z158" s="27"/>
      <c r="AA158" s="27"/>
      <c r="AB158" s="27"/>
      <c r="AC158" s="27"/>
      <c r="AD158" s="27"/>
      <c r="AE158" s="27"/>
      <c r="AF158" s="27"/>
      <c r="AG158" s="27"/>
      <c r="AH158" s="27"/>
      <c r="AI158" s="27"/>
      <c r="AJ158" s="27"/>
      <c r="AK158" s="27"/>
      <c r="AL158" s="27"/>
      <c r="AM158" s="27"/>
      <c r="AN158" s="27"/>
      <c r="AO158" s="27"/>
      <c r="AP158" s="27"/>
      <c r="AQ158" s="27"/>
      <c r="AR158" s="27"/>
      <c r="AS158" s="27"/>
      <c r="AT158" s="27"/>
      <c r="AU158" s="27"/>
      <c r="AV158" s="27"/>
      <c r="AW158" s="27"/>
      <c r="AX158" s="27"/>
      <c r="AY158" s="27"/>
      <c r="AZ158" s="27"/>
      <c r="BA158" s="27"/>
      <c r="BB158" s="27"/>
      <c r="BC158" s="27"/>
      <c r="BD158" s="27"/>
      <c r="BE158" s="27"/>
      <c r="BF158" s="27"/>
      <c r="BG158" s="27"/>
      <c r="BH158" s="27"/>
      <c r="BI158" s="27"/>
      <c r="BJ158" s="27"/>
      <c r="BK158" s="27"/>
      <c r="BL158" s="27"/>
      <c r="BM158" s="27"/>
      <c r="BN158" s="27"/>
      <c r="BO158" s="27"/>
      <c r="BP158" s="27"/>
      <c r="BQ158" s="27"/>
      <c r="BR158" s="27"/>
      <c r="BS158" s="27"/>
      <c r="BT158" s="27"/>
      <c r="BU158" s="27"/>
      <c r="BV158" s="27"/>
      <c r="BW158" s="27"/>
      <c r="BX158" s="27"/>
      <c r="BY158" s="27"/>
      <c r="BZ158" s="27"/>
      <c r="CA158" s="27"/>
      <c r="CB158" s="27"/>
      <c r="CC158" s="27"/>
      <c r="CD158" s="27"/>
      <c r="CE158" s="27"/>
      <c r="CF158" s="27"/>
      <c r="CG158" s="27"/>
      <c r="CH158" s="27"/>
      <c r="CI158" s="27"/>
      <c r="CJ158" s="27"/>
      <c r="CK158" s="27"/>
      <c r="CL158" s="27"/>
      <c r="CM158" s="27"/>
      <c r="CN158" s="27"/>
      <c r="CO158" s="27"/>
      <c r="CP158" s="27"/>
      <c r="CQ158" s="27"/>
      <c r="CR158" s="27"/>
      <c r="CS158" s="27"/>
      <c r="CT158" s="27"/>
      <c r="CU158" s="27"/>
      <c r="CV158" s="27"/>
      <c r="CW158" s="27"/>
      <c r="CX158" s="27"/>
      <c r="CY158" s="27"/>
      <c r="CZ158" s="27"/>
      <c r="DA158" s="27"/>
      <c r="DB158" s="27"/>
      <c r="DC158" s="27"/>
      <c r="DD158" s="27"/>
      <c r="DE158" s="27"/>
      <c r="DF158" s="27"/>
      <c r="DG158" s="27"/>
      <c r="DH158" s="27"/>
      <c r="DI158" s="27"/>
      <c r="DJ158" s="27"/>
      <c r="DK158" s="27"/>
      <c r="DL158" s="27"/>
      <c r="DM158" s="27"/>
      <c r="DN158" s="27"/>
      <c r="DO158" s="27"/>
      <c r="DP158" s="27"/>
      <c r="DQ158" s="27"/>
      <c r="DR158" s="27"/>
      <c r="DS158" s="27"/>
      <c r="DT158" s="27"/>
    </row>
    <row r="159" spans="2:124" x14ac:dyDescent="0.2">
      <c r="B159" s="27">
        <v>0.34</v>
      </c>
      <c r="C159" s="27"/>
      <c r="D159" s="27" t="s">
        <v>500</v>
      </c>
      <c r="E159" s="27"/>
      <c r="F159" s="27">
        <v>0</v>
      </c>
      <c r="G159" s="27">
        <v>3.5</v>
      </c>
      <c r="H159" s="27">
        <f>IF((F158+H157)&gt;70%,70%,IF((F158+H157)&lt;20%,20%,F158+H157))</f>
        <v>0.59709999999999996</v>
      </c>
      <c r="I159" s="27"/>
      <c r="J159" s="27"/>
      <c r="K159" s="27">
        <v>2</v>
      </c>
      <c r="L159" s="27"/>
      <c r="M159" s="27"/>
      <c r="N159" s="27"/>
      <c r="O159" s="27"/>
      <c r="P159" s="27"/>
      <c r="Q159" s="27"/>
      <c r="R159" s="27"/>
      <c r="S159" s="27"/>
      <c r="T159" s="27"/>
      <c r="U159" s="27"/>
      <c r="V159" s="27"/>
      <c r="W159" s="27"/>
      <c r="X159" s="27"/>
      <c r="Y159" s="27"/>
      <c r="Z159" s="27"/>
      <c r="AA159" s="27"/>
      <c r="AB159" s="27"/>
      <c r="AC159" s="27"/>
      <c r="AD159" s="27"/>
      <c r="AE159" s="27"/>
      <c r="AF159" s="27"/>
      <c r="AG159" s="27"/>
      <c r="AH159" s="27"/>
      <c r="AI159" s="27"/>
      <c r="AJ159" s="27"/>
      <c r="AK159" s="27"/>
      <c r="AL159" s="27"/>
      <c r="AM159" s="27"/>
      <c r="AN159" s="27"/>
      <c r="AO159" s="27"/>
      <c r="AP159" s="27"/>
      <c r="AQ159" s="27"/>
      <c r="AR159" s="27"/>
      <c r="AS159" s="27"/>
      <c r="AT159" s="27"/>
      <c r="AU159" s="27"/>
      <c r="AV159" s="27"/>
      <c r="AW159" s="27"/>
      <c r="AX159" s="27"/>
      <c r="AY159" s="27"/>
      <c r="AZ159" s="27"/>
      <c r="BA159" s="27"/>
      <c r="BB159" s="27"/>
      <c r="BC159" s="27"/>
      <c r="BD159" s="27"/>
      <c r="BE159" s="27"/>
      <c r="BF159" s="27"/>
      <c r="BG159" s="27"/>
      <c r="BH159" s="27"/>
      <c r="BI159" s="27"/>
      <c r="BJ159" s="27"/>
      <c r="BK159" s="27"/>
      <c r="BL159" s="27"/>
      <c r="BM159" s="27"/>
      <c r="BN159" s="27"/>
      <c r="BO159" s="27"/>
      <c r="BP159" s="27"/>
      <c r="BQ159" s="27"/>
      <c r="BR159" s="27"/>
      <c r="BS159" s="27"/>
      <c r="BT159" s="27"/>
      <c r="BU159" s="27"/>
      <c r="BV159" s="27"/>
      <c r="BW159" s="27"/>
      <c r="BX159" s="27"/>
      <c r="BY159" s="27"/>
      <c r="BZ159" s="27"/>
      <c r="CA159" s="27"/>
      <c r="CB159" s="27"/>
      <c r="CC159" s="27"/>
      <c r="CD159" s="27"/>
      <c r="CE159" s="27"/>
      <c r="CF159" s="27"/>
      <c r="CG159" s="27"/>
      <c r="CH159" s="27"/>
      <c r="CI159" s="27"/>
      <c r="CJ159" s="27"/>
      <c r="CK159" s="27"/>
      <c r="CL159" s="27"/>
      <c r="CM159" s="27"/>
      <c r="CN159" s="27"/>
      <c r="CO159" s="27"/>
      <c r="CP159" s="27"/>
      <c r="CQ159" s="27"/>
      <c r="CR159" s="27"/>
      <c r="CS159" s="27"/>
      <c r="CT159" s="27"/>
      <c r="CU159" s="27"/>
      <c r="CV159" s="27"/>
      <c r="CW159" s="27"/>
      <c r="CX159" s="27"/>
      <c r="CY159" s="27"/>
      <c r="CZ159" s="27"/>
      <c r="DA159" s="27"/>
      <c r="DB159" s="27"/>
      <c r="DC159" s="27"/>
      <c r="DD159" s="27"/>
      <c r="DE159" s="27"/>
      <c r="DF159" s="27"/>
      <c r="DG159" s="27"/>
      <c r="DH159" s="27"/>
      <c r="DI159" s="27"/>
      <c r="DJ159" s="27"/>
      <c r="DK159" s="27"/>
      <c r="DL159" s="27"/>
      <c r="DM159" s="27"/>
      <c r="DN159" s="27"/>
      <c r="DO159" s="27"/>
      <c r="DP159" s="27"/>
      <c r="DQ159" s="27"/>
      <c r="DR159" s="27"/>
      <c r="DS159" s="27"/>
      <c r="DT159" s="27"/>
    </row>
    <row r="160" spans="2:124" x14ac:dyDescent="0.2">
      <c r="B160" s="27">
        <v>0.37</v>
      </c>
      <c r="C160" s="27"/>
      <c r="D160" s="27" t="s">
        <v>26</v>
      </c>
      <c r="E160" s="27"/>
      <c r="F160" s="27"/>
      <c r="G160" s="27">
        <v>4</v>
      </c>
      <c r="H160" s="27" t="e">
        <f>#REF!</f>
        <v>#REF!</v>
      </c>
      <c r="I160" s="27"/>
      <c r="J160" s="27"/>
      <c r="K160" s="27">
        <v>2.5</v>
      </c>
      <c r="L160" s="27"/>
      <c r="M160" s="27"/>
      <c r="N160" s="27"/>
      <c r="O160" s="27"/>
      <c r="P160" s="27"/>
      <c r="Q160" s="27"/>
      <c r="R160" s="27"/>
      <c r="S160" s="27"/>
      <c r="T160" s="27"/>
      <c r="U160" s="27"/>
      <c r="V160" s="27"/>
      <c r="W160" s="27"/>
      <c r="X160" s="27"/>
      <c r="Y160" s="27"/>
      <c r="Z160" s="27"/>
      <c r="AA160" s="27"/>
      <c r="AB160" s="27"/>
      <c r="AC160" s="27"/>
      <c r="AD160" s="27"/>
      <c r="AE160" s="27"/>
      <c r="AF160" s="27"/>
      <c r="AG160" s="27"/>
      <c r="AH160" s="27"/>
      <c r="AI160" s="27"/>
      <c r="AJ160" s="27"/>
      <c r="AK160" s="27"/>
      <c r="AL160" s="27"/>
      <c r="AM160" s="27"/>
      <c r="AN160" s="27"/>
      <c r="AO160" s="27"/>
      <c r="AP160" s="27"/>
      <c r="AQ160" s="27"/>
      <c r="AR160" s="27"/>
      <c r="AS160" s="27"/>
      <c r="AT160" s="27"/>
      <c r="AU160" s="27"/>
      <c r="AV160" s="27"/>
      <c r="AW160" s="27"/>
      <c r="AX160" s="27"/>
      <c r="AY160" s="27"/>
      <c r="AZ160" s="27"/>
      <c r="BA160" s="27"/>
      <c r="BB160" s="27"/>
      <c r="BC160" s="27"/>
      <c r="BD160" s="27"/>
      <c r="BE160" s="27"/>
      <c r="BF160" s="27"/>
      <c r="BG160" s="27"/>
      <c r="BH160" s="27"/>
      <c r="BI160" s="27"/>
      <c r="BJ160" s="27"/>
      <c r="BK160" s="27"/>
      <c r="BL160" s="27"/>
      <c r="BM160" s="27"/>
      <c r="BN160" s="27"/>
      <c r="BO160" s="27"/>
      <c r="BP160" s="27"/>
      <c r="BQ160" s="27"/>
      <c r="BR160" s="27"/>
      <c r="BS160" s="27"/>
      <c r="BT160" s="27"/>
      <c r="BU160" s="27"/>
      <c r="BV160" s="27"/>
      <c r="BW160" s="27"/>
      <c r="BX160" s="27"/>
      <c r="BY160" s="27"/>
      <c r="BZ160" s="27"/>
      <c r="CA160" s="27"/>
      <c r="CB160" s="27"/>
      <c r="CC160" s="27"/>
      <c r="CD160" s="27"/>
      <c r="CE160" s="27"/>
      <c r="CF160" s="27"/>
      <c r="CG160" s="27"/>
      <c r="CH160" s="27"/>
      <c r="CI160" s="27"/>
      <c r="CJ160" s="27"/>
      <c r="CK160" s="27"/>
      <c r="CL160" s="27"/>
      <c r="CM160" s="27"/>
      <c r="CN160" s="27"/>
      <c r="CO160" s="27"/>
      <c r="CP160" s="27"/>
      <c r="CQ160" s="27"/>
      <c r="CR160" s="27"/>
      <c r="CS160" s="27"/>
      <c r="CT160" s="27"/>
      <c r="CU160" s="27"/>
      <c r="CV160" s="27"/>
      <c r="CW160" s="27"/>
      <c r="CX160" s="27"/>
      <c r="CY160" s="27"/>
      <c r="CZ160" s="27"/>
      <c r="DA160" s="27"/>
      <c r="DB160" s="27"/>
      <c r="DC160" s="27"/>
      <c r="DD160" s="27"/>
      <c r="DE160" s="27"/>
      <c r="DF160" s="27"/>
      <c r="DG160" s="27"/>
      <c r="DH160" s="27"/>
      <c r="DI160" s="27"/>
      <c r="DJ160" s="27"/>
      <c r="DK160" s="27"/>
      <c r="DL160" s="27"/>
      <c r="DM160" s="27"/>
      <c r="DN160" s="27"/>
      <c r="DO160" s="27"/>
      <c r="DP160" s="27"/>
      <c r="DQ160" s="27"/>
      <c r="DR160" s="27"/>
      <c r="DS160" s="27"/>
      <c r="DT160" s="27"/>
    </row>
    <row r="161" spans="2:124" x14ac:dyDescent="0.2">
      <c r="B161" s="27">
        <v>0.29499999999999998</v>
      </c>
      <c r="C161" s="27"/>
      <c r="D161" s="27"/>
      <c r="E161" s="27"/>
      <c r="F161" s="27"/>
      <c r="G161" s="27">
        <v>4.5</v>
      </c>
      <c r="H161" s="27"/>
      <c r="I161" s="27" t="e">
        <f>#REF!</f>
        <v>#REF!</v>
      </c>
      <c r="J161" s="27"/>
      <c r="K161" s="27">
        <v>3</v>
      </c>
      <c r="L161" s="27"/>
      <c r="M161" s="27"/>
      <c r="N161" s="27"/>
      <c r="O161" s="27"/>
      <c r="P161" s="27"/>
      <c r="Q161" s="27"/>
      <c r="R161" s="27"/>
      <c r="S161" s="27"/>
      <c r="T161" s="27"/>
      <c r="U161" s="27"/>
      <c r="V161" s="27"/>
      <c r="W161" s="27"/>
      <c r="X161" s="27"/>
      <c r="Y161" s="27"/>
      <c r="Z161" s="27"/>
      <c r="AA161" s="27"/>
      <c r="AB161" s="27"/>
      <c r="AC161" s="27"/>
      <c r="AD161" s="27"/>
      <c r="AE161" s="27"/>
      <c r="AF161" s="27"/>
      <c r="AG161" s="27"/>
      <c r="AH161" s="27"/>
      <c r="AI161" s="27"/>
      <c r="AJ161" s="27"/>
      <c r="AK161" s="27"/>
      <c r="AL161" s="27"/>
      <c r="AM161" s="27"/>
      <c r="AN161" s="27"/>
      <c r="AO161" s="27"/>
      <c r="AP161" s="27"/>
      <c r="AQ161" s="27"/>
      <c r="AR161" s="27"/>
      <c r="AS161" s="27"/>
      <c r="AT161" s="27"/>
      <c r="AU161" s="27"/>
      <c r="AV161" s="27"/>
      <c r="AW161" s="27"/>
      <c r="AX161" s="27"/>
      <c r="AY161" s="27"/>
      <c r="AZ161" s="27"/>
      <c r="BA161" s="27"/>
      <c r="BB161" s="27"/>
      <c r="BC161" s="27"/>
      <c r="BD161" s="27"/>
      <c r="BE161" s="27"/>
      <c r="BF161" s="27"/>
      <c r="BG161" s="27"/>
      <c r="BH161" s="27"/>
      <c r="BI161" s="27"/>
      <c r="BJ161" s="27"/>
      <c r="BK161" s="27"/>
      <c r="BL161" s="27"/>
      <c r="BM161" s="27"/>
      <c r="BN161" s="27"/>
      <c r="BO161" s="27"/>
      <c r="BP161" s="27"/>
      <c r="BQ161" s="27"/>
      <c r="BR161" s="27"/>
      <c r="BS161" s="27"/>
      <c r="BT161" s="27"/>
      <c r="BU161" s="27"/>
      <c r="BV161" s="27"/>
      <c r="BW161" s="27"/>
      <c r="BX161" s="27"/>
      <c r="BY161" s="27"/>
      <c r="BZ161" s="27"/>
      <c r="CA161" s="27"/>
      <c r="CB161" s="27"/>
      <c r="CC161" s="27"/>
      <c r="CD161" s="27"/>
      <c r="CE161" s="27"/>
      <c r="CF161" s="27"/>
      <c r="CG161" s="27"/>
      <c r="CH161" s="27"/>
      <c r="CI161" s="27"/>
      <c r="CJ161" s="27"/>
      <c r="CK161" s="27"/>
      <c r="CL161" s="27"/>
      <c r="CM161" s="27"/>
      <c r="CN161" s="27"/>
      <c r="CO161" s="27"/>
      <c r="CP161" s="27"/>
      <c r="CQ161" s="27"/>
      <c r="CR161" s="27"/>
      <c r="CS161" s="27"/>
      <c r="CT161" s="27"/>
      <c r="CU161" s="27"/>
      <c r="CV161" s="27"/>
      <c r="CW161" s="27"/>
      <c r="CX161" s="27"/>
      <c r="CY161" s="27"/>
      <c r="CZ161" s="27"/>
      <c r="DA161" s="27"/>
      <c r="DB161" s="27"/>
      <c r="DC161" s="27"/>
      <c r="DD161" s="27"/>
      <c r="DE161" s="27"/>
      <c r="DF161" s="27"/>
      <c r="DG161" s="27"/>
      <c r="DH161" s="27"/>
      <c r="DI161" s="27"/>
      <c r="DJ161" s="27"/>
      <c r="DK161" s="27"/>
      <c r="DL161" s="27"/>
      <c r="DM161" s="27"/>
      <c r="DN161" s="27"/>
      <c r="DO161" s="27"/>
      <c r="DP161" s="27"/>
      <c r="DQ161" s="27"/>
      <c r="DR161" s="27"/>
      <c r="DS161" s="27"/>
      <c r="DT161" s="27"/>
    </row>
    <row r="162" spans="2:124" x14ac:dyDescent="0.2">
      <c r="B162" s="27">
        <v>0.32500000000000001</v>
      </c>
      <c r="C162" s="27" t="s">
        <v>501</v>
      </c>
      <c r="D162" s="27">
        <v>5</v>
      </c>
      <c r="E162" s="27"/>
      <c r="F162" s="27"/>
      <c r="G162" s="27">
        <v>5</v>
      </c>
      <c r="H162" s="27" t="s">
        <v>502</v>
      </c>
      <c r="I162" s="27" t="e">
        <f>#REF!</f>
        <v>#REF!</v>
      </c>
      <c r="J162" s="27"/>
      <c r="K162" s="27">
        <v>3.5</v>
      </c>
      <c r="L162" s="27"/>
      <c r="M162" s="27"/>
      <c r="N162" s="27"/>
      <c r="O162" s="27"/>
      <c r="P162" s="27"/>
      <c r="Q162" s="27"/>
      <c r="R162" s="27"/>
      <c r="S162" s="27"/>
      <c r="T162" s="27"/>
      <c r="U162" s="27"/>
      <c r="V162" s="27"/>
      <c r="W162" s="27"/>
      <c r="X162" s="27"/>
      <c r="Y162" s="27"/>
      <c r="Z162" s="27"/>
      <c r="AA162" s="27"/>
      <c r="AB162" s="27"/>
      <c r="AC162" s="27"/>
      <c r="AD162" s="27"/>
      <c r="AE162" s="27"/>
      <c r="AF162" s="27"/>
      <c r="AG162" s="27"/>
      <c r="AH162" s="27"/>
      <c r="AI162" s="27"/>
      <c r="AJ162" s="27"/>
      <c r="AK162" s="27"/>
      <c r="AL162" s="27"/>
      <c r="AM162" s="27"/>
      <c r="AN162" s="27"/>
      <c r="AO162" s="27"/>
      <c r="AP162" s="27"/>
      <c r="AQ162" s="27"/>
      <c r="AR162" s="27"/>
      <c r="AS162" s="27"/>
      <c r="AT162" s="27"/>
      <c r="AU162" s="27"/>
      <c r="AV162" s="27"/>
      <c r="AW162" s="27"/>
      <c r="AX162" s="27"/>
      <c r="AY162" s="27"/>
      <c r="AZ162" s="27"/>
      <c r="BA162" s="27"/>
      <c r="BB162" s="27"/>
      <c r="BC162" s="27"/>
      <c r="BD162" s="27"/>
      <c r="BE162" s="27"/>
      <c r="BF162" s="27"/>
      <c r="BG162" s="27"/>
      <c r="BH162" s="27"/>
      <c r="BI162" s="27"/>
      <c r="BJ162" s="27"/>
      <c r="BK162" s="27"/>
      <c r="BL162" s="27"/>
      <c r="BM162" s="27"/>
      <c r="BN162" s="27"/>
      <c r="BO162" s="27"/>
      <c r="BP162" s="27"/>
      <c r="BQ162" s="27"/>
      <c r="BR162" s="27"/>
      <c r="BS162" s="27"/>
      <c r="BT162" s="27"/>
      <c r="BU162" s="27"/>
      <c r="BV162" s="27"/>
      <c r="BW162" s="27"/>
      <c r="BX162" s="27"/>
      <c r="BY162" s="27"/>
      <c r="BZ162" s="27"/>
      <c r="CA162" s="27"/>
      <c r="CB162" s="27"/>
      <c r="CC162" s="27"/>
      <c r="CD162" s="27"/>
      <c r="CE162" s="27"/>
      <c r="CF162" s="27"/>
      <c r="CG162" s="27"/>
      <c r="CH162" s="27"/>
      <c r="CI162" s="27"/>
      <c r="CJ162" s="27"/>
      <c r="CK162" s="27"/>
      <c r="CL162" s="27"/>
      <c r="CM162" s="27"/>
      <c r="CN162" s="27"/>
      <c r="CO162" s="27"/>
      <c r="CP162" s="27"/>
      <c r="CQ162" s="27"/>
      <c r="CR162" s="27"/>
      <c r="CS162" s="27"/>
      <c r="CT162" s="27"/>
      <c r="CU162" s="27"/>
      <c r="CV162" s="27"/>
      <c r="CW162" s="27"/>
      <c r="CX162" s="27"/>
      <c r="CY162" s="27"/>
      <c r="CZ162" s="27"/>
      <c r="DA162" s="27"/>
      <c r="DB162" s="27"/>
      <c r="DC162" s="27"/>
      <c r="DD162" s="27"/>
      <c r="DE162" s="27"/>
      <c r="DF162" s="27"/>
      <c r="DG162" s="27"/>
      <c r="DH162" s="27"/>
      <c r="DI162" s="27"/>
      <c r="DJ162" s="27"/>
      <c r="DK162" s="27"/>
      <c r="DL162" s="27"/>
      <c r="DM162" s="27"/>
      <c r="DN162" s="27"/>
      <c r="DO162" s="27"/>
      <c r="DP162" s="27"/>
      <c r="DQ162" s="27"/>
      <c r="DR162" s="27"/>
      <c r="DS162" s="27"/>
      <c r="DT162" s="27"/>
    </row>
    <row r="163" spans="2:124" x14ac:dyDescent="0.2">
      <c r="B163" s="27">
        <v>0.36499999999999999</v>
      </c>
      <c r="C163" s="27"/>
      <c r="D163" s="27"/>
      <c r="E163" s="27"/>
      <c r="F163" s="27"/>
      <c r="G163" s="27">
        <v>5.5</v>
      </c>
      <c r="H163" s="27" t="s">
        <v>503</v>
      </c>
      <c r="I163" s="27">
        <f>AA35</f>
        <v>0</v>
      </c>
      <c r="J163" s="27"/>
      <c r="K163" s="27">
        <v>4</v>
      </c>
      <c r="L163" s="27"/>
      <c r="M163" s="27"/>
      <c r="N163" s="27"/>
      <c r="O163" s="27"/>
      <c r="P163" s="27"/>
      <c r="Q163" s="27"/>
      <c r="R163" s="27"/>
      <c r="S163" s="27"/>
      <c r="T163" s="27"/>
      <c r="U163" s="27"/>
      <c r="V163" s="27"/>
      <c r="W163" s="27"/>
      <c r="X163" s="27"/>
      <c r="Y163" s="27"/>
      <c r="Z163" s="27"/>
      <c r="AA163" s="27"/>
      <c r="AB163" s="27"/>
      <c r="AC163" s="27"/>
      <c r="AD163" s="27"/>
      <c r="AE163" s="27"/>
      <c r="AF163" s="27"/>
      <c r="AG163" s="27"/>
      <c r="AH163" s="27"/>
      <c r="AI163" s="27"/>
      <c r="AJ163" s="27"/>
      <c r="AK163" s="27"/>
      <c r="AL163" s="27"/>
      <c r="AM163" s="27"/>
      <c r="AN163" s="27"/>
      <c r="AO163" s="27"/>
      <c r="AP163" s="27"/>
      <c r="AQ163" s="27"/>
      <c r="AR163" s="27"/>
      <c r="AS163" s="27"/>
      <c r="AT163" s="27"/>
      <c r="AU163" s="27"/>
      <c r="AV163" s="27"/>
      <c r="AW163" s="27"/>
      <c r="AX163" s="27"/>
      <c r="AY163" s="27"/>
      <c r="AZ163" s="27"/>
      <c r="BA163" s="27"/>
      <c r="BB163" s="27"/>
      <c r="BC163" s="27"/>
      <c r="BD163" s="27"/>
      <c r="BE163" s="27"/>
      <c r="BF163" s="27"/>
      <c r="BG163" s="27"/>
      <c r="BH163" s="27"/>
      <c r="BI163" s="27"/>
      <c r="BJ163" s="27"/>
      <c r="BK163" s="27"/>
      <c r="BL163" s="27"/>
      <c r="BM163" s="27"/>
      <c r="BN163" s="27"/>
      <c r="BO163" s="27"/>
      <c r="BP163" s="27"/>
      <c r="BQ163" s="27"/>
      <c r="BR163" s="27"/>
      <c r="BS163" s="27"/>
      <c r="BT163" s="27"/>
      <c r="BU163" s="27"/>
      <c r="BV163" s="27"/>
      <c r="BW163" s="27"/>
      <c r="BX163" s="27"/>
      <c r="BY163" s="27"/>
      <c r="BZ163" s="27"/>
      <c r="CA163" s="27"/>
      <c r="CB163" s="27"/>
      <c r="CC163" s="27"/>
      <c r="CD163" s="27"/>
      <c r="CE163" s="27"/>
      <c r="CF163" s="27"/>
      <c r="CG163" s="27"/>
      <c r="CH163" s="27"/>
      <c r="CI163" s="27"/>
      <c r="CJ163" s="27"/>
      <c r="CK163" s="27"/>
      <c r="CL163" s="27"/>
      <c r="CM163" s="27"/>
      <c r="CN163" s="27"/>
      <c r="CO163" s="27"/>
      <c r="CP163" s="27"/>
      <c r="CQ163" s="27"/>
      <c r="CR163" s="27"/>
      <c r="CS163" s="27"/>
      <c r="CT163" s="27"/>
      <c r="CU163" s="27"/>
      <c r="CV163" s="27"/>
      <c r="CW163" s="27"/>
      <c r="CX163" s="27"/>
      <c r="CY163" s="27"/>
      <c r="CZ163" s="27"/>
      <c r="DA163" s="27"/>
      <c r="DB163" s="27"/>
      <c r="DC163" s="27"/>
      <c r="DD163" s="27"/>
      <c r="DE163" s="27"/>
      <c r="DF163" s="27"/>
      <c r="DG163" s="27"/>
      <c r="DH163" s="27"/>
      <c r="DI163" s="27"/>
      <c r="DJ163" s="27"/>
      <c r="DK163" s="27"/>
      <c r="DL163" s="27"/>
      <c r="DM163" s="27"/>
      <c r="DN163" s="27"/>
      <c r="DO163" s="27"/>
      <c r="DP163" s="27"/>
      <c r="DQ163" s="27"/>
      <c r="DR163" s="27"/>
      <c r="DS163" s="27"/>
      <c r="DT163" s="27"/>
    </row>
    <row r="164" spans="2:124" x14ac:dyDescent="0.2">
      <c r="B164" s="27">
        <v>0.39500000000000002</v>
      </c>
      <c r="C164" s="27"/>
      <c r="D164" s="27"/>
      <c r="E164" s="27"/>
      <c r="F164" s="27"/>
      <c r="G164" s="27">
        <v>6</v>
      </c>
      <c r="H164" s="27" t="s">
        <v>504</v>
      </c>
      <c r="I164" s="27">
        <f>AE14</f>
        <v>1</v>
      </c>
      <c r="J164" s="27"/>
      <c r="K164" s="27">
        <v>4.5</v>
      </c>
      <c r="L164" s="27"/>
      <c r="M164" s="27"/>
      <c r="N164" s="27"/>
      <c r="O164" s="27"/>
      <c r="P164" s="27"/>
      <c r="Q164" s="27"/>
      <c r="R164" s="27"/>
      <c r="S164" s="27"/>
      <c r="T164" s="27"/>
      <c r="U164" s="27"/>
      <c r="V164" s="27"/>
      <c r="W164" s="27"/>
      <c r="X164" s="27"/>
      <c r="Y164" s="27"/>
      <c r="Z164" s="27"/>
      <c r="AA164" s="27"/>
      <c r="AB164" s="27"/>
      <c r="AC164" s="27"/>
      <c r="AD164" s="27"/>
      <c r="AE164" s="27"/>
      <c r="AF164" s="27"/>
      <c r="AG164" s="27"/>
      <c r="AH164" s="27"/>
      <c r="AI164" s="27"/>
      <c r="AJ164" s="27"/>
      <c r="AK164" s="27"/>
      <c r="AL164" s="27"/>
      <c r="AM164" s="27"/>
      <c r="AN164" s="27"/>
      <c r="AO164" s="27"/>
      <c r="AP164" s="27"/>
      <c r="AQ164" s="27"/>
      <c r="AR164" s="27"/>
      <c r="AS164" s="27"/>
      <c r="AT164" s="27"/>
      <c r="AU164" s="27"/>
      <c r="AV164" s="27"/>
      <c r="AW164" s="27"/>
      <c r="AX164" s="27"/>
      <c r="AY164" s="27"/>
      <c r="AZ164" s="27"/>
      <c r="BA164" s="27"/>
      <c r="BB164" s="27"/>
      <c r="BC164" s="27"/>
      <c r="BD164" s="27"/>
      <c r="BE164" s="27"/>
      <c r="BF164" s="27"/>
      <c r="BG164" s="27"/>
      <c r="BH164" s="27"/>
      <c r="BI164" s="27"/>
      <c r="BJ164" s="27"/>
      <c r="BK164" s="27"/>
      <c r="BL164" s="27"/>
      <c r="BM164" s="27"/>
      <c r="BN164" s="27"/>
      <c r="BO164" s="27"/>
      <c r="BP164" s="27"/>
      <c r="BQ164" s="27"/>
      <c r="BR164" s="27"/>
      <c r="BS164" s="27"/>
      <c r="BT164" s="27"/>
      <c r="BU164" s="27"/>
      <c r="BV164" s="27"/>
      <c r="BW164" s="27"/>
      <c r="BX164" s="27"/>
      <c r="BY164" s="27"/>
      <c r="BZ164" s="27"/>
      <c r="CA164" s="27"/>
      <c r="CB164" s="27"/>
      <c r="CC164" s="27"/>
      <c r="CD164" s="27"/>
      <c r="CE164" s="27"/>
      <c r="CF164" s="27"/>
      <c r="CG164" s="27"/>
      <c r="CH164" s="27"/>
      <c r="CI164" s="27"/>
      <c r="CJ164" s="27"/>
      <c r="CK164" s="27"/>
      <c r="CL164" s="27"/>
      <c r="CM164" s="27"/>
      <c r="CN164" s="27"/>
      <c r="CO164" s="27"/>
      <c r="CP164" s="27"/>
      <c r="CQ164" s="27"/>
      <c r="CR164" s="27"/>
      <c r="CS164" s="27"/>
      <c r="CT164" s="27"/>
      <c r="CU164" s="27"/>
      <c r="CV164" s="27"/>
      <c r="CW164" s="27"/>
      <c r="CX164" s="27"/>
      <c r="CY164" s="27"/>
      <c r="CZ164" s="27"/>
      <c r="DA164" s="27"/>
      <c r="DB164" s="27"/>
      <c r="DC164" s="27"/>
      <c r="DD164" s="27"/>
      <c r="DE164" s="27"/>
      <c r="DF164" s="27"/>
      <c r="DG164" s="27"/>
      <c r="DH164" s="27"/>
      <c r="DI164" s="27"/>
      <c r="DJ164" s="27"/>
      <c r="DK164" s="27"/>
      <c r="DL164" s="27"/>
      <c r="DM164" s="27"/>
      <c r="DN164" s="27"/>
      <c r="DO164" s="27"/>
      <c r="DP164" s="27"/>
      <c r="DQ164" s="27"/>
      <c r="DR164" s="27"/>
      <c r="DS164" s="27"/>
      <c r="DT164" s="27"/>
    </row>
    <row r="165" spans="2:124" x14ac:dyDescent="0.2">
      <c r="B165" s="27"/>
      <c r="C165" s="27" t="s">
        <v>505</v>
      </c>
      <c r="D165" s="27"/>
      <c r="E165" s="27"/>
      <c r="F165" s="27"/>
      <c r="G165" s="27">
        <v>6.5</v>
      </c>
      <c r="H165" s="27"/>
      <c r="I165" s="27"/>
      <c r="J165" s="27"/>
      <c r="K165" s="27">
        <v>5</v>
      </c>
      <c r="L165" s="27"/>
      <c r="M165" s="27"/>
      <c r="N165" s="27"/>
      <c r="O165" s="27"/>
      <c r="P165" s="27"/>
      <c r="Q165" s="27"/>
      <c r="R165" s="27"/>
      <c r="S165" s="27"/>
      <c r="T165" s="27"/>
      <c r="U165" s="27"/>
      <c r="V165" s="27"/>
      <c r="W165" s="27"/>
      <c r="X165" s="27"/>
      <c r="Y165" s="27"/>
      <c r="Z165" s="27"/>
      <c r="AA165" s="27"/>
      <c r="AB165" s="27"/>
      <c r="AC165" s="27"/>
      <c r="AD165" s="27"/>
      <c r="AE165" s="27"/>
      <c r="AF165" s="27"/>
      <c r="AG165" s="27"/>
      <c r="AH165" s="27"/>
      <c r="AI165" s="27"/>
      <c r="AJ165" s="27"/>
      <c r="AK165" s="27"/>
      <c r="AL165" s="27"/>
      <c r="AM165" s="27"/>
      <c r="AN165" s="27"/>
      <c r="AO165" s="27"/>
      <c r="AP165" s="27"/>
      <c r="AQ165" s="27"/>
      <c r="AR165" s="27"/>
      <c r="AS165" s="27"/>
      <c r="AT165" s="27"/>
      <c r="AU165" s="27"/>
      <c r="AV165" s="27"/>
      <c r="AW165" s="27"/>
      <c r="AX165" s="27"/>
      <c r="AY165" s="27"/>
      <c r="AZ165" s="27"/>
      <c r="BA165" s="27"/>
      <c r="BB165" s="27"/>
      <c r="BC165" s="27"/>
      <c r="BD165" s="27"/>
      <c r="BE165" s="27"/>
      <c r="BF165" s="27"/>
      <c r="BG165" s="27"/>
      <c r="BH165" s="27"/>
      <c r="BI165" s="27"/>
      <c r="BJ165" s="27"/>
      <c r="BK165" s="27"/>
      <c r="BL165" s="27"/>
      <c r="BM165" s="27"/>
      <c r="BN165" s="27"/>
      <c r="BO165" s="27"/>
      <c r="BP165" s="27"/>
      <c r="BQ165" s="27"/>
      <c r="BR165" s="27"/>
      <c r="BS165" s="27"/>
      <c r="BT165" s="27"/>
      <c r="BU165" s="27"/>
      <c r="BV165" s="27"/>
      <c r="BW165" s="27"/>
      <c r="BX165" s="27"/>
      <c r="BY165" s="27"/>
      <c r="BZ165" s="27"/>
      <c r="CA165" s="27"/>
      <c r="CB165" s="27"/>
      <c r="CC165" s="27"/>
      <c r="CD165" s="27"/>
      <c r="CE165" s="27"/>
      <c r="CF165" s="27"/>
      <c r="CG165" s="27"/>
      <c r="CH165" s="27"/>
      <c r="CI165" s="27"/>
      <c r="CJ165" s="27"/>
      <c r="CK165" s="27"/>
      <c r="CL165" s="27"/>
      <c r="CM165" s="27"/>
      <c r="CN165" s="27"/>
      <c r="CO165" s="27"/>
      <c r="CP165" s="27"/>
      <c r="CQ165" s="27"/>
      <c r="CR165" s="27"/>
      <c r="CS165" s="27"/>
      <c r="CT165" s="27"/>
      <c r="CU165" s="27"/>
      <c r="CV165" s="27"/>
      <c r="CW165" s="27"/>
      <c r="CX165" s="27"/>
      <c r="CY165" s="27"/>
      <c r="CZ165" s="27"/>
      <c r="DA165" s="27"/>
      <c r="DB165" s="27"/>
      <c r="DC165" s="27"/>
      <c r="DD165" s="27"/>
      <c r="DE165" s="27"/>
      <c r="DF165" s="27"/>
      <c r="DG165" s="27"/>
      <c r="DH165" s="27"/>
      <c r="DI165" s="27"/>
      <c r="DJ165" s="27"/>
      <c r="DK165" s="27"/>
      <c r="DL165" s="27"/>
      <c r="DM165" s="27"/>
      <c r="DN165" s="27"/>
      <c r="DO165" s="27"/>
      <c r="DP165" s="27"/>
      <c r="DQ165" s="27"/>
      <c r="DR165" s="27"/>
      <c r="DS165" s="27"/>
      <c r="DT165" s="27"/>
    </row>
    <row r="166" spans="2:124" x14ac:dyDescent="0.2">
      <c r="B166" s="27"/>
      <c r="C166" s="27" t="s">
        <v>506</v>
      </c>
      <c r="D166" s="27"/>
      <c r="E166" s="27"/>
      <c r="F166" s="27"/>
      <c r="G166" s="27">
        <v>7</v>
      </c>
      <c r="H166" s="27"/>
      <c r="I166" s="27"/>
      <c r="J166" s="27"/>
      <c r="K166" s="27">
        <v>5.5</v>
      </c>
      <c r="L166" s="27"/>
      <c r="M166" s="27"/>
      <c r="N166" s="27"/>
      <c r="O166" s="27"/>
      <c r="P166" s="27"/>
      <c r="Q166" s="27"/>
      <c r="R166" s="27"/>
      <c r="S166" s="27"/>
      <c r="T166" s="27"/>
      <c r="U166" s="27"/>
      <c r="V166" s="27"/>
      <c r="W166" s="27"/>
      <c r="X166" s="27"/>
      <c r="Y166" s="27"/>
      <c r="Z166" s="27"/>
      <c r="AA166" s="27"/>
      <c r="AB166" s="27"/>
      <c r="AC166" s="27"/>
      <c r="AD166" s="27"/>
      <c r="AE166" s="27"/>
      <c r="AF166" s="27"/>
      <c r="AG166" s="27"/>
      <c r="AH166" s="27"/>
      <c r="AI166" s="27"/>
      <c r="AJ166" s="27"/>
      <c r="AK166" s="27"/>
      <c r="AL166" s="27"/>
      <c r="AM166" s="27"/>
      <c r="AN166" s="27"/>
      <c r="AO166" s="27"/>
      <c r="AP166" s="27"/>
      <c r="AQ166" s="27"/>
      <c r="AR166" s="27"/>
      <c r="AS166" s="27"/>
      <c r="AT166" s="27"/>
      <c r="AU166" s="27"/>
      <c r="AV166" s="27"/>
      <c r="AW166" s="27"/>
      <c r="AX166" s="27"/>
      <c r="AY166" s="27"/>
      <c r="AZ166" s="27"/>
      <c r="BA166" s="27"/>
      <c r="BB166" s="27"/>
      <c r="BC166" s="27"/>
      <c r="BD166" s="27"/>
      <c r="BE166" s="27"/>
      <c r="BF166" s="27"/>
      <c r="BG166" s="27"/>
      <c r="BH166" s="27"/>
      <c r="BI166" s="27"/>
      <c r="BJ166" s="27"/>
      <c r="BK166" s="27"/>
      <c r="BL166" s="27"/>
      <c r="BM166" s="27"/>
      <c r="BN166" s="27"/>
      <c r="BO166" s="27"/>
      <c r="BP166" s="27"/>
      <c r="BQ166" s="27"/>
      <c r="BR166" s="27"/>
      <c r="BS166" s="27"/>
      <c r="BT166" s="27"/>
      <c r="BU166" s="27"/>
      <c r="BV166" s="27"/>
      <c r="BW166" s="27"/>
      <c r="BX166" s="27"/>
      <c r="BY166" s="27"/>
      <c r="BZ166" s="27"/>
      <c r="CA166" s="27"/>
      <c r="CB166" s="27"/>
      <c r="CC166" s="27"/>
      <c r="CD166" s="27"/>
      <c r="CE166" s="27"/>
      <c r="CF166" s="27"/>
      <c r="CG166" s="27"/>
      <c r="CH166" s="27"/>
      <c r="CI166" s="27"/>
      <c r="CJ166" s="27"/>
      <c r="CK166" s="27"/>
      <c r="CL166" s="27"/>
      <c r="CM166" s="27"/>
      <c r="CN166" s="27"/>
      <c r="CO166" s="27"/>
      <c r="CP166" s="27"/>
      <c r="CQ166" s="27"/>
      <c r="CR166" s="27"/>
      <c r="CS166" s="27"/>
      <c r="CT166" s="27"/>
      <c r="CU166" s="27"/>
      <c r="CV166" s="27"/>
      <c r="CW166" s="27"/>
      <c r="CX166" s="27"/>
      <c r="CY166" s="27"/>
      <c r="CZ166" s="27"/>
      <c r="DA166" s="27"/>
      <c r="DB166" s="27"/>
      <c r="DC166" s="27"/>
      <c r="DD166" s="27"/>
      <c r="DE166" s="27"/>
      <c r="DF166" s="27"/>
      <c r="DG166" s="27"/>
      <c r="DH166" s="27"/>
      <c r="DI166" s="27"/>
      <c r="DJ166" s="27"/>
      <c r="DK166" s="27"/>
      <c r="DL166" s="27"/>
      <c r="DM166" s="27"/>
      <c r="DN166" s="27"/>
      <c r="DO166" s="27"/>
      <c r="DP166" s="27"/>
      <c r="DQ166" s="27"/>
      <c r="DR166" s="27"/>
      <c r="DS166" s="27"/>
      <c r="DT166" s="27"/>
    </row>
    <row r="167" spans="2:124" x14ac:dyDescent="0.2">
      <c r="B167" s="27">
        <v>0</v>
      </c>
      <c r="C167" s="27" t="s">
        <v>507</v>
      </c>
      <c r="D167" s="27"/>
      <c r="E167" s="27"/>
      <c r="F167" s="27"/>
      <c r="G167" s="27">
        <v>7.5</v>
      </c>
      <c r="H167" s="27">
        <f>S1</f>
        <v>-110.72</v>
      </c>
      <c r="I167" s="27">
        <f>D162</f>
        <v>5</v>
      </c>
      <c r="J167" s="27"/>
      <c r="K167" s="27">
        <v>6</v>
      </c>
      <c r="L167" s="27"/>
      <c r="M167" s="27"/>
      <c r="N167" s="27"/>
      <c r="O167" s="27"/>
      <c r="P167" s="27"/>
      <c r="Q167" s="27"/>
      <c r="R167" s="27"/>
      <c r="S167" s="27"/>
      <c r="T167" s="27"/>
      <c r="U167" s="27"/>
      <c r="V167" s="27"/>
      <c r="W167" s="27"/>
      <c r="X167" s="27"/>
      <c r="Y167" s="27"/>
      <c r="Z167" s="27"/>
      <c r="AA167" s="27"/>
      <c r="AB167" s="27"/>
      <c r="AC167" s="27"/>
      <c r="AD167" s="27"/>
      <c r="AE167" s="27"/>
      <c r="AF167" s="27"/>
      <c r="AG167" s="27"/>
      <c r="AH167" s="27"/>
      <c r="AI167" s="27"/>
      <c r="AJ167" s="27"/>
      <c r="AK167" s="27"/>
      <c r="AL167" s="27"/>
      <c r="AM167" s="27"/>
      <c r="AN167" s="27"/>
      <c r="AO167" s="27"/>
      <c r="AP167" s="27"/>
      <c r="AQ167" s="27"/>
      <c r="AR167" s="27"/>
      <c r="AS167" s="27"/>
      <c r="AT167" s="27"/>
      <c r="AU167" s="27"/>
      <c r="AV167" s="27"/>
      <c r="AW167" s="27"/>
      <c r="AX167" s="27"/>
      <c r="AY167" s="27"/>
      <c r="AZ167" s="27"/>
      <c r="BA167" s="27"/>
      <c r="BB167" s="27"/>
      <c r="BC167" s="27"/>
      <c r="BD167" s="27"/>
      <c r="BE167" s="27"/>
      <c r="BF167" s="27"/>
      <c r="BG167" s="27"/>
      <c r="BH167" s="27"/>
      <c r="BI167" s="27"/>
      <c r="BJ167" s="27"/>
      <c r="BK167" s="27"/>
      <c r="BL167" s="27"/>
      <c r="BM167" s="27"/>
      <c r="BN167" s="27"/>
      <c r="BO167" s="27"/>
      <c r="BP167" s="27"/>
      <c r="BQ167" s="27"/>
      <c r="BR167" s="27"/>
      <c r="BS167" s="27"/>
      <c r="BT167" s="27"/>
      <c r="BU167" s="27"/>
      <c r="BV167" s="27"/>
      <c r="BW167" s="27"/>
      <c r="BX167" s="27"/>
      <c r="BY167" s="27"/>
      <c r="BZ167" s="27"/>
      <c r="CA167" s="27"/>
      <c r="CB167" s="27"/>
      <c r="CC167" s="27"/>
      <c r="CD167" s="27"/>
      <c r="CE167" s="27"/>
      <c r="CF167" s="27"/>
      <c r="CG167" s="27"/>
      <c r="CH167" s="27"/>
      <c r="CI167" s="27"/>
      <c r="CJ167" s="27"/>
      <c r="CK167" s="27"/>
      <c r="CL167" s="27"/>
      <c r="CM167" s="27"/>
      <c r="CN167" s="27"/>
      <c r="CO167" s="27"/>
      <c r="CP167" s="27"/>
      <c r="CQ167" s="27"/>
      <c r="CR167" s="27"/>
      <c r="CS167" s="27"/>
      <c r="CT167" s="27"/>
      <c r="CU167" s="27"/>
      <c r="CV167" s="27"/>
      <c r="CW167" s="27"/>
      <c r="CX167" s="27"/>
      <c r="CY167" s="27"/>
      <c r="CZ167" s="27"/>
      <c r="DA167" s="27"/>
      <c r="DB167" s="27"/>
      <c r="DC167" s="27"/>
      <c r="DD167" s="27"/>
      <c r="DE167" s="27"/>
      <c r="DF167" s="27"/>
      <c r="DG167" s="27"/>
      <c r="DH167" s="27"/>
      <c r="DI167" s="27"/>
      <c r="DJ167" s="27"/>
      <c r="DK167" s="27"/>
      <c r="DL167" s="27"/>
      <c r="DM167" s="27"/>
      <c r="DN167" s="27"/>
      <c r="DO167" s="27"/>
      <c r="DP167" s="27"/>
      <c r="DQ167" s="27"/>
      <c r="DR167" s="27"/>
      <c r="DS167" s="27"/>
      <c r="DT167" s="27"/>
    </row>
    <row r="168" spans="2:124" x14ac:dyDescent="0.2">
      <c r="B168" s="27">
        <v>0</v>
      </c>
      <c r="C168" s="27" t="s">
        <v>508</v>
      </c>
      <c r="D168" s="27"/>
      <c r="E168" s="27"/>
      <c r="F168" s="27"/>
      <c r="G168" s="27">
        <v>8</v>
      </c>
      <c r="H168" s="27"/>
      <c r="I168" s="27"/>
      <c r="J168" s="27"/>
      <c r="K168" s="27">
        <v>6.5</v>
      </c>
      <c r="L168" s="27"/>
      <c r="M168" s="27">
        <f t="shared" ref="M168:M186" si="14">N80</f>
        <v>0</v>
      </c>
      <c r="N168" s="27"/>
      <c r="O168" s="27"/>
      <c r="P168" s="27"/>
      <c r="Q168" s="27"/>
      <c r="R168" s="27"/>
      <c r="S168" s="27"/>
      <c r="T168" s="27"/>
      <c r="U168" s="27"/>
      <c r="V168" s="27"/>
      <c r="W168" s="27"/>
      <c r="X168" s="27"/>
      <c r="Y168" s="27"/>
      <c r="Z168" s="27"/>
      <c r="AA168" s="27"/>
      <c r="AB168" s="27"/>
      <c r="AC168" s="27"/>
      <c r="AD168" s="27"/>
      <c r="AE168" s="27"/>
      <c r="AF168" s="27"/>
      <c r="AG168" s="27"/>
      <c r="AH168" s="27"/>
      <c r="AI168" s="27"/>
      <c r="AJ168" s="27"/>
      <c r="AK168" s="27"/>
      <c r="AL168" s="27"/>
      <c r="AM168" s="27"/>
      <c r="AN168" s="27"/>
      <c r="AO168" s="27"/>
      <c r="AP168" s="27"/>
      <c r="AQ168" s="27"/>
      <c r="AR168" s="27"/>
      <c r="AS168" s="27"/>
      <c r="AT168" s="27"/>
      <c r="AU168" s="27"/>
      <c r="AV168" s="27"/>
      <c r="AW168" s="27"/>
      <c r="AX168" s="27"/>
      <c r="AY168" s="27"/>
      <c r="AZ168" s="27"/>
      <c r="BA168" s="27"/>
      <c r="BB168" s="27"/>
      <c r="BC168" s="27"/>
      <c r="BD168" s="27"/>
      <c r="BE168" s="27"/>
      <c r="BF168" s="27"/>
      <c r="BG168" s="27"/>
      <c r="BH168" s="27"/>
      <c r="BI168" s="27"/>
      <c r="BJ168" s="27"/>
      <c r="BK168" s="27"/>
      <c r="BL168" s="27"/>
      <c r="BM168" s="27"/>
      <c r="BN168" s="27"/>
      <c r="BO168" s="27"/>
      <c r="BP168" s="27"/>
      <c r="BQ168" s="27"/>
      <c r="BR168" s="27"/>
      <c r="BS168" s="27"/>
      <c r="BT168" s="27"/>
      <c r="BU168" s="27"/>
      <c r="BV168" s="27"/>
      <c r="BW168" s="27"/>
      <c r="BX168" s="27"/>
      <c r="BY168" s="27"/>
      <c r="BZ168" s="27"/>
      <c r="CA168" s="27"/>
      <c r="CB168" s="27"/>
      <c r="CC168" s="27"/>
      <c r="CD168" s="27"/>
      <c r="CE168" s="27"/>
      <c r="CF168" s="27"/>
      <c r="CG168" s="27"/>
      <c r="CH168" s="27"/>
      <c r="CI168" s="27"/>
      <c r="CJ168" s="27"/>
      <c r="CK168" s="27"/>
      <c r="CL168" s="27"/>
      <c r="CM168" s="27"/>
      <c r="CN168" s="27"/>
      <c r="CO168" s="27"/>
      <c r="CP168" s="27"/>
      <c r="CQ168" s="27"/>
      <c r="CR168" s="27"/>
      <c r="CS168" s="27"/>
      <c r="CT168" s="27"/>
      <c r="CU168" s="27"/>
      <c r="CV168" s="27"/>
      <c r="CW168" s="27"/>
      <c r="CX168" s="27"/>
      <c r="CY168" s="27"/>
      <c r="CZ168" s="27"/>
      <c r="DA168" s="27"/>
      <c r="DB168" s="27"/>
      <c r="DC168" s="27"/>
      <c r="DD168" s="27"/>
      <c r="DE168" s="27"/>
      <c r="DF168" s="27"/>
      <c r="DG168" s="27"/>
      <c r="DH168" s="27"/>
      <c r="DI168" s="27"/>
      <c r="DJ168" s="27"/>
      <c r="DK168" s="27"/>
      <c r="DL168" s="27"/>
      <c r="DM168" s="27"/>
      <c r="DN168" s="27"/>
      <c r="DO168" s="27"/>
      <c r="DP168" s="27"/>
      <c r="DQ168" s="27"/>
      <c r="DR168" s="27"/>
      <c r="DS168" s="27"/>
      <c r="DT168" s="27"/>
    </row>
    <row r="169" spans="2:124" x14ac:dyDescent="0.2">
      <c r="B169" s="27" t="s">
        <v>71</v>
      </c>
      <c r="C169" s="27" t="s">
        <v>509</v>
      </c>
      <c r="D169" s="27"/>
      <c r="E169" s="27"/>
      <c r="F169" s="27"/>
      <c r="G169" s="27">
        <v>8.5</v>
      </c>
      <c r="H169" s="27"/>
      <c r="I169" s="27"/>
      <c r="J169" s="27"/>
      <c r="K169" s="27">
        <v>7</v>
      </c>
      <c r="L169" s="27"/>
      <c r="M169" s="27" t="str">
        <f t="shared" si="14"/>
        <v xml:space="preserve">0  שנות הוראה  </v>
      </c>
      <c r="N169" s="27"/>
      <c r="O169" s="27"/>
      <c r="P169" s="27"/>
      <c r="Q169" s="27"/>
      <c r="R169" s="27"/>
      <c r="S169" s="27"/>
      <c r="T169" s="27"/>
      <c r="U169" s="27"/>
      <c r="V169" s="27"/>
      <c r="W169" s="27"/>
      <c r="X169" s="27"/>
      <c r="Y169" s="27"/>
      <c r="Z169" s="27"/>
      <c r="AA169" s="27"/>
      <c r="AB169" s="27"/>
      <c r="AC169" s="27"/>
      <c r="AD169" s="27"/>
      <c r="AE169" s="27"/>
      <c r="AF169" s="27"/>
      <c r="AG169" s="27"/>
      <c r="AH169" s="27"/>
      <c r="AI169" s="27"/>
      <c r="AJ169" s="27"/>
      <c r="AK169" s="27"/>
      <c r="AL169" s="27"/>
      <c r="AM169" s="27"/>
      <c r="AN169" s="27"/>
      <c r="AO169" s="27"/>
      <c r="AP169" s="27"/>
      <c r="AQ169" s="27"/>
      <c r="AR169" s="27"/>
      <c r="AS169" s="27"/>
      <c r="AT169" s="27"/>
      <c r="AU169" s="27"/>
      <c r="AV169" s="27"/>
      <c r="AW169" s="27"/>
      <c r="AX169" s="27"/>
      <c r="AY169" s="27"/>
      <c r="AZ169" s="27"/>
      <c r="BA169" s="27"/>
      <c r="BB169" s="27"/>
      <c r="BC169" s="27"/>
      <c r="BD169" s="27"/>
      <c r="BE169" s="27"/>
      <c r="BF169" s="27"/>
      <c r="BG169" s="27"/>
      <c r="BH169" s="27"/>
      <c r="BI169" s="27"/>
      <c r="BJ169" s="27"/>
      <c r="BK169" s="27"/>
      <c r="BL169" s="27"/>
      <c r="BM169" s="27"/>
      <c r="BN169" s="27"/>
      <c r="BO169" s="27"/>
      <c r="BP169" s="27"/>
      <c r="BQ169" s="27"/>
      <c r="BR169" s="27"/>
      <c r="BS169" s="27"/>
      <c r="BT169" s="27"/>
      <c r="BU169" s="27"/>
      <c r="BV169" s="27"/>
      <c r="BW169" s="27"/>
      <c r="BX169" s="27"/>
      <c r="BY169" s="27"/>
      <c r="BZ169" s="27"/>
      <c r="CA169" s="27"/>
      <c r="CB169" s="27"/>
      <c r="CC169" s="27"/>
      <c r="CD169" s="27"/>
      <c r="CE169" s="27"/>
      <c r="CF169" s="27"/>
      <c r="CG169" s="27"/>
      <c r="CH169" s="27"/>
      <c r="CI169" s="27"/>
      <c r="CJ169" s="27"/>
      <c r="CK169" s="27"/>
      <c r="CL169" s="27"/>
      <c r="CM169" s="27"/>
      <c r="CN169" s="27"/>
      <c r="CO169" s="27"/>
      <c r="CP169" s="27"/>
      <c r="CQ169" s="27"/>
      <c r="CR169" s="27"/>
      <c r="CS169" s="27"/>
      <c r="CT169" s="27"/>
      <c r="CU169" s="27"/>
      <c r="CV169" s="27"/>
      <c r="CW169" s="27"/>
      <c r="CX169" s="27"/>
      <c r="CY169" s="27"/>
      <c r="CZ169" s="27"/>
      <c r="DA169" s="27"/>
      <c r="DB169" s="27"/>
      <c r="DC169" s="27"/>
      <c r="DD169" s="27"/>
      <c r="DE169" s="27"/>
      <c r="DF169" s="27"/>
      <c r="DG169" s="27"/>
      <c r="DH169" s="27"/>
      <c r="DI169" s="27"/>
      <c r="DJ169" s="27"/>
      <c r="DK169" s="27"/>
      <c r="DL169" s="27"/>
      <c r="DM169" s="27"/>
      <c r="DN169" s="27"/>
      <c r="DO169" s="27"/>
      <c r="DP169" s="27"/>
      <c r="DQ169" s="27"/>
      <c r="DR169" s="27"/>
      <c r="DS169" s="27"/>
      <c r="DT169" s="27"/>
    </row>
    <row r="170" spans="2:124" x14ac:dyDescent="0.2">
      <c r="B170" s="27"/>
      <c r="C170" s="27" t="s">
        <v>510</v>
      </c>
      <c r="D170" s="27"/>
      <c r="E170" s="27"/>
      <c r="F170" s="27"/>
      <c r="G170" s="27">
        <v>9</v>
      </c>
      <c r="H170" s="27" t="s">
        <v>59</v>
      </c>
      <c r="I170" s="27"/>
      <c r="J170" s="27"/>
      <c r="K170" s="27">
        <v>7.5</v>
      </c>
      <c r="L170" s="27"/>
      <c r="M170" s="27" t="e">
        <f t="shared" si="14"/>
        <v>#N/A</v>
      </c>
      <c r="N170" s="27"/>
      <c r="O170" s="27"/>
      <c r="P170" s="27"/>
      <c r="Q170" s="27"/>
      <c r="R170" s="27"/>
      <c r="S170" s="27"/>
      <c r="T170" s="27"/>
      <c r="U170" s="27"/>
      <c r="V170" s="27"/>
      <c r="W170" s="27"/>
      <c r="X170" s="27"/>
      <c r="Y170" s="27"/>
      <c r="Z170" s="27"/>
      <c r="AA170" s="27"/>
      <c r="AB170" s="27"/>
      <c r="AC170" s="27"/>
      <c r="AD170" s="27"/>
      <c r="AE170" s="27"/>
      <c r="AF170" s="27"/>
      <c r="AG170" s="27"/>
      <c r="AH170" s="27"/>
      <c r="AI170" s="27"/>
      <c r="AJ170" s="27"/>
      <c r="AK170" s="27"/>
      <c r="AL170" s="27"/>
      <c r="AM170" s="27"/>
      <c r="AN170" s="27"/>
      <c r="AO170" s="27"/>
      <c r="AP170" s="27"/>
      <c r="AQ170" s="27"/>
      <c r="AR170" s="27"/>
      <c r="AS170" s="27"/>
      <c r="AT170" s="27"/>
      <c r="AU170" s="27"/>
      <c r="AV170" s="27"/>
      <c r="AW170" s="27"/>
      <c r="AX170" s="27"/>
      <c r="AY170" s="27"/>
      <c r="AZ170" s="27"/>
      <c r="BA170" s="27"/>
      <c r="BB170" s="27"/>
      <c r="BC170" s="27"/>
      <c r="BD170" s="27"/>
      <c r="BE170" s="27"/>
      <c r="BF170" s="27"/>
      <c r="BG170" s="27"/>
      <c r="BH170" s="27"/>
      <c r="BI170" s="27"/>
      <c r="BJ170" s="27"/>
      <c r="BK170" s="27"/>
      <c r="BL170" s="27"/>
      <c r="BM170" s="27"/>
      <c r="BN170" s="27"/>
      <c r="BO170" s="27"/>
      <c r="BP170" s="27"/>
      <c r="BQ170" s="27"/>
      <c r="BR170" s="27"/>
      <c r="BS170" s="27"/>
      <c r="BT170" s="27"/>
      <c r="BU170" s="27"/>
      <c r="BV170" s="27"/>
      <c r="BW170" s="27"/>
      <c r="BX170" s="27"/>
      <c r="BY170" s="27"/>
      <c r="BZ170" s="27"/>
      <c r="CA170" s="27"/>
      <c r="CB170" s="27"/>
      <c r="CC170" s="27"/>
      <c r="CD170" s="27"/>
      <c r="CE170" s="27"/>
      <c r="CF170" s="27"/>
      <c r="CG170" s="27"/>
      <c r="CH170" s="27"/>
      <c r="CI170" s="27"/>
      <c r="CJ170" s="27"/>
      <c r="CK170" s="27"/>
      <c r="CL170" s="27"/>
      <c r="CM170" s="27"/>
      <c r="CN170" s="27"/>
      <c r="CO170" s="27"/>
      <c r="CP170" s="27"/>
      <c r="CQ170" s="27"/>
      <c r="CR170" s="27"/>
      <c r="CS170" s="27"/>
      <c r="CT170" s="27"/>
      <c r="CU170" s="27"/>
      <c r="CV170" s="27"/>
      <c r="CW170" s="27"/>
      <c r="CX170" s="27"/>
      <c r="CY170" s="27"/>
      <c r="CZ170" s="27"/>
      <c r="DA170" s="27"/>
      <c r="DB170" s="27"/>
      <c r="DC170" s="27"/>
      <c r="DD170" s="27"/>
      <c r="DE170" s="27"/>
      <c r="DF170" s="27"/>
      <c r="DG170" s="27"/>
      <c r="DH170" s="27"/>
      <c r="DI170" s="27"/>
      <c r="DJ170" s="27"/>
      <c r="DK170" s="27"/>
      <c r="DL170" s="27"/>
      <c r="DM170" s="27"/>
      <c r="DN170" s="27"/>
      <c r="DO170" s="27"/>
      <c r="DP170" s="27"/>
      <c r="DQ170" s="27"/>
      <c r="DR170" s="27"/>
      <c r="DS170" s="27"/>
      <c r="DT170" s="27"/>
    </row>
    <row r="171" spans="2:124" x14ac:dyDescent="0.2">
      <c r="B171" s="27"/>
      <c r="C171" s="27" t="s">
        <v>511</v>
      </c>
      <c r="D171" s="27"/>
      <c r="E171" s="27"/>
      <c r="F171" s="27"/>
      <c r="G171" s="27"/>
      <c r="H171" s="27"/>
      <c r="I171" s="27"/>
      <c r="J171" s="27"/>
      <c r="K171" s="27">
        <v>8</v>
      </c>
      <c r="L171" s="27"/>
      <c r="M171" s="27" t="e">
        <f t="shared" si="14"/>
        <v>#N/A</v>
      </c>
      <c r="N171" s="27"/>
      <c r="O171" s="27"/>
      <c r="P171" s="27"/>
      <c r="Q171" s="27"/>
      <c r="R171" s="27"/>
      <c r="S171" s="27"/>
      <c r="T171" s="27"/>
      <c r="U171" s="27"/>
      <c r="V171" s="27"/>
      <c r="W171" s="27"/>
      <c r="X171" s="27"/>
      <c r="Y171" s="27"/>
      <c r="Z171" s="27"/>
      <c r="AA171" s="27"/>
      <c r="AB171" s="27"/>
      <c r="AC171" s="27"/>
      <c r="AD171" s="27"/>
      <c r="AE171" s="27"/>
      <c r="AF171" s="27"/>
      <c r="AG171" s="27"/>
      <c r="AH171" s="27"/>
      <c r="AI171" s="27"/>
      <c r="AJ171" s="27"/>
      <c r="AK171" s="27"/>
      <c r="AL171" s="27"/>
      <c r="AM171" s="27"/>
      <c r="AN171" s="27"/>
      <c r="AO171" s="27"/>
      <c r="AP171" s="27"/>
      <c r="AQ171" s="27"/>
      <c r="AR171" s="27"/>
      <c r="AS171" s="27"/>
      <c r="AT171" s="27"/>
      <c r="AU171" s="27"/>
      <c r="AV171" s="27"/>
      <c r="AW171" s="27"/>
      <c r="AX171" s="27"/>
      <c r="AY171" s="27"/>
      <c r="AZ171" s="27"/>
      <c r="BA171" s="27"/>
      <c r="BB171" s="27"/>
      <c r="BC171" s="27"/>
      <c r="BD171" s="27"/>
      <c r="BE171" s="27"/>
      <c r="BF171" s="27"/>
      <c r="BG171" s="27"/>
      <c r="BH171" s="27"/>
      <c r="BI171" s="27"/>
      <c r="BJ171" s="27"/>
      <c r="BK171" s="27"/>
      <c r="BL171" s="27"/>
      <c r="BM171" s="27"/>
      <c r="BN171" s="27"/>
      <c r="BO171" s="27"/>
      <c r="BP171" s="27"/>
      <c r="BQ171" s="27"/>
      <c r="BR171" s="27"/>
      <c r="BS171" s="27"/>
      <c r="BT171" s="27"/>
      <c r="BU171" s="27"/>
      <c r="BV171" s="27"/>
      <c r="BW171" s="27"/>
      <c r="BX171" s="27"/>
      <c r="BY171" s="27"/>
      <c r="BZ171" s="27"/>
      <c r="CA171" s="27"/>
      <c r="CB171" s="27"/>
      <c r="CC171" s="27"/>
      <c r="CD171" s="27"/>
      <c r="CE171" s="27"/>
      <c r="CF171" s="27"/>
      <c r="CG171" s="27"/>
      <c r="CH171" s="27"/>
      <c r="CI171" s="27"/>
      <c r="CJ171" s="27"/>
      <c r="CK171" s="27"/>
      <c r="CL171" s="27"/>
      <c r="CM171" s="27"/>
      <c r="CN171" s="27"/>
      <c r="CO171" s="27"/>
      <c r="CP171" s="27"/>
      <c r="CQ171" s="27"/>
      <c r="CR171" s="27"/>
      <c r="CS171" s="27"/>
      <c r="CT171" s="27"/>
      <c r="CU171" s="27"/>
      <c r="CV171" s="27"/>
      <c r="CW171" s="27"/>
      <c r="CX171" s="27"/>
      <c r="CY171" s="27"/>
      <c r="CZ171" s="27"/>
      <c r="DA171" s="27"/>
      <c r="DB171" s="27"/>
      <c r="DC171" s="27"/>
      <c r="DD171" s="27"/>
      <c r="DE171" s="27"/>
      <c r="DF171" s="27"/>
      <c r="DG171" s="27"/>
      <c r="DH171" s="27"/>
      <c r="DI171" s="27"/>
      <c r="DJ171" s="27"/>
      <c r="DK171" s="27"/>
      <c r="DL171" s="27"/>
      <c r="DM171" s="27"/>
      <c r="DN171" s="27"/>
      <c r="DO171" s="27"/>
      <c r="DP171" s="27"/>
      <c r="DQ171" s="27"/>
      <c r="DR171" s="27"/>
      <c r="DS171" s="27"/>
      <c r="DT171" s="27"/>
    </row>
    <row r="172" spans="2:124" x14ac:dyDescent="0.2">
      <c r="B172" s="27" t="s">
        <v>512</v>
      </c>
      <c r="C172" s="27">
        <v>0</v>
      </c>
      <c r="D172" s="27"/>
      <c r="E172" s="27"/>
      <c r="F172" s="27"/>
      <c r="G172" s="27"/>
      <c r="H172" s="27"/>
      <c r="I172" s="27"/>
      <c r="J172" s="27"/>
      <c r="K172" s="27">
        <v>8.5</v>
      </c>
      <c r="L172" s="27"/>
      <c r="M172" s="27" t="e">
        <f t="shared" si="14"/>
        <v>#N/A</v>
      </c>
      <c r="N172" s="27"/>
      <c r="O172" s="27"/>
      <c r="P172" s="27"/>
      <c r="Q172" s="27"/>
      <c r="R172" s="27"/>
      <c r="S172" s="27"/>
      <c r="T172" s="27"/>
      <c r="U172" s="27"/>
      <c r="V172" s="27"/>
      <c r="W172" s="27"/>
      <c r="X172" s="27"/>
      <c r="Y172" s="27"/>
      <c r="Z172" s="27"/>
      <c r="AA172" s="27"/>
      <c r="AB172" s="27"/>
      <c r="AC172" s="27"/>
      <c r="AD172" s="27"/>
      <c r="AE172" s="27"/>
      <c r="AF172" s="27"/>
      <c r="AG172" s="27"/>
      <c r="AH172" s="27"/>
      <c r="AI172" s="27"/>
      <c r="AJ172" s="27"/>
      <c r="AK172" s="27"/>
      <c r="AL172" s="27"/>
      <c r="AM172" s="27"/>
      <c r="AN172" s="27"/>
      <c r="AO172" s="27"/>
      <c r="AP172" s="27"/>
      <c r="AQ172" s="27"/>
      <c r="AR172" s="27"/>
      <c r="AS172" s="27"/>
      <c r="AT172" s="27"/>
      <c r="AU172" s="27"/>
      <c r="AV172" s="27"/>
      <c r="AW172" s="27"/>
      <c r="AX172" s="27"/>
      <c r="AY172" s="27"/>
      <c r="AZ172" s="27"/>
      <c r="BA172" s="27"/>
      <c r="BB172" s="27"/>
      <c r="BC172" s="27"/>
      <c r="BD172" s="27"/>
      <c r="BE172" s="27"/>
      <c r="BF172" s="27"/>
      <c r="BG172" s="27"/>
      <c r="BH172" s="27"/>
      <c r="BI172" s="27"/>
      <c r="BJ172" s="27"/>
      <c r="BK172" s="27"/>
      <c r="BL172" s="27"/>
      <c r="BM172" s="27"/>
      <c r="BN172" s="27"/>
      <c r="BO172" s="27"/>
      <c r="BP172" s="27"/>
      <c r="BQ172" s="27"/>
      <c r="BR172" s="27"/>
      <c r="BS172" s="27"/>
      <c r="BT172" s="27"/>
      <c r="BU172" s="27"/>
      <c r="BV172" s="27"/>
      <c r="BW172" s="27"/>
      <c r="BX172" s="27"/>
      <c r="BY172" s="27"/>
      <c r="BZ172" s="27"/>
      <c r="CA172" s="27"/>
      <c r="CB172" s="27"/>
      <c r="CC172" s="27"/>
      <c r="CD172" s="27"/>
      <c r="CE172" s="27"/>
      <c r="CF172" s="27"/>
      <c r="CG172" s="27"/>
      <c r="CH172" s="27"/>
      <c r="CI172" s="27"/>
      <c r="CJ172" s="27"/>
      <c r="CK172" s="27"/>
      <c r="CL172" s="27"/>
      <c r="CM172" s="27"/>
      <c r="CN172" s="27"/>
      <c r="CO172" s="27"/>
      <c r="CP172" s="27"/>
      <c r="CQ172" s="27"/>
      <c r="CR172" s="27"/>
      <c r="CS172" s="27"/>
      <c r="CT172" s="27"/>
      <c r="CU172" s="27"/>
      <c r="CV172" s="27"/>
      <c r="CW172" s="27"/>
      <c r="CX172" s="27"/>
      <c r="CY172" s="27"/>
      <c r="CZ172" s="27"/>
      <c r="DA172" s="27"/>
      <c r="DB172" s="27"/>
      <c r="DC172" s="27"/>
      <c r="DD172" s="27"/>
      <c r="DE172" s="27"/>
      <c r="DF172" s="27"/>
      <c r="DG172" s="27"/>
      <c r="DH172" s="27"/>
      <c r="DI172" s="27"/>
      <c r="DJ172" s="27"/>
      <c r="DK172" s="27"/>
      <c r="DL172" s="27"/>
      <c r="DM172" s="27"/>
      <c r="DN172" s="27"/>
      <c r="DO172" s="27"/>
      <c r="DP172" s="27"/>
      <c r="DQ172" s="27"/>
      <c r="DR172" s="27"/>
      <c r="DS172" s="27"/>
      <c r="DT172" s="27"/>
    </row>
    <row r="173" spans="2:124" x14ac:dyDescent="0.2">
      <c r="B173" s="27" t="s">
        <v>59</v>
      </c>
      <c r="C173" s="27"/>
      <c r="D173" s="27"/>
      <c r="E173" s="27"/>
      <c r="F173" s="27" t="s">
        <v>198</v>
      </c>
      <c r="G173" s="27"/>
      <c r="H173" s="27" t="s">
        <v>513</v>
      </c>
      <c r="I173" s="27">
        <f>DATE(YEAR(J4),MONTH(J4)-MONTH(J4)+1,DAY(J4)-DAY(J4)+1)</f>
        <v>1</v>
      </c>
      <c r="J173" s="27"/>
      <c r="K173" s="27">
        <v>9</v>
      </c>
      <c r="L173" s="27"/>
      <c r="M173" s="27" t="e">
        <f t="shared" si="14"/>
        <v>#N/A</v>
      </c>
      <c r="N173" s="27"/>
      <c r="O173" s="27"/>
      <c r="P173" s="27"/>
      <c r="Q173" s="27"/>
      <c r="R173" s="27"/>
      <c r="S173" s="27"/>
      <c r="T173" s="27"/>
      <c r="U173" s="27"/>
      <c r="V173" s="27"/>
      <c r="W173" s="27"/>
      <c r="X173" s="27"/>
      <c r="Y173" s="27"/>
      <c r="Z173" s="27"/>
      <c r="AA173" s="27"/>
      <c r="AB173" s="27"/>
      <c r="AC173" s="27"/>
      <c r="AD173" s="27"/>
      <c r="AE173" s="27"/>
      <c r="AF173" s="27"/>
      <c r="AG173" s="27"/>
      <c r="AH173" s="27"/>
      <c r="AI173" s="27"/>
      <c r="AJ173" s="27"/>
      <c r="AK173" s="27"/>
      <c r="AL173" s="27"/>
      <c r="AM173" s="27"/>
      <c r="AN173" s="27"/>
      <c r="AO173" s="27"/>
      <c r="AP173" s="27"/>
      <c r="AQ173" s="27"/>
      <c r="AR173" s="27"/>
      <c r="AS173" s="27"/>
      <c r="AT173" s="27"/>
      <c r="AU173" s="27"/>
      <c r="AV173" s="27"/>
      <c r="AW173" s="27"/>
      <c r="AX173" s="27"/>
      <c r="AY173" s="27"/>
      <c r="AZ173" s="27"/>
      <c r="BA173" s="27"/>
      <c r="BB173" s="27"/>
      <c r="BC173" s="27"/>
      <c r="BD173" s="27"/>
      <c r="BE173" s="27"/>
      <c r="BF173" s="27"/>
      <c r="BG173" s="27"/>
      <c r="BH173" s="27"/>
      <c r="BI173" s="27"/>
      <c r="BJ173" s="27"/>
      <c r="BK173" s="27"/>
      <c r="BL173" s="27"/>
      <c r="BM173" s="27"/>
      <c r="BN173" s="27"/>
      <c r="BO173" s="27"/>
      <c r="BP173" s="27"/>
      <c r="BQ173" s="27"/>
      <c r="BR173" s="27"/>
      <c r="BS173" s="27"/>
      <c r="BT173" s="27"/>
      <c r="BU173" s="27"/>
      <c r="BV173" s="27"/>
      <c r="BW173" s="27"/>
      <c r="BX173" s="27"/>
      <c r="BY173" s="27"/>
      <c r="BZ173" s="27"/>
      <c r="CA173" s="27"/>
      <c r="CB173" s="27"/>
      <c r="CC173" s="27"/>
      <c r="CD173" s="27"/>
      <c r="CE173" s="27"/>
      <c r="CF173" s="27"/>
      <c r="CG173" s="27"/>
      <c r="CH173" s="27"/>
      <c r="CI173" s="27"/>
      <c r="CJ173" s="27"/>
      <c r="CK173" s="27"/>
      <c r="CL173" s="27"/>
      <c r="CM173" s="27"/>
      <c r="CN173" s="27"/>
      <c r="CO173" s="27"/>
      <c r="CP173" s="27"/>
      <c r="CQ173" s="27"/>
      <c r="CR173" s="27"/>
      <c r="CS173" s="27"/>
      <c r="CT173" s="27"/>
      <c r="CU173" s="27"/>
      <c r="CV173" s="27"/>
      <c r="CW173" s="27"/>
      <c r="CX173" s="27"/>
      <c r="CY173" s="27"/>
      <c r="CZ173" s="27"/>
      <c r="DA173" s="27"/>
      <c r="DB173" s="27"/>
      <c r="DC173" s="27"/>
      <c r="DD173" s="27"/>
      <c r="DE173" s="27"/>
      <c r="DF173" s="27"/>
      <c r="DG173" s="27"/>
      <c r="DH173" s="27"/>
      <c r="DI173" s="27"/>
      <c r="DJ173" s="27"/>
      <c r="DK173" s="27"/>
      <c r="DL173" s="27"/>
      <c r="DM173" s="27"/>
      <c r="DN173" s="27"/>
      <c r="DO173" s="27"/>
      <c r="DP173" s="27"/>
      <c r="DQ173" s="27"/>
      <c r="DR173" s="27"/>
      <c r="DS173" s="27"/>
      <c r="DT173" s="27"/>
    </row>
    <row r="174" spans="2:124" x14ac:dyDescent="0.2">
      <c r="B174" s="27"/>
      <c r="C174" s="27"/>
      <c r="D174" s="27"/>
      <c r="E174" s="27"/>
      <c r="F174" s="27"/>
      <c r="G174" s="27"/>
      <c r="H174" s="27"/>
      <c r="I174" s="27"/>
      <c r="J174" s="27"/>
      <c r="K174" s="27"/>
      <c r="L174" s="27"/>
      <c r="M174" s="27" t="e">
        <f t="shared" si="14"/>
        <v>#N/A</v>
      </c>
      <c r="N174" s="27"/>
      <c r="O174" s="27"/>
      <c r="P174" s="27"/>
      <c r="Q174" s="27"/>
      <c r="R174" s="27"/>
      <c r="S174" s="27"/>
      <c r="T174" s="27"/>
      <c r="U174" s="27"/>
      <c r="V174" s="27"/>
      <c r="W174" s="27"/>
      <c r="X174" s="27"/>
      <c r="Y174" s="27"/>
      <c r="Z174" s="27"/>
      <c r="AA174" s="27"/>
      <c r="AB174" s="27"/>
      <c r="AC174" s="27"/>
      <c r="AD174" s="27"/>
      <c r="AE174" s="27"/>
      <c r="AF174" s="27"/>
      <c r="AG174" s="27"/>
      <c r="AH174" s="27"/>
      <c r="AI174" s="27"/>
      <c r="AJ174" s="27"/>
      <c r="AK174" s="27"/>
      <c r="AL174" s="27"/>
      <c r="AM174" s="27"/>
      <c r="AN174" s="27"/>
      <c r="AO174" s="27"/>
      <c r="AP174" s="27"/>
      <c r="AQ174" s="27"/>
      <c r="AR174" s="27"/>
      <c r="AS174" s="27"/>
      <c r="AT174" s="27"/>
      <c r="AU174" s="27"/>
      <c r="AV174" s="27"/>
      <c r="AW174" s="27"/>
      <c r="AX174" s="27"/>
      <c r="AY174" s="27"/>
      <c r="AZ174" s="27"/>
      <c r="BA174" s="27"/>
      <c r="BB174" s="27"/>
      <c r="BC174" s="27"/>
      <c r="BD174" s="27"/>
      <c r="BE174" s="27"/>
      <c r="BF174" s="27"/>
      <c r="BG174" s="27"/>
      <c r="BH174" s="27"/>
      <c r="BI174" s="27"/>
      <c r="BJ174" s="27"/>
      <c r="BK174" s="27"/>
      <c r="BL174" s="27"/>
      <c r="BM174" s="27"/>
      <c r="BN174" s="27"/>
      <c r="BO174" s="27"/>
      <c r="BP174" s="27"/>
      <c r="BQ174" s="27"/>
      <c r="BR174" s="27"/>
      <c r="BS174" s="27"/>
      <c r="BT174" s="27"/>
      <c r="BU174" s="27"/>
      <c r="BV174" s="27"/>
      <c r="BW174" s="27"/>
      <c r="BX174" s="27"/>
      <c r="BY174" s="27"/>
      <c r="BZ174" s="27"/>
      <c r="CA174" s="27"/>
      <c r="CB174" s="27"/>
      <c r="CC174" s="27"/>
      <c r="CD174" s="27"/>
      <c r="CE174" s="27"/>
      <c r="CF174" s="27"/>
      <c r="CG174" s="27"/>
      <c r="CH174" s="27"/>
      <c r="CI174" s="27"/>
      <c r="CJ174" s="27"/>
      <c r="CK174" s="27"/>
      <c r="CL174" s="27"/>
      <c r="CM174" s="27"/>
      <c r="CN174" s="27"/>
      <c r="CO174" s="27"/>
      <c r="CP174" s="27"/>
      <c r="CQ174" s="27"/>
      <c r="CR174" s="27"/>
      <c r="CS174" s="27"/>
      <c r="CT174" s="27"/>
      <c r="CU174" s="27"/>
      <c r="CV174" s="27"/>
      <c r="CW174" s="27"/>
      <c r="CX174" s="27"/>
      <c r="CY174" s="27"/>
      <c r="CZ174" s="27"/>
      <c r="DA174" s="27"/>
      <c r="DB174" s="27"/>
      <c r="DC174" s="27"/>
      <c r="DD174" s="27"/>
      <c r="DE174" s="27"/>
      <c r="DF174" s="27"/>
      <c r="DG174" s="27"/>
      <c r="DH174" s="27"/>
      <c r="DI174" s="27"/>
      <c r="DJ174" s="27"/>
      <c r="DK174" s="27"/>
      <c r="DL174" s="27"/>
      <c r="DM174" s="27"/>
      <c r="DN174" s="27"/>
      <c r="DO174" s="27"/>
      <c r="DP174" s="27"/>
      <c r="DQ174" s="27"/>
      <c r="DR174" s="27"/>
      <c r="DS174" s="27"/>
      <c r="DT174" s="27"/>
    </row>
    <row r="175" spans="2:124" x14ac:dyDescent="0.2">
      <c r="B175" s="27"/>
      <c r="C175" s="27"/>
      <c r="D175" s="27"/>
      <c r="E175" s="27"/>
      <c r="F175" s="27" t="s">
        <v>514</v>
      </c>
      <c r="G175" s="27"/>
      <c r="H175" s="27"/>
      <c r="I175" s="27"/>
      <c r="J175" s="27">
        <f>IF(H192-AE13&lt;3,0,IF(H192-AE13&lt;6,1,IF(H192-AE13&lt;9,2,IF(H192-AE13&lt;12,I167+3,IF(H192-AE13&lt;13,I167+4,IF(H192-AE13&lt;16,I167+5,IF(H192-AE13&lt;19,I167+6,IF(H192-AE13&lt;22,I167+7))))))))</f>
        <v>0</v>
      </c>
      <c r="K175" s="27"/>
      <c r="L175" s="27"/>
      <c r="M175" s="27" t="e">
        <f t="shared" si="14"/>
        <v>#N/A</v>
      </c>
      <c r="N175" s="27"/>
      <c r="O175" s="27"/>
      <c r="P175" s="27"/>
      <c r="Q175" s="27"/>
      <c r="R175" s="27"/>
      <c r="S175" s="27"/>
      <c r="T175" s="27"/>
      <c r="U175" s="27"/>
      <c r="V175" s="27"/>
      <c r="W175" s="27"/>
      <c r="X175" s="27"/>
      <c r="Y175" s="27"/>
      <c r="Z175" s="27"/>
      <c r="AA175" s="27"/>
      <c r="AB175" s="27"/>
      <c r="AC175" s="27"/>
      <c r="AD175" s="27"/>
      <c r="AE175" s="27"/>
      <c r="AF175" s="27"/>
      <c r="AG175" s="27"/>
      <c r="AH175" s="27"/>
      <c r="AI175" s="27"/>
      <c r="AJ175" s="27"/>
      <c r="AK175" s="27"/>
      <c r="AL175" s="27"/>
      <c r="AM175" s="27"/>
      <c r="AN175" s="27"/>
      <c r="AO175" s="27"/>
      <c r="AP175" s="27"/>
      <c r="AQ175" s="27"/>
      <c r="AR175" s="27"/>
      <c r="AS175" s="27"/>
      <c r="AT175" s="27"/>
      <c r="AU175" s="27"/>
      <c r="AV175" s="27"/>
      <c r="AW175" s="27"/>
      <c r="AX175" s="27"/>
      <c r="AY175" s="27"/>
      <c r="AZ175" s="27"/>
      <c r="BA175" s="27"/>
      <c r="BB175" s="27"/>
      <c r="BC175" s="27"/>
      <c r="BD175" s="27"/>
      <c r="BE175" s="27"/>
      <c r="BF175" s="27"/>
      <c r="BG175" s="27"/>
      <c r="BH175" s="27"/>
      <c r="BI175" s="27"/>
      <c r="BJ175" s="27"/>
      <c r="BK175" s="27"/>
      <c r="BL175" s="27"/>
      <c r="BM175" s="27"/>
      <c r="BN175" s="27"/>
      <c r="BO175" s="27"/>
      <c r="BP175" s="27"/>
      <c r="BQ175" s="27"/>
      <c r="BR175" s="27"/>
      <c r="BS175" s="27"/>
      <c r="BT175" s="27"/>
      <c r="BU175" s="27"/>
      <c r="BV175" s="27"/>
      <c r="BW175" s="27"/>
      <c r="BX175" s="27"/>
      <c r="BY175" s="27"/>
      <c r="BZ175" s="27"/>
      <c r="CA175" s="27"/>
      <c r="CB175" s="27"/>
      <c r="CC175" s="27"/>
      <c r="CD175" s="27"/>
      <c r="CE175" s="27"/>
      <c r="CF175" s="27"/>
      <c r="CG175" s="27"/>
      <c r="CH175" s="27"/>
      <c r="CI175" s="27"/>
      <c r="CJ175" s="27"/>
      <c r="CK175" s="27"/>
      <c r="CL175" s="27"/>
      <c r="CM175" s="27"/>
      <c r="CN175" s="27"/>
      <c r="CO175" s="27"/>
      <c r="CP175" s="27"/>
      <c r="CQ175" s="27"/>
      <c r="CR175" s="27"/>
      <c r="CS175" s="27"/>
      <c r="CT175" s="27"/>
      <c r="CU175" s="27"/>
      <c r="CV175" s="27"/>
      <c r="CW175" s="27"/>
      <c r="CX175" s="27"/>
      <c r="CY175" s="27"/>
      <c r="CZ175" s="27"/>
      <c r="DA175" s="27"/>
      <c r="DB175" s="27"/>
      <c r="DC175" s="27"/>
      <c r="DD175" s="27"/>
      <c r="DE175" s="27"/>
      <c r="DF175" s="27"/>
      <c r="DG175" s="27"/>
      <c r="DH175" s="27"/>
      <c r="DI175" s="27"/>
      <c r="DJ175" s="27"/>
      <c r="DK175" s="27"/>
      <c r="DL175" s="27"/>
      <c r="DM175" s="27"/>
      <c r="DN175" s="27"/>
      <c r="DO175" s="27"/>
      <c r="DP175" s="27"/>
      <c r="DQ175" s="27"/>
      <c r="DR175" s="27"/>
      <c r="DS175" s="27"/>
      <c r="DT175" s="27"/>
    </row>
    <row r="176" spans="2:124" x14ac:dyDescent="0.2">
      <c r="B176" s="27"/>
      <c r="C176" s="27" t="s">
        <v>515</v>
      </c>
      <c r="D176" s="27"/>
      <c r="E176" s="27"/>
      <c r="F176" s="27"/>
      <c r="G176" s="27"/>
      <c r="H176" s="27"/>
      <c r="I176" s="27"/>
      <c r="J176" s="27"/>
      <c r="K176" s="27"/>
      <c r="L176" s="27"/>
      <c r="M176" s="27" t="e">
        <f t="shared" si="14"/>
        <v>#N/A</v>
      </c>
      <c r="N176" s="27"/>
      <c r="O176" s="27"/>
      <c r="P176" s="27"/>
      <c r="Q176" s="27"/>
      <c r="R176" s="27"/>
      <c r="S176" s="27"/>
      <c r="T176" s="27"/>
      <c r="U176" s="27"/>
      <c r="V176" s="27"/>
      <c r="W176" s="27"/>
      <c r="X176" s="27"/>
      <c r="Y176" s="27"/>
      <c r="Z176" s="27"/>
      <c r="AA176" s="27"/>
      <c r="AB176" s="27"/>
      <c r="AC176" s="27"/>
      <c r="AD176" s="27"/>
      <c r="AE176" s="27"/>
      <c r="AF176" s="27"/>
      <c r="AG176" s="27"/>
      <c r="AH176" s="27"/>
      <c r="AI176" s="27"/>
      <c r="AJ176" s="27"/>
      <c r="AK176" s="27"/>
      <c r="AL176" s="27"/>
      <c r="AM176" s="27"/>
      <c r="AN176" s="27"/>
      <c r="AO176" s="27"/>
      <c r="AP176" s="27"/>
      <c r="AQ176" s="27"/>
      <c r="AR176" s="27"/>
      <c r="AS176" s="27"/>
      <c r="AT176" s="27"/>
      <c r="AU176" s="27"/>
      <c r="AV176" s="27"/>
      <c r="AW176" s="27"/>
      <c r="AX176" s="27"/>
      <c r="AY176" s="27"/>
      <c r="AZ176" s="27"/>
      <c r="BA176" s="27"/>
      <c r="BB176" s="27"/>
      <c r="BC176" s="27"/>
      <c r="BD176" s="27"/>
      <c r="BE176" s="27"/>
      <c r="BF176" s="27"/>
      <c r="BG176" s="27"/>
      <c r="BH176" s="27"/>
      <c r="BI176" s="27"/>
      <c r="BJ176" s="27"/>
      <c r="BK176" s="27"/>
      <c r="BL176" s="27"/>
      <c r="BM176" s="27"/>
      <c r="BN176" s="27"/>
      <c r="BO176" s="27"/>
      <c r="BP176" s="27"/>
      <c r="BQ176" s="27"/>
      <c r="BR176" s="27"/>
      <c r="BS176" s="27"/>
      <c r="BT176" s="27"/>
      <c r="BU176" s="27"/>
      <c r="BV176" s="27"/>
      <c r="BW176" s="27"/>
      <c r="BX176" s="27"/>
      <c r="BY176" s="27"/>
      <c r="BZ176" s="27"/>
      <c r="CA176" s="27"/>
      <c r="CB176" s="27"/>
      <c r="CC176" s="27"/>
      <c r="CD176" s="27"/>
      <c r="CE176" s="27"/>
      <c r="CF176" s="27"/>
      <c r="CG176" s="27"/>
      <c r="CH176" s="27"/>
      <c r="CI176" s="27"/>
      <c r="CJ176" s="27"/>
      <c r="CK176" s="27"/>
      <c r="CL176" s="27"/>
      <c r="CM176" s="27"/>
      <c r="CN176" s="27"/>
      <c r="CO176" s="27"/>
      <c r="CP176" s="27"/>
      <c r="CQ176" s="27"/>
      <c r="CR176" s="27"/>
      <c r="CS176" s="27"/>
      <c r="CT176" s="27"/>
      <c r="CU176" s="27"/>
      <c r="CV176" s="27"/>
      <c r="CW176" s="27"/>
      <c r="CX176" s="27"/>
      <c r="CY176" s="27"/>
      <c r="CZ176" s="27"/>
      <c r="DA176" s="27"/>
      <c r="DB176" s="27"/>
      <c r="DC176" s="27"/>
      <c r="DD176" s="27"/>
      <c r="DE176" s="27"/>
      <c r="DF176" s="27"/>
      <c r="DG176" s="27"/>
      <c r="DH176" s="27"/>
      <c r="DI176" s="27"/>
      <c r="DJ176" s="27"/>
      <c r="DK176" s="27"/>
      <c r="DL176" s="27"/>
      <c r="DM176" s="27"/>
      <c r="DN176" s="27"/>
      <c r="DO176" s="27"/>
      <c r="DP176" s="27"/>
      <c r="DQ176" s="27"/>
      <c r="DR176" s="27"/>
      <c r="DS176" s="27"/>
      <c r="DT176" s="27"/>
    </row>
    <row r="177" spans="2:124" x14ac:dyDescent="0.2">
      <c r="B177" s="27"/>
      <c r="C177" s="27" t="s">
        <v>516</v>
      </c>
      <c r="D177" s="27" t="s">
        <v>59</v>
      </c>
      <c r="E177" s="27"/>
      <c r="F177" s="27"/>
      <c r="G177" s="27" t="str">
        <f>AB32</f>
        <v>תקציבית</v>
      </c>
      <c r="H177" s="27"/>
      <c r="I177" s="27" t="e">
        <f>F205</f>
        <v>#REF!</v>
      </c>
      <c r="J177" s="27"/>
      <c r="K177" s="27"/>
      <c r="L177" s="27"/>
      <c r="M177" s="27" t="e">
        <f t="shared" si="14"/>
        <v>#N/A</v>
      </c>
      <c r="N177" s="27"/>
      <c r="O177" s="27"/>
      <c r="P177" s="27"/>
      <c r="Q177" s="27"/>
      <c r="R177" s="27"/>
      <c r="S177" s="27"/>
      <c r="T177" s="27"/>
      <c r="U177" s="27"/>
      <c r="V177" s="27"/>
      <c r="W177" s="27"/>
      <c r="X177" s="27"/>
      <c r="Y177" s="27"/>
      <c r="Z177" s="27"/>
      <c r="AA177" s="27"/>
      <c r="AB177" s="27"/>
      <c r="AC177" s="27"/>
      <c r="AD177" s="27"/>
      <c r="AE177" s="27"/>
      <c r="AF177" s="27"/>
      <c r="AG177" s="27"/>
      <c r="AH177" s="27"/>
      <c r="AI177" s="27"/>
      <c r="AJ177" s="27"/>
      <c r="AK177" s="27"/>
      <c r="AL177" s="27"/>
      <c r="AM177" s="27"/>
      <c r="AN177" s="27"/>
      <c r="AO177" s="27"/>
      <c r="AP177" s="27"/>
      <c r="AQ177" s="27"/>
      <c r="AR177" s="27"/>
      <c r="AS177" s="27"/>
      <c r="AT177" s="27"/>
      <c r="AU177" s="27"/>
      <c r="AV177" s="27"/>
      <c r="AW177" s="27"/>
      <c r="AX177" s="27"/>
      <c r="AY177" s="27"/>
      <c r="AZ177" s="27"/>
      <c r="BA177" s="27"/>
      <c r="BB177" s="27"/>
      <c r="BC177" s="27"/>
      <c r="BD177" s="27"/>
      <c r="BE177" s="27"/>
      <c r="BF177" s="27"/>
      <c r="BG177" s="27"/>
      <c r="BH177" s="27"/>
      <c r="BI177" s="27"/>
      <c r="BJ177" s="27"/>
      <c r="BK177" s="27"/>
      <c r="BL177" s="27"/>
      <c r="BM177" s="27"/>
      <c r="BN177" s="27"/>
      <c r="BO177" s="27"/>
      <c r="BP177" s="27"/>
      <c r="BQ177" s="27"/>
      <c r="BR177" s="27"/>
      <c r="BS177" s="27"/>
      <c r="BT177" s="27"/>
      <c r="BU177" s="27"/>
      <c r="BV177" s="27"/>
      <c r="BW177" s="27"/>
      <c r="BX177" s="27"/>
      <c r="BY177" s="27"/>
      <c r="BZ177" s="27"/>
      <c r="CA177" s="27"/>
      <c r="CB177" s="27"/>
      <c r="CC177" s="27"/>
      <c r="CD177" s="27"/>
      <c r="CE177" s="27"/>
      <c r="CF177" s="27"/>
      <c r="CG177" s="27"/>
      <c r="CH177" s="27"/>
      <c r="CI177" s="27"/>
      <c r="CJ177" s="27"/>
      <c r="CK177" s="27"/>
      <c r="CL177" s="27"/>
      <c r="CM177" s="27"/>
      <c r="CN177" s="27"/>
      <c r="CO177" s="27"/>
      <c r="CP177" s="27"/>
      <c r="CQ177" s="27"/>
      <c r="CR177" s="27"/>
      <c r="CS177" s="27"/>
      <c r="CT177" s="27"/>
      <c r="CU177" s="27"/>
      <c r="CV177" s="27"/>
      <c r="CW177" s="27"/>
      <c r="CX177" s="27"/>
      <c r="CY177" s="27"/>
      <c r="CZ177" s="27"/>
      <c r="DA177" s="27"/>
      <c r="DB177" s="27"/>
      <c r="DC177" s="27"/>
      <c r="DD177" s="27"/>
      <c r="DE177" s="27"/>
      <c r="DF177" s="27"/>
      <c r="DG177" s="27"/>
      <c r="DH177" s="27"/>
      <c r="DI177" s="27"/>
      <c r="DJ177" s="27"/>
      <c r="DK177" s="27"/>
      <c r="DL177" s="27"/>
      <c r="DM177" s="27"/>
      <c r="DN177" s="27"/>
      <c r="DO177" s="27"/>
      <c r="DP177" s="27"/>
      <c r="DQ177" s="27"/>
      <c r="DR177" s="27"/>
      <c r="DS177" s="27"/>
      <c r="DT177" s="27"/>
    </row>
    <row r="178" spans="2:124" x14ac:dyDescent="0.2">
      <c r="B178" s="27"/>
      <c r="C178" s="27" t="s">
        <v>517</v>
      </c>
      <c r="D178" s="27" t="s">
        <v>518</v>
      </c>
      <c r="E178" s="27"/>
      <c r="F178" s="27" t="s">
        <v>519</v>
      </c>
      <c r="G178" s="27">
        <f>67</f>
        <v>67</v>
      </c>
      <c r="H178" s="27"/>
      <c r="I178" s="27"/>
      <c r="J178" s="27"/>
      <c r="K178" s="27"/>
      <c r="L178" s="27"/>
      <c r="M178" s="27" t="e">
        <f t="shared" si="14"/>
        <v>#N/A</v>
      </c>
      <c r="N178" s="27"/>
      <c r="O178" s="27"/>
      <c r="P178" s="27"/>
      <c r="Q178" s="27"/>
      <c r="R178" s="27"/>
      <c r="S178" s="27"/>
      <c r="T178" s="27"/>
      <c r="U178" s="27"/>
      <c r="V178" s="27"/>
      <c r="W178" s="27"/>
      <c r="X178" s="27"/>
      <c r="Y178" s="27"/>
      <c r="Z178" s="27"/>
      <c r="AA178" s="27"/>
      <c r="AB178" s="27"/>
      <c r="AC178" s="27"/>
      <c r="AD178" s="27"/>
      <c r="AE178" s="27"/>
      <c r="AF178" s="27"/>
      <c r="AG178" s="27"/>
      <c r="AH178" s="27"/>
      <c r="AI178" s="27"/>
      <c r="AJ178" s="27"/>
      <c r="AK178" s="27"/>
      <c r="AL178" s="27"/>
      <c r="AM178" s="27"/>
      <c r="AN178" s="27"/>
      <c r="AO178" s="27"/>
      <c r="AP178" s="27"/>
      <c r="AQ178" s="27"/>
      <c r="AR178" s="27"/>
      <c r="AS178" s="27"/>
      <c r="AT178" s="27"/>
      <c r="AU178" s="27"/>
      <c r="AV178" s="27"/>
      <c r="AW178" s="27"/>
      <c r="AX178" s="27"/>
      <c r="AY178" s="27"/>
      <c r="AZ178" s="27"/>
      <c r="BA178" s="27"/>
      <c r="BB178" s="27"/>
      <c r="BC178" s="27"/>
      <c r="BD178" s="27"/>
      <c r="BE178" s="27"/>
      <c r="BF178" s="27"/>
      <c r="BG178" s="27"/>
      <c r="BH178" s="27"/>
      <c r="BI178" s="27"/>
      <c r="BJ178" s="27"/>
      <c r="BK178" s="27"/>
      <c r="BL178" s="27"/>
      <c r="BM178" s="27"/>
      <c r="BN178" s="27"/>
      <c r="BO178" s="27"/>
      <c r="BP178" s="27"/>
      <c r="BQ178" s="27"/>
      <c r="BR178" s="27"/>
      <c r="BS178" s="27"/>
      <c r="BT178" s="27"/>
      <c r="BU178" s="27"/>
      <c r="BV178" s="27"/>
      <c r="BW178" s="27"/>
      <c r="BX178" s="27"/>
      <c r="BY178" s="27"/>
      <c r="BZ178" s="27"/>
      <c r="CA178" s="27"/>
      <c r="CB178" s="27"/>
      <c r="CC178" s="27"/>
      <c r="CD178" s="27"/>
      <c r="CE178" s="27"/>
      <c r="CF178" s="27"/>
      <c r="CG178" s="27"/>
      <c r="CH178" s="27"/>
      <c r="CI178" s="27"/>
      <c r="CJ178" s="27"/>
      <c r="CK178" s="27"/>
      <c r="CL178" s="27"/>
      <c r="CM178" s="27"/>
      <c r="CN178" s="27"/>
      <c r="CO178" s="27"/>
      <c r="CP178" s="27"/>
      <c r="CQ178" s="27"/>
      <c r="CR178" s="27"/>
      <c r="CS178" s="27"/>
      <c r="CT178" s="27"/>
      <c r="CU178" s="27"/>
      <c r="CV178" s="27"/>
      <c r="CW178" s="27"/>
      <c r="CX178" s="27"/>
      <c r="CY178" s="27"/>
      <c r="CZ178" s="27"/>
      <c r="DA178" s="27"/>
      <c r="DB178" s="27"/>
      <c r="DC178" s="27"/>
      <c r="DD178" s="27"/>
      <c r="DE178" s="27"/>
      <c r="DF178" s="27"/>
      <c r="DG178" s="27"/>
      <c r="DH178" s="27"/>
      <c r="DI178" s="27"/>
      <c r="DJ178" s="27"/>
      <c r="DK178" s="27"/>
      <c r="DL178" s="27"/>
      <c r="DM178" s="27"/>
      <c r="DN178" s="27"/>
      <c r="DO178" s="27"/>
      <c r="DP178" s="27"/>
      <c r="DQ178" s="27"/>
      <c r="DR178" s="27"/>
      <c r="DS178" s="27"/>
      <c r="DT178" s="27"/>
    </row>
    <row r="179" spans="2:124" x14ac:dyDescent="0.2">
      <c r="B179" s="27"/>
      <c r="C179" s="27" t="s">
        <v>477</v>
      </c>
      <c r="D179" s="27" t="s">
        <v>520</v>
      </c>
      <c r="E179" s="27"/>
      <c r="F179" s="27" t="s">
        <v>521</v>
      </c>
      <c r="G179" s="27" t="e">
        <f>#REF!</f>
        <v>#REF!</v>
      </c>
      <c r="H179" s="27"/>
      <c r="I179" s="27" t="s">
        <v>59</v>
      </c>
      <c r="J179" s="27"/>
      <c r="K179" s="27"/>
      <c r="L179" s="27"/>
      <c r="M179" s="27" t="e">
        <f t="shared" si="14"/>
        <v>#N/A</v>
      </c>
      <c r="N179" s="27"/>
      <c r="O179" s="27"/>
      <c r="P179" s="27"/>
      <c r="Q179" s="27"/>
      <c r="R179" s="27"/>
      <c r="S179" s="27"/>
      <c r="T179" s="27"/>
      <c r="U179" s="27"/>
      <c r="V179" s="27"/>
      <c r="W179" s="27"/>
      <c r="X179" s="27"/>
      <c r="Y179" s="27"/>
      <c r="Z179" s="27"/>
      <c r="AA179" s="27"/>
      <c r="AB179" s="27"/>
      <c r="AC179" s="27"/>
      <c r="AD179" s="27"/>
      <c r="AE179" s="27"/>
      <c r="AF179" s="27"/>
      <c r="AG179" s="27"/>
      <c r="AH179" s="27"/>
      <c r="AI179" s="27"/>
      <c r="AJ179" s="27"/>
      <c r="AK179" s="27"/>
      <c r="AL179" s="27"/>
      <c r="AM179" s="27"/>
      <c r="AN179" s="27"/>
      <c r="AO179" s="27"/>
      <c r="AP179" s="27"/>
      <c r="AQ179" s="27"/>
      <c r="AR179" s="27"/>
      <c r="AS179" s="27"/>
      <c r="AT179" s="27"/>
      <c r="AU179" s="27"/>
      <c r="AV179" s="27"/>
      <c r="AW179" s="27"/>
      <c r="AX179" s="27"/>
      <c r="AY179" s="27"/>
      <c r="AZ179" s="27"/>
      <c r="BA179" s="27"/>
      <c r="BB179" s="27"/>
      <c r="BC179" s="27"/>
      <c r="BD179" s="27"/>
      <c r="BE179" s="27"/>
      <c r="BF179" s="27"/>
      <c r="BG179" s="27"/>
      <c r="BH179" s="27"/>
      <c r="BI179" s="27"/>
      <c r="BJ179" s="27"/>
      <c r="BK179" s="27"/>
      <c r="BL179" s="27"/>
      <c r="BM179" s="27"/>
      <c r="BN179" s="27"/>
      <c r="BO179" s="27"/>
      <c r="BP179" s="27"/>
      <c r="BQ179" s="27"/>
      <c r="BR179" s="27"/>
      <c r="BS179" s="27"/>
      <c r="BT179" s="27"/>
      <c r="BU179" s="27"/>
      <c r="BV179" s="27"/>
      <c r="BW179" s="27"/>
      <c r="BX179" s="27"/>
      <c r="BY179" s="27"/>
      <c r="BZ179" s="27"/>
      <c r="CA179" s="27"/>
      <c r="CB179" s="27"/>
      <c r="CC179" s="27"/>
      <c r="CD179" s="27"/>
      <c r="CE179" s="27"/>
      <c r="CF179" s="27"/>
      <c r="CG179" s="27"/>
      <c r="CH179" s="27"/>
      <c r="CI179" s="27"/>
      <c r="CJ179" s="27"/>
      <c r="CK179" s="27"/>
      <c r="CL179" s="27"/>
      <c r="CM179" s="27"/>
      <c r="CN179" s="27"/>
      <c r="CO179" s="27"/>
      <c r="CP179" s="27"/>
      <c r="CQ179" s="27"/>
      <c r="CR179" s="27"/>
      <c r="CS179" s="27"/>
      <c r="CT179" s="27"/>
      <c r="CU179" s="27"/>
      <c r="CV179" s="27"/>
      <c r="CW179" s="27"/>
      <c r="CX179" s="27"/>
      <c r="CY179" s="27"/>
      <c r="CZ179" s="27"/>
      <c r="DA179" s="27"/>
      <c r="DB179" s="27"/>
      <c r="DC179" s="27"/>
      <c r="DD179" s="27"/>
      <c r="DE179" s="27"/>
      <c r="DF179" s="27"/>
      <c r="DG179" s="27"/>
      <c r="DH179" s="27"/>
      <c r="DI179" s="27"/>
      <c r="DJ179" s="27"/>
      <c r="DK179" s="27"/>
      <c r="DL179" s="27"/>
      <c r="DM179" s="27"/>
      <c r="DN179" s="27"/>
      <c r="DO179" s="27"/>
      <c r="DP179" s="27"/>
      <c r="DQ179" s="27"/>
      <c r="DR179" s="27"/>
      <c r="DS179" s="27"/>
      <c r="DT179" s="27"/>
    </row>
    <row r="180" spans="2:124" x14ac:dyDescent="0.2">
      <c r="B180" s="27"/>
      <c r="C180" s="27" t="s">
        <v>522</v>
      </c>
      <c r="D180" s="27" t="s">
        <v>476</v>
      </c>
      <c r="E180" s="27"/>
      <c r="F180" s="27" t="s">
        <v>523</v>
      </c>
      <c r="G180" s="27">
        <f>G202</f>
        <v>52.87</v>
      </c>
      <c r="H180" s="27"/>
      <c r="I180" s="27" t="s">
        <v>59</v>
      </c>
      <c r="J180" s="27"/>
      <c r="K180" s="27"/>
      <c r="L180" s="27"/>
      <c r="M180" s="27" t="e">
        <f t="shared" si="14"/>
        <v>#N/A</v>
      </c>
      <c r="N180" s="27"/>
      <c r="O180" s="27"/>
      <c r="P180" s="27"/>
      <c r="Q180" s="27"/>
      <c r="R180" s="27"/>
      <c r="S180" s="27"/>
      <c r="T180" s="27"/>
      <c r="U180" s="27"/>
      <c r="V180" s="27"/>
      <c r="W180" s="27"/>
      <c r="X180" s="27"/>
      <c r="Y180" s="27"/>
      <c r="Z180" s="27"/>
      <c r="AA180" s="27"/>
      <c r="AB180" s="27"/>
      <c r="AC180" s="27"/>
      <c r="AD180" s="27"/>
      <c r="AE180" s="27"/>
      <c r="AF180" s="27"/>
      <c r="AG180" s="27"/>
      <c r="AH180" s="27"/>
      <c r="AI180" s="27"/>
      <c r="AJ180" s="27"/>
      <c r="AK180" s="27"/>
      <c r="AL180" s="27"/>
      <c r="AM180" s="27"/>
      <c r="AN180" s="27"/>
      <c r="AO180" s="27"/>
      <c r="AP180" s="27"/>
      <c r="AQ180" s="27"/>
      <c r="AR180" s="27"/>
      <c r="AS180" s="27"/>
      <c r="AT180" s="27"/>
      <c r="AU180" s="27"/>
      <c r="AV180" s="27"/>
      <c r="AW180" s="27"/>
      <c r="AX180" s="27"/>
      <c r="AY180" s="27"/>
      <c r="AZ180" s="27"/>
      <c r="BA180" s="27"/>
      <c r="BB180" s="27"/>
      <c r="BC180" s="27"/>
      <c r="BD180" s="27"/>
      <c r="BE180" s="27"/>
      <c r="BF180" s="27"/>
      <c r="BG180" s="27"/>
      <c r="BH180" s="27"/>
      <c r="BI180" s="27"/>
      <c r="BJ180" s="27"/>
      <c r="BK180" s="27"/>
      <c r="BL180" s="27"/>
      <c r="BM180" s="27"/>
      <c r="BN180" s="27"/>
      <c r="BO180" s="27"/>
      <c r="BP180" s="27"/>
      <c r="BQ180" s="27"/>
      <c r="BR180" s="27"/>
      <c r="BS180" s="27"/>
      <c r="BT180" s="27"/>
      <c r="BU180" s="27"/>
      <c r="BV180" s="27"/>
      <c r="BW180" s="27"/>
      <c r="BX180" s="27"/>
      <c r="BY180" s="27"/>
      <c r="BZ180" s="27"/>
      <c r="CA180" s="27"/>
      <c r="CB180" s="27"/>
      <c r="CC180" s="27"/>
      <c r="CD180" s="27"/>
      <c r="CE180" s="27"/>
      <c r="CF180" s="27"/>
      <c r="CG180" s="27"/>
      <c r="CH180" s="27"/>
      <c r="CI180" s="27"/>
      <c r="CJ180" s="27"/>
      <c r="CK180" s="27"/>
      <c r="CL180" s="27"/>
      <c r="CM180" s="27"/>
      <c r="CN180" s="27"/>
      <c r="CO180" s="27"/>
      <c r="CP180" s="27"/>
      <c r="CQ180" s="27"/>
      <c r="CR180" s="27"/>
      <c r="CS180" s="27"/>
      <c r="CT180" s="27"/>
      <c r="CU180" s="27"/>
      <c r="CV180" s="27"/>
      <c r="CW180" s="27"/>
      <c r="CX180" s="27"/>
      <c r="CY180" s="27"/>
      <c r="CZ180" s="27"/>
      <c r="DA180" s="27"/>
      <c r="DB180" s="27"/>
      <c r="DC180" s="27"/>
      <c r="DD180" s="27"/>
      <c r="DE180" s="27"/>
      <c r="DF180" s="27"/>
      <c r="DG180" s="27"/>
      <c r="DH180" s="27"/>
      <c r="DI180" s="27"/>
      <c r="DJ180" s="27"/>
      <c r="DK180" s="27"/>
      <c r="DL180" s="27"/>
      <c r="DM180" s="27"/>
      <c r="DN180" s="27"/>
      <c r="DO180" s="27"/>
      <c r="DP180" s="27"/>
      <c r="DQ180" s="27"/>
      <c r="DR180" s="27"/>
      <c r="DS180" s="27"/>
      <c r="DT180" s="27"/>
    </row>
    <row r="181" spans="2:124" x14ac:dyDescent="0.2">
      <c r="B181" s="27"/>
      <c r="C181" s="27" t="s">
        <v>524</v>
      </c>
      <c r="D181" s="27" t="s">
        <v>525</v>
      </c>
      <c r="E181" s="27"/>
      <c r="F181" s="27"/>
      <c r="G181" s="27" t="s">
        <v>526</v>
      </c>
      <c r="H181" s="27"/>
      <c r="I181" s="27"/>
      <c r="J181" s="27"/>
      <c r="K181" s="27"/>
      <c r="L181" s="27"/>
      <c r="M181" s="27" t="e">
        <f t="shared" si="14"/>
        <v>#N/A</v>
      </c>
      <c r="N181" s="27"/>
      <c r="O181" s="27"/>
      <c r="P181" s="27"/>
      <c r="Q181" s="27"/>
      <c r="R181" s="27"/>
      <c r="S181" s="27"/>
      <c r="T181" s="27"/>
      <c r="U181" s="27"/>
      <c r="V181" s="27"/>
      <c r="W181" s="27"/>
      <c r="X181" s="27"/>
      <c r="Y181" s="27"/>
      <c r="Z181" s="27"/>
      <c r="AA181" s="27"/>
      <c r="AB181" s="27"/>
      <c r="AC181" s="27"/>
      <c r="AD181" s="27"/>
      <c r="AE181" s="27"/>
      <c r="AF181" s="27"/>
      <c r="AG181" s="27"/>
      <c r="AH181" s="27"/>
      <c r="AI181" s="27"/>
      <c r="AJ181" s="27"/>
      <c r="AK181" s="27"/>
      <c r="AL181" s="27"/>
      <c r="AM181" s="27"/>
      <c r="AN181" s="27"/>
      <c r="AO181" s="27"/>
      <c r="AP181" s="27"/>
      <c r="AQ181" s="27"/>
      <c r="AR181" s="27"/>
      <c r="AS181" s="27"/>
      <c r="AT181" s="27"/>
      <c r="AU181" s="27"/>
      <c r="AV181" s="27"/>
      <c r="AW181" s="27"/>
      <c r="AX181" s="27"/>
      <c r="AY181" s="27"/>
      <c r="AZ181" s="27"/>
      <c r="BA181" s="27"/>
      <c r="BB181" s="27"/>
      <c r="BC181" s="27"/>
      <c r="BD181" s="27"/>
      <c r="BE181" s="27"/>
      <c r="BF181" s="27"/>
      <c r="BG181" s="27"/>
      <c r="BH181" s="27"/>
      <c r="BI181" s="27"/>
      <c r="BJ181" s="27"/>
      <c r="BK181" s="27"/>
      <c r="BL181" s="27"/>
      <c r="BM181" s="27"/>
      <c r="BN181" s="27"/>
      <c r="BO181" s="27"/>
      <c r="BP181" s="27"/>
      <c r="BQ181" s="27"/>
      <c r="BR181" s="27"/>
      <c r="BS181" s="27"/>
      <c r="BT181" s="27"/>
      <c r="BU181" s="27"/>
      <c r="BV181" s="27"/>
      <c r="BW181" s="27"/>
      <c r="BX181" s="27"/>
      <c r="BY181" s="27"/>
      <c r="BZ181" s="27"/>
      <c r="CA181" s="27"/>
      <c r="CB181" s="27"/>
      <c r="CC181" s="27"/>
      <c r="CD181" s="27"/>
      <c r="CE181" s="27"/>
      <c r="CF181" s="27"/>
      <c r="CG181" s="27"/>
      <c r="CH181" s="27"/>
      <c r="CI181" s="27"/>
      <c r="CJ181" s="27"/>
      <c r="CK181" s="27"/>
      <c r="CL181" s="27"/>
      <c r="CM181" s="27"/>
      <c r="CN181" s="27"/>
      <c r="CO181" s="27"/>
      <c r="CP181" s="27"/>
      <c r="CQ181" s="27"/>
      <c r="CR181" s="27"/>
      <c r="CS181" s="27"/>
      <c r="CT181" s="27"/>
      <c r="CU181" s="27"/>
      <c r="CV181" s="27"/>
      <c r="CW181" s="27"/>
      <c r="CX181" s="27"/>
      <c r="CY181" s="27"/>
      <c r="CZ181" s="27"/>
      <c r="DA181" s="27"/>
      <c r="DB181" s="27"/>
      <c r="DC181" s="27"/>
      <c r="DD181" s="27"/>
      <c r="DE181" s="27"/>
      <c r="DF181" s="27"/>
      <c r="DG181" s="27"/>
      <c r="DH181" s="27"/>
      <c r="DI181" s="27"/>
      <c r="DJ181" s="27"/>
      <c r="DK181" s="27"/>
      <c r="DL181" s="27"/>
      <c r="DM181" s="27"/>
      <c r="DN181" s="27"/>
      <c r="DO181" s="27"/>
      <c r="DP181" s="27"/>
      <c r="DQ181" s="27"/>
      <c r="DR181" s="27"/>
      <c r="DS181" s="27"/>
      <c r="DT181" s="27"/>
    </row>
    <row r="182" spans="2:124" x14ac:dyDescent="0.2">
      <c r="B182" s="27"/>
      <c r="C182" s="27" t="s">
        <v>527</v>
      </c>
      <c r="D182" s="27" t="s">
        <v>528</v>
      </c>
      <c r="E182" s="27"/>
      <c r="F182" s="27" t="e">
        <f>#REF!/#REF!*F187</f>
        <v>#REF!</v>
      </c>
      <c r="G182" s="27" t="str">
        <f>IF(H154&gt;0.26,"שנות ותק נגרר",IF(H154&lt;0.26,"תקופת חלת"))</f>
        <v>שנות ותק נגרר</v>
      </c>
      <c r="H182" s="27"/>
      <c r="I182" s="27"/>
      <c r="J182" s="27"/>
      <c r="K182" s="27"/>
      <c r="L182" s="27"/>
      <c r="M182" s="27" t="e">
        <f t="shared" si="14"/>
        <v>#N/A</v>
      </c>
      <c r="N182" s="27"/>
      <c r="O182" s="27"/>
      <c r="P182" s="27"/>
      <c r="Q182" s="27"/>
      <c r="R182" s="27"/>
      <c r="S182" s="27"/>
      <c r="T182" s="27"/>
      <c r="U182" s="27"/>
      <c r="V182" s="27"/>
      <c r="W182" s="27"/>
      <c r="X182" s="27"/>
      <c r="Y182" s="27"/>
      <c r="Z182" s="27"/>
      <c r="AA182" s="27"/>
      <c r="AB182" s="27"/>
      <c r="AC182" s="27"/>
      <c r="AD182" s="27"/>
      <c r="AE182" s="27"/>
      <c r="AF182" s="27"/>
      <c r="AG182" s="27"/>
      <c r="AH182" s="27"/>
      <c r="AI182" s="27"/>
      <c r="AJ182" s="27"/>
      <c r="AK182" s="27"/>
      <c r="AL182" s="27"/>
      <c r="AM182" s="27"/>
      <c r="AN182" s="27"/>
      <c r="AO182" s="27"/>
      <c r="AP182" s="27"/>
      <c r="AQ182" s="27"/>
      <c r="AR182" s="27"/>
      <c r="AS182" s="27"/>
      <c r="AT182" s="27"/>
      <c r="AU182" s="27"/>
      <c r="AV182" s="27"/>
      <c r="AW182" s="27"/>
      <c r="AX182" s="27"/>
      <c r="AY182" s="27"/>
      <c r="AZ182" s="27"/>
      <c r="BA182" s="27"/>
      <c r="BB182" s="27"/>
      <c r="BC182" s="27"/>
      <c r="BD182" s="27"/>
      <c r="BE182" s="27"/>
      <c r="BF182" s="27"/>
      <c r="BG182" s="27"/>
      <c r="BH182" s="27"/>
      <c r="BI182" s="27"/>
      <c r="BJ182" s="27"/>
      <c r="BK182" s="27"/>
      <c r="BL182" s="27"/>
      <c r="BM182" s="27"/>
      <c r="BN182" s="27"/>
      <c r="BO182" s="27"/>
      <c r="BP182" s="27"/>
      <c r="BQ182" s="27"/>
      <c r="BR182" s="27"/>
      <c r="BS182" s="27"/>
      <c r="BT182" s="27"/>
      <c r="BU182" s="27"/>
      <c r="BV182" s="27"/>
      <c r="BW182" s="27"/>
      <c r="BX182" s="27"/>
      <c r="BY182" s="27"/>
      <c r="BZ182" s="27"/>
      <c r="CA182" s="27"/>
      <c r="CB182" s="27"/>
      <c r="CC182" s="27"/>
      <c r="CD182" s="27"/>
      <c r="CE182" s="27"/>
      <c r="CF182" s="27"/>
      <c r="CG182" s="27"/>
      <c r="CH182" s="27"/>
      <c r="CI182" s="27"/>
      <c r="CJ182" s="27"/>
      <c r="CK182" s="27"/>
      <c r="CL182" s="27"/>
      <c r="CM182" s="27"/>
      <c r="CN182" s="27"/>
      <c r="CO182" s="27"/>
      <c r="CP182" s="27"/>
      <c r="CQ182" s="27"/>
      <c r="CR182" s="27"/>
      <c r="CS182" s="27"/>
      <c r="CT182" s="27"/>
      <c r="CU182" s="27"/>
      <c r="CV182" s="27"/>
      <c r="CW182" s="27"/>
      <c r="CX182" s="27"/>
      <c r="CY182" s="27"/>
      <c r="CZ182" s="27"/>
      <c r="DA182" s="27"/>
      <c r="DB182" s="27"/>
      <c r="DC182" s="27"/>
      <c r="DD182" s="27"/>
      <c r="DE182" s="27"/>
      <c r="DF182" s="27"/>
      <c r="DG182" s="27"/>
      <c r="DH182" s="27"/>
      <c r="DI182" s="27"/>
      <c r="DJ182" s="27"/>
      <c r="DK182" s="27"/>
      <c r="DL182" s="27"/>
      <c r="DM182" s="27"/>
      <c r="DN182" s="27"/>
      <c r="DO182" s="27"/>
      <c r="DP182" s="27"/>
      <c r="DQ182" s="27"/>
      <c r="DR182" s="27"/>
      <c r="DS182" s="27"/>
      <c r="DT182" s="27"/>
    </row>
    <row r="183" spans="2:124" x14ac:dyDescent="0.2">
      <c r="B183" s="27"/>
      <c r="C183" s="27" t="s">
        <v>529</v>
      </c>
      <c r="D183" s="27" t="s">
        <v>479</v>
      </c>
      <c r="E183" s="27"/>
      <c r="F183" s="27" t="e">
        <f>#REF!/#REF!*F187</f>
        <v>#REF!</v>
      </c>
      <c r="G183" s="27" t="s">
        <v>530</v>
      </c>
      <c r="H183" s="27"/>
      <c r="I183" s="27"/>
      <c r="J183" s="27" t="s">
        <v>59</v>
      </c>
      <c r="K183" s="27"/>
      <c r="L183" s="27"/>
      <c r="M183" s="27" t="e">
        <f t="shared" si="14"/>
        <v>#N/A</v>
      </c>
      <c r="N183" s="27"/>
      <c r="O183" s="27"/>
      <c r="P183" s="27"/>
      <c r="Q183" s="27"/>
      <c r="R183" s="27"/>
      <c r="S183" s="27"/>
      <c r="T183" s="27"/>
      <c r="U183" s="27"/>
      <c r="V183" s="27"/>
      <c r="W183" s="27"/>
      <c r="X183" s="27"/>
      <c r="Y183" s="27"/>
      <c r="Z183" s="27"/>
      <c r="AA183" s="27"/>
      <c r="AB183" s="27"/>
      <c r="AC183" s="27"/>
      <c r="AD183" s="27"/>
      <c r="AE183" s="27"/>
      <c r="AF183" s="27"/>
      <c r="AG183" s="27"/>
      <c r="AH183" s="27"/>
      <c r="AI183" s="27"/>
      <c r="AJ183" s="27"/>
      <c r="AK183" s="27"/>
      <c r="AL183" s="27"/>
      <c r="AM183" s="27"/>
      <c r="AN183" s="27"/>
      <c r="AO183" s="27"/>
      <c r="AP183" s="27"/>
      <c r="AQ183" s="27"/>
      <c r="AR183" s="27"/>
      <c r="AS183" s="27"/>
      <c r="AT183" s="27"/>
      <c r="AU183" s="27"/>
      <c r="AV183" s="27"/>
      <c r="AW183" s="27"/>
      <c r="AX183" s="27"/>
      <c r="AY183" s="27"/>
      <c r="AZ183" s="27"/>
      <c r="BA183" s="27"/>
      <c r="BB183" s="27"/>
      <c r="BC183" s="27"/>
      <c r="BD183" s="27"/>
      <c r="BE183" s="27"/>
      <c r="BF183" s="27"/>
      <c r="BG183" s="27"/>
      <c r="BH183" s="27"/>
      <c r="BI183" s="27"/>
      <c r="BJ183" s="27"/>
      <c r="BK183" s="27"/>
      <c r="BL183" s="27"/>
      <c r="BM183" s="27"/>
      <c r="BN183" s="27"/>
      <c r="BO183" s="27"/>
      <c r="BP183" s="27"/>
      <c r="BQ183" s="27"/>
      <c r="BR183" s="27"/>
      <c r="BS183" s="27"/>
      <c r="BT183" s="27"/>
      <c r="BU183" s="27"/>
      <c r="BV183" s="27"/>
      <c r="BW183" s="27"/>
      <c r="BX183" s="27"/>
      <c r="BY183" s="27"/>
      <c r="BZ183" s="27"/>
      <c r="CA183" s="27"/>
      <c r="CB183" s="27"/>
      <c r="CC183" s="27"/>
      <c r="CD183" s="27"/>
      <c r="CE183" s="27"/>
      <c r="CF183" s="27"/>
      <c r="CG183" s="27"/>
      <c r="CH183" s="27"/>
      <c r="CI183" s="27"/>
      <c r="CJ183" s="27"/>
      <c r="CK183" s="27"/>
      <c r="CL183" s="27"/>
      <c r="CM183" s="27"/>
      <c r="CN183" s="27"/>
      <c r="CO183" s="27"/>
      <c r="CP183" s="27"/>
      <c r="CQ183" s="27"/>
      <c r="CR183" s="27"/>
      <c r="CS183" s="27"/>
      <c r="CT183" s="27"/>
      <c r="CU183" s="27"/>
      <c r="CV183" s="27"/>
      <c r="CW183" s="27"/>
      <c r="CX183" s="27"/>
      <c r="CY183" s="27"/>
      <c r="CZ183" s="27"/>
      <c r="DA183" s="27"/>
      <c r="DB183" s="27"/>
      <c r="DC183" s="27"/>
      <c r="DD183" s="27"/>
      <c r="DE183" s="27"/>
      <c r="DF183" s="27"/>
      <c r="DG183" s="27"/>
      <c r="DH183" s="27"/>
      <c r="DI183" s="27"/>
      <c r="DJ183" s="27"/>
      <c r="DK183" s="27"/>
      <c r="DL183" s="27"/>
      <c r="DM183" s="27"/>
      <c r="DN183" s="27"/>
      <c r="DO183" s="27"/>
      <c r="DP183" s="27"/>
      <c r="DQ183" s="27"/>
      <c r="DR183" s="27"/>
      <c r="DS183" s="27"/>
      <c r="DT183" s="27"/>
    </row>
    <row r="184" spans="2:124" x14ac:dyDescent="0.2">
      <c r="B184" s="27"/>
      <c r="C184" s="27" t="s">
        <v>531</v>
      </c>
      <c r="D184" s="27"/>
      <c r="E184" s="27"/>
      <c r="F184" s="27" t="e">
        <f>#REF!/#REF!*F187</f>
        <v>#REF!</v>
      </c>
      <c r="G184" s="27" t="s">
        <v>532</v>
      </c>
      <c r="H184" s="27"/>
      <c r="I184" s="27"/>
      <c r="J184" s="27"/>
      <c r="K184" s="27"/>
      <c r="L184" s="27"/>
      <c r="M184" s="27" t="e">
        <f t="shared" si="14"/>
        <v>#N/A</v>
      </c>
      <c r="N184" s="27"/>
      <c r="O184" s="27"/>
      <c r="P184" s="27"/>
      <c r="Q184" s="27"/>
      <c r="R184" s="27"/>
      <c r="S184" s="27"/>
      <c r="T184" s="27"/>
      <c r="U184" s="27"/>
      <c r="V184" s="27"/>
      <c r="W184" s="27"/>
      <c r="X184" s="27"/>
      <c r="Y184" s="27"/>
      <c r="Z184" s="27"/>
      <c r="AA184" s="27"/>
      <c r="AB184" s="27"/>
      <c r="AC184" s="27"/>
      <c r="AD184" s="27"/>
      <c r="AE184" s="27"/>
      <c r="AF184" s="27"/>
      <c r="AG184" s="27"/>
      <c r="AH184" s="27"/>
      <c r="AI184" s="27"/>
      <c r="AJ184" s="27"/>
      <c r="AK184" s="27"/>
      <c r="AL184" s="27"/>
      <c r="AM184" s="27"/>
      <c r="AN184" s="27"/>
      <c r="AO184" s="27"/>
      <c r="AP184" s="27"/>
      <c r="AQ184" s="27"/>
      <c r="AR184" s="27"/>
      <c r="AS184" s="27"/>
      <c r="AT184" s="27"/>
      <c r="AU184" s="27"/>
      <c r="AV184" s="27"/>
      <c r="AW184" s="27"/>
      <c r="AX184" s="27"/>
      <c r="AY184" s="27"/>
      <c r="AZ184" s="27"/>
      <c r="BA184" s="27"/>
      <c r="BB184" s="27"/>
      <c r="BC184" s="27"/>
      <c r="BD184" s="27"/>
      <c r="BE184" s="27"/>
      <c r="BF184" s="27"/>
      <c r="BG184" s="27"/>
      <c r="BH184" s="27"/>
      <c r="BI184" s="27"/>
      <c r="BJ184" s="27"/>
      <c r="BK184" s="27"/>
      <c r="BL184" s="27"/>
      <c r="BM184" s="27"/>
      <c r="BN184" s="27"/>
      <c r="BO184" s="27"/>
      <c r="BP184" s="27"/>
      <c r="BQ184" s="27"/>
      <c r="BR184" s="27"/>
      <c r="BS184" s="27"/>
      <c r="BT184" s="27"/>
      <c r="BU184" s="27"/>
      <c r="BV184" s="27"/>
      <c r="BW184" s="27"/>
      <c r="BX184" s="27"/>
      <c r="BY184" s="27"/>
      <c r="BZ184" s="27"/>
      <c r="CA184" s="27"/>
      <c r="CB184" s="27"/>
      <c r="CC184" s="27"/>
      <c r="CD184" s="27"/>
      <c r="CE184" s="27"/>
      <c r="CF184" s="27"/>
      <c r="CG184" s="27"/>
      <c r="CH184" s="27"/>
      <c r="CI184" s="27"/>
      <c r="CJ184" s="27"/>
      <c r="CK184" s="27"/>
      <c r="CL184" s="27"/>
      <c r="CM184" s="27"/>
      <c r="CN184" s="27"/>
      <c r="CO184" s="27"/>
      <c r="CP184" s="27"/>
      <c r="CQ184" s="27"/>
      <c r="CR184" s="27"/>
      <c r="CS184" s="27"/>
      <c r="CT184" s="27"/>
      <c r="CU184" s="27"/>
      <c r="CV184" s="27"/>
      <c r="CW184" s="27"/>
      <c r="CX184" s="27"/>
      <c r="CY184" s="27"/>
      <c r="CZ184" s="27"/>
      <c r="DA184" s="27"/>
      <c r="DB184" s="27"/>
      <c r="DC184" s="27"/>
      <c r="DD184" s="27"/>
      <c r="DE184" s="27"/>
      <c r="DF184" s="27"/>
      <c r="DG184" s="27"/>
      <c r="DH184" s="27"/>
      <c r="DI184" s="27"/>
      <c r="DJ184" s="27"/>
      <c r="DK184" s="27"/>
      <c r="DL184" s="27"/>
      <c r="DM184" s="27"/>
      <c r="DN184" s="27"/>
      <c r="DO184" s="27"/>
      <c r="DP184" s="27"/>
      <c r="DQ184" s="27"/>
      <c r="DR184" s="27"/>
      <c r="DS184" s="27"/>
      <c r="DT184" s="27"/>
    </row>
    <row r="185" spans="2:124" x14ac:dyDescent="0.2">
      <c r="B185" s="27"/>
      <c r="C185" s="27"/>
      <c r="D185" s="27" t="s">
        <v>533</v>
      </c>
      <c r="E185" s="27"/>
      <c r="F185" s="27" t="e">
        <f>#REF!/#REF!*F187</f>
        <v>#REF!</v>
      </c>
      <c r="G185" s="27" t="s">
        <v>534</v>
      </c>
      <c r="H185" s="27"/>
      <c r="I185" s="27"/>
      <c r="J185" s="27"/>
      <c r="K185" s="27"/>
      <c r="L185" s="27"/>
      <c r="M185" s="27" t="e">
        <f t="shared" si="14"/>
        <v>#N/A</v>
      </c>
      <c r="N185" s="27"/>
      <c r="O185" s="27"/>
      <c r="P185" s="27"/>
      <c r="Q185" s="27"/>
      <c r="R185" s="27"/>
      <c r="S185" s="27"/>
      <c r="T185" s="27"/>
      <c r="U185" s="27"/>
      <c r="V185" s="27"/>
      <c r="W185" s="27"/>
      <c r="X185" s="27"/>
      <c r="Y185" s="27"/>
      <c r="Z185" s="27"/>
      <c r="AA185" s="27"/>
      <c r="AB185" s="27"/>
      <c r="AC185" s="27"/>
      <c r="AD185" s="27"/>
      <c r="AE185" s="27"/>
      <c r="AF185" s="27"/>
      <c r="AG185" s="27"/>
      <c r="AH185" s="27"/>
      <c r="AI185" s="27"/>
      <c r="AJ185" s="27"/>
      <c r="AK185" s="27"/>
      <c r="AL185" s="27"/>
      <c r="AM185" s="27"/>
      <c r="AN185" s="27"/>
      <c r="AO185" s="27"/>
      <c r="AP185" s="27"/>
      <c r="AQ185" s="27"/>
      <c r="AR185" s="27"/>
      <c r="AS185" s="27"/>
      <c r="AT185" s="27"/>
      <c r="AU185" s="27"/>
      <c r="AV185" s="27"/>
      <c r="AW185" s="27"/>
      <c r="AX185" s="27"/>
      <c r="AY185" s="27"/>
      <c r="AZ185" s="27"/>
      <c r="BA185" s="27"/>
      <c r="BB185" s="27"/>
      <c r="BC185" s="27"/>
      <c r="BD185" s="27"/>
      <c r="BE185" s="27"/>
      <c r="BF185" s="27"/>
      <c r="BG185" s="27"/>
      <c r="BH185" s="27"/>
      <c r="BI185" s="27"/>
      <c r="BJ185" s="27"/>
      <c r="BK185" s="27"/>
      <c r="BL185" s="27"/>
      <c r="BM185" s="27"/>
      <c r="BN185" s="27"/>
      <c r="BO185" s="27"/>
      <c r="BP185" s="27"/>
      <c r="BQ185" s="27"/>
      <c r="BR185" s="27"/>
      <c r="BS185" s="27"/>
      <c r="BT185" s="27"/>
      <c r="BU185" s="27"/>
      <c r="BV185" s="27"/>
      <c r="BW185" s="27"/>
      <c r="BX185" s="27"/>
      <c r="BY185" s="27"/>
      <c r="BZ185" s="27"/>
      <c r="CA185" s="27"/>
      <c r="CB185" s="27"/>
      <c r="CC185" s="27"/>
      <c r="CD185" s="27"/>
      <c r="CE185" s="27"/>
      <c r="CF185" s="27"/>
      <c r="CG185" s="27"/>
      <c r="CH185" s="27"/>
      <c r="CI185" s="27"/>
      <c r="CJ185" s="27"/>
      <c r="CK185" s="27"/>
      <c r="CL185" s="27"/>
      <c r="CM185" s="27"/>
      <c r="CN185" s="27"/>
      <c r="CO185" s="27"/>
      <c r="CP185" s="27"/>
      <c r="CQ185" s="27"/>
      <c r="CR185" s="27"/>
      <c r="CS185" s="27"/>
      <c r="CT185" s="27"/>
      <c r="CU185" s="27"/>
      <c r="CV185" s="27"/>
      <c r="CW185" s="27"/>
      <c r="CX185" s="27"/>
      <c r="CY185" s="27"/>
      <c r="CZ185" s="27"/>
      <c r="DA185" s="27"/>
      <c r="DB185" s="27"/>
      <c r="DC185" s="27"/>
      <c r="DD185" s="27"/>
      <c r="DE185" s="27"/>
      <c r="DF185" s="27"/>
      <c r="DG185" s="27"/>
      <c r="DH185" s="27"/>
      <c r="DI185" s="27"/>
      <c r="DJ185" s="27"/>
      <c r="DK185" s="27"/>
      <c r="DL185" s="27"/>
      <c r="DM185" s="27"/>
      <c r="DN185" s="27"/>
      <c r="DO185" s="27"/>
      <c r="DP185" s="27"/>
      <c r="DQ185" s="27"/>
      <c r="DR185" s="27"/>
      <c r="DS185" s="27"/>
      <c r="DT185" s="27"/>
    </row>
    <row r="186" spans="2:124" x14ac:dyDescent="0.2">
      <c r="B186" s="27" t="s">
        <v>535</v>
      </c>
      <c r="C186" s="27" t="str">
        <f>C5</f>
        <v>ב"א</v>
      </c>
      <c r="D186" s="27"/>
      <c r="E186" s="27"/>
      <c r="F186" s="27" t="e">
        <f>#REF!/#REF!*F187</f>
        <v>#REF!</v>
      </c>
      <c r="G186" s="27" t="s">
        <v>536</v>
      </c>
      <c r="H186" s="27"/>
      <c r="I186" s="27"/>
      <c r="J186" s="27"/>
      <c r="K186" s="27"/>
      <c r="L186" s="27"/>
      <c r="M186" s="27" t="e">
        <f t="shared" si="14"/>
        <v>#N/A</v>
      </c>
      <c r="N186" s="27"/>
      <c r="O186" s="27"/>
      <c r="P186" s="27"/>
      <c r="Q186" s="27"/>
      <c r="R186" s="27"/>
      <c r="S186" s="27"/>
      <c r="T186" s="27"/>
      <c r="U186" s="27"/>
      <c r="V186" s="27"/>
      <c r="W186" s="27"/>
      <c r="X186" s="27"/>
      <c r="Y186" s="27"/>
      <c r="Z186" s="27"/>
      <c r="AA186" s="27"/>
      <c r="AB186" s="27"/>
      <c r="AC186" s="27"/>
      <c r="AD186" s="27"/>
      <c r="AE186" s="27"/>
      <c r="AF186" s="27"/>
      <c r="AG186" s="27"/>
      <c r="AH186" s="27"/>
      <c r="AI186" s="27"/>
      <c r="AJ186" s="27"/>
      <c r="AK186" s="27"/>
      <c r="AL186" s="27"/>
      <c r="AM186" s="27"/>
      <c r="AN186" s="27"/>
      <c r="AO186" s="27"/>
      <c r="AP186" s="27"/>
      <c r="AQ186" s="27"/>
      <c r="AR186" s="27"/>
      <c r="AS186" s="27"/>
      <c r="AT186" s="27"/>
      <c r="AU186" s="27"/>
      <c r="AV186" s="27"/>
      <c r="AW186" s="27"/>
      <c r="AX186" s="27"/>
      <c r="AY186" s="27"/>
      <c r="AZ186" s="27"/>
      <c r="BA186" s="27"/>
      <c r="BB186" s="27"/>
      <c r="BC186" s="27"/>
      <c r="BD186" s="27"/>
      <c r="BE186" s="27"/>
      <c r="BF186" s="27"/>
      <c r="BG186" s="27"/>
      <c r="BH186" s="27"/>
      <c r="BI186" s="27"/>
      <c r="BJ186" s="27"/>
      <c r="BK186" s="27"/>
      <c r="BL186" s="27"/>
      <c r="BM186" s="27"/>
      <c r="BN186" s="27"/>
      <c r="BO186" s="27"/>
      <c r="BP186" s="27"/>
      <c r="BQ186" s="27"/>
      <c r="BR186" s="27"/>
      <c r="BS186" s="27"/>
      <c r="BT186" s="27"/>
      <c r="BU186" s="27"/>
      <c r="BV186" s="27"/>
      <c r="BW186" s="27"/>
      <c r="BX186" s="27"/>
      <c r="BY186" s="27"/>
      <c r="BZ186" s="27"/>
      <c r="CA186" s="27"/>
      <c r="CB186" s="27"/>
      <c r="CC186" s="27"/>
      <c r="CD186" s="27"/>
      <c r="CE186" s="27"/>
      <c r="CF186" s="27"/>
      <c r="CG186" s="27"/>
      <c r="CH186" s="27"/>
      <c r="CI186" s="27"/>
      <c r="CJ186" s="27"/>
      <c r="CK186" s="27"/>
      <c r="CL186" s="27"/>
      <c r="CM186" s="27"/>
      <c r="CN186" s="27"/>
      <c r="CO186" s="27"/>
      <c r="CP186" s="27"/>
      <c r="CQ186" s="27"/>
      <c r="CR186" s="27"/>
      <c r="CS186" s="27"/>
      <c r="CT186" s="27"/>
      <c r="CU186" s="27"/>
      <c r="CV186" s="27"/>
      <c r="CW186" s="27"/>
      <c r="CX186" s="27"/>
      <c r="CY186" s="27"/>
      <c r="CZ186" s="27"/>
      <c r="DA186" s="27"/>
      <c r="DB186" s="27"/>
      <c r="DC186" s="27"/>
      <c r="DD186" s="27"/>
      <c r="DE186" s="27"/>
      <c r="DF186" s="27"/>
      <c r="DG186" s="27"/>
      <c r="DH186" s="27"/>
      <c r="DI186" s="27"/>
      <c r="DJ186" s="27"/>
      <c r="DK186" s="27"/>
      <c r="DL186" s="27"/>
      <c r="DM186" s="27"/>
      <c r="DN186" s="27"/>
      <c r="DO186" s="27"/>
      <c r="DP186" s="27"/>
      <c r="DQ186" s="27"/>
      <c r="DR186" s="27"/>
      <c r="DS186" s="27"/>
      <c r="DT186" s="27"/>
    </row>
    <row r="187" spans="2:124" x14ac:dyDescent="0.2">
      <c r="B187" s="27"/>
      <c r="C187" s="27"/>
      <c r="D187" s="27"/>
      <c r="E187" s="27"/>
      <c r="F187" s="27" t="e">
        <f>#REF!</f>
        <v>#REF!</v>
      </c>
      <c r="G187" s="27" t="s">
        <v>537</v>
      </c>
      <c r="H187" s="27"/>
      <c r="I187" s="27"/>
      <c r="J187" s="27">
        <f>IF(BB19=0,0,IF((BB19+P106)&gt;36%,36%,BB19+P106))</f>
        <v>0</v>
      </c>
      <c r="K187" s="27"/>
      <c r="L187" s="27"/>
      <c r="M187" s="27"/>
      <c r="N187" s="27"/>
      <c r="O187" s="27"/>
      <c r="P187" s="27"/>
      <c r="Q187" s="27"/>
      <c r="R187" s="27"/>
      <c r="S187" s="27"/>
      <c r="T187" s="27"/>
      <c r="U187" s="27"/>
      <c r="V187" s="27"/>
      <c r="W187" s="27"/>
      <c r="X187" s="27"/>
      <c r="Y187" s="27"/>
      <c r="Z187" s="27"/>
      <c r="AA187" s="27"/>
      <c r="AB187" s="27"/>
      <c r="AC187" s="27"/>
      <c r="AD187" s="27"/>
      <c r="AE187" s="27"/>
      <c r="AF187" s="27"/>
      <c r="AG187" s="27"/>
      <c r="AH187" s="27"/>
      <c r="AI187" s="27"/>
      <c r="AJ187" s="27"/>
      <c r="AK187" s="27"/>
      <c r="AL187" s="27"/>
      <c r="AM187" s="27"/>
      <c r="AN187" s="27"/>
      <c r="AO187" s="27"/>
      <c r="AP187" s="27"/>
      <c r="AQ187" s="27"/>
      <c r="AR187" s="27"/>
      <c r="AS187" s="27"/>
      <c r="AT187" s="27"/>
      <c r="AU187" s="27"/>
      <c r="AV187" s="27"/>
      <c r="AW187" s="27"/>
      <c r="AX187" s="27"/>
      <c r="AY187" s="27"/>
      <c r="AZ187" s="27"/>
      <c r="BA187" s="27"/>
      <c r="BB187" s="27"/>
      <c r="BC187" s="27"/>
      <c r="BD187" s="27"/>
      <c r="BE187" s="27"/>
      <c r="BF187" s="27"/>
      <c r="BG187" s="27"/>
      <c r="BH187" s="27"/>
      <c r="BI187" s="27"/>
      <c r="BJ187" s="27"/>
      <c r="BK187" s="27"/>
      <c r="BL187" s="27"/>
      <c r="BM187" s="27"/>
      <c r="BN187" s="27"/>
      <c r="BO187" s="27"/>
      <c r="BP187" s="27"/>
      <c r="BQ187" s="27"/>
      <c r="BR187" s="27"/>
      <c r="BS187" s="27"/>
      <c r="BT187" s="27"/>
      <c r="BU187" s="27"/>
      <c r="BV187" s="27"/>
      <c r="BW187" s="27"/>
      <c r="BX187" s="27"/>
      <c r="BY187" s="27"/>
      <c r="BZ187" s="27"/>
      <c r="CA187" s="27"/>
      <c r="CB187" s="27"/>
      <c r="CC187" s="27"/>
      <c r="CD187" s="27"/>
      <c r="CE187" s="27"/>
      <c r="CF187" s="27"/>
      <c r="CG187" s="27"/>
      <c r="CH187" s="27"/>
      <c r="CI187" s="27"/>
      <c r="CJ187" s="27"/>
      <c r="CK187" s="27"/>
      <c r="CL187" s="27"/>
      <c r="CM187" s="27"/>
      <c r="CN187" s="27"/>
      <c r="CO187" s="27"/>
      <c r="CP187" s="27"/>
      <c r="CQ187" s="27"/>
      <c r="CR187" s="27"/>
      <c r="CS187" s="27"/>
      <c r="CT187" s="27"/>
      <c r="CU187" s="27"/>
      <c r="CV187" s="27"/>
      <c r="CW187" s="27"/>
      <c r="CX187" s="27"/>
      <c r="CY187" s="27"/>
      <c r="CZ187" s="27"/>
      <c r="DA187" s="27"/>
      <c r="DB187" s="27"/>
      <c r="DC187" s="27"/>
      <c r="DD187" s="27"/>
      <c r="DE187" s="27"/>
      <c r="DF187" s="27"/>
      <c r="DG187" s="27"/>
      <c r="DH187" s="27"/>
      <c r="DI187" s="27"/>
      <c r="DJ187" s="27"/>
      <c r="DK187" s="27"/>
      <c r="DL187" s="27"/>
      <c r="DM187" s="27"/>
      <c r="DN187" s="27"/>
      <c r="DO187" s="27"/>
      <c r="DP187" s="27"/>
      <c r="DQ187" s="27"/>
      <c r="DR187" s="27"/>
      <c r="DS187" s="27"/>
      <c r="DT187" s="27"/>
    </row>
    <row r="188" spans="2:124" x14ac:dyDescent="0.2">
      <c r="B188" s="27"/>
      <c r="C188" s="27"/>
      <c r="D188" s="27"/>
      <c r="E188" s="27"/>
      <c r="F188" s="27" t="e">
        <f>F187-#REF!</f>
        <v>#REF!</v>
      </c>
      <c r="G188" s="27" t="s">
        <v>538</v>
      </c>
      <c r="H188" s="27"/>
      <c r="I188" s="27"/>
      <c r="J188" s="27">
        <f>VLOOKUP(INT(P107),ghad1,2,FALSE)</f>
        <v>0</v>
      </c>
      <c r="K188" s="27"/>
      <c r="L188" s="27"/>
      <c r="M188" s="27"/>
      <c r="N188" s="27"/>
      <c r="O188" s="27"/>
      <c r="P188" s="27"/>
      <c r="Q188" s="27"/>
      <c r="R188" s="27"/>
      <c r="S188" s="27"/>
      <c r="T188" s="27"/>
      <c r="U188" s="27"/>
      <c r="V188" s="27"/>
      <c r="W188" s="27"/>
      <c r="X188" s="27"/>
      <c r="Y188" s="27"/>
      <c r="Z188" s="27"/>
      <c r="AA188" s="27"/>
      <c r="AB188" s="27"/>
      <c r="AC188" s="27"/>
      <c r="AD188" s="27"/>
      <c r="AE188" s="27"/>
      <c r="AF188" s="27"/>
      <c r="AG188" s="27"/>
      <c r="AH188" s="27"/>
      <c r="AI188" s="27"/>
      <c r="AJ188" s="27"/>
      <c r="AK188" s="27"/>
      <c r="AL188" s="27"/>
      <c r="AM188" s="27"/>
      <c r="AN188" s="27"/>
      <c r="AO188" s="27"/>
      <c r="AP188" s="27"/>
      <c r="AQ188" s="27"/>
      <c r="AR188" s="27"/>
      <c r="AS188" s="27"/>
      <c r="AT188" s="27"/>
      <c r="AU188" s="27"/>
      <c r="AV188" s="27"/>
      <c r="AW188" s="27"/>
      <c r="AX188" s="27"/>
      <c r="AY188" s="27"/>
      <c r="AZ188" s="27"/>
      <c r="BA188" s="27"/>
      <c r="BB188" s="27"/>
      <c r="BC188" s="27"/>
      <c r="BD188" s="27"/>
      <c r="BE188" s="27"/>
      <c r="BF188" s="27"/>
      <c r="BG188" s="27"/>
      <c r="BH188" s="27"/>
      <c r="BI188" s="27"/>
      <c r="BJ188" s="27"/>
      <c r="BK188" s="27"/>
      <c r="BL188" s="27"/>
      <c r="BM188" s="27"/>
      <c r="BN188" s="27"/>
      <c r="BO188" s="27"/>
      <c r="BP188" s="27"/>
      <c r="BQ188" s="27"/>
      <c r="BR188" s="27"/>
      <c r="BS188" s="27"/>
      <c r="BT188" s="27"/>
      <c r="BU188" s="27"/>
      <c r="BV188" s="27"/>
      <c r="BW188" s="27"/>
      <c r="BX188" s="27"/>
      <c r="BY188" s="27"/>
      <c r="BZ188" s="27"/>
      <c r="CA188" s="27"/>
      <c r="CB188" s="27"/>
      <c r="CC188" s="27"/>
      <c r="CD188" s="27"/>
      <c r="CE188" s="27"/>
      <c r="CF188" s="27"/>
      <c r="CG188" s="27"/>
      <c r="CH188" s="27"/>
      <c r="CI188" s="27"/>
      <c r="CJ188" s="27"/>
      <c r="CK188" s="27"/>
      <c r="CL188" s="27"/>
      <c r="CM188" s="27"/>
      <c r="CN188" s="27"/>
      <c r="CO188" s="27"/>
      <c r="CP188" s="27"/>
      <c r="CQ188" s="27"/>
      <c r="CR188" s="27"/>
      <c r="CS188" s="27"/>
      <c r="CT188" s="27"/>
      <c r="CU188" s="27"/>
      <c r="CV188" s="27"/>
      <c r="CW188" s="27"/>
      <c r="CX188" s="27"/>
      <c r="CY188" s="27"/>
      <c r="CZ188" s="27"/>
      <c r="DA188" s="27"/>
      <c r="DB188" s="27"/>
      <c r="DC188" s="27"/>
      <c r="DD188" s="27"/>
      <c r="DE188" s="27"/>
      <c r="DF188" s="27"/>
      <c r="DG188" s="27"/>
      <c r="DH188" s="27"/>
      <c r="DI188" s="27"/>
      <c r="DJ188" s="27"/>
      <c r="DK188" s="27"/>
      <c r="DL188" s="27"/>
      <c r="DM188" s="27"/>
      <c r="DN188" s="27"/>
      <c r="DO188" s="27"/>
      <c r="DP188" s="27"/>
      <c r="DQ188" s="27"/>
      <c r="DR188" s="27"/>
      <c r="DS188" s="27"/>
      <c r="DT188" s="27"/>
    </row>
    <row r="189" spans="2:124" x14ac:dyDescent="0.2">
      <c r="B189" s="27"/>
      <c r="C189" s="27"/>
      <c r="D189" s="27"/>
      <c r="E189" s="27"/>
      <c r="F189" s="27" t="e">
        <f>#REF!</f>
        <v>#REF!</v>
      </c>
      <c r="G189" s="27" t="s">
        <v>539</v>
      </c>
      <c r="H189" s="27"/>
      <c r="I189" s="27"/>
      <c r="J189" s="27"/>
      <c r="K189" s="27"/>
      <c r="L189" s="27"/>
      <c r="M189" s="27"/>
      <c r="N189" s="27"/>
      <c r="O189" s="27"/>
      <c r="P189" s="27"/>
      <c r="Q189" s="27"/>
      <c r="R189" s="27"/>
      <c r="S189" s="27"/>
      <c r="T189" s="27"/>
      <c r="U189" s="27"/>
      <c r="V189" s="27"/>
      <c r="W189" s="27"/>
      <c r="X189" s="27"/>
      <c r="Y189" s="27"/>
      <c r="Z189" s="27"/>
      <c r="AA189" s="27"/>
      <c r="AB189" s="27"/>
      <c r="AC189" s="27"/>
      <c r="AD189" s="27"/>
      <c r="AE189" s="27"/>
      <c r="AF189" s="27"/>
      <c r="AG189" s="27"/>
      <c r="AH189" s="27"/>
      <c r="AI189" s="27"/>
      <c r="AJ189" s="27"/>
      <c r="AK189" s="27"/>
      <c r="AL189" s="27"/>
      <c r="AM189" s="27"/>
      <c r="AN189" s="27"/>
      <c r="AO189" s="27"/>
      <c r="AP189" s="27"/>
      <c r="AQ189" s="27"/>
      <c r="AR189" s="27"/>
      <c r="AS189" s="27"/>
      <c r="AT189" s="27"/>
      <c r="AU189" s="27"/>
      <c r="AV189" s="27"/>
      <c r="AW189" s="27"/>
      <c r="AX189" s="27"/>
      <c r="AY189" s="27"/>
      <c r="AZ189" s="27"/>
      <c r="BA189" s="27"/>
      <c r="BB189" s="27"/>
      <c r="BC189" s="27"/>
      <c r="BD189" s="27"/>
      <c r="BE189" s="27"/>
      <c r="BF189" s="27"/>
      <c r="BG189" s="27"/>
      <c r="BH189" s="27"/>
      <c r="BI189" s="27"/>
      <c r="BJ189" s="27"/>
      <c r="BK189" s="27"/>
      <c r="BL189" s="27"/>
      <c r="BM189" s="27"/>
      <c r="BN189" s="27"/>
      <c r="BO189" s="27"/>
      <c r="BP189" s="27"/>
      <c r="BQ189" s="27"/>
      <c r="BR189" s="27"/>
      <c r="BS189" s="27"/>
      <c r="BT189" s="27"/>
      <c r="BU189" s="27"/>
      <c r="BV189" s="27"/>
      <c r="BW189" s="27"/>
      <c r="BX189" s="27"/>
      <c r="BY189" s="27"/>
      <c r="BZ189" s="27"/>
      <c r="CA189" s="27"/>
      <c r="CB189" s="27"/>
      <c r="CC189" s="27"/>
      <c r="CD189" s="27"/>
      <c r="CE189" s="27"/>
      <c r="CF189" s="27"/>
      <c r="CG189" s="27"/>
      <c r="CH189" s="27"/>
      <c r="CI189" s="27"/>
      <c r="CJ189" s="27"/>
      <c r="CK189" s="27"/>
      <c r="CL189" s="27"/>
      <c r="CM189" s="27"/>
      <c r="CN189" s="27"/>
      <c r="CO189" s="27"/>
      <c r="CP189" s="27"/>
      <c r="CQ189" s="27"/>
      <c r="CR189" s="27"/>
      <c r="CS189" s="27"/>
      <c r="CT189" s="27"/>
      <c r="CU189" s="27"/>
      <c r="CV189" s="27"/>
      <c r="CW189" s="27"/>
      <c r="CX189" s="27"/>
      <c r="CY189" s="27"/>
      <c r="CZ189" s="27"/>
      <c r="DA189" s="27"/>
      <c r="DB189" s="27"/>
      <c r="DC189" s="27"/>
      <c r="DD189" s="27"/>
      <c r="DE189" s="27"/>
      <c r="DF189" s="27"/>
      <c r="DG189" s="27"/>
      <c r="DH189" s="27"/>
      <c r="DI189" s="27"/>
      <c r="DJ189" s="27"/>
      <c r="DK189" s="27"/>
      <c r="DL189" s="27"/>
      <c r="DM189" s="27"/>
      <c r="DN189" s="27"/>
      <c r="DO189" s="27"/>
      <c r="DP189" s="27"/>
      <c r="DQ189" s="27"/>
      <c r="DR189" s="27"/>
      <c r="DS189" s="27"/>
      <c r="DT189" s="27"/>
    </row>
    <row r="190" spans="2:124" x14ac:dyDescent="0.2">
      <c r="B190" s="27"/>
      <c r="C190" s="27"/>
      <c r="D190" s="27"/>
      <c r="E190" s="27"/>
      <c r="F190" s="27" t="e">
        <f>#REF!-BK30</f>
        <v>#REF!</v>
      </c>
      <c r="G190" s="27" t="e">
        <f>IF(#REF!=0,0,#REF!-#REF!)</f>
        <v>#REF!</v>
      </c>
      <c r="H190" s="27"/>
      <c r="I190" s="27"/>
      <c r="J190" s="27"/>
      <c r="K190" s="27"/>
      <c r="L190" s="27"/>
      <c r="M190" s="27"/>
      <c r="N190" s="27"/>
      <c r="O190" s="27"/>
      <c r="P190" s="27"/>
      <c r="Q190" s="27"/>
      <c r="R190" s="27"/>
      <c r="S190" s="27"/>
      <c r="T190" s="27"/>
      <c r="U190" s="27"/>
      <c r="V190" s="27"/>
      <c r="W190" s="27"/>
      <c r="X190" s="27"/>
      <c r="Y190" s="27"/>
      <c r="Z190" s="27"/>
      <c r="AA190" s="27"/>
      <c r="AB190" s="27"/>
      <c r="AC190" s="27"/>
      <c r="AD190" s="27"/>
      <c r="AE190" s="27"/>
      <c r="AF190" s="27"/>
      <c r="AG190" s="27"/>
      <c r="AH190" s="27"/>
      <c r="AI190" s="27"/>
      <c r="AJ190" s="27"/>
      <c r="AK190" s="27"/>
      <c r="AL190" s="27"/>
      <c r="AM190" s="27"/>
      <c r="AN190" s="27"/>
      <c r="AO190" s="27"/>
      <c r="AP190" s="27"/>
      <c r="AQ190" s="27"/>
      <c r="AR190" s="27"/>
      <c r="AS190" s="27"/>
      <c r="AT190" s="27"/>
      <c r="AU190" s="27"/>
      <c r="AV190" s="27"/>
      <c r="AW190" s="27"/>
      <c r="AX190" s="27"/>
      <c r="AY190" s="27"/>
      <c r="AZ190" s="27"/>
      <c r="BA190" s="27"/>
      <c r="BB190" s="27"/>
      <c r="BC190" s="27"/>
      <c r="BD190" s="27"/>
      <c r="BE190" s="27"/>
      <c r="BF190" s="27"/>
      <c r="BG190" s="27"/>
      <c r="BH190" s="27"/>
      <c r="BI190" s="27"/>
      <c r="BJ190" s="27"/>
      <c r="BK190" s="27"/>
      <c r="BL190" s="27"/>
      <c r="BM190" s="27"/>
      <c r="BN190" s="27"/>
      <c r="BO190" s="27"/>
      <c r="BP190" s="27"/>
      <c r="BQ190" s="27"/>
      <c r="BR190" s="27"/>
      <c r="BS190" s="27"/>
      <c r="BT190" s="27"/>
      <c r="BU190" s="27"/>
      <c r="BV190" s="27"/>
      <c r="BW190" s="27"/>
      <c r="BX190" s="27"/>
      <c r="BY190" s="27"/>
      <c r="BZ190" s="27"/>
      <c r="CA190" s="27"/>
      <c r="CB190" s="27"/>
      <c r="CC190" s="27"/>
      <c r="CD190" s="27"/>
      <c r="CE190" s="27"/>
      <c r="CF190" s="27"/>
      <c r="CG190" s="27"/>
      <c r="CH190" s="27"/>
      <c r="CI190" s="27"/>
      <c r="CJ190" s="27"/>
      <c r="CK190" s="27"/>
      <c r="CL190" s="27"/>
      <c r="CM190" s="27"/>
      <c r="CN190" s="27"/>
      <c r="CO190" s="27"/>
      <c r="CP190" s="27"/>
      <c r="CQ190" s="27"/>
      <c r="CR190" s="27"/>
      <c r="CS190" s="27"/>
      <c r="CT190" s="27"/>
      <c r="CU190" s="27"/>
      <c r="CV190" s="27"/>
      <c r="CW190" s="27"/>
      <c r="CX190" s="27"/>
      <c r="CY190" s="27"/>
      <c r="CZ190" s="27"/>
      <c r="DA190" s="27"/>
      <c r="DB190" s="27"/>
      <c r="DC190" s="27"/>
      <c r="DD190" s="27"/>
      <c r="DE190" s="27"/>
      <c r="DF190" s="27"/>
      <c r="DG190" s="27"/>
      <c r="DH190" s="27"/>
      <c r="DI190" s="27"/>
      <c r="DJ190" s="27"/>
      <c r="DK190" s="27"/>
      <c r="DL190" s="27"/>
      <c r="DM190" s="27"/>
      <c r="DN190" s="27"/>
      <c r="DO190" s="27"/>
      <c r="DP190" s="27"/>
      <c r="DQ190" s="27"/>
      <c r="DR190" s="27"/>
      <c r="DS190" s="27"/>
      <c r="DT190" s="27"/>
    </row>
    <row r="191" spans="2:124" x14ac:dyDescent="0.2">
      <c r="B191" s="27"/>
      <c r="C191" s="27"/>
      <c r="D191" s="27"/>
      <c r="E191" s="27"/>
      <c r="F191" s="27"/>
      <c r="G191" s="27"/>
      <c r="H191" s="27"/>
      <c r="I191" s="27"/>
      <c r="J191" s="27"/>
      <c r="K191" s="27"/>
      <c r="L191" s="27"/>
      <c r="M191" s="27"/>
      <c r="N191" s="27"/>
      <c r="O191" s="27"/>
      <c r="P191" s="27"/>
      <c r="Q191" s="27"/>
      <c r="R191" s="27"/>
      <c r="S191" s="27"/>
      <c r="T191" s="27"/>
      <c r="U191" s="27"/>
      <c r="V191" s="27"/>
      <c r="W191" s="27"/>
      <c r="X191" s="27"/>
      <c r="Y191" s="27"/>
      <c r="Z191" s="27"/>
      <c r="AA191" s="27"/>
      <c r="AB191" s="27"/>
      <c r="AC191" s="27"/>
      <c r="AD191" s="27"/>
      <c r="AE191" s="27"/>
      <c r="AF191" s="27"/>
      <c r="AG191" s="27"/>
      <c r="AH191" s="27"/>
      <c r="AI191" s="27"/>
      <c r="AJ191" s="27"/>
      <c r="AK191" s="27"/>
      <c r="AL191" s="27"/>
      <c r="AM191" s="27"/>
      <c r="AN191" s="27"/>
      <c r="AO191" s="27"/>
      <c r="AP191" s="27"/>
      <c r="AQ191" s="27"/>
      <c r="AR191" s="27"/>
      <c r="AS191" s="27"/>
      <c r="AT191" s="27"/>
      <c r="AU191" s="27"/>
      <c r="AV191" s="27"/>
      <c r="AW191" s="27"/>
      <c r="AX191" s="27"/>
      <c r="AY191" s="27"/>
      <c r="AZ191" s="27"/>
      <c r="BA191" s="27"/>
      <c r="BB191" s="27"/>
      <c r="BC191" s="27"/>
      <c r="BD191" s="27"/>
      <c r="BE191" s="27"/>
      <c r="BF191" s="27"/>
      <c r="BG191" s="27"/>
      <c r="BH191" s="27"/>
      <c r="BI191" s="27"/>
      <c r="BJ191" s="27"/>
      <c r="BK191" s="27"/>
      <c r="BL191" s="27"/>
      <c r="BM191" s="27"/>
      <c r="BN191" s="27"/>
      <c r="BO191" s="27"/>
      <c r="BP191" s="27"/>
      <c r="BQ191" s="27"/>
      <c r="BR191" s="27"/>
      <c r="BS191" s="27"/>
      <c r="BT191" s="27"/>
      <c r="BU191" s="27"/>
      <c r="BV191" s="27"/>
      <c r="BW191" s="27"/>
      <c r="BX191" s="27"/>
      <c r="BY191" s="27"/>
      <c r="BZ191" s="27"/>
      <c r="CA191" s="27"/>
      <c r="CB191" s="27"/>
      <c r="CC191" s="27"/>
      <c r="CD191" s="27"/>
      <c r="CE191" s="27"/>
      <c r="CF191" s="27"/>
      <c r="CG191" s="27"/>
      <c r="CH191" s="27"/>
      <c r="CI191" s="27"/>
      <c r="CJ191" s="27"/>
      <c r="CK191" s="27"/>
      <c r="CL191" s="27"/>
      <c r="CM191" s="27"/>
      <c r="CN191" s="27"/>
      <c r="CO191" s="27"/>
      <c r="CP191" s="27"/>
      <c r="CQ191" s="27"/>
      <c r="CR191" s="27"/>
      <c r="CS191" s="27"/>
      <c r="CT191" s="27"/>
      <c r="CU191" s="27"/>
      <c r="CV191" s="27"/>
      <c r="CW191" s="27"/>
      <c r="CX191" s="27"/>
      <c r="CY191" s="27"/>
      <c r="CZ191" s="27"/>
      <c r="DA191" s="27"/>
      <c r="DB191" s="27"/>
      <c r="DC191" s="27"/>
      <c r="DD191" s="27"/>
      <c r="DE191" s="27"/>
      <c r="DF191" s="27"/>
      <c r="DG191" s="27"/>
      <c r="DH191" s="27"/>
      <c r="DI191" s="27"/>
      <c r="DJ191" s="27"/>
      <c r="DK191" s="27"/>
      <c r="DL191" s="27"/>
      <c r="DM191" s="27"/>
      <c r="DN191" s="27"/>
      <c r="DO191" s="27"/>
      <c r="DP191" s="27"/>
      <c r="DQ191" s="27"/>
      <c r="DR191" s="27"/>
      <c r="DS191" s="27"/>
      <c r="DT191" s="27"/>
    </row>
    <row r="192" spans="2:124" x14ac:dyDescent="0.2">
      <c r="B192" s="27"/>
      <c r="C192" s="27"/>
      <c r="D192" s="27"/>
      <c r="E192" s="27"/>
      <c r="F192" s="27"/>
      <c r="G192" s="27" t="s">
        <v>540</v>
      </c>
      <c r="H192" s="27">
        <f>ROUND((AK25-AQ17)/365.25,2)</f>
        <v>0.36</v>
      </c>
      <c r="I192" s="27"/>
      <c r="J192" s="27"/>
      <c r="K192" s="27"/>
      <c r="L192" s="27"/>
      <c r="M192" s="27"/>
      <c r="N192" s="27"/>
      <c r="O192" s="27"/>
      <c r="P192" s="27"/>
      <c r="Q192" s="27"/>
      <c r="R192" s="27"/>
      <c r="S192" s="27"/>
      <c r="T192" s="27"/>
      <c r="U192" s="27"/>
      <c r="V192" s="27"/>
      <c r="W192" s="27"/>
      <c r="X192" s="27"/>
      <c r="Y192" s="27"/>
      <c r="Z192" s="27"/>
      <c r="AA192" s="27"/>
      <c r="AB192" s="27"/>
      <c r="AC192" s="27"/>
      <c r="AD192" s="27"/>
      <c r="AE192" s="27"/>
      <c r="AF192" s="27"/>
      <c r="AG192" s="27"/>
      <c r="AH192" s="27"/>
      <c r="AI192" s="27"/>
      <c r="AJ192" s="27"/>
      <c r="AK192" s="27"/>
      <c r="AL192" s="27"/>
      <c r="AM192" s="27"/>
      <c r="AN192" s="27"/>
      <c r="AO192" s="27"/>
      <c r="AP192" s="27"/>
      <c r="AQ192" s="27"/>
      <c r="AR192" s="27"/>
      <c r="AS192" s="27"/>
      <c r="AT192" s="27"/>
      <c r="AU192" s="27"/>
      <c r="AV192" s="27"/>
      <c r="AW192" s="27"/>
      <c r="AX192" s="27"/>
      <c r="AY192" s="27"/>
      <c r="AZ192" s="27"/>
      <c r="BA192" s="27"/>
      <c r="BB192" s="27"/>
      <c r="BC192" s="27"/>
      <c r="BD192" s="27"/>
      <c r="BE192" s="27"/>
      <c r="BF192" s="27"/>
      <c r="BG192" s="27"/>
      <c r="BH192" s="27"/>
      <c r="BI192" s="27"/>
      <c r="BJ192" s="27"/>
      <c r="BK192" s="27"/>
      <c r="BL192" s="27"/>
      <c r="BM192" s="27"/>
      <c r="BN192" s="27"/>
      <c r="BO192" s="27"/>
      <c r="BP192" s="27"/>
      <c r="BQ192" s="27"/>
      <c r="BR192" s="27"/>
      <c r="BS192" s="27"/>
      <c r="BT192" s="27"/>
      <c r="BU192" s="27"/>
      <c r="BV192" s="27"/>
      <c r="BW192" s="27"/>
      <c r="BX192" s="27"/>
      <c r="BY192" s="27"/>
      <c r="BZ192" s="27"/>
      <c r="CA192" s="27"/>
      <c r="CB192" s="27"/>
      <c r="CC192" s="27"/>
      <c r="CD192" s="27"/>
      <c r="CE192" s="27"/>
      <c r="CF192" s="27"/>
      <c r="CG192" s="27"/>
      <c r="CH192" s="27"/>
      <c r="CI192" s="27"/>
      <c r="CJ192" s="27"/>
      <c r="CK192" s="27"/>
      <c r="CL192" s="27"/>
      <c r="CM192" s="27"/>
      <c r="CN192" s="27"/>
      <c r="CO192" s="27"/>
      <c r="CP192" s="27"/>
      <c r="CQ192" s="27"/>
      <c r="CR192" s="27"/>
      <c r="CS192" s="27"/>
      <c r="CT192" s="27"/>
      <c r="CU192" s="27"/>
      <c r="CV192" s="27"/>
      <c r="CW192" s="27"/>
      <c r="CX192" s="27"/>
      <c r="CY192" s="27"/>
      <c r="CZ192" s="27"/>
      <c r="DA192" s="27"/>
      <c r="DB192" s="27"/>
      <c r="DC192" s="27"/>
      <c r="DD192" s="27"/>
      <c r="DE192" s="27"/>
      <c r="DF192" s="27"/>
      <c r="DG192" s="27"/>
      <c r="DH192" s="27"/>
      <c r="DI192" s="27"/>
      <c r="DJ192" s="27"/>
      <c r="DK192" s="27"/>
      <c r="DL192" s="27"/>
      <c r="DM192" s="27"/>
      <c r="DN192" s="27"/>
      <c r="DO192" s="27"/>
      <c r="DP192" s="27"/>
      <c r="DQ192" s="27"/>
      <c r="DR192" s="27"/>
      <c r="DS192" s="27"/>
      <c r="DT192" s="27"/>
    </row>
    <row r="193" spans="2:124" x14ac:dyDescent="0.2">
      <c r="B193" s="27" t="s">
        <v>541</v>
      </c>
      <c r="C193" s="27" t="s">
        <v>542</v>
      </c>
      <c r="D193" s="27"/>
      <c r="E193" s="27"/>
      <c r="F193" s="27" t="e">
        <f>#REF!</f>
        <v>#REF!</v>
      </c>
      <c r="G193" s="27"/>
      <c r="H193" s="27">
        <f>H156-H192</f>
        <v>32.056666666666665</v>
      </c>
      <c r="I193" s="27"/>
      <c r="J193" s="27"/>
      <c r="K193" s="27"/>
      <c r="L193" s="27"/>
      <c r="M193" s="27"/>
      <c r="N193" s="27"/>
      <c r="O193" s="27"/>
      <c r="P193" s="27"/>
      <c r="Q193" s="27"/>
      <c r="R193" s="27"/>
      <c r="S193" s="27"/>
      <c r="T193" s="27"/>
      <c r="U193" s="27"/>
      <c r="V193" s="27"/>
      <c r="W193" s="27"/>
      <c r="X193" s="27"/>
      <c r="Y193" s="27"/>
      <c r="Z193" s="27"/>
      <c r="AA193" s="27"/>
      <c r="AB193" s="27"/>
      <c r="AC193" s="27"/>
      <c r="AD193" s="27"/>
      <c r="AE193" s="27"/>
      <c r="AF193" s="27"/>
      <c r="AG193" s="27"/>
      <c r="AH193" s="27"/>
      <c r="AI193" s="27"/>
      <c r="AJ193" s="27"/>
      <c r="AK193" s="27"/>
      <c r="AL193" s="27"/>
      <c r="AM193" s="27"/>
      <c r="AN193" s="27"/>
      <c r="AO193" s="27"/>
      <c r="AP193" s="27"/>
      <c r="AQ193" s="27"/>
      <c r="AR193" s="27"/>
      <c r="AS193" s="27"/>
      <c r="AT193" s="27"/>
      <c r="AU193" s="27"/>
      <c r="AV193" s="27"/>
      <c r="AW193" s="27"/>
      <c r="AX193" s="27"/>
      <c r="AY193" s="27"/>
      <c r="AZ193" s="27"/>
      <c r="BA193" s="27"/>
      <c r="BB193" s="27"/>
      <c r="BC193" s="27"/>
      <c r="BD193" s="27"/>
      <c r="BE193" s="27"/>
      <c r="BF193" s="27"/>
      <c r="BG193" s="27"/>
      <c r="BH193" s="27"/>
      <c r="BI193" s="27"/>
      <c r="BJ193" s="27"/>
      <c r="BK193" s="27"/>
      <c r="BL193" s="27"/>
      <c r="BM193" s="27"/>
      <c r="BN193" s="27"/>
      <c r="BO193" s="27"/>
      <c r="BP193" s="27"/>
      <c r="BQ193" s="27"/>
      <c r="BR193" s="27"/>
      <c r="BS193" s="27"/>
      <c r="BT193" s="27"/>
      <c r="BU193" s="27"/>
      <c r="BV193" s="27"/>
      <c r="BW193" s="27"/>
      <c r="BX193" s="27"/>
      <c r="BY193" s="27"/>
      <c r="BZ193" s="27"/>
      <c r="CA193" s="27"/>
      <c r="CB193" s="27"/>
      <c r="CC193" s="27"/>
      <c r="CD193" s="27"/>
      <c r="CE193" s="27"/>
      <c r="CF193" s="27"/>
      <c r="CG193" s="27"/>
      <c r="CH193" s="27"/>
      <c r="CI193" s="27"/>
      <c r="CJ193" s="27"/>
      <c r="CK193" s="27"/>
      <c r="CL193" s="27"/>
      <c r="CM193" s="27"/>
      <c r="CN193" s="27"/>
      <c r="CO193" s="27"/>
      <c r="CP193" s="27"/>
      <c r="CQ193" s="27"/>
      <c r="CR193" s="27"/>
      <c r="CS193" s="27"/>
      <c r="CT193" s="27"/>
      <c r="CU193" s="27"/>
      <c r="CV193" s="27"/>
      <c r="CW193" s="27"/>
      <c r="CX193" s="27"/>
      <c r="CY193" s="27"/>
      <c r="CZ193" s="27"/>
      <c r="DA193" s="27"/>
      <c r="DB193" s="27"/>
      <c r="DC193" s="27"/>
      <c r="DD193" s="27"/>
      <c r="DE193" s="27"/>
      <c r="DF193" s="27"/>
      <c r="DG193" s="27"/>
      <c r="DH193" s="27"/>
      <c r="DI193" s="27"/>
      <c r="DJ193" s="27"/>
      <c r="DK193" s="27"/>
      <c r="DL193" s="27"/>
      <c r="DM193" s="27"/>
      <c r="DN193" s="27"/>
      <c r="DO193" s="27"/>
      <c r="DP193" s="27"/>
      <c r="DQ193" s="27"/>
      <c r="DR193" s="27"/>
      <c r="DS193" s="27"/>
      <c r="DT193" s="27"/>
    </row>
    <row r="194" spans="2:124" x14ac:dyDescent="0.2">
      <c r="B194" s="27" t="e">
        <f>#REF!</f>
        <v>#REF!</v>
      </c>
      <c r="C194" s="27" t="s">
        <v>543</v>
      </c>
      <c r="D194" s="27" t="s">
        <v>59</v>
      </c>
      <c r="E194" s="27"/>
      <c r="F194" s="27"/>
      <c r="G194" s="27"/>
      <c r="H194" s="27"/>
      <c r="I194" s="27"/>
      <c r="J194" s="27"/>
      <c r="K194" s="27"/>
      <c r="L194" s="27"/>
      <c r="M194" s="27"/>
      <c r="N194" s="27"/>
      <c r="O194" s="27"/>
      <c r="P194" s="27"/>
      <c r="Q194" s="27"/>
      <c r="R194" s="27"/>
      <c r="S194" s="27"/>
      <c r="T194" s="27"/>
      <c r="U194" s="27"/>
      <c r="V194" s="27"/>
      <c r="W194" s="27"/>
      <c r="X194" s="27"/>
      <c r="Y194" s="27"/>
      <c r="Z194" s="27"/>
      <c r="AA194" s="27"/>
      <c r="AB194" s="27"/>
      <c r="AC194" s="27"/>
      <c r="AD194" s="27"/>
      <c r="AE194" s="27"/>
      <c r="AF194" s="27"/>
      <c r="AG194" s="27"/>
      <c r="AH194" s="27"/>
      <c r="AI194" s="27"/>
      <c r="AJ194" s="27"/>
      <c r="AK194" s="27"/>
      <c r="AL194" s="27"/>
      <c r="AM194" s="27"/>
      <c r="AN194" s="27"/>
      <c r="AO194" s="27"/>
      <c r="AP194" s="27"/>
      <c r="AQ194" s="27"/>
      <c r="AR194" s="27"/>
      <c r="AS194" s="27"/>
      <c r="AT194" s="27"/>
      <c r="AU194" s="27"/>
      <c r="AV194" s="27"/>
      <c r="AW194" s="27"/>
      <c r="AX194" s="27"/>
      <c r="AY194" s="27"/>
      <c r="AZ194" s="27"/>
      <c r="BA194" s="27"/>
      <c r="BB194" s="27"/>
      <c r="BC194" s="27"/>
      <c r="BD194" s="27"/>
      <c r="BE194" s="27"/>
      <c r="BF194" s="27"/>
      <c r="BG194" s="27"/>
      <c r="BH194" s="27"/>
      <c r="BI194" s="27"/>
      <c r="BJ194" s="27"/>
      <c r="BK194" s="27"/>
      <c r="BL194" s="27"/>
      <c r="BM194" s="27"/>
      <c r="BN194" s="27"/>
      <c r="BO194" s="27"/>
      <c r="BP194" s="27"/>
      <c r="BQ194" s="27"/>
      <c r="BR194" s="27"/>
      <c r="BS194" s="27"/>
      <c r="BT194" s="27"/>
      <c r="BU194" s="27"/>
      <c r="BV194" s="27"/>
      <c r="BW194" s="27"/>
      <c r="BX194" s="27"/>
      <c r="BY194" s="27"/>
      <c r="BZ194" s="27"/>
      <c r="CA194" s="27"/>
      <c r="CB194" s="27"/>
      <c r="CC194" s="27"/>
      <c r="CD194" s="27"/>
      <c r="CE194" s="27"/>
      <c r="CF194" s="27"/>
      <c r="CG194" s="27"/>
      <c r="CH194" s="27"/>
      <c r="CI194" s="27"/>
      <c r="CJ194" s="27"/>
      <c r="CK194" s="27"/>
      <c r="CL194" s="27"/>
      <c r="CM194" s="27"/>
      <c r="CN194" s="27"/>
      <c r="CO194" s="27"/>
      <c r="CP194" s="27"/>
      <c r="CQ194" s="27"/>
      <c r="CR194" s="27"/>
      <c r="CS194" s="27"/>
      <c r="CT194" s="27"/>
      <c r="CU194" s="27"/>
      <c r="CV194" s="27"/>
      <c r="CW194" s="27"/>
      <c r="CX194" s="27"/>
      <c r="CY194" s="27"/>
      <c r="CZ194" s="27"/>
      <c r="DA194" s="27"/>
      <c r="DB194" s="27"/>
      <c r="DC194" s="27"/>
      <c r="DD194" s="27"/>
      <c r="DE194" s="27"/>
      <c r="DF194" s="27"/>
      <c r="DG194" s="27"/>
      <c r="DH194" s="27"/>
      <c r="DI194" s="27"/>
      <c r="DJ194" s="27"/>
      <c r="DK194" s="27"/>
      <c r="DL194" s="27"/>
      <c r="DM194" s="27"/>
      <c r="DN194" s="27"/>
      <c r="DO194" s="27"/>
      <c r="DP194" s="27"/>
      <c r="DQ194" s="27"/>
      <c r="DR194" s="27"/>
      <c r="DS194" s="27"/>
      <c r="DT194" s="27"/>
    </row>
    <row r="195" spans="2:124" x14ac:dyDescent="0.2">
      <c r="B195" s="27" t="e">
        <f>#REF!</f>
        <v>#REF!</v>
      </c>
      <c r="C195" s="27" t="s">
        <v>544</v>
      </c>
      <c r="D195" s="27" t="s">
        <v>59</v>
      </c>
      <c r="E195" s="27"/>
      <c r="F195" s="27"/>
      <c r="G195" s="27" t="s">
        <v>545</v>
      </c>
      <c r="H195" s="27"/>
      <c r="I195" s="27"/>
      <c r="J195" s="27"/>
      <c r="K195" s="27"/>
      <c r="L195" s="27"/>
      <c r="M195" s="27"/>
      <c r="N195" s="27"/>
      <c r="O195" s="27"/>
      <c r="P195" s="27"/>
      <c r="Q195" s="27"/>
      <c r="R195" s="27"/>
      <c r="S195" s="27"/>
      <c r="T195" s="27"/>
      <c r="U195" s="27"/>
      <c r="V195" s="27"/>
      <c r="W195" s="27"/>
      <c r="X195" s="27"/>
      <c r="Y195" s="27"/>
      <c r="Z195" s="27"/>
      <c r="AA195" s="27"/>
      <c r="AB195" s="27"/>
      <c r="AC195" s="27"/>
      <c r="AD195" s="27"/>
      <c r="AE195" s="27"/>
      <c r="AF195" s="27"/>
      <c r="AG195" s="27"/>
      <c r="AH195" s="27"/>
      <c r="AI195" s="27"/>
      <c r="AJ195" s="27"/>
      <c r="AK195" s="27"/>
      <c r="AL195" s="27"/>
      <c r="AM195" s="27"/>
      <c r="AN195" s="27"/>
      <c r="AO195" s="27"/>
      <c r="AP195" s="27"/>
      <c r="AQ195" s="27"/>
      <c r="AR195" s="27"/>
      <c r="AS195" s="27"/>
      <c r="AT195" s="27"/>
      <c r="AU195" s="27"/>
      <c r="AV195" s="27"/>
      <c r="AW195" s="27"/>
      <c r="AX195" s="27"/>
      <c r="AY195" s="27"/>
      <c r="AZ195" s="27"/>
      <c r="BA195" s="27"/>
      <c r="BB195" s="27"/>
      <c r="BC195" s="27"/>
      <c r="BD195" s="27"/>
      <c r="BE195" s="27"/>
      <c r="BF195" s="27"/>
      <c r="BG195" s="27"/>
      <c r="BH195" s="27"/>
      <c r="BI195" s="27"/>
      <c r="BJ195" s="27"/>
      <c r="BK195" s="27"/>
      <c r="BL195" s="27"/>
      <c r="BM195" s="27"/>
      <c r="BN195" s="27"/>
      <c r="BO195" s="27"/>
      <c r="BP195" s="27"/>
      <c r="BQ195" s="27"/>
      <c r="BR195" s="27"/>
      <c r="BS195" s="27"/>
      <c r="BT195" s="27"/>
      <c r="BU195" s="27"/>
      <c r="BV195" s="27"/>
      <c r="BW195" s="27"/>
      <c r="BX195" s="27"/>
      <c r="BY195" s="27"/>
      <c r="BZ195" s="27"/>
      <c r="CA195" s="27"/>
      <c r="CB195" s="27"/>
      <c r="CC195" s="27"/>
      <c r="CD195" s="27"/>
      <c r="CE195" s="27"/>
      <c r="CF195" s="27"/>
      <c r="CG195" s="27"/>
      <c r="CH195" s="27"/>
      <c r="CI195" s="27"/>
      <c r="CJ195" s="27"/>
      <c r="CK195" s="27"/>
      <c r="CL195" s="27"/>
      <c r="CM195" s="27"/>
      <c r="CN195" s="27"/>
      <c r="CO195" s="27"/>
      <c r="CP195" s="27"/>
      <c r="CQ195" s="27"/>
      <c r="CR195" s="27"/>
      <c r="CS195" s="27"/>
      <c r="CT195" s="27"/>
      <c r="CU195" s="27"/>
      <c r="CV195" s="27"/>
      <c r="CW195" s="27"/>
      <c r="CX195" s="27"/>
      <c r="CY195" s="27"/>
      <c r="CZ195" s="27"/>
      <c r="DA195" s="27"/>
      <c r="DB195" s="27"/>
      <c r="DC195" s="27"/>
      <c r="DD195" s="27"/>
      <c r="DE195" s="27"/>
      <c r="DF195" s="27"/>
      <c r="DG195" s="27"/>
      <c r="DH195" s="27"/>
      <c r="DI195" s="27"/>
      <c r="DJ195" s="27"/>
      <c r="DK195" s="27"/>
      <c r="DL195" s="27"/>
      <c r="DM195" s="27"/>
      <c r="DN195" s="27"/>
      <c r="DO195" s="27"/>
      <c r="DP195" s="27"/>
      <c r="DQ195" s="27"/>
      <c r="DR195" s="27"/>
      <c r="DS195" s="27"/>
      <c r="DT195" s="27"/>
    </row>
    <row r="196" spans="2:124" x14ac:dyDescent="0.2">
      <c r="B196" s="27" t="e">
        <f>#REF!</f>
        <v>#REF!</v>
      </c>
      <c r="C196" s="27" t="s">
        <v>546</v>
      </c>
      <c r="D196" s="27" t="str">
        <f>F155&amp;"   :   מספר חודשים"</f>
        <v>0   :   מספר חודשים</v>
      </c>
      <c r="E196" s="27"/>
      <c r="F196" s="27"/>
      <c r="G196" s="27"/>
      <c r="H196" s="27"/>
      <c r="I196" s="27"/>
      <c r="J196" s="27"/>
      <c r="K196" s="27"/>
      <c r="L196" s="27"/>
      <c r="M196" s="27"/>
      <c r="N196" s="27"/>
      <c r="O196" s="27"/>
      <c r="P196" s="27"/>
      <c r="Q196" s="27"/>
      <c r="R196" s="27"/>
      <c r="S196" s="27"/>
      <c r="T196" s="27"/>
      <c r="U196" s="27"/>
      <c r="V196" s="27"/>
      <c r="W196" s="27"/>
      <c r="X196" s="27"/>
      <c r="Y196" s="27"/>
      <c r="Z196" s="27"/>
      <c r="AA196" s="27"/>
      <c r="AB196" s="27"/>
      <c r="AC196" s="27"/>
      <c r="AD196" s="27"/>
      <c r="AE196" s="27"/>
      <c r="AF196" s="27"/>
      <c r="AG196" s="27"/>
      <c r="AH196" s="27"/>
      <c r="AI196" s="27"/>
      <c r="AJ196" s="27"/>
      <c r="AK196" s="27"/>
      <c r="AL196" s="27"/>
      <c r="AM196" s="27"/>
      <c r="AN196" s="27"/>
      <c r="AO196" s="27"/>
      <c r="AP196" s="27"/>
      <c r="AQ196" s="27"/>
      <c r="AR196" s="27"/>
      <c r="AS196" s="27"/>
      <c r="AT196" s="27"/>
      <c r="AU196" s="27"/>
      <c r="AV196" s="27"/>
      <c r="AW196" s="27"/>
      <c r="AX196" s="27"/>
      <c r="AY196" s="27"/>
      <c r="AZ196" s="27"/>
      <c r="BA196" s="27"/>
      <c r="BB196" s="27"/>
      <c r="BC196" s="27"/>
      <c r="BD196" s="27"/>
      <c r="BE196" s="27"/>
      <c r="BF196" s="27"/>
      <c r="BG196" s="27"/>
      <c r="BH196" s="27"/>
      <c r="BI196" s="27"/>
      <c r="BJ196" s="27"/>
      <c r="BK196" s="27"/>
      <c r="BL196" s="27"/>
      <c r="BM196" s="27"/>
      <c r="BN196" s="27"/>
      <c r="BO196" s="27"/>
      <c r="BP196" s="27"/>
      <c r="BQ196" s="27"/>
      <c r="BR196" s="27"/>
      <c r="BS196" s="27"/>
      <c r="BT196" s="27"/>
      <c r="BU196" s="27"/>
      <c r="BV196" s="27"/>
      <c r="BW196" s="27"/>
      <c r="BX196" s="27"/>
      <c r="BY196" s="27"/>
      <c r="BZ196" s="27"/>
      <c r="CA196" s="27"/>
      <c r="CB196" s="27"/>
      <c r="CC196" s="27"/>
      <c r="CD196" s="27"/>
      <c r="CE196" s="27"/>
      <c r="CF196" s="27"/>
      <c r="CG196" s="27"/>
      <c r="CH196" s="27"/>
      <c r="CI196" s="27"/>
      <c r="CJ196" s="27"/>
      <c r="CK196" s="27"/>
      <c r="CL196" s="27"/>
      <c r="CM196" s="27"/>
      <c r="CN196" s="27"/>
      <c r="CO196" s="27"/>
      <c r="CP196" s="27"/>
      <c r="CQ196" s="27"/>
      <c r="CR196" s="27"/>
      <c r="CS196" s="27"/>
      <c r="CT196" s="27"/>
      <c r="CU196" s="27"/>
      <c r="CV196" s="27"/>
      <c r="CW196" s="27"/>
      <c r="CX196" s="27"/>
      <c r="CY196" s="27"/>
      <c r="CZ196" s="27"/>
      <c r="DA196" s="27"/>
      <c r="DB196" s="27"/>
      <c r="DC196" s="27"/>
      <c r="DD196" s="27"/>
      <c r="DE196" s="27"/>
      <c r="DF196" s="27"/>
      <c r="DG196" s="27"/>
      <c r="DH196" s="27"/>
      <c r="DI196" s="27"/>
      <c r="DJ196" s="27"/>
      <c r="DK196" s="27"/>
      <c r="DL196" s="27"/>
      <c r="DM196" s="27"/>
      <c r="DN196" s="27"/>
      <c r="DO196" s="27"/>
      <c r="DP196" s="27"/>
      <c r="DQ196" s="27"/>
      <c r="DR196" s="27"/>
      <c r="DS196" s="27"/>
      <c r="DT196" s="27"/>
    </row>
    <row r="197" spans="2:124" x14ac:dyDescent="0.2">
      <c r="B197" s="27" t="e">
        <f>#REF!</f>
        <v>#REF!</v>
      </c>
      <c r="C197" s="27" t="s">
        <v>547</v>
      </c>
      <c r="D197" s="27" t="e">
        <f>IF(#REF!=0,#REF!,INT(#REF!)&amp;" : ימי מחלה  לפדיון")</f>
        <v>#REF!</v>
      </c>
      <c r="E197" s="27"/>
      <c r="F197" s="27"/>
      <c r="G197" s="27"/>
      <c r="H197" s="27"/>
      <c r="I197" s="27"/>
      <c r="J197" s="27"/>
      <c r="K197" s="27"/>
      <c r="L197" s="27"/>
      <c r="M197" s="27"/>
      <c r="N197" s="27"/>
      <c r="O197" s="27"/>
      <c r="P197" s="27"/>
      <c r="Q197" s="27"/>
      <c r="R197" s="27"/>
      <c r="S197" s="27"/>
      <c r="T197" s="27"/>
      <c r="U197" s="27"/>
      <c r="V197" s="27"/>
      <c r="W197" s="27"/>
      <c r="X197" s="27"/>
      <c r="Y197" s="27"/>
      <c r="Z197" s="27"/>
      <c r="AA197" s="27"/>
      <c r="AB197" s="27"/>
      <c r="AC197" s="27"/>
      <c r="AD197" s="27"/>
      <c r="AE197" s="27"/>
      <c r="AF197" s="27"/>
      <c r="AG197" s="27"/>
      <c r="AH197" s="27"/>
      <c r="AI197" s="27"/>
      <c r="AJ197" s="27"/>
      <c r="AK197" s="27"/>
      <c r="AL197" s="27"/>
      <c r="AM197" s="27"/>
      <c r="AN197" s="27"/>
      <c r="AO197" s="27"/>
      <c r="AP197" s="27"/>
      <c r="AQ197" s="27"/>
      <c r="AR197" s="27"/>
      <c r="AS197" s="27"/>
      <c r="AT197" s="27"/>
      <c r="AU197" s="27"/>
      <c r="AV197" s="27"/>
      <c r="AW197" s="27"/>
      <c r="AX197" s="27"/>
      <c r="AY197" s="27"/>
      <c r="AZ197" s="27"/>
      <c r="BA197" s="27"/>
      <c r="BB197" s="27"/>
      <c r="BC197" s="27"/>
      <c r="BD197" s="27"/>
      <c r="BE197" s="27"/>
      <c r="BF197" s="27"/>
      <c r="BG197" s="27"/>
      <c r="BH197" s="27"/>
      <c r="BI197" s="27"/>
      <c r="BJ197" s="27"/>
      <c r="BK197" s="27"/>
      <c r="BL197" s="27"/>
      <c r="BM197" s="27"/>
      <c r="BN197" s="27"/>
      <c r="BO197" s="27"/>
      <c r="BP197" s="27"/>
      <c r="BQ197" s="27"/>
      <c r="BR197" s="27"/>
      <c r="BS197" s="27"/>
      <c r="BT197" s="27"/>
      <c r="BU197" s="27"/>
      <c r="BV197" s="27"/>
      <c r="BW197" s="27"/>
      <c r="BX197" s="27"/>
      <c r="BY197" s="27"/>
      <c r="BZ197" s="27"/>
      <c r="CA197" s="27"/>
      <c r="CB197" s="27"/>
      <c r="CC197" s="27"/>
      <c r="CD197" s="27"/>
      <c r="CE197" s="27"/>
      <c r="CF197" s="27"/>
      <c r="CG197" s="27"/>
      <c r="CH197" s="27"/>
      <c r="CI197" s="27"/>
      <c r="CJ197" s="27"/>
      <c r="CK197" s="27"/>
      <c r="CL197" s="27"/>
      <c r="CM197" s="27"/>
      <c r="CN197" s="27"/>
      <c r="CO197" s="27"/>
      <c r="CP197" s="27"/>
      <c r="CQ197" s="27"/>
      <c r="CR197" s="27"/>
      <c r="CS197" s="27"/>
      <c r="CT197" s="27"/>
      <c r="CU197" s="27"/>
      <c r="CV197" s="27"/>
      <c r="CW197" s="27"/>
      <c r="CX197" s="27"/>
      <c r="CY197" s="27"/>
      <c r="CZ197" s="27"/>
      <c r="DA197" s="27"/>
      <c r="DB197" s="27"/>
      <c r="DC197" s="27"/>
      <c r="DD197" s="27"/>
      <c r="DE197" s="27"/>
      <c r="DF197" s="27"/>
      <c r="DG197" s="27"/>
      <c r="DH197" s="27"/>
      <c r="DI197" s="27"/>
      <c r="DJ197" s="27"/>
      <c r="DK197" s="27"/>
      <c r="DL197" s="27"/>
      <c r="DM197" s="27"/>
      <c r="DN197" s="27"/>
      <c r="DO197" s="27"/>
      <c r="DP197" s="27"/>
      <c r="DQ197" s="27"/>
      <c r="DR197" s="27"/>
      <c r="DS197" s="27"/>
      <c r="DT197" s="27"/>
    </row>
    <row r="198" spans="2:124" x14ac:dyDescent="0.2">
      <c r="B198" s="27" t="e">
        <f>#REF!</f>
        <v>#REF!</v>
      </c>
      <c r="C198" s="27" t="s">
        <v>548</v>
      </c>
      <c r="D198" s="27" t="e">
        <f>IF(#REF!=0,#REF!,TRUNC(#REF!,2)&amp; "  :מספר משכורות")</f>
        <v>#REF!</v>
      </c>
      <c r="E198" s="27"/>
      <c r="F198" s="27" t="s">
        <v>59</v>
      </c>
      <c r="G198" s="27"/>
      <c r="H198" s="27"/>
      <c r="I198" s="27"/>
      <c r="J198" s="27"/>
      <c r="K198" s="27"/>
      <c r="L198" s="27"/>
      <c r="M198" s="27"/>
      <c r="N198" s="27"/>
      <c r="O198" s="27"/>
      <c r="P198" s="27"/>
      <c r="Q198" s="27"/>
      <c r="R198" s="27"/>
      <c r="S198" s="27"/>
      <c r="T198" s="27"/>
      <c r="U198" s="27"/>
      <c r="V198" s="27"/>
      <c r="W198" s="27"/>
      <c r="X198" s="27"/>
      <c r="Y198" s="27"/>
      <c r="Z198" s="27"/>
      <c r="AA198" s="27"/>
      <c r="AB198" s="27"/>
      <c r="AC198" s="27"/>
      <c r="AD198" s="27"/>
      <c r="AE198" s="27"/>
      <c r="AF198" s="27"/>
      <c r="AG198" s="27"/>
      <c r="AH198" s="27"/>
      <c r="AI198" s="27"/>
      <c r="AJ198" s="27"/>
      <c r="AK198" s="27"/>
      <c r="AL198" s="27"/>
      <c r="AM198" s="27"/>
      <c r="AN198" s="27"/>
      <c r="AO198" s="27"/>
      <c r="AP198" s="27"/>
      <c r="AQ198" s="27"/>
      <c r="AR198" s="27"/>
      <c r="AS198" s="27"/>
      <c r="AT198" s="27"/>
      <c r="AU198" s="27"/>
      <c r="AV198" s="27"/>
      <c r="AW198" s="27"/>
      <c r="AX198" s="27"/>
      <c r="AY198" s="27"/>
      <c r="AZ198" s="27"/>
      <c r="BA198" s="27"/>
      <c r="BB198" s="27"/>
      <c r="BC198" s="27"/>
      <c r="BD198" s="27"/>
      <c r="BE198" s="27"/>
      <c r="BF198" s="27"/>
      <c r="BG198" s="27"/>
      <c r="BH198" s="27"/>
      <c r="BI198" s="27"/>
      <c r="BJ198" s="27"/>
      <c r="BK198" s="27"/>
      <c r="BL198" s="27"/>
      <c r="BM198" s="27"/>
      <c r="BN198" s="27"/>
      <c r="BO198" s="27"/>
      <c r="BP198" s="27"/>
      <c r="BQ198" s="27"/>
      <c r="BR198" s="27"/>
      <c r="BS198" s="27"/>
      <c r="BT198" s="27"/>
      <c r="BU198" s="27"/>
      <c r="BV198" s="27"/>
      <c r="BW198" s="27"/>
      <c r="BX198" s="27"/>
      <c r="BY198" s="27"/>
      <c r="BZ198" s="27"/>
      <c r="CA198" s="27"/>
      <c r="CB198" s="27"/>
      <c r="CC198" s="27"/>
      <c r="CD198" s="27"/>
      <c r="CE198" s="27"/>
      <c r="CF198" s="27"/>
      <c r="CG198" s="27"/>
      <c r="CH198" s="27"/>
      <c r="CI198" s="27"/>
      <c r="CJ198" s="27"/>
      <c r="CK198" s="27"/>
      <c r="CL198" s="27"/>
      <c r="CM198" s="27"/>
      <c r="CN198" s="27"/>
      <c r="CO198" s="27"/>
      <c r="CP198" s="27"/>
      <c r="CQ198" s="27"/>
      <c r="CR198" s="27"/>
      <c r="CS198" s="27"/>
      <c r="CT198" s="27"/>
      <c r="CU198" s="27"/>
      <c r="CV198" s="27"/>
      <c r="CW198" s="27"/>
      <c r="CX198" s="27"/>
      <c r="CY198" s="27"/>
      <c r="CZ198" s="27"/>
      <c r="DA198" s="27"/>
      <c r="DB198" s="27"/>
      <c r="DC198" s="27"/>
      <c r="DD198" s="27"/>
      <c r="DE198" s="27"/>
      <c r="DF198" s="27"/>
      <c r="DG198" s="27"/>
      <c r="DH198" s="27"/>
      <c r="DI198" s="27"/>
      <c r="DJ198" s="27"/>
      <c r="DK198" s="27"/>
      <c r="DL198" s="27"/>
      <c r="DM198" s="27"/>
      <c r="DN198" s="27"/>
      <c r="DO198" s="27"/>
      <c r="DP198" s="27"/>
      <c r="DQ198" s="27"/>
      <c r="DR198" s="27"/>
      <c r="DS198" s="27"/>
      <c r="DT198" s="27"/>
    </row>
    <row r="199" spans="2:124" x14ac:dyDescent="0.2">
      <c r="B199" s="27" t="e">
        <f>SUM(B194:B198)</f>
        <v>#REF!</v>
      </c>
      <c r="C199" s="27" t="s">
        <v>549</v>
      </c>
      <c r="D199" s="27" t="s">
        <v>550</v>
      </c>
      <c r="E199" s="27"/>
      <c r="F199" s="27"/>
      <c r="G199" s="27"/>
      <c r="H199" s="27"/>
      <c r="I199" s="27"/>
      <c r="J199" s="27"/>
      <c r="K199" s="27"/>
      <c r="L199" s="27"/>
      <c r="M199" s="27"/>
      <c r="N199" s="27"/>
      <c r="O199" s="27"/>
      <c r="P199" s="27"/>
      <c r="Q199" s="27"/>
      <c r="R199" s="27"/>
      <c r="S199" s="27"/>
      <c r="T199" s="27"/>
      <c r="U199" s="27"/>
      <c r="V199" s="27"/>
      <c r="W199" s="27"/>
      <c r="X199" s="27"/>
      <c r="Y199" s="27"/>
      <c r="Z199" s="27"/>
      <c r="AA199" s="27"/>
      <c r="AB199" s="27"/>
      <c r="AC199" s="27"/>
      <c r="AD199" s="27"/>
      <c r="AE199" s="27"/>
      <c r="AF199" s="27"/>
      <c r="AG199" s="27"/>
      <c r="AH199" s="27"/>
      <c r="AI199" s="27"/>
      <c r="AJ199" s="27"/>
      <c r="AK199" s="27"/>
      <c r="AL199" s="27"/>
      <c r="AM199" s="27"/>
      <c r="AN199" s="27"/>
      <c r="AO199" s="27"/>
      <c r="AP199" s="27"/>
      <c r="AQ199" s="27"/>
      <c r="AR199" s="27"/>
      <c r="AS199" s="27"/>
      <c r="AT199" s="27"/>
      <c r="AU199" s="27"/>
      <c r="AV199" s="27"/>
      <c r="AW199" s="27"/>
      <c r="AX199" s="27"/>
      <c r="AY199" s="27"/>
      <c r="AZ199" s="27"/>
      <c r="BA199" s="27"/>
      <c r="BB199" s="27"/>
      <c r="BC199" s="27"/>
      <c r="BD199" s="27"/>
      <c r="BE199" s="27"/>
      <c r="BF199" s="27"/>
      <c r="BG199" s="27"/>
      <c r="BH199" s="27"/>
      <c r="BI199" s="27"/>
      <c r="BJ199" s="27"/>
      <c r="BK199" s="27"/>
      <c r="BL199" s="27"/>
      <c r="BM199" s="27"/>
      <c r="BN199" s="27"/>
      <c r="BO199" s="27"/>
      <c r="BP199" s="27"/>
      <c r="BQ199" s="27"/>
      <c r="BR199" s="27"/>
      <c r="BS199" s="27"/>
      <c r="BT199" s="27"/>
      <c r="BU199" s="27"/>
      <c r="BV199" s="27"/>
      <c r="BW199" s="27"/>
      <c r="BX199" s="27"/>
      <c r="BY199" s="27"/>
      <c r="BZ199" s="27"/>
      <c r="CA199" s="27"/>
      <c r="CB199" s="27"/>
      <c r="CC199" s="27"/>
      <c r="CD199" s="27"/>
      <c r="CE199" s="27"/>
      <c r="CF199" s="27"/>
      <c r="CG199" s="27"/>
      <c r="CH199" s="27"/>
      <c r="CI199" s="27"/>
      <c r="CJ199" s="27"/>
      <c r="CK199" s="27"/>
      <c r="CL199" s="27"/>
      <c r="CM199" s="27"/>
      <c r="CN199" s="27"/>
      <c r="CO199" s="27"/>
      <c r="CP199" s="27"/>
      <c r="CQ199" s="27"/>
      <c r="CR199" s="27"/>
      <c r="CS199" s="27"/>
      <c r="CT199" s="27"/>
      <c r="CU199" s="27"/>
      <c r="CV199" s="27"/>
      <c r="CW199" s="27"/>
      <c r="CX199" s="27"/>
      <c r="CY199" s="27"/>
      <c r="CZ199" s="27"/>
      <c r="DA199" s="27"/>
      <c r="DB199" s="27"/>
      <c r="DC199" s="27"/>
      <c r="DD199" s="27"/>
      <c r="DE199" s="27"/>
      <c r="DF199" s="27"/>
      <c r="DG199" s="27"/>
      <c r="DH199" s="27"/>
      <c r="DI199" s="27"/>
      <c r="DJ199" s="27"/>
      <c r="DK199" s="27"/>
      <c r="DL199" s="27"/>
      <c r="DM199" s="27"/>
      <c r="DN199" s="27"/>
      <c r="DO199" s="27"/>
      <c r="DP199" s="27"/>
      <c r="DQ199" s="27"/>
      <c r="DR199" s="27"/>
      <c r="DS199" s="27"/>
      <c r="DT199" s="27"/>
    </row>
    <row r="200" spans="2:124" x14ac:dyDescent="0.2">
      <c r="B200" s="27"/>
      <c r="C200" s="27" t="s">
        <v>551</v>
      </c>
      <c r="D200" s="27"/>
      <c r="E200" s="27"/>
      <c r="F200" s="27"/>
      <c r="G200" s="27"/>
      <c r="H200" s="27"/>
      <c r="I200" s="27"/>
      <c r="J200" s="27"/>
      <c r="K200" s="27"/>
      <c r="L200" s="27"/>
      <c r="M200" s="27"/>
      <c r="N200" s="27"/>
      <c r="O200" s="27"/>
      <c r="P200" s="27"/>
      <c r="Q200" s="27"/>
      <c r="R200" s="27"/>
      <c r="S200" s="27"/>
      <c r="T200" s="27"/>
      <c r="U200" s="27"/>
      <c r="V200" s="27"/>
      <c r="W200" s="27"/>
      <c r="X200" s="27"/>
      <c r="Y200" s="27"/>
      <c r="Z200" s="27"/>
      <c r="AA200" s="27"/>
      <c r="AB200" s="27"/>
      <c r="AC200" s="27"/>
      <c r="AD200" s="27"/>
      <c r="AE200" s="27"/>
      <c r="AF200" s="27"/>
      <c r="AG200" s="27"/>
      <c r="AH200" s="27"/>
      <c r="AI200" s="27"/>
      <c r="AJ200" s="27"/>
      <c r="AK200" s="27"/>
      <c r="AL200" s="27"/>
      <c r="AM200" s="27"/>
      <c r="AN200" s="27"/>
      <c r="AO200" s="27"/>
      <c r="AP200" s="27"/>
      <c r="AQ200" s="27"/>
      <c r="AR200" s="27"/>
      <c r="AS200" s="27"/>
      <c r="AT200" s="27"/>
      <c r="AU200" s="27"/>
      <c r="AV200" s="27"/>
      <c r="AW200" s="27"/>
      <c r="AX200" s="27"/>
      <c r="AY200" s="27"/>
      <c r="AZ200" s="27"/>
      <c r="BA200" s="27"/>
      <c r="BB200" s="27"/>
      <c r="BC200" s="27"/>
      <c r="BD200" s="27"/>
      <c r="BE200" s="27"/>
      <c r="BF200" s="27"/>
      <c r="BG200" s="27"/>
      <c r="BH200" s="27"/>
      <c r="BI200" s="27"/>
      <c r="BJ200" s="27"/>
      <c r="BK200" s="27"/>
      <c r="BL200" s="27"/>
      <c r="BM200" s="27"/>
      <c r="BN200" s="27"/>
      <c r="BO200" s="27"/>
      <c r="BP200" s="27"/>
      <c r="BQ200" s="27"/>
      <c r="BR200" s="27"/>
      <c r="BS200" s="27"/>
      <c r="BT200" s="27"/>
      <c r="BU200" s="27"/>
      <c r="BV200" s="27"/>
      <c r="BW200" s="27"/>
      <c r="BX200" s="27"/>
      <c r="BY200" s="27"/>
      <c r="BZ200" s="27"/>
      <c r="CA200" s="27"/>
      <c r="CB200" s="27"/>
      <c r="CC200" s="27"/>
      <c r="CD200" s="27"/>
      <c r="CE200" s="27"/>
      <c r="CF200" s="27"/>
      <c r="CG200" s="27"/>
      <c r="CH200" s="27"/>
      <c r="CI200" s="27"/>
      <c r="CJ200" s="27"/>
      <c r="CK200" s="27"/>
      <c r="CL200" s="27"/>
      <c r="CM200" s="27"/>
      <c r="CN200" s="27"/>
      <c r="CO200" s="27"/>
      <c r="CP200" s="27"/>
      <c r="CQ200" s="27"/>
      <c r="CR200" s="27"/>
      <c r="CS200" s="27"/>
      <c r="CT200" s="27"/>
      <c r="CU200" s="27"/>
      <c r="CV200" s="27"/>
      <c r="CW200" s="27"/>
      <c r="CX200" s="27"/>
      <c r="CY200" s="27"/>
      <c r="CZ200" s="27"/>
      <c r="DA200" s="27"/>
      <c r="DB200" s="27"/>
      <c r="DC200" s="27"/>
      <c r="DD200" s="27"/>
      <c r="DE200" s="27"/>
      <c r="DF200" s="27"/>
      <c r="DG200" s="27"/>
      <c r="DH200" s="27"/>
      <c r="DI200" s="27"/>
      <c r="DJ200" s="27"/>
      <c r="DK200" s="27"/>
      <c r="DL200" s="27"/>
      <c r="DM200" s="27"/>
      <c r="DN200" s="27"/>
      <c r="DO200" s="27"/>
      <c r="DP200" s="27"/>
      <c r="DQ200" s="27"/>
      <c r="DR200" s="27"/>
      <c r="DS200" s="27"/>
      <c r="DT200" s="27"/>
    </row>
    <row r="201" spans="2:124" x14ac:dyDescent="0.2">
      <c r="B201" s="27"/>
      <c r="C201" s="27" t="e">
        <f>"   החזרי מס במהלך   " &amp;#REF!&amp;" שנות פריסת המס  "</f>
        <v>#REF!</v>
      </c>
      <c r="D201" s="27"/>
      <c r="E201" s="27"/>
      <c r="F201" s="27"/>
      <c r="G201" s="27" t="e">
        <f>VLOOKUP(INT(#REF!),ofek4,INT(BG60)+2,FALSE)*(1+AG36/100)*BC27*Y16*Y2</f>
        <v>#REF!</v>
      </c>
      <c r="H201" s="27"/>
      <c r="I201" s="27"/>
      <c r="J201" s="27"/>
      <c r="K201" s="27"/>
      <c r="L201" s="27"/>
      <c r="M201" s="27"/>
      <c r="N201" s="27"/>
      <c r="O201" s="27"/>
      <c r="P201" s="27"/>
      <c r="Q201" s="27"/>
      <c r="R201" s="27"/>
      <c r="S201" s="27"/>
      <c r="T201" s="27"/>
      <c r="U201" s="27"/>
      <c r="V201" s="27"/>
      <c r="W201" s="27"/>
      <c r="X201" s="27"/>
      <c r="Y201" s="27"/>
      <c r="Z201" s="27"/>
      <c r="AA201" s="27"/>
      <c r="AB201" s="27"/>
      <c r="AC201" s="27"/>
      <c r="AD201" s="27"/>
      <c r="AE201" s="27"/>
      <c r="AF201" s="27"/>
      <c r="AG201" s="27"/>
      <c r="AH201" s="27"/>
      <c r="AI201" s="27"/>
      <c r="AJ201" s="27"/>
      <c r="AK201" s="27"/>
      <c r="AL201" s="27"/>
      <c r="AM201" s="27"/>
      <c r="AN201" s="27"/>
      <c r="AO201" s="27"/>
      <c r="AP201" s="27"/>
      <c r="AQ201" s="27"/>
      <c r="AR201" s="27"/>
      <c r="AS201" s="27"/>
      <c r="AT201" s="27"/>
      <c r="AU201" s="27"/>
      <c r="AV201" s="27"/>
      <c r="AW201" s="27"/>
      <c r="AX201" s="27"/>
      <c r="AY201" s="27"/>
      <c r="AZ201" s="27"/>
      <c r="BA201" s="27"/>
      <c r="BB201" s="27"/>
      <c r="BC201" s="27"/>
      <c r="BD201" s="27"/>
      <c r="BE201" s="27"/>
      <c r="BF201" s="27"/>
      <c r="BG201" s="27"/>
      <c r="BH201" s="27"/>
      <c r="BI201" s="27"/>
      <c r="BJ201" s="27"/>
      <c r="BK201" s="27"/>
      <c r="BL201" s="27"/>
      <c r="BM201" s="27"/>
      <c r="BN201" s="27"/>
      <c r="BO201" s="27"/>
      <c r="BP201" s="27"/>
      <c r="BQ201" s="27"/>
      <c r="BR201" s="27"/>
      <c r="BS201" s="27"/>
      <c r="BT201" s="27"/>
      <c r="BU201" s="27"/>
      <c r="BV201" s="27"/>
      <c r="BW201" s="27"/>
      <c r="BX201" s="27"/>
      <c r="BY201" s="27"/>
      <c r="BZ201" s="27"/>
      <c r="CA201" s="27"/>
      <c r="CB201" s="27"/>
      <c r="CC201" s="27"/>
      <c r="CD201" s="27"/>
      <c r="CE201" s="27"/>
      <c r="CF201" s="27"/>
      <c r="CG201" s="27"/>
      <c r="CH201" s="27"/>
      <c r="CI201" s="27"/>
      <c r="CJ201" s="27"/>
      <c r="CK201" s="27"/>
      <c r="CL201" s="27"/>
      <c r="CM201" s="27"/>
      <c r="CN201" s="27"/>
      <c r="CO201" s="27"/>
      <c r="CP201" s="27"/>
      <c r="CQ201" s="27"/>
      <c r="CR201" s="27"/>
      <c r="CS201" s="27"/>
      <c r="CT201" s="27"/>
      <c r="CU201" s="27"/>
      <c r="CV201" s="27"/>
      <c r="CW201" s="27"/>
      <c r="CX201" s="27"/>
      <c r="CY201" s="27"/>
      <c r="CZ201" s="27"/>
      <c r="DA201" s="27"/>
      <c r="DB201" s="27"/>
      <c r="DC201" s="27"/>
      <c r="DD201" s="27"/>
      <c r="DE201" s="27"/>
      <c r="DF201" s="27"/>
      <c r="DG201" s="27"/>
      <c r="DH201" s="27"/>
      <c r="DI201" s="27"/>
      <c r="DJ201" s="27"/>
      <c r="DK201" s="27"/>
      <c r="DL201" s="27"/>
      <c r="DM201" s="27"/>
      <c r="DN201" s="27"/>
      <c r="DO201" s="27"/>
      <c r="DP201" s="27"/>
      <c r="DQ201" s="27"/>
      <c r="DR201" s="27"/>
      <c r="DS201" s="27"/>
      <c r="DT201" s="27"/>
    </row>
    <row r="202" spans="2:124" x14ac:dyDescent="0.2">
      <c r="B202" s="27" t="e">
        <f>#REF!</f>
        <v>#REF!</v>
      </c>
      <c r="C202" s="27" t="s">
        <v>552</v>
      </c>
      <c r="D202" s="27" t="e">
        <f>#REF!&amp;" : ימי חופש  לפדיון"</f>
        <v>#REF!</v>
      </c>
      <c r="E202" s="27"/>
      <c r="F202" s="27"/>
      <c r="G202" s="27">
        <f>ROUND((AK25-AQ20)/365.25,2)</f>
        <v>52.87</v>
      </c>
      <c r="H202" s="27"/>
      <c r="I202" s="27"/>
      <c r="J202" s="27"/>
      <c r="K202" s="27"/>
      <c r="L202" s="27"/>
      <c r="M202" s="27"/>
      <c r="N202" s="27"/>
      <c r="O202" s="27"/>
      <c r="P202" s="27"/>
      <c r="Q202" s="27"/>
      <c r="R202" s="27"/>
      <c r="S202" s="27"/>
      <c r="T202" s="27"/>
      <c r="U202" s="27"/>
      <c r="V202" s="27"/>
      <c r="W202" s="27"/>
      <c r="X202" s="27"/>
      <c r="Y202" s="27"/>
      <c r="Z202" s="27"/>
      <c r="AA202" s="27"/>
      <c r="AB202" s="27"/>
      <c r="AC202" s="27"/>
      <c r="AD202" s="27"/>
      <c r="AE202" s="27"/>
      <c r="AF202" s="27"/>
      <c r="AG202" s="27"/>
      <c r="AH202" s="27"/>
      <c r="AI202" s="27"/>
      <c r="AJ202" s="27"/>
      <c r="AK202" s="27"/>
      <c r="AL202" s="27"/>
      <c r="AM202" s="27"/>
      <c r="AN202" s="27"/>
      <c r="AO202" s="27"/>
      <c r="AP202" s="27"/>
      <c r="AQ202" s="27"/>
      <c r="AR202" s="27"/>
      <c r="AS202" s="27"/>
      <c r="AT202" s="27"/>
      <c r="AU202" s="27"/>
      <c r="AV202" s="27"/>
      <c r="AW202" s="27"/>
      <c r="AX202" s="27"/>
      <c r="AY202" s="27"/>
      <c r="AZ202" s="27"/>
      <c r="BA202" s="27"/>
      <c r="BB202" s="27"/>
      <c r="BC202" s="27"/>
      <c r="BD202" s="27"/>
      <c r="BE202" s="27"/>
      <c r="BF202" s="27"/>
      <c r="BG202" s="27"/>
      <c r="BH202" s="27"/>
      <c r="BI202" s="27"/>
      <c r="BJ202" s="27"/>
      <c r="BK202" s="27"/>
      <c r="BL202" s="27"/>
      <c r="BM202" s="27"/>
      <c r="BN202" s="27"/>
      <c r="BO202" s="27"/>
      <c r="BP202" s="27"/>
      <c r="BQ202" s="27"/>
      <c r="BR202" s="27"/>
      <c r="BS202" s="27"/>
      <c r="BT202" s="27"/>
      <c r="BU202" s="27"/>
      <c r="BV202" s="27"/>
      <c r="BW202" s="27"/>
      <c r="BX202" s="27"/>
      <c r="BY202" s="27"/>
      <c r="BZ202" s="27"/>
      <c r="CA202" s="27"/>
      <c r="CB202" s="27"/>
      <c r="CC202" s="27"/>
      <c r="CD202" s="27"/>
      <c r="CE202" s="27"/>
      <c r="CF202" s="27"/>
      <c r="CG202" s="27"/>
      <c r="CH202" s="27"/>
      <c r="CI202" s="27"/>
      <c r="CJ202" s="27"/>
      <c r="CK202" s="27"/>
      <c r="CL202" s="27"/>
      <c r="CM202" s="27"/>
      <c r="CN202" s="27"/>
      <c r="CO202" s="27"/>
      <c r="CP202" s="27"/>
      <c r="CQ202" s="27"/>
      <c r="CR202" s="27"/>
      <c r="CS202" s="27"/>
      <c r="CT202" s="27"/>
      <c r="CU202" s="27"/>
      <c r="CV202" s="27"/>
      <c r="CW202" s="27"/>
      <c r="CX202" s="27"/>
      <c r="CY202" s="27"/>
      <c r="CZ202" s="27"/>
      <c r="DA202" s="27"/>
      <c r="DB202" s="27"/>
      <c r="DC202" s="27"/>
      <c r="DD202" s="27"/>
      <c r="DE202" s="27"/>
      <c r="DF202" s="27"/>
      <c r="DG202" s="27"/>
      <c r="DH202" s="27"/>
      <c r="DI202" s="27"/>
      <c r="DJ202" s="27"/>
      <c r="DK202" s="27"/>
      <c r="DL202" s="27"/>
      <c r="DM202" s="27"/>
      <c r="DN202" s="27"/>
      <c r="DO202" s="27"/>
      <c r="DP202" s="27"/>
      <c r="DQ202" s="27"/>
      <c r="DR202" s="27"/>
      <c r="DS202" s="27"/>
      <c r="DT202" s="27"/>
    </row>
    <row r="203" spans="2:124" x14ac:dyDescent="0.2">
      <c r="B203" s="27"/>
      <c r="C203" s="27" t="s">
        <v>553</v>
      </c>
      <c r="D203" s="27"/>
      <c r="E203" s="27"/>
      <c r="F203" s="27" t="s">
        <v>554</v>
      </c>
      <c r="G203" s="27">
        <f>AK25</f>
        <v>40574</v>
      </c>
      <c r="H203" s="27"/>
      <c r="I203" s="27"/>
      <c r="J203" s="27"/>
      <c r="K203" s="27"/>
      <c r="L203" s="27"/>
      <c r="M203" s="27"/>
      <c r="N203" s="27"/>
      <c r="O203" s="27"/>
      <c r="P203" s="27"/>
      <c r="Q203" s="27"/>
      <c r="R203" s="27"/>
      <c r="S203" s="27"/>
      <c r="T203" s="27"/>
      <c r="U203" s="27"/>
      <c r="V203" s="27"/>
      <c r="W203" s="27"/>
      <c r="X203" s="27"/>
      <c r="Y203" s="27"/>
      <c r="Z203" s="27"/>
      <c r="AA203" s="27"/>
      <c r="AB203" s="27"/>
      <c r="AC203" s="27"/>
      <c r="AD203" s="27"/>
      <c r="AE203" s="27"/>
      <c r="AF203" s="27"/>
      <c r="AG203" s="27"/>
      <c r="AH203" s="27"/>
      <c r="AI203" s="27"/>
      <c r="AJ203" s="27"/>
      <c r="AK203" s="27"/>
      <c r="AL203" s="27"/>
      <c r="AM203" s="27"/>
      <c r="AN203" s="27"/>
      <c r="AO203" s="27"/>
      <c r="AP203" s="27"/>
      <c r="AQ203" s="27"/>
      <c r="AR203" s="27"/>
      <c r="AS203" s="27"/>
      <c r="AT203" s="27"/>
      <c r="AU203" s="27"/>
      <c r="AV203" s="27"/>
      <c r="AW203" s="27"/>
      <c r="AX203" s="27"/>
      <c r="AY203" s="27"/>
      <c r="AZ203" s="27"/>
      <c r="BA203" s="27"/>
      <c r="BB203" s="27"/>
      <c r="BC203" s="27"/>
      <c r="BD203" s="27"/>
      <c r="BE203" s="27"/>
      <c r="BF203" s="27"/>
      <c r="BG203" s="27"/>
      <c r="BH203" s="27"/>
      <c r="BI203" s="27"/>
      <c r="BJ203" s="27"/>
      <c r="BK203" s="27"/>
      <c r="BL203" s="27"/>
      <c r="BM203" s="27"/>
      <c r="BN203" s="27"/>
      <c r="BO203" s="27"/>
      <c r="BP203" s="27"/>
      <c r="BQ203" s="27"/>
      <c r="BR203" s="27"/>
      <c r="BS203" s="27"/>
      <c r="BT203" s="27"/>
      <c r="BU203" s="27"/>
      <c r="BV203" s="27"/>
      <c r="BW203" s="27"/>
      <c r="BX203" s="27"/>
      <c r="BY203" s="27"/>
      <c r="BZ203" s="27"/>
      <c r="CA203" s="27"/>
      <c r="CB203" s="27"/>
      <c r="CC203" s="27"/>
      <c r="CD203" s="27"/>
      <c r="CE203" s="27"/>
      <c r="CF203" s="27"/>
      <c r="CG203" s="27"/>
      <c r="CH203" s="27"/>
      <c r="CI203" s="27"/>
      <c r="CJ203" s="27"/>
      <c r="CK203" s="27"/>
      <c r="CL203" s="27"/>
      <c r="CM203" s="27"/>
      <c r="CN203" s="27"/>
      <c r="CO203" s="27"/>
      <c r="CP203" s="27"/>
      <c r="CQ203" s="27"/>
      <c r="CR203" s="27"/>
      <c r="CS203" s="27"/>
      <c r="CT203" s="27"/>
      <c r="CU203" s="27"/>
      <c r="CV203" s="27"/>
      <c r="CW203" s="27"/>
      <c r="CX203" s="27"/>
      <c r="CY203" s="27"/>
      <c r="CZ203" s="27"/>
      <c r="DA203" s="27"/>
      <c r="DB203" s="27"/>
      <c r="DC203" s="27"/>
      <c r="DD203" s="27"/>
      <c r="DE203" s="27"/>
      <c r="DF203" s="27"/>
      <c r="DG203" s="27"/>
      <c r="DH203" s="27"/>
      <c r="DI203" s="27"/>
      <c r="DJ203" s="27"/>
      <c r="DK203" s="27"/>
      <c r="DL203" s="27"/>
      <c r="DM203" s="27"/>
      <c r="DN203" s="27"/>
      <c r="DO203" s="27"/>
      <c r="DP203" s="27"/>
      <c r="DQ203" s="27"/>
      <c r="DR203" s="27"/>
      <c r="DS203" s="27"/>
      <c r="DT203" s="27"/>
    </row>
    <row r="204" spans="2:124" x14ac:dyDescent="0.2">
      <c r="B204" s="27"/>
      <c r="C204" s="27" t="s">
        <v>555</v>
      </c>
      <c r="D204" s="27"/>
      <c r="E204" s="27"/>
      <c r="F204" s="27">
        <f>IF(F156=AN2,IF(BG60+J175&gt;9,9,IF(BG60=D162+J175,BG60,IF(INT(BG60+J175)=BG60+J175,BG60+J175,BG60+J175+0.5))),F156)</f>
        <v>6</v>
      </c>
      <c r="G204" s="27" t="str">
        <f>BG59</f>
        <v>ד"ר</v>
      </c>
      <c r="H204" s="27"/>
      <c r="I204" s="27"/>
      <c r="J204" s="27"/>
      <c r="K204" s="27"/>
      <c r="L204" s="27"/>
      <c r="M204" s="27"/>
      <c r="N204" s="27"/>
      <c r="O204" s="27"/>
      <c r="P204" s="27"/>
      <c r="Q204" s="27"/>
      <c r="R204" s="27"/>
      <c r="S204" s="27"/>
      <c r="T204" s="27"/>
      <c r="U204" s="27"/>
      <c r="V204" s="27"/>
      <c r="W204" s="27"/>
      <c r="X204" s="27"/>
      <c r="Y204" s="27"/>
      <c r="Z204" s="27"/>
      <c r="AA204" s="27"/>
      <c r="AB204" s="27"/>
      <c r="AC204" s="27"/>
      <c r="AD204" s="27"/>
      <c r="AE204" s="27"/>
      <c r="AF204" s="27"/>
      <c r="AG204" s="27"/>
      <c r="AH204" s="27"/>
      <c r="AI204" s="27"/>
      <c r="AJ204" s="27"/>
      <c r="AK204" s="27"/>
      <c r="AL204" s="27"/>
      <c r="AM204" s="27"/>
      <c r="AN204" s="27"/>
      <c r="AO204" s="27"/>
      <c r="AP204" s="27"/>
      <c r="AQ204" s="27"/>
      <c r="AR204" s="27"/>
      <c r="AS204" s="27"/>
      <c r="AT204" s="27"/>
      <c r="AU204" s="27"/>
      <c r="AV204" s="27"/>
      <c r="AW204" s="27"/>
      <c r="AX204" s="27"/>
      <c r="AY204" s="27"/>
      <c r="AZ204" s="27"/>
      <c r="BA204" s="27"/>
      <c r="BB204" s="27"/>
      <c r="BC204" s="27"/>
      <c r="BD204" s="27"/>
      <c r="BE204" s="27"/>
      <c r="BF204" s="27"/>
      <c r="BG204" s="27"/>
      <c r="BH204" s="27"/>
      <c r="BI204" s="27"/>
      <c r="BJ204" s="27"/>
      <c r="BK204" s="27"/>
      <c r="BL204" s="27"/>
      <c r="BM204" s="27"/>
      <c r="BN204" s="27"/>
      <c r="BO204" s="27"/>
      <c r="BP204" s="27"/>
      <c r="BQ204" s="27"/>
      <c r="BR204" s="27"/>
      <c r="BS204" s="27"/>
      <c r="BT204" s="27"/>
      <c r="BU204" s="27"/>
      <c r="BV204" s="27"/>
      <c r="BW204" s="27"/>
      <c r="BX204" s="27"/>
      <c r="BY204" s="27"/>
      <c r="BZ204" s="27"/>
      <c r="CA204" s="27"/>
      <c r="CB204" s="27"/>
      <c r="CC204" s="27"/>
      <c r="CD204" s="27"/>
      <c r="CE204" s="27"/>
      <c r="CF204" s="27"/>
      <c r="CG204" s="27"/>
      <c r="CH204" s="27"/>
      <c r="CI204" s="27"/>
      <c r="CJ204" s="27"/>
      <c r="CK204" s="27"/>
      <c r="CL204" s="27"/>
      <c r="CM204" s="27"/>
      <c r="CN204" s="27"/>
      <c r="CO204" s="27"/>
      <c r="CP204" s="27"/>
      <c r="CQ204" s="27"/>
      <c r="CR204" s="27"/>
      <c r="CS204" s="27"/>
      <c r="CT204" s="27"/>
      <c r="CU204" s="27"/>
      <c r="CV204" s="27"/>
      <c r="CW204" s="27"/>
      <c r="CX204" s="27"/>
      <c r="CY204" s="27"/>
      <c r="CZ204" s="27"/>
      <c r="DA204" s="27"/>
      <c r="DB204" s="27"/>
      <c r="DC204" s="27"/>
      <c r="DD204" s="27"/>
      <c r="DE204" s="27"/>
      <c r="DF204" s="27"/>
      <c r="DG204" s="27"/>
      <c r="DH204" s="27"/>
      <c r="DI204" s="27"/>
      <c r="DJ204" s="27"/>
      <c r="DK204" s="27"/>
      <c r="DL204" s="27"/>
      <c r="DM204" s="27"/>
      <c r="DN204" s="27"/>
      <c r="DO204" s="27"/>
      <c r="DP204" s="27"/>
      <c r="DQ204" s="27"/>
      <c r="DR204" s="27"/>
      <c r="DS204" s="27"/>
      <c r="DT204" s="27"/>
    </row>
    <row r="205" spans="2:124" x14ac:dyDescent="0.2">
      <c r="B205" s="27" t="s">
        <v>556</v>
      </c>
      <c r="C205" s="27"/>
      <c r="D205" s="27"/>
      <c r="E205" s="27"/>
      <c r="F205" s="27" t="e">
        <f>VLOOKUP(INT(#REF!),ofek4,F204+2,FALSE)*((1+AJ28/100)^(AG36+AI36))*BC27*Y16*Y2</f>
        <v>#REF!</v>
      </c>
      <c r="G205" s="27"/>
      <c r="H205" s="27"/>
      <c r="I205" s="27"/>
      <c r="J205" s="27"/>
      <c r="K205" s="27"/>
      <c r="L205" s="27" t="str">
        <f t="shared" ref="L205:L223" si="15">M80</f>
        <v xml:space="preserve">                  תוצאה  מטבלת ההמרה</v>
      </c>
      <c r="M205" s="27"/>
      <c r="N205" s="27"/>
      <c r="O205" s="27"/>
      <c r="P205" s="27"/>
      <c r="Q205" s="27"/>
      <c r="R205" s="27"/>
      <c r="S205" s="27"/>
      <c r="T205" s="27"/>
      <c r="U205" s="27"/>
      <c r="V205" s="27"/>
      <c r="W205" s="27"/>
      <c r="X205" s="27"/>
      <c r="Y205" s="27"/>
      <c r="Z205" s="27"/>
      <c r="AA205" s="27"/>
      <c r="AB205" s="27"/>
      <c r="AC205" s="27"/>
      <c r="AD205" s="27"/>
      <c r="AE205" s="27"/>
      <c r="AF205" s="27"/>
      <c r="AG205" s="27"/>
      <c r="AH205" s="27"/>
      <c r="AI205" s="27"/>
      <c r="AJ205" s="27"/>
      <c r="AK205" s="27"/>
      <c r="AL205" s="27"/>
      <c r="AM205" s="27"/>
      <c r="AN205" s="27"/>
      <c r="AO205" s="27"/>
      <c r="AP205" s="27"/>
      <c r="AQ205" s="27"/>
      <c r="AR205" s="27"/>
      <c r="AS205" s="27"/>
      <c r="AT205" s="27"/>
      <c r="AU205" s="27"/>
      <c r="AV205" s="27"/>
      <c r="AW205" s="27"/>
      <c r="AX205" s="27"/>
      <c r="AY205" s="27"/>
      <c r="AZ205" s="27"/>
      <c r="BA205" s="27"/>
      <c r="BB205" s="27"/>
      <c r="BC205" s="27"/>
      <c r="BD205" s="27"/>
      <c r="BE205" s="27"/>
      <c r="BF205" s="27"/>
      <c r="BG205" s="27"/>
      <c r="BH205" s="27"/>
      <c r="BI205" s="27"/>
      <c r="BJ205" s="27"/>
      <c r="BK205" s="27"/>
      <c r="BL205" s="27"/>
      <c r="BM205" s="27"/>
      <c r="BN205" s="27"/>
      <c r="BO205" s="27"/>
      <c r="BP205" s="27"/>
      <c r="BQ205" s="27"/>
      <c r="BR205" s="27"/>
      <c r="BS205" s="27"/>
      <c r="BT205" s="27"/>
      <c r="BU205" s="27"/>
      <c r="BV205" s="27"/>
      <c r="BW205" s="27"/>
      <c r="BX205" s="27"/>
      <c r="BY205" s="27"/>
      <c r="BZ205" s="27"/>
      <c r="CA205" s="27"/>
      <c r="CB205" s="27"/>
      <c r="CC205" s="27"/>
      <c r="CD205" s="27"/>
      <c r="CE205" s="27"/>
      <c r="CF205" s="27"/>
      <c r="CG205" s="27"/>
      <c r="CH205" s="27"/>
      <c r="CI205" s="27"/>
      <c r="CJ205" s="27"/>
      <c r="CK205" s="27"/>
      <c r="CL205" s="27"/>
      <c r="CM205" s="27"/>
      <c r="CN205" s="27"/>
      <c r="CO205" s="27"/>
      <c r="CP205" s="27"/>
      <c r="CQ205" s="27"/>
      <c r="CR205" s="27"/>
      <c r="CS205" s="27"/>
      <c r="CT205" s="27"/>
      <c r="CU205" s="27"/>
      <c r="CV205" s="27"/>
      <c r="CW205" s="27"/>
      <c r="CX205" s="27"/>
      <c r="CY205" s="27"/>
      <c r="CZ205" s="27"/>
      <c r="DA205" s="27"/>
      <c r="DB205" s="27"/>
      <c r="DC205" s="27"/>
      <c r="DD205" s="27"/>
      <c r="DE205" s="27"/>
      <c r="DF205" s="27"/>
      <c r="DG205" s="27"/>
      <c r="DH205" s="27"/>
      <c r="DI205" s="27"/>
      <c r="DJ205" s="27"/>
      <c r="DK205" s="27"/>
      <c r="DL205" s="27"/>
      <c r="DM205" s="27"/>
      <c r="DN205" s="27"/>
      <c r="DO205" s="27"/>
      <c r="DP205" s="27"/>
      <c r="DQ205" s="27"/>
      <c r="DR205" s="27"/>
      <c r="DS205" s="27"/>
      <c r="DT205" s="27"/>
    </row>
    <row r="206" spans="2:124" x14ac:dyDescent="0.2">
      <c r="B206" s="27" t="s">
        <v>557</v>
      </c>
      <c r="C206" s="27"/>
      <c r="D206" s="27"/>
      <c r="E206" s="27"/>
      <c r="F206" s="27">
        <v>0</v>
      </c>
      <c r="G206" s="27"/>
      <c r="H206" s="27"/>
      <c r="I206" s="27" t="s">
        <v>62</v>
      </c>
      <c r="J206" s="27" t="s">
        <v>558</v>
      </c>
      <c r="K206" s="27"/>
      <c r="L206" s="27" t="str">
        <f t="shared" si="15"/>
        <v xml:space="preserve">דרגה </v>
      </c>
      <c r="M206" s="27"/>
      <c r="N206" s="27"/>
      <c r="O206" s="27"/>
      <c r="P206" s="27"/>
      <c r="Q206" s="27"/>
      <c r="R206" s="27"/>
      <c r="S206" s="27"/>
      <c r="T206" s="27"/>
      <c r="U206" s="27"/>
      <c r="V206" s="27"/>
      <c r="W206" s="27"/>
      <c r="X206" s="27"/>
      <c r="Y206" s="27"/>
      <c r="Z206" s="27"/>
      <c r="AA206" s="27"/>
      <c r="AB206" s="27"/>
      <c r="AC206" s="27"/>
      <c r="AD206" s="27"/>
      <c r="AE206" s="27"/>
      <c r="AF206" s="27"/>
      <c r="AG206" s="27"/>
      <c r="AH206" s="27"/>
      <c r="AI206" s="27"/>
      <c r="AJ206" s="27"/>
      <c r="AK206" s="27"/>
      <c r="AL206" s="27"/>
      <c r="AM206" s="27"/>
      <c r="AN206" s="27"/>
      <c r="AO206" s="27"/>
      <c r="AP206" s="27"/>
      <c r="AQ206" s="27"/>
      <c r="AR206" s="27"/>
      <c r="AS206" s="27"/>
      <c r="AT206" s="27"/>
      <c r="AU206" s="27"/>
      <c r="AV206" s="27"/>
      <c r="AW206" s="27"/>
      <c r="AX206" s="27"/>
      <c r="AY206" s="27"/>
      <c r="AZ206" s="27"/>
      <c r="BA206" s="27"/>
      <c r="BB206" s="27"/>
      <c r="BC206" s="27"/>
      <c r="BD206" s="27"/>
      <c r="BE206" s="27"/>
      <c r="BF206" s="27"/>
      <c r="BG206" s="27"/>
      <c r="BH206" s="27"/>
      <c r="BI206" s="27"/>
      <c r="BJ206" s="27"/>
      <c r="BK206" s="27"/>
      <c r="BL206" s="27"/>
      <c r="BM206" s="27"/>
      <c r="BN206" s="27"/>
      <c r="BO206" s="27"/>
      <c r="BP206" s="27"/>
      <c r="BQ206" s="27"/>
      <c r="BR206" s="27"/>
      <c r="BS206" s="27"/>
      <c r="BT206" s="27"/>
      <c r="BU206" s="27"/>
      <c r="BV206" s="27"/>
      <c r="BW206" s="27"/>
      <c r="BX206" s="27"/>
      <c r="BY206" s="27"/>
      <c r="BZ206" s="27"/>
      <c r="CA206" s="27"/>
      <c r="CB206" s="27"/>
      <c r="CC206" s="27"/>
      <c r="CD206" s="27"/>
      <c r="CE206" s="27"/>
      <c r="CF206" s="27"/>
      <c r="CG206" s="27"/>
      <c r="CH206" s="27"/>
      <c r="CI206" s="27"/>
      <c r="CJ206" s="27"/>
      <c r="CK206" s="27"/>
      <c r="CL206" s="27"/>
      <c r="CM206" s="27"/>
      <c r="CN206" s="27"/>
      <c r="CO206" s="27"/>
      <c r="CP206" s="27"/>
      <c r="CQ206" s="27"/>
      <c r="CR206" s="27"/>
      <c r="CS206" s="27"/>
      <c r="CT206" s="27"/>
      <c r="CU206" s="27"/>
      <c r="CV206" s="27"/>
      <c r="CW206" s="27"/>
      <c r="CX206" s="27"/>
      <c r="CY206" s="27"/>
      <c r="CZ206" s="27"/>
      <c r="DA206" s="27"/>
      <c r="DB206" s="27"/>
      <c r="DC206" s="27"/>
      <c r="DD206" s="27"/>
      <c r="DE206" s="27"/>
      <c r="DF206" s="27"/>
      <c r="DG206" s="27"/>
      <c r="DH206" s="27"/>
      <c r="DI206" s="27"/>
      <c r="DJ206" s="27"/>
      <c r="DK206" s="27"/>
      <c r="DL206" s="27"/>
      <c r="DM206" s="27"/>
      <c r="DN206" s="27"/>
      <c r="DO206" s="27"/>
      <c r="DP206" s="27"/>
      <c r="DQ206" s="27"/>
      <c r="DR206" s="27"/>
      <c r="DS206" s="27"/>
      <c r="DT206" s="27"/>
    </row>
    <row r="207" spans="2:124" x14ac:dyDescent="0.2">
      <c r="B207" s="27"/>
      <c r="C207" s="27" t="s">
        <v>559</v>
      </c>
      <c r="D207" s="27"/>
      <c r="E207" s="27"/>
      <c r="F207" s="27">
        <v>0</v>
      </c>
      <c r="G207" s="27"/>
      <c r="H207" s="27"/>
      <c r="I207" s="27">
        <f t="shared" ref="I207:I223" si="16">L207</f>
        <v>1</v>
      </c>
      <c r="J207" s="27" t="e">
        <f>M170*0.95</f>
        <v>#N/A</v>
      </c>
      <c r="K207" s="27"/>
      <c r="L207" s="27">
        <f t="shared" si="15"/>
        <v>1</v>
      </c>
      <c r="M207" s="27"/>
      <c r="N207" s="27"/>
      <c r="O207" s="27"/>
      <c r="P207" s="27"/>
      <c r="Q207" s="27"/>
      <c r="R207" s="27"/>
      <c r="S207" s="27"/>
      <c r="T207" s="27"/>
      <c r="U207" s="27"/>
      <c r="V207" s="27"/>
      <c r="W207" s="27"/>
      <c r="X207" s="27"/>
      <c r="Y207" s="27"/>
      <c r="Z207" s="27"/>
      <c r="AA207" s="27"/>
      <c r="AB207" s="27"/>
      <c r="AC207" s="27"/>
      <c r="AD207" s="27"/>
      <c r="AE207" s="27"/>
      <c r="AF207" s="27"/>
      <c r="AG207" s="27"/>
      <c r="AH207" s="27"/>
      <c r="AI207" s="27"/>
      <c r="AJ207" s="27"/>
      <c r="AK207" s="27"/>
      <c r="AL207" s="27"/>
      <c r="AM207" s="27"/>
      <c r="AN207" s="27"/>
      <c r="AO207" s="27"/>
      <c r="AP207" s="27"/>
      <c r="AQ207" s="27"/>
      <c r="AR207" s="27"/>
      <c r="AS207" s="27"/>
      <c r="AT207" s="27"/>
      <c r="AU207" s="27"/>
      <c r="AV207" s="27"/>
      <c r="AW207" s="27"/>
      <c r="AX207" s="27"/>
      <c r="AY207" s="27"/>
      <c r="AZ207" s="27"/>
      <c r="BA207" s="27"/>
      <c r="BB207" s="27"/>
      <c r="BC207" s="27"/>
      <c r="BD207" s="27"/>
      <c r="BE207" s="27"/>
      <c r="BF207" s="27"/>
      <c r="BG207" s="27"/>
      <c r="BH207" s="27"/>
      <c r="BI207" s="27"/>
      <c r="BJ207" s="27"/>
      <c r="BK207" s="27"/>
      <c r="BL207" s="27"/>
      <c r="BM207" s="27"/>
      <c r="BN207" s="27"/>
      <c r="BO207" s="27"/>
      <c r="BP207" s="27"/>
      <c r="BQ207" s="27"/>
      <c r="BR207" s="27"/>
      <c r="BS207" s="27"/>
      <c r="BT207" s="27"/>
      <c r="BU207" s="27"/>
      <c r="BV207" s="27"/>
      <c r="BW207" s="27"/>
      <c r="BX207" s="27"/>
      <c r="BY207" s="27"/>
      <c r="BZ207" s="27"/>
      <c r="CA207" s="27"/>
      <c r="CB207" s="27"/>
      <c r="CC207" s="27"/>
      <c r="CD207" s="27"/>
      <c r="CE207" s="27"/>
      <c r="CF207" s="27"/>
      <c r="CG207" s="27"/>
      <c r="CH207" s="27"/>
      <c r="CI207" s="27"/>
      <c r="CJ207" s="27"/>
      <c r="CK207" s="27"/>
      <c r="CL207" s="27"/>
      <c r="CM207" s="27"/>
      <c r="CN207" s="27"/>
      <c r="CO207" s="27"/>
      <c r="CP207" s="27"/>
      <c r="CQ207" s="27"/>
      <c r="CR207" s="27"/>
      <c r="CS207" s="27"/>
      <c r="CT207" s="27"/>
      <c r="CU207" s="27"/>
      <c r="CV207" s="27"/>
      <c r="CW207" s="27"/>
      <c r="CX207" s="27"/>
      <c r="CY207" s="27"/>
      <c r="CZ207" s="27"/>
      <c r="DA207" s="27"/>
      <c r="DB207" s="27"/>
      <c r="DC207" s="27"/>
      <c r="DD207" s="27"/>
      <c r="DE207" s="27"/>
      <c r="DF207" s="27"/>
      <c r="DG207" s="27"/>
      <c r="DH207" s="27"/>
      <c r="DI207" s="27"/>
      <c r="DJ207" s="27"/>
      <c r="DK207" s="27"/>
      <c r="DL207" s="27"/>
      <c r="DM207" s="27"/>
      <c r="DN207" s="27"/>
      <c r="DO207" s="27"/>
      <c r="DP207" s="27"/>
      <c r="DQ207" s="27"/>
      <c r="DR207" s="27"/>
      <c r="DS207" s="27"/>
      <c r="DT207" s="27"/>
    </row>
    <row r="208" spans="2:124" x14ac:dyDescent="0.2">
      <c r="B208" s="27" t="s">
        <v>59</v>
      </c>
      <c r="C208" s="27" t="s">
        <v>560</v>
      </c>
      <c r="D208" s="27"/>
      <c r="E208" s="27"/>
      <c r="F208" s="27">
        <v>0</v>
      </c>
      <c r="G208" s="27"/>
      <c r="H208" s="27"/>
      <c r="I208" s="27">
        <f t="shared" si="16"/>
        <v>1.5</v>
      </c>
      <c r="J208" s="27" t="e">
        <f t="shared" ref="J208:J223" si="17">M171*0.95</f>
        <v>#N/A</v>
      </c>
      <c r="K208" s="27"/>
      <c r="L208" s="27">
        <f t="shared" si="15"/>
        <v>1.5</v>
      </c>
      <c r="M208" s="27"/>
      <c r="N208" s="27"/>
      <c r="O208" s="27"/>
      <c r="P208" s="27"/>
      <c r="Q208" s="27"/>
      <c r="R208" s="27"/>
      <c r="S208" s="27"/>
      <c r="T208" s="27"/>
      <c r="U208" s="27"/>
      <c r="V208" s="27"/>
      <c r="W208" s="27"/>
      <c r="X208" s="27"/>
      <c r="Y208" s="27"/>
      <c r="Z208" s="27"/>
      <c r="AA208" s="27"/>
      <c r="AB208" s="27"/>
      <c r="AC208" s="27"/>
      <c r="AD208" s="27"/>
      <c r="AE208" s="27"/>
      <c r="AF208" s="27"/>
      <c r="AG208" s="27"/>
      <c r="AH208" s="27"/>
      <c r="AI208" s="27"/>
      <c r="AJ208" s="27"/>
      <c r="AK208" s="27"/>
      <c r="AL208" s="27"/>
      <c r="AM208" s="27"/>
      <c r="AN208" s="27"/>
      <c r="AO208" s="27"/>
      <c r="AP208" s="27"/>
      <c r="AQ208" s="27"/>
      <c r="AR208" s="27"/>
      <c r="AS208" s="27"/>
      <c r="AT208" s="27"/>
      <c r="AU208" s="27"/>
      <c r="AV208" s="27"/>
      <c r="AW208" s="27"/>
      <c r="AX208" s="27"/>
      <c r="AY208" s="27"/>
      <c r="AZ208" s="27"/>
      <c r="BA208" s="27"/>
      <c r="BB208" s="27"/>
      <c r="BC208" s="27"/>
      <c r="BD208" s="27"/>
      <c r="BE208" s="27"/>
      <c r="BF208" s="27"/>
      <c r="BG208" s="27"/>
      <c r="BH208" s="27"/>
      <c r="BI208" s="27"/>
      <c r="BJ208" s="27"/>
      <c r="BK208" s="27"/>
      <c r="BL208" s="27"/>
      <c r="BM208" s="27"/>
      <c r="BN208" s="27"/>
      <c r="BO208" s="27"/>
      <c r="BP208" s="27"/>
      <c r="BQ208" s="27"/>
      <c r="BR208" s="27"/>
      <c r="BS208" s="27"/>
      <c r="BT208" s="27"/>
      <c r="BU208" s="27"/>
      <c r="BV208" s="27"/>
      <c r="BW208" s="27"/>
      <c r="BX208" s="27"/>
      <c r="BY208" s="27"/>
      <c r="BZ208" s="27"/>
      <c r="CA208" s="27"/>
      <c r="CB208" s="27"/>
      <c r="CC208" s="27"/>
      <c r="CD208" s="27"/>
      <c r="CE208" s="27"/>
      <c r="CF208" s="27"/>
      <c r="CG208" s="27"/>
      <c r="CH208" s="27"/>
      <c r="CI208" s="27"/>
      <c r="CJ208" s="27"/>
      <c r="CK208" s="27"/>
      <c r="CL208" s="27"/>
      <c r="CM208" s="27"/>
      <c r="CN208" s="27"/>
      <c r="CO208" s="27"/>
      <c r="CP208" s="27"/>
      <c r="CQ208" s="27"/>
      <c r="CR208" s="27"/>
      <c r="CS208" s="27"/>
      <c r="CT208" s="27"/>
      <c r="CU208" s="27"/>
      <c r="CV208" s="27"/>
      <c r="CW208" s="27"/>
      <c r="CX208" s="27"/>
      <c r="CY208" s="27"/>
      <c r="CZ208" s="27"/>
      <c r="DA208" s="27"/>
      <c r="DB208" s="27"/>
      <c r="DC208" s="27"/>
      <c r="DD208" s="27"/>
      <c r="DE208" s="27"/>
      <c r="DF208" s="27"/>
      <c r="DG208" s="27"/>
      <c r="DH208" s="27"/>
      <c r="DI208" s="27"/>
      <c r="DJ208" s="27"/>
      <c r="DK208" s="27"/>
      <c r="DL208" s="27"/>
      <c r="DM208" s="27"/>
      <c r="DN208" s="27"/>
      <c r="DO208" s="27"/>
      <c r="DP208" s="27"/>
      <c r="DQ208" s="27"/>
      <c r="DR208" s="27"/>
      <c r="DS208" s="27"/>
      <c r="DT208" s="27"/>
    </row>
    <row r="209" spans="2:124" x14ac:dyDescent="0.2">
      <c r="B209" s="27"/>
      <c r="C209" s="27"/>
      <c r="D209" s="27"/>
      <c r="E209" s="27"/>
      <c r="F209" s="27">
        <v>0</v>
      </c>
      <c r="G209" s="27"/>
      <c r="H209" s="27"/>
      <c r="I209" s="27">
        <f t="shared" si="16"/>
        <v>2</v>
      </c>
      <c r="J209" s="27" t="e">
        <f t="shared" si="17"/>
        <v>#N/A</v>
      </c>
      <c r="K209" s="27"/>
      <c r="L209" s="27">
        <f t="shared" si="15"/>
        <v>2</v>
      </c>
      <c r="M209" s="27"/>
      <c r="N209" s="27"/>
      <c r="O209" s="27"/>
      <c r="P209" s="27"/>
      <c r="Q209" s="27"/>
      <c r="R209" s="27"/>
      <c r="S209" s="27"/>
      <c r="T209" s="27"/>
      <c r="U209" s="27"/>
      <c r="V209" s="27"/>
      <c r="W209" s="27"/>
      <c r="X209" s="27"/>
      <c r="Y209" s="27"/>
      <c r="Z209" s="27"/>
      <c r="AA209" s="27"/>
      <c r="AB209" s="27"/>
      <c r="AC209" s="27"/>
      <c r="AD209" s="27"/>
      <c r="AE209" s="27"/>
      <c r="AF209" s="27"/>
      <c r="AG209" s="27"/>
      <c r="AH209" s="27"/>
      <c r="AI209" s="27"/>
      <c r="AJ209" s="27"/>
      <c r="AK209" s="27"/>
      <c r="AL209" s="27"/>
      <c r="AM209" s="27"/>
      <c r="AN209" s="27"/>
      <c r="AO209" s="27"/>
      <c r="AP209" s="27"/>
      <c r="AQ209" s="27"/>
      <c r="AR209" s="27"/>
      <c r="AS209" s="27"/>
      <c r="AT209" s="27"/>
      <c r="AU209" s="27"/>
      <c r="AV209" s="27"/>
      <c r="AW209" s="27"/>
      <c r="AX209" s="27"/>
      <c r="AY209" s="27"/>
      <c r="AZ209" s="27"/>
      <c r="BA209" s="27"/>
      <c r="BB209" s="27"/>
      <c r="BC209" s="27"/>
      <c r="BD209" s="27"/>
      <c r="BE209" s="27"/>
      <c r="BF209" s="27"/>
      <c r="BG209" s="27"/>
      <c r="BH209" s="27"/>
      <c r="BI209" s="27"/>
      <c r="BJ209" s="27"/>
      <c r="BK209" s="27"/>
      <c r="BL209" s="27"/>
      <c r="BM209" s="27"/>
      <c r="BN209" s="27"/>
      <c r="BO209" s="27"/>
      <c r="BP209" s="27"/>
      <c r="BQ209" s="27"/>
      <c r="BR209" s="27"/>
      <c r="BS209" s="27"/>
      <c r="BT209" s="27"/>
      <c r="BU209" s="27"/>
      <c r="BV209" s="27"/>
      <c r="BW209" s="27"/>
      <c r="BX209" s="27"/>
      <c r="BY209" s="27"/>
      <c r="BZ209" s="27"/>
      <c r="CA209" s="27"/>
      <c r="CB209" s="27"/>
      <c r="CC209" s="27"/>
      <c r="CD209" s="27"/>
      <c r="CE209" s="27"/>
      <c r="CF209" s="27"/>
      <c r="CG209" s="27"/>
      <c r="CH209" s="27"/>
      <c r="CI209" s="27"/>
      <c r="CJ209" s="27"/>
      <c r="CK209" s="27"/>
      <c r="CL209" s="27"/>
      <c r="CM209" s="27"/>
      <c r="CN209" s="27"/>
      <c r="CO209" s="27"/>
      <c r="CP209" s="27"/>
      <c r="CQ209" s="27"/>
      <c r="CR209" s="27"/>
      <c r="CS209" s="27"/>
      <c r="CT209" s="27"/>
      <c r="CU209" s="27"/>
      <c r="CV209" s="27"/>
      <c r="CW209" s="27"/>
      <c r="CX209" s="27"/>
      <c r="CY209" s="27"/>
      <c r="CZ209" s="27"/>
      <c r="DA209" s="27"/>
      <c r="DB209" s="27"/>
      <c r="DC209" s="27"/>
      <c r="DD209" s="27"/>
      <c r="DE209" s="27"/>
      <c r="DF209" s="27"/>
      <c r="DG209" s="27"/>
      <c r="DH209" s="27"/>
      <c r="DI209" s="27"/>
      <c r="DJ209" s="27"/>
      <c r="DK209" s="27"/>
      <c r="DL209" s="27"/>
      <c r="DM209" s="27"/>
      <c r="DN209" s="27"/>
      <c r="DO209" s="27"/>
      <c r="DP209" s="27"/>
      <c r="DQ209" s="27"/>
      <c r="DR209" s="27"/>
      <c r="DS209" s="27"/>
      <c r="DT209" s="27"/>
    </row>
    <row r="210" spans="2:124" x14ac:dyDescent="0.2">
      <c r="B210" s="27"/>
      <c r="C210" s="27"/>
      <c r="D210" s="27"/>
      <c r="E210" s="27"/>
      <c r="F210" s="27">
        <f>BG73</f>
        <v>0</v>
      </c>
      <c r="G210" s="27"/>
      <c r="H210" s="27"/>
      <c r="I210" s="27">
        <f t="shared" si="16"/>
        <v>2.5</v>
      </c>
      <c r="J210" s="27" t="e">
        <f t="shared" si="17"/>
        <v>#N/A</v>
      </c>
      <c r="K210" s="27"/>
      <c r="L210" s="27">
        <f t="shared" si="15"/>
        <v>2.5</v>
      </c>
      <c r="M210" s="27"/>
      <c r="N210" s="27"/>
      <c r="O210" s="27"/>
      <c r="P210" s="27"/>
      <c r="Q210" s="27"/>
      <c r="R210" s="27"/>
      <c r="S210" s="27"/>
      <c r="T210" s="27"/>
      <c r="U210" s="27"/>
      <c r="V210" s="27"/>
      <c r="W210" s="27"/>
      <c r="X210" s="27"/>
      <c r="Y210" s="27"/>
      <c r="Z210" s="27"/>
      <c r="AA210" s="27"/>
      <c r="AB210" s="27"/>
      <c r="AC210" s="27"/>
      <c r="AD210" s="27"/>
      <c r="AE210" s="27"/>
      <c r="AF210" s="27"/>
      <c r="AG210" s="27"/>
      <c r="AH210" s="27"/>
      <c r="AI210" s="27"/>
      <c r="AJ210" s="27"/>
      <c r="AK210" s="27"/>
      <c r="AL210" s="27"/>
      <c r="AM210" s="27"/>
      <c r="AN210" s="27"/>
      <c r="AO210" s="27"/>
      <c r="AP210" s="27"/>
      <c r="AQ210" s="27"/>
      <c r="AR210" s="27"/>
      <c r="AS210" s="27"/>
      <c r="AT210" s="27"/>
      <c r="AU210" s="27"/>
      <c r="AV210" s="27"/>
      <c r="AW210" s="27"/>
      <c r="AX210" s="27"/>
      <c r="AY210" s="27"/>
      <c r="AZ210" s="27"/>
      <c r="BA210" s="27"/>
      <c r="BB210" s="27"/>
      <c r="BC210" s="27"/>
      <c r="BD210" s="27"/>
      <c r="BE210" s="27"/>
      <c r="BF210" s="27"/>
      <c r="BG210" s="27"/>
      <c r="BH210" s="27"/>
      <c r="BI210" s="27"/>
      <c r="BJ210" s="27"/>
      <c r="BK210" s="27"/>
      <c r="BL210" s="27"/>
      <c r="BM210" s="27"/>
      <c r="BN210" s="27"/>
      <c r="BO210" s="27"/>
      <c r="BP210" s="27"/>
      <c r="BQ210" s="27"/>
      <c r="BR210" s="27"/>
      <c r="BS210" s="27"/>
      <c r="BT210" s="27"/>
      <c r="BU210" s="27"/>
      <c r="BV210" s="27"/>
      <c r="BW210" s="27"/>
      <c r="BX210" s="27"/>
      <c r="BY210" s="27"/>
      <c r="BZ210" s="27"/>
      <c r="CA210" s="27"/>
      <c r="CB210" s="27"/>
      <c r="CC210" s="27"/>
      <c r="CD210" s="27"/>
      <c r="CE210" s="27"/>
      <c r="CF210" s="27"/>
      <c r="CG210" s="27"/>
      <c r="CH210" s="27"/>
      <c r="CI210" s="27"/>
      <c r="CJ210" s="27"/>
      <c r="CK210" s="27"/>
      <c r="CL210" s="27"/>
      <c r="CM210" s="27"/>
      <c r="CN210" s="27"/>
      <c r="CO210" s="27"/>
      <c r="CP210" s="27"/>
      <c r="CQ210" s="27"/>
      <c r="CR210" s="27"/>
      <c r="CS210" s="27"/>
      <c r="CT210" s="27"/>
      <c r="CU210" s="27"/>
      <c r="CV210" s="27"/>
      <c r="CW210" s="27"/>
      <c r="CX210" s="27"/>
      <c r="CY210" s="27"/>
      <c r="CZ210" s="27"/>
      <c r="DA210" s="27"/>
      <c r="DB210" s="27"/>
      <c r="DC210" s="27"/>
      <c r="DD210" s="27"/>
      <c r="DE210" s="27"/>
      <c r="DF210" s="27"/>
      <c r="DG210" s="27"/>
      <c r="DH210" s="27"/>
      <c r="DI210" s="27"/>
      <c r="DJ210" s="27"/>
      <c r="DK210" s="27"/>
      <c r="DL210" s="27"/>
      <c r="DM210" s="27"/>
      <c r="DN210" s="27"/>
      <c r="DO210" s="27"/>
      <c r="DP210" s="27"/>
      <c r="DQ210" s="27"/>
      <c r="DR210" s="27"/>
      <c r="DS210" s="27"/>
      <c r="DT210" s="27"/>
    </row>
    <row r="211" spans="2:124" x14ac:dyDescent="0.2">
      <c r="B211" s="27"/>
      <c r="C211" s="27"/>
      <c r="D211" s="27"/>
      <c r="E211" s="27"/>
      <c r="F211" s="27">
        <f>IF(BG65=X6,0,IF(BG65=X7,10%*P96,IF(BG65=X8,20%*P96,IF(BG65=X9,11.5%*P96,6%*P96))))</f>
        <v>0</v>
      </c>
      <c r="G211" s="27" t="s">
        <v>59</v>
      </c>
      <c r="H211" s="27"/>
      <c r="I211" s="27">
        <f t="shared" si="16"/>
        <v>3</v>
      </c>
      <c r="J211" s="27" t="e">
        <f t="shared" si="17"/>
        <v>#N/A</v>
      </c>
      <c r="K211" s="27"/>
      <c r="L211" s="27">
        <f t="shared" si="15"/>
        <v>3</v>
      </c>
      <c r="M211" s="27"/>
      <c r="N211" s="27"/>
      <c r="O211" s="27"/>
      <c r="P211" s="27"/>
      <c r="Q211" s="27"/>
      <c r="R211" s="27"/>
      <c r="S211" s="27"/>
      <c r="T211" s="27"/>
      <c r="U211" s="27"/>
      <c r="V211" s="27"/>
      <c r="W211" s="27"/>
      <c r="X211" s="27"/>
      <c r="Y211" s="27"/>
      <c r="Z211" s="27"/>
      <c r="AA211" s="27"/>
      <c r="AB211" s="27"/>
      <c r="AC211" s="27"/>
      <c r="AD211" s="27"/>
      <c r="AE211" s="27"/>
      <c r="AF211" s="27"/>
      <c r="AG211" s="27"/>
      <c r="AH211" s="27"/>
      <c r="AI211" s="27"/>
      <c r="AJ211" s="27"/>
      <c r="AK211" s="27"/>
      <c r="AL211" s="27"/>
      <c r="AM211" s="27"/>
      <c r="AN211" s="27"/>
      <c r="AO211" s="27"/>
      <c r="AP211" s="27"/>
      <c r="AQ211" s="27"/>
      <c r="AR211" s="27"/>
      <c r="AS211" s="27"/>
      <c r="AT211" s="27"/>
      <c r="AU211" s="27"/>
      <c r="AV211" s="27"/>
      <c r="AW211" s="27"/>
      <c r="AX211" s="27"/>
      <c r="AY211" s="27"/>
      <c r="AZ211" s="27"/>
      <c r="BA211" s="27"/>
      <c r="BB211" s="27"/>
      <c r="BC211" s="27"/>
      <c r="BD211" s="27"/>
      <c r="BE211" s="27"/>
      <c r="BF211" s="27"/>
      <c r="BG211" s="27"/>
      <c r="BH211" s="27"/>
      <c r="BI211" s="27"/>
      <c r="BJ211" s="27"/>
      <c r="BK211" s="27"/>
      <c r="BL211" s="27"/>
      <c r="BM211" s="27"/>
      <c r="BN211" s="27"/>
      <c r="BO211" s="27"/>
      <c r="BP211" s="27"/>
      <c r="BQ211" s="27"/>
      <c r="BR211" s="27"/>
      <c r="BS211" s="27"/>
      <c r="BT211" s="27"/>
      <c r="BU211" s="27"/>
      <c r="BV211" s="27"/>
      <c r="BW211" s="27"/>
      <c r="BX211" s="27"/>
      <c r="BY211" s="27"/>
      <c r="BZ211" s="27"/>
      <c r="CA211" s="27"/>
      <c r="CB211" s="27"/>
      <c r="CC211" s="27"/>
      <c r="CD211" s="27"/>
      <c r="CE211" s="27"/>
      <c r="CF211" s="27"/>
      <c r="CG211" s="27"/>
      <c r="CH211" s="27"/>
      <c r="CI211" s="27"/>
      <c r="CJ211" s="27"/>
      <c r="CK211" s="27"/>
      <c r="CL211" s="27"/>
      <c r="CM211" s="27"/>
      <c r="CN211" s="27"/>
      <c r="CO211" s="27"/>
      <c r="CP211" s="27"/>
      <c r="CQ211" s="27"/>
      <c r="CR211" s="27"/>
      <c r="CS211" s="27"/>
      <c r="CT211" s="27"/>
      <c r="CU211" s="27"/>
      <c r="CV211" s="27"/>
      <c r="CW211" s="27"/>
      <c r="CX211" s="27"/>
      <c r="CY211" s="27"/>
      <c r="CZ211" s="27"/>
      <c r="DA211" s="27"/>
      <c r="DB211" s="27"/>
      <c r="DC211" s="27"/>
      <c r="DD211" s="27"/>
      <c r="DE211" s="27"/>
      <c r="DF211" s="27"/>
      <c r="DG211" s="27"/>
      <c r="DH211" s="27"/>
      <c r="DI211" s="27"/>
      <c r="DJ211" s="27"/>
      <c r="DK211" s="27"/>
      <c r="DL211" s="27"/>
      <c r="DM211" s="27"/>
      <c r="DN211" s="27"/>
      <c r="DO211" s="27"/>
      <c r="DP211" s="27"/>
      <c r="DQ211" s="27"/>
      <c r="DR211" s="27"/>
      <c r="DS211" s="27"/>
      <c r="DT211" s="27"/>
    </row>
    <row r="212" spans="2:124" x14ac:dyDescent="0.2">
      <c r="B212" s="27"/>
      <c r="C212" s="27"/>
      <c r="D212" s="27"/>
      <c r="E212" s="27"/>
      <c r="F212" s="27">
        <f>BG66</f>
        <v>0</v>
      </c>
      <c r="G212" s="27"/>
      <c r="H212" s="27"/>
      <c r="I212" s="27">
        <f t="shared" si="16"/>
        <v>3.5</v>
      </c>
      <c r="J212" s="27" t="e">
        <f t="shared" si="17"/>
        <v>#N/A</v>
      </c>
      <c r="K212" s="27"/>
      <c r="L212" s="27">
        <f t="shared" si="15"/>
        <v>3.5</v>
      </c>
      <c r="M212" s="27"/>
      <c r="N212" s="27"/>
      <c r="O212" s="27"/>
      <c r="P212" s="27"/>
      <c r="Q212" s="27"/>
      <c r="R212" s="27"/>
      <c r="S212" s="27"/>
      <c r="T212" s="27"/>
      <c r="U212" s="27"/>
      <c r="V212" s="27"/>
      <c r="W212" s="27"/>
      <c r="X212" s="27"/>
      <c r="Y212" s="27"/>
      <c r="Z212" s="27"/>
      <c r="AA212" s="27"/>
      <c r="AB212" s="27"/>
      <c r="AC212" s="27"/>
      <c r="AD212" s="27"/>
      <c r="AE212" s="27"/>
      <c r="AF212" s="27"/>
      <c r="AG212" s="27"/>
      <c r="AH212" s="27"/>
      <c r="AI212" s="27"/>
      <c r="AJ212" s="27"/>
      <c r="AK212" s="27"/>
      <c r="AL212" s="27"/>
      <c r="AM212" s="27"/>
      <c r="AN212" s="27"/>
      <c r="AO212" s="27"/>
      <c r="AP212" s="27"/>
      <c r="AQ212" s="27"/>
      <c r="AR212" s="27"/>
      <c r="AS212" s="27"/>
      <c r="AT212" s="27"/>
      <c r="AU212" s="27"/>
      <c r="AV212" s="27"/>
      <c r="AW212" s="27"/>
      <c r="AX212" s="27"/>
      <c r="AY212" s="27"/>
      <c r="AZ212" s="27"/>
      <c r="BA212" s="27"/>
      <c r="BB212" s="27"/>
      <c r="BC212" s="27"/>
      <c r="BD212" s="27"/>
      <c r="BE212" s="27"/>
      <c r="BF212" s="27"/>
      <c r="BG212" s="27"/>
      <c r="BH212" s="27"/>
      <c r="BI212" s="27"/>
      <c r="BJ212" s="27"/>
      <c r="BK212" s="27"/>
      <c r="BL212" s="27"/>
      <c r="BM212" s="27"/>
      <c r="BN212" s="27"/>
      <c r="BO212" s="27"/>
      <c r="BP212" s="27"/>
      <c r="BQ212" s="27"/>
      <c r="BR212" s="27"/>
      <c r="BS212" s="27"/>
      <c r="BT212" s="27"/>
      <c r="BU212" s="27"/>
      <c r="BV212" s="27"/>
      <c r="BW212" s="27"/>
      <c r="BX212" s="27"/>
      <c r="BY212" s="27"/>
      <c r="BZ212" s="27"/>
      <c r="CA212" s="27"/>
      <c r="CB212" s="27"/>
      <c r="CC212" s="27"/>
      <c r="CD212" s="27"/>
      <c r="CE212" s="27"/>
      <c r="CF212" s="27"/>
      <c r="CG212" s="27"/>
      <c r="CH212" s="27"/>
      <c r="CI212" s="27"/>
      <c r="CJ212" s="27"/>
      <c r="CK212" s="27"/>
      <c r="CL212" s="27"/>
      <c r="CM212" s="27"/>
      <c r="CN212" s="27"/>
      <c r="CO212" s="27"/>
      <c r="CP212" s="27"/>
      <c r="CQ212" s="27"/>
      <c r="CR212" s="27"/>
      <c r="CS212" s="27"/>
      <c r="CT212" s="27"/>
      <c r="CU212" s="27"/>
      <c r="CV212" s="27"/>
      <c r="CW212" s="27"/>
      <c r="CX212" s="27"/>
      <c r="CY212" s="27"/>
      <c r="CZ212" s="27"/>
      <c r="DA212" s="27"/>
      <c r="DB212" s="27"/>
      <c r="DC212" s="27"/>
      <c r="DD212" s="27"/>
      <c r="DE212" s="27"/>
      <c r="DF212" s="27"/>
      <c r="DG212" s="27"/>
      <c r="DH212" s="27"/>
      <c r="DI212" s="27"/>
      <c r="DJ212" s="27"/>
      <c r="DK212" s="27"/>
      <c r="DL212" s="27"/>
      <c r="DM212" s="27"/>
      <c r="DN212" s="27"/>
      <c r="DO212" s="27"/>
      <c r="DP212" s="27"/>
      <c r="DQ212" s="27"/>
      <c r="DR212" s="27"/>
      <c r="DS212" s="27"/>
      <c r="DT212" s="27"/>
    </row>
    <row r="213" spans="2:124" x14ac:dyDescent="0.2">
      <c r="B213" s="27"/>
      <c r="C213" s="27"/>
      <c r="D213" s="27"/>
      <c r="E213" s="27"/>
      <c r="F213" s="27">
        <f>AD11*P96</f>
        <v>0</v>
      </c>
      <c r="G213" s="27"/>
      <c r="H213" s="27"/>
      <c r="I213" s="27">
        <f t="shared" si="16"/>
        <v>4</v>
      </c>
      <c r="J213" s="27" t="e">
        <f t="shared" si="17"/>
        <v>#N/A</v>
      </c>
      <c r="K213" s="27"/>
      <c r="L213" s="27">
        <f t="shared" si="15"/>
        <v>4</v>
      </c>
      <c r="M213" s="27"/>
      <c r="N213" s="27"/>
      <c r="O213" s="27"/>
      <c r="P213" s="27"/>
      <c r="Q213" s="27"/>
      <c r="R213" s="27"/>
      <c r="S213" s="27"/>
      <c r="T213" s="27"/>
      <c r="U213" s="27"/>
      <c r="V213" s="27"/>
      <c r="W213" s="27"/>
      <c r="X213" s="27"/>
      <c r="Y213" s="27"/>
      <c r="Z213" s="27"/>
      <c r="AA213" s="27"/>
      <c r="AB213" s="27"/>
      <c r="AC213" s="27"/>
      <c r="AD213" s="27"/>
      <c r="AE213" s="27"/>
      <c r="AF213" s="27"/>
      <c r="AG213" s="27"/>
      <c r="AH213" s="27"/>
      <c r="AI213" s="27"/>
      <c r="AJ213" s="27"/>
      <c r="AK213" s="27"/>
      <c r="AL213" s="27"/>
      <c r="AM213" s="27"/>
      <c r="AN213" s="27"/>
      <c r="AO213" s="27"/>
      <c r="AP213" s="27"/>
      <c r="AQ213" s="27"/>
      <c r="AR213" s="27"/>
      <c r="AS213" s="27"/>
      <c r="AT213" s="27"/>
      <c r="AU213" s="27"/>
      <c r="AV213" s="27"/>
      <c r="AW213" s="27"/>
      <c r="AX213" s="27"/>
      <c r="AY213" s="27"/>
      <c r="AZ213" s="27"/>
      <c r="BA213" s="27"/>
      <c r="BB213" s="27"/>
      <c r="BC213" s="27"/>
      <c r="BD213" s="27"/>
      <c r="BE213" s="27"/>
      <c r="BF213" s="27"/>
      <c r="BG213" s="27"/>
      <c r="BH213" s="27"/>
      <c r="BI213" s="27"/>
      <c r="BJ213" s="27"/>
      <c r="BK213" s="27"/>
      <c r="BL213" s="27"/>
      <c r="BM213" s="27"/>
      <c r="BN213" s="27"/>
      <c r="BO213" s="27"/>
      <c r="BP213" s="27"/>
      <c r="BQ213" s="27"/>
      <c r="BR213" s="27"/>
      <c r="BS213" s="27"/>
      <c r="BT213" s="27"/>
      <c r="BU213" s="27"/>
      <c r="BV213" s="27"/>
      <c r="BW213" s="27"/>
      <c r="BX213" s="27"/>
      <c r="BY213" s="27"/>
      <c r="BZ213" s="27"/>
      <c r="CA213" s="27"/>
      <c r="CB213" s="27"/>
      <c r="CC213" s="27"/>
      <c r="CD213" s="27"/>
      <c r="CE213" s="27"/>
      <c r="CF213" s="27"/>
      <c r="CG213" s="27"/>
      <c r="CH213" s="27"/>
      <c r="CI213" s="27"/>
      <c r="CJ213" s="27"/>
      <c r="CK213" s="27"/>
      <c r="CL213" s="27"/>
      <c r="CM213" s="27"/>
      <c r="CN213" s="27"/>
      <c r="CO213" s="27"/>
      <c r="CP213" s="27"/>
      <c r="CQ213" s="27"/>
      <c r="CR213" s="27"/>
      <c r="CS213" s="27"/>
      <c r="CT213" s="27"/>
      <c r="CU213" s="27"/>
      <c r="CV213" s="27"/>
      <c r="CW213" s="27"/>
      <c r="CX213" s="27"/>
      <c r="CY213" s="27"/>
      <c r="CZ213" s="27"/>
      <c r="DA213" s="27"/>
      <c r="DB213" s="27"/>
      <c r="DC213" s="27"/>
      <c r="DD213" s="27"/>
      <c r="DE213" s="27"/>
      <c r="DF213" s="27"/>
      <c r="DG213" s="27"/>
      <c r="DH213" s="27"/>
      <c r="DI213" s="27"/>
      <c r="DJ213" s="27"/>
      <c r="DK213" s="27"/>
      <c r="DL213" s="27"/>
      <c r="DM213" s="27"/>
      <c r="DN213" s="27"/>
      <c r="DO213" s="27"/>
      <c r="DP213" s="27"/>
      <c r="DQ213" s="27"/>
      <c r="DR213" s="27"/>
      <c r="DS213" s="27"/>
      <c r="DT213" s="27"/>
    </row>
    <row r="214" spans="2:124" x14ac:dyDescent="0.2">
      <c r="B214" s="27" t="s">
        <v>545</v>
      </c>
      <c r="C214" s="27"/>
      <c r="D214" s="27"/>
      <c r="E214" s="27"/>
      <c r="F214" s="27" t="e">
        <f>SUM(F205:F208)*BG68</f>
        <v>#REF!</v>
      </c>
      <c r="G214" s="27"/>
      <c r="H214" s="27"/>
      <c r="I214" s="27">
        <f t="shared" si="16"/>
        <v>4.5</v>
      </c>
      <c r="J214" s="27" t="e">
        <f t="shared" si="17"/>
        <v>#N/A</v>
      </c>
      <c r="K214" s="27"/>
      <c r="L214" s="27">
        <f t="shared" si="15"/>
        <v>4.5</v>
      </c>
      <c r="M214" s="27"/>
      <c r="N214" s="27"/>
      <c r="O214" s="27"/>
      <c r="P214" s="27"/>
      <c r="Q214" s="27"/>
      <c r="R214" s="27"/>
      <c r="S214" s="27"/>
      <c r="T214" s="27"/>
      <c r="U214" s="27"/>
      <c r="V214" s="27"/>
      <c r="W214" s="27"/>
      <c r="X214" s="27"/>
      <c r="Y214" s="27"/>
      <c r="Z214" s="27"/>
      <c r="AA214" s="27"/>
      <c r="AB214" s="27"/>
      <c r="AC214" s="27"/>
      <c r="AD214" s="27"/>
      <c r="AE214" s="27"/>
      <c r="AF214" s="27"/>
      <c r="AG214" s="27"/>
      <c r="AH214" s="27"/>
      <c r="AI214" s="27"/>
      <c r="AJ214" s="27"/>
      <c r="AK214" s="27"/>
      <c r="AL214" s="27"/>
      <c r="AM214" s="27"/>
      <c r="AN214" s="27"/>
      <c r="AO214" s="27"/>
      <c r="AP214" s="27"/>
      <c r="AQ214" s="27"/>
      <c r="AR214" s="27"/>
      <c r="AS214" s="27"/>
      <c r="AT214" s="27"/>
      <c r="AU214" s="27"/>
      <c r="AV214" s="27"/>
      <c r="AW214" s="27"/>
      <c r="AX214" s="27"/>
      <c r="AY214" s="27"/>
      <c r="AZ214" s="27"/>
      <c r="BA214" s="27"/>
      <c r="BB214" s="27"/>
      <c r="BC214" s="27"/>
      <c r="BD214" s="27"/>
      <c r="BE214" s="27"/>
      <c r="BF214" s="27"/>
      <c r="BG214" s="27"/>
      <c r="BH214" s="27"/>
      <c r="BI214" s="27"/>
      <c r="BJ214" s="27"/>
      <c r="BK214" s="27"/>
      <c r="BL214" s="27"/>
      <c r="BM214" s="27"/>
      <c r="BN214" s="27"/>
      <c r="BO214" s="27"/>
      <c r="BP214" s="27"/>
      <c r="BQ214" s="27"/>
      <c r="BR214" s="27"/>
      <c r="BS214" s="27"/>
      <c r="BT214" s="27"/>
      <c r="BU214" s="27"/>
      <c r="BV214" s="27"/>
      <c r="BW214" s="27"/>
      <c r="BX214" s="27"/>
      <c r="BY214" s="27"/>
      <c r="BZ214" s="27"/>
      <c r="CA214" s="27"/>
      <c r="CB214" s="27"/>
      <c r="CC214" s="27"/>
      <c r="CD214" s="27"/>
      <c r="CE214" s="27"/>
      <c r="CF214" s="27"/>
      <c r="CG214" s="27"/>
      <c r="CH214" s="27"/>
      <c r="CI214" s="27"/>
      <c r="CJ214" s="27"/>
      <c r="CK214" s="27"/>
      <c r="CL214" s="27"/>
      <c r="CM214" s="27"/>
      <c r="CN214" s="27"/>
      <c r="CO214" s="27"/>
      <c r="CP214" s="27"/>
      <c r="CQ214" s="27"/>
      <c r="CR214" s="27"/>
      <c r="CS214" s="27"/>
      <c r="CT214" s="27"/>
      <c r="CU214" s="27"/>
      <c r="CV214" s="27"/>
      <c r="CW214" s="27"/>
      <c r="CX214" s="27"/>
      <c r="CY214" s="27"/>
      <c r="CZ214" s="27"/>
      <c r="DA214" s="27"/>
      <c r="DB214" s="27"/>
      <c r="DC214" s="27"/>
      <c r="DD214" s="27"/>
      <c r="DE214" s="27"/>
      <c r="DF214" s="27"/>
      <c r="DG214" s="27"/>
      <c r="DH214" s="27"/>
      <c r="DI214" s="27"/>
      <c r="DJ214" s="27"/>
      <c r="DK214" s="27"/>
      <c r="DL214" s="27"/>
      <c r="DM214" s="27"/>
      <c r="DN214" s="27"/>
      <c r="DO214" s="27"/>
      <c r="DP214" s="27"/>
      <c r="DQ214" s="27"/>
      <c r="DR214" s="27"/>
      <c r="DS214" s="27"/>
      <c r="DT214" s="27"/>
    </row>
    <row r="215" spans="2:124" x14ac:dyDescent="0.2">
      <c r="B215" s="27"/>
      <c r="C215" s="27"/>
      <c r="D215" s="27"/>
      <c r="E215" s="27"/>
      <c r="F215" s="27" t="e">
        <f>J187*F214</f>
        <v>#REF!</v>
      </c>
      <c r="G215" s="27" t="s">
        <v>59</v>
      </c>
      <c r="H215" s="27"/>
      <c r="I215" s="27">
        <f t="shared" si="16"/>
        <v>5</v>
      </c>
      <c r="J215" s="27" t="e">
        <f t="shared" si="17"/>
        <v>#N/A</v>
      </c>
      <c r="K215" s="27"/>
      <c r="L215" s="27">
        <f t="shared" si="15"/>
        <v>5</v>
      </c>
      <c r="M215" s="27"/>
      <c r="N215" s="27"/>
      <c r="O215" s="27"/>
      <c r="P215" s="27"/>
      <c r="Q215" s="27"/>
      <c r="R215" s="27"/>
      <c r="S215" s="27"/>
      <c r="T215" s="27"/>
      <c r="U215" s="27"/>
      <c r="V215" s="27"/>
      <c r="W215" s="27"/>
      <c r="X215" s="27"/>
      <c r="Y215" s="27"/>
      <c r="Z215" s="27"/>
      <c r="AA215" s="27"/>
      <c r="AB215" s="27"/>
      <c r="AC215" s="27"/>
      <c r="AD215" s="27"/>
      <c r="AE215" s="27"/>
      <c r="AF215" s="27"/>
      <c r="AG215" s="27"/>
      <c r="AH215" s="27"/>
      <c r="AI215" s="27"/>
      <c r="AJ215" s="27"/>
      <c r="AK215" s="27"/>
      <c r="AL215" s="27"/>
      <c r="AM215" s="27"/>
      <c r="AN215" s="27"/>
      <c r="AO215" s="27"/>
      <c r="AP215" s="27"/>
      <c r="AQ215" s="27"/>
      <c r="AR215" s="27"/>
      <c r="AS215" s="27"/>
      <c r="AT215" s="27"/>
      <c r="AU215" s="27"/>
      <c r="AV215" s="27"/>
      <c r="AW215" s="27"/>
      <c r="AX215" s="27"/>
      <c r="AY215" s="27"/>
      <c r="AZ215" s="27"/>
      <c r="BA215" s="27"/>
      <c r="BB215" s="27"/>
      <c r="BC215" s="27"/>
      <c r="BD215" s="27"/>
      <c r="BE215" s="27"/>
      <c r="BF215" s="27"/>
      <c r="BG215" s="27"/>
      <c r="BH215" s="27"/>
      <c r="BI215" s="27"/>
      <c r="BJ215" s="27"/>
      <c r="BK215" s="27"/>
      <c r="BL215" s="27"/>
      <c r="BM215" s="27"/>
      <c r="BN215" s="27"/>
      <c r="BO215" s="27"/>
      <c r="BP215" s="27"/>
      <c r="BQ215" s="27"/>
      <c r="BR215" s="27"/>
      <c r="BS215" s="27"/>
      <c r="BT215" s="27"/>
      <c r="BU215" s="27"/>
      <c r="BV215" s="27"/>
      <c r="BW215" s="27"/>
      <c r="BX215" s="27"/>
      <c r="BY215" s="27"/>
      <c r="BZ215" s="27"/>
      <c r="CA215" s="27"/>
      <c r="CB215" s="27"/>
      <c r="CC215" s="27"/>
      <c r="CD215" s="27"/>
      <c r="CE215" s="27"/>
      <c r="CF215" s="27"/>
      <c r="CG215" s="27"/>
      <c r="CH215" s="27"/>
      <c r="CI215" s="27"/>
      <c r="CJ215" s="27"/>
      <c r="CK215" s="27"/>
      <c r="CL215" s="27"/>
      <c r="CM215" s="27"/>
      <c r="CN215" s="27"/>
      <c r="CO215" s="27"/>
      <c r="CP215" s="27"/>
      <c r="CQ215" s="27"/>
      <c r="CR215" s="27"/>
      <c r="CS215" s="27"/>
      <c r="CT215" s="27"/>
      <c r="CU215" s="27"/>
      <c r="CV215" s="27"/>
      <c r="CW215" s="27"/>
      <c r="CX215" s="27"/>
      <c r="CY215" s="27"/>
      <c r="CZ215" s="27"/>
      <c r="DA215" s="27"/>
      <c r="DB215" s="27"/>
      <c r="DC215" s="27"/>
      <c r="DD215" s="27"/>
      <c r="DE215" s="27"/>
      <c r="DF215" s="27"/>
      <c r="DG215" s="27"/>
      <c r="DH215" s="27"/>
      <c r="DI215" s="27"/>
      <c r="DJ215" s="27"/>
      <c r="DK215" s="27"/>
      <c r="DL215" s="27"/>
      <c r="DM215" s="27"/>
      <c r="DN215" s="27"/>
      <c r="DO215" s="27"/>
      <c r="DP215" s="27"/>
      <c r="DQ215" s="27"/>
      <c r="DR215" s="27"/>
      <c r="DS215" s="27"/>
      <c r="DT215" s="27"/>
    </row>
    <row r="216" spans="2:124" x14ac:dyDescent="0.2">
      <c r="B216" s="27"/>
      <c r="C216" s="27"/>
      <c r="D216" s="27"/>
      <c r="E216" s="27"/>
      <c r="F216" s="27" t="e">
        <f>J188*F205</f>
        <v>#REF!</v>
      </c>
      <c r="G216" s="27"/>
      <c r="H216" s="27"/>
      <c r="I216" s="27">
        <f t="shared" si="16"/>
        <v>5.5</v>
      </c>
      <c r="J216" s="27" t="e">
        <f t="shared" si="17"/>
        <v>#N/A</v>
      </c>
      <c r="K216" s="27"/>
      <c r="L216" s="27">
        <f t="shared" si="15"/>
        <v>5.5</v>
      </c>
      <c r="M216" s="27"/>
      <c r="N216" s="27"/>
      <c r="O216" s="27"/>
      <c r="P216" s="27"/>
      <c r="Q216" s="27"/>
      <c r="R216" s="27"/>
      <c r="S216" s="27"/>
      <c r="T216" s="27"/>
      <c r="U216" s="27"/>
      <c r="V216" s="27"/>
      <c r="W216" s="27"/>
      <c r="X216" s="27"/>
      <c r="Y216" s="27"/>
      <c r="Z216" s="27"/>
      <c r="AA216" s="27"/>
      <c r="AB216" s="27"/>
      <c r="AC216" s="27"/>
      <c r="AD216" s="27"/>
      <c r="AE216" s="27"/>
      <c r="AF216" s="27"/>
      <c r="AG216" s="27"/>
      <c r="AH216" s="27"/>
      <c r="AI216" s="27"/>
      <c r="AJ216" s="27"/>
      <c r="AK216" s="27"/>
      <c r="AL216" s="27"/>
      <c r="AM216" s="27"/>
      <c r="AN216" s="27"/>
      <c r="AO216" s="27"/>
      <c r="AP216" s="27"/>
      <c r="AQ216" s="27"/>
      <c r="AR216" s="27"/>
      <c r="AS216" s="27"/>
      <c r="AT216" s="27"/>
      <c r="AU216" s="27"/>
      <c r="AV216" s="27"/>
      <c r="AW216" s="27"/>
      <c r="AX216" s="27"/>
      <c r="AY216" s="27"/>
      <c r="AZ216" s="27"/>
      <c r="BA216" s="27"/>
      <c r="BB216" s="27"/>
      <c r="BC216" s="27"/>
      <c r="BD216" s="27"/>
      <c r="BE216" s="27"/>
      <c r="BF216" s="27"/>
      <c r="BG216" s="27"/>
      <c r="BH216" s="27"/>
      <c r="BI216" s="27"/>
      <c r="BJ216" s="27"/>
      <c r="BK216" s="27"/>
      <c r="BL216" s="27"/>
      <c r="BM216" s="27"/>
      <c r="BN216" s="27"/>
      <c r="BO216" s="27"/>
      <c r="BP216" s="27"/>
      <c r="BQ216" s="27"/>
      <c r="BR216" s="27"/>
      <c r="BS216" s="27"/>
      <c r="BT216" s="27"/>
      <c r="BU216" s="27"/>
      <c r="BV216" s="27"/>
      <c r="BW216" s="27"/>
      <c r="BX216" s="27"/>
      <c r="BY216" s="27"/>
      <c r="BZ216" s="27"/>
      <c r="CA216" s="27"/>
      <c r="CB216" s="27"/>
      <c r="CC216" s="27"/>
      <c r="CD216" s="27"/>
      <c r="CE216" s="27"/>
      <c r="CF216" s="27"/>
      <c r="CG216" s="27"/>
      <c r="CH216" s="27"/>
      <c r="CI216" s="27"/>
      <c r="CJ216" s="27"/>
      <c r="CK216" s="27"/>
      <c r="CL216" s="27"/>
      <c r="CM216" s="27"/>
      <c r="CN216" s="27"/>
      <c r="CO216" s="27"/>
      <c r="CP216" s="27"/>
      <c r="CQ216" s="27"/>
      <c r="CR216" s="27"/>
      <c r="CS216" s="27"/>
      <c r="CT216" s="27"/>
      <c r="CU216" s="27"/>
      <c r="CV216" s="27"/>
      <c r="CW216" s="27"/>
      <c r="CX216" s="27"/>
      <c r="CY216" s="27"/>
      <c r="CZ216" s="27"/>
      <c r="DA216" s="27"/>
      <c r="DB216" s="27"/>
      <c r="DC216" s="27"/>
      <c r="DD216" s="27"/>
      <c r="DE216" s="27"/>
      <c r="DF216" s="27"/>
      <c r="DG216" s="27"/>
      <c r="DH216" s="27"/>
      <c r="DI216" s="27"/>
      <c r="DJ216" s="27"/>
      <c r="DK216" s="27"/>
      <c r="DL216" s="27"/>
      <c r="DM216" s="27"/>
      <c r="DN216" s="27"/>
      <c r="DO216" s="27"/>
      <c r="DP216" s="27"/>
      <c r="DQ216" s="27"/>
      <c r="DR216" s="27"/>
      <c r="DS216" s="27"/>
      <c r="DT216" s="27"/>
    </row>
    <row r="217" spans="2:124" x14ac:dyDescent="0.2">
      <c r="B217" s="27"/>
      <c r="C217" s="27"/>
      <c r="D217" s="27"/>
      <c r="E217" s="27"/>
      <c r="F217" s="27" t="e">
        <f>SUM(F205:F208)*AB29</f>
        <v>#REF!</v>
      </c>
      <c r="G217" s="27"/>
      <c r="H217" s="27"/>
      <c r="I217" s="27">
        <f t="shared" si="16"/>
        <v>6</v>
      </c>
      <c r="J217" s="27" t="e">
        <f t="shared" si="17"/>
        <v>#N/A</v>
      </c>
      <c r="K217" s="27"/>
      <c r="L217" s="27">
        <f t="shared" si="15"/>
        <v>6</v>
      </c>
      <c r="M217" s="27"/>
      <c r="N217" s="27"/>
      <c r="O217" s="27"/>
      <c r="P217" s="27"/>
      <c r="Q217" s="27"/>
      <c r="R217" s="27"/>
      <c r="S217" s="27"/>
      <c r="T217" s="27"/>
      <c r="U217" s="27"/>
      <c r="V217" s="27"/>
      <c r="W217" s="27"/>
      <c r="X217" s="27"/>
      <c r="Y217" s="27"/>
      <c r="Z217" s="27"/>
      <c r="AA217" s="27"/>
      <c r="AB217" s="27"/>
      <c r="AC217" s="27"/>
      <c r="AD217" s="27"/>
      <c r="AE217" s="27"/>
      <c r="AF217" s="27"/>
      <c r="AG217" s="27"/>
      <c r="AH217" s="27"/>
      <c r="AI217" s="27"/>
      <c r="AJ217" s="27"/>
      <c r="AK217" s="27"/>
      <c r="AL217" s="27"/>
      <c r="AM217" s="27"/>
      <c r="AN217" s="27"/>
      <c r="AO217" s="27"/>
      <c r="AP217" s="27"/>
      <c r="AQ217" s="27"/>
      <c r="AR217" s="27"/>
      <c r="AS217" s="27"/>
      <c r="AT217" s="27"/>
      <c r="AU217" s="27"/>
      <c r="AV217" s="27"/>
      <c r="AW217" s="27"/>
      <c r="AX217" s="27"/>
      <c r="AY217" s="27"/>
      <c r="AZ217" s="27"/>
      <c r="BA217" s="27"/>
      <c r="BB217" s="27"/>
      <c r="BC217" s="27"/>
      <c r="BD217" s="27"/>
      <c r="BE217" s="27"/>
      <c r="BF217" s="27"/>
      <c r="BG217" s="27"/>
      <c r="BH217" s="27"/>
      <c r="BI217" s="27"/>
      <c r="BJ217" s="27"/>
      <c r="BK217" s="27"/>
      <c r="BL217" s="27"/>
      <c r="BM217" s="27"/>
      <c r="BN217" s="27"/>
      <c r="BO217" s="27"/>
      <c r="BP217" s="27"/>
      <c r="BQ217" s="27"/>
      <c r="BR217" s="27"/>
      <c r="BS217" s="27"/>
      <c r="BT217" s="27"/>
      <c r="BU217" s="27"/>
      <c r="BV217" s="27"/>
      <c r="BW217" s="27"/>
      <c r="BX217" s="27"/>
      <c r="BY217" s="27"/>
      <c r="BZ217" s="27"/>
      <c r="CA217" s="27"/>
      <c r="CB217" s="27"/>
      <c r="CC217" s="27"/>
      <c r="CD217" s="27"/>
      <c r="CE217" s="27"/>
      <c r="CF217" s="27"/>
      <c r="CG217" s="27"/>
      <c r="CH217" s="27"/>
      <c r="CI217" s="27"/>
      <c r="CJ217" s="27"/>
      <c r="CK217" s="27"/>
      <c r="CL217" s="27"/>
      <c r="CM217" s="27"/>
      <c r="CN217" s="27"/>
      <c r="CO217" s="27"/>
      <c r="CP217" s="27"/>
      <c r="CQ217" s="27"/>
      <c r="CR217" s="27"/>
      <c r="CS217" s="27"/>
      <c r="CT217" s="27"/>
      <c r="CU217" s="27"/>
      <c r="CV217" s="27"/>
      <c r="CW217" s="27"/>
      <c r="CX217" s="27"/>
      <c r="CY217" s="27"/>
      <c r="CZ217" s="27"/>
      <c r="DA217" s="27"/>
      <c r="DB217" s="27"/>
      <c r="DC217" s="27"/>
      <c r="DD217" s="27"/>
      <c r="DE217" s="27"/>
      <c r="DF217" s="27"/>
      <c r="DG217" s="27"/>
      <c r="DH217" s="27"/>
      <c r="DI217" s="27"/>
      <c r="DJ217" s="27"/>
      <c r="DK217" s="27"/>
      <c r="DL217" s="27"/>
      <c r="DM217" s="27"/>
      <c r="DN217" s="27"/>
      <c r="DO217" s="27"/>
      <c r="DP217" s="27"/>
      <c r="DQ217" s="27"/>
      <c r="DR217" s="27"/>
      <c r="DS217" s="27"/>
      <c r="DT217" s="27"/>
    </row>
    <row r="218" spans="2:124" x14ac:dyDescent="0.2">
      <c r="B218" s="27"/>
      <c r="C218" s="27"/>
      <c r="D218" s="27"/>
      <c r="E218" s="27"/>
      <c r="F218" s="27" t="e">
        <f>F205*BG72</f>
        <v>#REF!</v>
      </c>
      <c r="G218" s="27"/>
      <c r="H218" s="27"/>
      <c r="I218" s="27">
        <f t="shared" si="16"/>
        <v>6.5</v>
      </c>
      <c r="J218" s="27" t="e">
        <f t="shared" si="17"/>
        <v>#N/A</v>
      </c>
      <c r="K218" s="27"/>
      <c r="L218" s="27">
        <f t="shared" si="15"/>
        <v>6.5</v>
      </c>
      <c r="M218" s="27"/>
      <c r="N218" s="27"/>
      <c r="O218" s="27"/>
      <c r="P218" s="27"/>
      <c r="Q218" s="27"/>
      <c r="R218" s="27"/>
      <c r="S218" s="27"/>
      <c r="T218" s="27"/>
      <c r="U218" s="27"/>
      <c r="V218" s="27"/>
      <c r="W218" s="27"/>
      <c r="X218" s="27"/>
      <c r="Y218" s="27"/>
      <c r="Z218" s="27"/>
      <c r="AA218" s="27"/>
      <c r="AB218" s="27"/>
      <c r="AC218" s="27"/>
      <c r="AD218" s="27"/>
      <c r="AE218" s="27"/>
      <c r="AF218" s="27"/>
      <c r="AG218" s="27"/>
      <c r="AH218" s="27"/>
      <c r="AI218" s="27"/>
      <c r="AJ218" s="27"/>
      <c r="AK218" s="27"/>
      <c r="AL218" s="27"/>
      <c r="AM218" s="27"/>
      <c r="AN218" s="27"/>
      <c r="AO218" s="27"/>
      <c r="AP218" s="27"/>
      <c r="AQ218" s="27"/>
      <c r="AR218" s="27"/>
      <c r="AS218" s="27"/>
      <c r="AT218" s="27"/>
      <c r="AU218" s="27"/>
      <c r="AV218" s="27"/>
      <c r="AW218" s="27"/>
      <c r="AX218" s="27"/>
      <c r="AY218" s="27"/>
      <c r="AZ218" s="27"/>
      <c r="BA218" s="27"/>
      <c r="BB218" s="27"/>
      <c r="BC218" s="27"/>
      <c r="BD218" s="27"/>
      <c r="BE218" s="27"/>
      <c r="BF218" s="27"/>
      <c r="BG218" s="27"/>
      <c r="BH218" s="27"/>
      <c r="BI218" s="27"/>
      <c r="BJ218" s="27"/>
      <c r="BK218" s="27"/>
      <c r="BL218" s="27"/>
      <c r="BM218" s="27"/>
      <c r="BN218" s="27"/>
      <c r="BO218" s="27"/>
      <c r="BP218" s="27"/>
      <c r="BQ218" s="27"/>
      <c r="BR218" s="27"/>
      <c r="BS218" s="27"/>
      <c r="BT218" s="27"/>
      <c r="BU218" s="27"/>
      <c r="BV218" s="27"/>
      <c r="BW218" s="27"/>
      <c r="BX218" s="27"/>
      <c r="BY218" s="27"/>
      <c r="BZ218" s="27"/>
      <c r="CA218" s="27"/>
      <c r="CB218" s="27"/>
      <c r="CC218" s="27"/>
      <c r="CD218" s="27"/>
      <c r="CE218" s="27"/>
      <c r="CF218" s="27"/>
      <c r="CG218" s="27"/>
      <c r="CH218" s="27"/>
      <c r="CI218" s="27"/>
      <c r="CJ218" s="27"/>
      <c r="CK218" s="27"/>
      <c r="CL218" s="27"/>
      <c r="CM218" s="27"/>
      <c r="CN218" s="27"/>
      <c r="CO218" s="27"/>
      <c r="CP218" s="27"/>
      <c r="CQ218" s="27"/>
      <c r="CR218" s="27"/>
      <c r="CS218" s="27"/>
      <c r="CT218" s="27"/>
      <c r="CU218" s="27"/>
      <c r="CV218" s="27"/>
      <c r="CW218" s="27"/>
      <c r="CX218" s="27"/>
      <c r="CY218" s="27"/>
      <c r="CZ218" s="27"/>
      <c r="DA218" s="27"/>
      <c r="DB218" s="27"/>
      <c r="DC218" s="27"/>
      <c r="DD218" s="27"/>
      <c r="DE218" s="27"/>
      <c r="DF218" s="27"/>
      <c r="DG218" s="27"/>
      <c r="DH218" s="27"/>
      <c r="DI218" s="27"/>
      <c r="DJ218" s="27"/>
      <c r="DK218" s="27"/>
      <c r="DL218" s="27"/>
      <c r="DM218" s="27"/>
      <c r="DN218" s="27"/>
      <c r="DO218" s="27"/>
      <c r="DP218" s="27"/>
      <c r="DQ218" s="27"/>
      <c r="DR218" s="27"/>
      <c r="DS218" s="27"/>
      <c r="DT218" s="27"/>
    </row>
    <row r="219" spans="2:124" x14ac:dyDescent="0.2">
      <c r="B219" s="27"/>
      <c r="C219" s="27"/>
      <c r="D219" s="27"/>
      <c r="E219" s="27"/>
      <c r="F219" s="27" t="e">
        <f>SUM(F205:F208)*BG64</f>
        <v>#REF!</v>
      </c>
      <c r="G219" s="27"/>
      <c r="H219" s="27"/>
      <c r="I219" s="27">
        <f t="shared" si="16"/>
        <v>7</v>
      </c>
      <c r="J219" s="27" t="e">
        <f t="shared" si="17"/>
        <v>#N/A</v>
      </c>
      <c r="K219" s="27"/>
      <c r="L219" s="27">
        <f t="shared" si="15"/>
        <v>7</v>
      </c>
      <c r="M219" s="27"/>
      <c r="N219" s="27"/>
      <c r="O219" s="27"/>
      <c r="P219" s="27"/>
      <c r="Q219" s="27"/>
      <c r="R219" s="27"/>
      <c r="S219" s="27"/>
      <c r="T219" s="27"/>
      <c r="U219" s="27"/>
      <c r="V219" s="27"/>
      <c r="W219" s="27"/>
      <c r="X219" s="27"/>
      <c r="Y219" s="27"/>
      <c r="Z219" s="27"/>
      <c r="AA219" s="27"/>
      <c r="AB219" s="27"/>
      <c r="AC219" s="27"/>
      <c r="AD219" s="27"/>
      <c r="AE219" s="27"/>
      <c r="AF219" s="27"/>
      <c r="AG219" s="27"/>
      <c r="AH219" s="27"/>
      <c r="AI219" s="27"/>
      <c r="AJ219" s="27"/>
      <c r="AK219" s="27"/>
      <c r="AL219" s="27"/>
      <c r="AM219" s="27"/>
      <c r="AN219" s="27"/>
      <c r="AO219" s="27"/>
      <c r="AP219" s="27"/>
      <c r="AQ219" s="27"/>
      <c r="AR219" s="27"/>
      <c r="AS219" s="27"/>
      <c r="AT219" s="27"/>
      <c r="AU219" s="27"/>
      <c r="AV219" s="27"/>
      <c r="AW219" s="27"/>
      <c r="AX219" s="27"/>
      <c r="AY219" s="27"/>
      <c r="AZ219" s="27"/>
      <c r="BA219" s="27"/>
      <c r="BB219" s="27"/>
      <c r="BC219" s="27"/>
      <c r="BD219" s="27"/>
      <c r="BE219" s="27"/>
      <c r="BF219" s="27"/>
      <c r="BG219" s="27"/>
      <c r="BH219" s="27"/>
      <c r="BI219" s="27"/>
      <c r="BJ219" s="27"/>
      <c r="BK219" s="27"/>
      <c r="BL219" s="27"/>
      <c r="BM219" s="27"/>
      <c r="BN219" s="27"/>
      <c r="BO219" s="27"/>
      <c r="BP219" s="27"/>
      <c r="BQ219" s="27"/>
      <c r="BR219" s="27"/>
      <c r="BS219" s="27"/>
      <c r="BT219" s="27"/>
      <c r="BU219" s="27"/>
      <c r="BV219" s="27"/>
      <c r="BW219" s="27"/>
      <c r="BX219" s="27"/>
      <c r="BY219" s="27"/>
      <c r="BZ219" s="27"/>
      <c r="CA219" s="27"/>
      <c r="CB219" s="27"/>
      <c r="CC219" s="27"/>
      <c r="CD219" s="27"/>
      <c r="CE219" s="27"/>
      <c r="CF219" s="27"/>
      <c r="CG219" s="27"/>
      <c r="CH219" s="27"/>
      <c r="CI219" s="27"/>
      <c r="CJ219" s="27"/>
      <c r="CK219" s="27"/>
      <c r="CL219" s="27"/>
      <c r="CM219" s="27"/>
      <c r="CN219" s="27"/>
      <c r="CO219" s="27"/>
      <c r="CP219" s="27"/>
      <c r="CQ219" s="27"/>
      <c r="CR219" s="27"/>
      <c r="CS219" s="27"/>
      <c r="CT219" s="27"/>
      <c r="CU219" s="27"/>
      <c r="CV219" s="27"/>
      <c r="CW219" s="27"/>
      <c r="CX219" s="27"/>
      <c r="CY219" s="27"/>
      <c r="CZ219" s="27"/>
      <c r="DA219" s="27"/>
      <c r="DB219" s="27"/>
      <c r="DC219" s="27"/>
      <c r="DD219" s="27"/>
      <c r="DE219" s="27"/>
      <c r="DF219" s="27"/>
      <c r="DG219" s="27"/>
      <c r="DH219" s="27"/>
      <c r="DI219" s="27"/>
      <c r="DJ219" s="27"/>
      <c r="DK219" s="27"/>
      <c r="DL219" s="27"/>
      <c r="DM219" s="27"/>
      <c r="DN219" s="27"/>
      <c r="DO219" s="27"/>
      <c r="DP219" s="27"/>
      <c r="DQ219" s="27"/>
      <c r="DR219" s="27"/>
      <c r="DS219" s="27"/>
      <c r="DT219" s="27"/>
    </row>
    <row r="220" spans="2:124" x14ac:dyDescent="0.2">
      <c r="B220" s="27"/>
      <c r="C220" s="27"/>
      <c r="D220" s="27"/>
      <c r="E220" s="27"/>
      <c r="F220" s="27">
        <v>0</v>
      </c>
      <c r="G220" s="27" t="s">
        <v>561</v>
      </c>
      <c r="H220" s="27"/>
      <c r="I220" s="27">
        <f t="shared" si="16"/>
        <v>7.5</v>
      </c>
      <c r="J220" s="27" t="e">
        <f t="shared" si="17"/>
        <v>#N/A</v>
      </c>
      <c r="K220" s="27"/>
      <c r="L220" s="27">
        <f t="shared" si="15"/>
        <v>7.5</v>
      </c>
      <c r="M220" s="27"/>
      <c r="N220" s="27"/>
      <c r="O220" s="27"/>
      <c r="P220" s="27"/>
      <c r="Q220" s="27"/>
      <c r="R220" s="27"/>
      <c r="S220" s="27"/>
      <c r="T220" s="27"/>
      <c r="U220" s="27"/>
      <c r="V220" s="27"/>
      <c r="W220" s="27"/>
      <c r="X220" s="27"/>
      <c r="Y220" s="27"/>
      <c r="Z220" s="27"/>
      <c r="AA220" s="27"/>
      <c r="AB220" s="27"/>
      <c r="AC220" s="27"/>
      <c r="AD220" s="27"/>
      <c r="AE220" s="27"/>
      <c r="AF220" s="27"/>
      <c r="AG220" s="27"/>
      <c r="AH220" s="27"/>
      <c r="AI220" s="27"/>
      <c r="AJ220" s="27"/>
      <c r="AK220" s="27"/>
      <c r="AL220" s="27"/>
      <c r="AM220" s="27"/>
      <c r="AN220" s="27"/>
      <c r="AO220" s="27"/>
      <c r="AP220" s="27"/>
      <c r="AQ220" s="27"/>
      <c r="AR220" s="27"/>
      <c r="AS220" s="27"/>
      <c r="AT220" s="27"/>
      <c r="AU220" s="27"/>
      <c r="AV220" s="27"/>
      <c r="AW220" s="27"/>
      <c r="AX220" s="27"/>
      <c r="AY220" s="27"/>
      <c r="AZ220" s="27"/>
      <c r="BA220" s="27"/>
      <c r="BB220" s="27"/>
      <c r="BC220" s="27"/>
      <c r="BD220" s="27"/>
      <c r="BE220" s="27"/>
      <c r="BF220" s="27"/>
      <c r="BG220" s="27"/>
      <c r="BH220" s="27"/>
      <c r="BI220" s="27"/>
      <c r="BJ220" s="27"/>
      <c r="BK220" s="27"/>
      <c r="BL220" s="27"/>
      <c r="BM220" s="27"/>
      <c r="BN220" s="27"/>
      <c r="BO220" s="27"/>
      <c r="BP220" s="27"/>
      <c r="BQ220" s="27"/>
      <c r="BR220" s="27"/>
      <c r="BS220" s="27"/>
      <c r="BT220" s="27"/>
      <c r="BU220" s="27"/>
      <c r="BV220" s="27"/>
      <c r="BW220" s="27"/>
      <c r="BX220" s="27"/>
      <c r="BY220" s="27"/>
      <c r="BZ220" s="27"/>
      <c r="CA220" s="27"/>
      <c r="CB220" s="27"/>
      <c r="CC220" s="27"/>
      <c r="CD220" s="27"/>
      <c r="CE220" s="27"/>
      <c r="CF220" s="27"/>
      <c r="CG220" s="27"/>
      <c r="CH220" s="27"/>
      <c r="CI220" s="27"/>
      <c r="CJ220" s="27"/>
      <c r="CK220" s="27"/>
      <c r="CL220" s="27"/>
      <c r="CM220" s="27"/>
      <c r="CN220" s="27"/>
      <c r="CO220" s="27"/>
      <c r="CP220" s="27"/>
      <c r="CQ220" s="27"/>
      <c r="CR220" s="27"/>
      <c r="CS220" s="27"/>
      <c r="CT220" s="27"/>
      <c r="CU220" s="27"/>
      <c r="CV220" s="27"/>
      <c r="CW220" s="27"/>
      <c r="CX220" s="27"/>
      <c r="CY220" s="27"/>
      <c r="CZ220" s="27"/>
      <c r="DA220" s="27"/>
      <c r="DB220" s="27"/>
      <c r="DC220" s="27"/>
      <c r="DD220" s="27"/>
      <c r="DE220" s="27"/>
      <c r="DF220" s="27"/>
      <c r="DG220" s="27"/>
      <c r="DH220" s="27"/>
      <c r="DI220" s="27"/>
      <c r="DJ220" s="27"/>
      <c r="DK220" s="27"/>
      <c r="DL220" s="27"/>
      <c r="DM220" s="27"/>
      <c r="DN220" s="27"/>
      <c r="DO220" s="27"/>
      <c r="DP220" s="27"/>
      <c r="DQ220" s="27"/>
      <c r="DR220" s="27"/>
      <c r="DS220" s="27"/>
      <c r="DT220" s="27"/>
    </row>
    <row r="221" spans="2:124" x14ac:dyDescent="0.2">
      <c r="B221" s="27"/>
      <c r="C221" s="27"/>
      <c r="D221" s="27"/>
      <c r="E221" s="27"/>
      <c r="F221" s="27">
        <v>0</v>
      </c>
      <c r="G221" s="27" t="s">
        <v>562</v>
      </c>
      <c r="H221" s="27"/>
      <c r="I221" s="27">
        <f t="shared" si="16"/>
        <v>8</v>
      </c>
      <c r="J221" s="27" t="e">
        <f t="shared" si="17"/>
        <v>#N/A</v>
      </c>
      <c r="K221" s="27"/>
      <c r="L221" s="27">
        <f t="shared" si="15"/>
        <v>8</v>
      </c>
      <c r="M221" s="27"/>
      <c r="N221" s="27"/>
      <c r="O221" s="27"/>
      <c r="P221" s="27"/>
      <c r="Q221" s="27"/>
      <c r="R221" s="27"/>
      <c r="S221" s="27"/>
      <c r="T221" s="27"/>
      <c r="U221" s="27"/>
      <c r="V221" s="27"/>
      <c r="W221" s="27"/>
      <c r="X221" s="27"/>
      <c r="Y221" s="27"/>
      <c r="Z221" s="27"/>
      <c r="AA221" s="27"/>
      <c r="AB221" s="27"/>
      <c r="AC221" s="27"/>
      <c r="AD221" s="27"/>
      <c r="AE221" s="27"/>
      <c r="AF221" s="27"/>
      <c r="AG221" s="27"/>
      <c r="AH221" s="27"/>
      <c r="AI221" s="27"/>
      <c r="AJ221" s="27"/>
      <c r="AK221" s="27"/>
      <c r="AL221" s="27"/>
      <c r="AM221" s="27"/>
      <c r="AN221" s="27"/>
      <c r="AO221" s="27"/>
      <c r="AP221" s="27"/>
      <c r="AQ221" s="27"/>
      <c r="AR221" s="27"/>
      <c r="AS221" s="27"/>
      <c r="AT221" s="27"/>
      <c r="AU221" s="27"/>
      <c r="AV221" s="27"/>
      <c r="AW221" s="27"/>
      <c r="AX221" s="27"/>
      <c r="AY221" s="27"/>
      <c r="AZ221" s="27"/>
      <c r="BA221" s="27"/>
      <c r="BB221" s="27"/>
      <c r="BC221" s="27"/>
      <c r="BD221" s="27"/>
      <c r="BE221" s="27"/>
      <c r="BF221" s="27"/>
      <c r="BG221" s="27"/>
      <c r="BH221" s="27"/>
      <c r="BI221" s="27"/>
      <c r="BJ221" s="27"/>
      <c r="BK221" s="27"/>
      <c r="BL221" s="27"/>
      <c r="BM221" s="27"/>
      <c r="BN221" s="27"/>
      <c r="BO221" s="27"/>
      <c r="BP221" s="27"/>
      <c r="BQ221" s="27"/>
      <c r="BR221" s="27"/>
      <c r="BS221" s="27"/>
      <c r="BT221" s="27"/>
      <c r="BU221" s="27"/>
      <c r="BV221" s="27"/>
      <c r="BW221" s="27"/>
      <c r="BX221" s="27"/>
      <c r="BY221" s="27"/>
      <c r="BZ221" s="27"/>
      <c r="CA221" s="27"/>
      <c r="CB221" s="27"/>
      <c r="CC221" s="27"/>
      <c r="CD221" s="27"/>
      <c r="CE221" s="27"/>
      <c r="CF221" s="27"/>
      <c r="CG221" s="27"/>
      <c r="CH221" s="27"/>
      <c r="CI221" s="27"/>
      <c r="CJ221" s="27"/>
      <c r="CK221" s="27"/>
      <c r="CL221" s="27"/>
      <c r="CM221" s="27"/>
      <c r="CN221" s="27"/>
      <c r="CO221" s="27"/>
      <c r="CP221" s="27"/>
      <c r="CQ221" s="27"/>
      <c r="CR221" s="27"/>
      <c r="CS221" s="27"/>
      <c r="CT221" s="27"/>
      <c r="CU221" s="27"/>
      <c r="CV221" s="27"/>
      <c r="CW221" s="27"/>
      <c r="CX221" s="27"/>
      <c r="CY221" s="27"/>
      <c r="CZ221" s="27"/>
      <c r="DA221" s="27"/>
      <c r="DB221" s="27"/>
      <c r="DC221" s="27"/>
      <c r="DD221" s="27"/>
      <c r="DE221" s="27"/>
      <c r="DF221" s="27"/>
      <c r="DG221" s="27"/>
      <c r="DH221" s="27"/>
      <c r="DI221" s="27"/>
      <c r="DJ221" s="27"/>
      <c r="DK221" s="27"/>
      <c r="DL221" s="27"/>
      <c r="DM221" s="27"/>
      <c r="DN221" s="27"/>
      <c r="DO221" s="27"/>
      <c r="DP221" s="27"/>
      <c r="DQ221" s="27"/>
      <c r="DR221" s="27"/>
      <c r="DS221" s="27"/>
      <c r="DT221" s="27"/>
    </row>
    <row r="222" spans="2:124" x14ac:dyDescent="0.2">
      <c r="B222" s="27"/>
      <c r="C222" s="27" t="str">
        <f>BF73</f>
        <v>תוספת ערבה</v>
      </c>
      <c r="D222" s="27">
        <f>AB39</f>
        <v>0</v>
      </c>
      <c r="E222" s="27"/>
      <c r="F222" s="27" t="e">
        <f>SUM(F205:F221)</f>
        <v>#REF!</v>
      </c>
      <c r="G222" s="27"/>
      <c r="H222" s="27"/>
      <c r="I222" s="27">
        <f t="shared" si="16"/>
        <v>8.5</v>
      </c>
      <c r="J222" s="27" t="e">
        <f t="shared" si="17"/>
        <v>#N/A</v>
      </c>
      <c r="K222" s="27"/>
      <c r="L222" s="27">
        <f t="shared" si="15"/>
        <v>8.5</v>
      </c>
      <c r="M222" s="27"/>
      <c r="N222" s="27"/>
      <c r="O222" s="27"/>
      <c r="P222" s="27"/>
      <c r="Q222" s="27"/>
      <c r="R222" s="27"/>
      <c r="S222" s="27"/>
      <c r="T222" s="27"/>
      <c r="U222" s="27"/>
      <c r="V222" s="27"/>
      <c r="W222" s="27"/>
      <c r="X222" s="27"/>
      <c r="Y222" s="27"/>
      <c r="Z222" s="27"/>
      <c r="AA222" s="27"/>
      <c r="AB222" s="27"/>
      <c r="AC222" s="27"/>
      <c r="AD222" s="27"/>
      <c r="AE222" s="27"/>
      <c r="AF222" s="27"/>
      <c r="AG222" s="27"/>
      <c r="AH222" s="27"/>
      <c r="AI222" s="27"/>
      <c r="AJ222" s="27"/>
      <c r="AK222" s="27"/>
      <c r="AL222" s="27"/>
      <c r="AM222" s="27"/>
      <c r="AN222" s="27"/>
      <c r="AO222" s="27"/>
      <c r="AP222" s="27"/>
      <c r="AQ222" s="27"/>
      <c r="AR222" s="27"/>
      <c r="AS222" s="27"/>
      <c r="AT222" s="27"/>
      <c r="AU222" s="27"/>
      <c r="AV222" s="27"/>
      <c r="AW222" s="27"/>
      <c r="AX222" s="27"/>
      <c r="AY222" s="27"/>
      <c r="AZ222" s="27"/>
      <c r="BA222" s="27"/>
      <c r="BB222" s="27"/>
      <c r="BC222" s="27"/>
      <c r="BD222" s="27"/>
      <c r="BE222" s="27"/>
      <c r="BF222" s="27"/>
      <c r="BG222" s="27"/>
      <c r="BH222" s="27"/>
      <c r="BI222" s="27"/>
      <c r="BJ222" s="27"/>
      <c r="BK222" s="27"/>
      <c r="BL222" s="27"/>
      <c r="BM222" s="27"/>
      <c r="BN222" s="27"/>
      <c r="BO222" s="27"/>
      <c r="BP222" s="27"/>
      <c r="BQ222" s="27"/>
      <c r="BR222" s="27"/>
      <c r="BS222" s="27"/>
      <c r="BT222" s="27"/>
      <c r="BU222" s="27"/>
      <c r="BV222" s="27"/>
      <c r="BW222" s="27"/>
      <c r="BX222" s="27"/>
      <c r="BY222" s="27"/>
      <c r="BZ222" s="27"/>
      <c r="CA222" s="27"/>
      <c r="CB222" s="27"/>
      <c r="CC222" s="27"/>
      <c r="CD222" s="27"/>
      <c r="CE222" s="27"/>
      <c r="CF222" s="27"/>
      <c r="CG222" s="27"/>
      <c r="CH222" s="27"/>
      <c r="CI222" s="27"/>
      <c r="CJ222" s="27"/>
      <c r="CK222" s="27"/>
      <c r="CL222" s="27"/>
      <c r="CM222" s="27"/>
      <c r="CN222" s="27"/>
      <c r="CO222" s="27"/>
      <c r="CP222" s="27"/>
      <c r="CQ222" s="27"/>
      <c r="CR222" s="27"/>
      <c r="CS222" s="27"/>
      <c r="CT222" s="27"/>
      <c r="CU222" s="27"/>
      <c r="CV222" s="27"/>
      <c r="CW222" s="27"/>
      <c r="CX222" s="27"/>
      <c r="CY222" s="27"/>
      <c r="CZ222" s="27"/>
      <c r="DA222" s="27"/>
      <c r="DB222" s="27"/>
      <c r="DC222" s="27"/>
      <c r="DD222" s="27"/>
      <c r="DE222" s="27"/>
      <c r="DF222" s="27"/>
      <c r="DG222" s="27"/>
      <c r="DH222" s="27"/>
      <c r="DI222" s="27"/>
      <c r="DJ222" s="27"/>
      <c r="DK222" s="27"/>
      <c r="DL222" s="27"/>
      <c r="DM222" s="27"/>
      <c r="DN222" s="27"/>
      <c r="DO222" s="27"/>
      <c r="DP222" s="27"/>
      <c r="DQ222" s="27"/>
      <c r="DR222" s="27"/>
      <c r="DS222" s="27"/>
      <c r="DT222" s="27"/>
    </row>
    <row r="223" spans="2:124" x14ac:dyDescent="0.2">
      <c r="B223" s="27"/>
      <c r="C223" s="27"/>
      <c r="D223" s="27"/>
      <c r="E223" s="27"/>
      <c r="F223" s="27"/>
      <c r="G223" s="27"/>
      <c r="H223" s="27"/>
      <c r="I223" s="27">
        <f t="shared" si="16"/>
        <v>9</v>
      </c>
      <c r="J223" s="27" t="e">
        <f t="shared" si="17"/>
        <v>#N/A</v>
      </c>
      <c r="K223" s="27"/>
      <c r="L223" s="27">
        <f t="shared" si="15"/>
        <v>9</v>
      </c>
      <c r="M223" s="27"/>
      <c r="N223" s="27"/>
      <c r="O223" s="27"/>
      <c r="P223" s="27"/>
      <c r="Q223" s="27"/>
      <c r="R223" s="27"/>
      <c r="S223" s="27"/>
      <c r="T223" s="27"/>
      <c r="U223" s="27"/>
      <c r="V223" s="27"/>
      <c r="W223" s="27"/>
      <c r="X223" s="27"/>
      <c r="Y223" s="27"/>
      <c r="Z223" s="27"/>
      <c r="AA223" s="27"/>
      <c r="AB223" s="27"/>
      <c r="AC223" s="27"/>
      <c r="AD223" s="27"/>
      <c r="AE223" s="27"/>
      <c r="AF223" s="27"/>
      <c r="AG223" s="27"/>
      <c r="AH223" s="27"/>
      <c r="AI223" s="27"/>
      <c r="AJ223" s="27"/>
      <c r="AK223" s="27"/>
      <c r="AL223" s="27"/>
      <c r="AM223" s="27"/>
      <c r="AN223" s="27"/>
      <c r="AO223" s="27"/>
      <c r="AP223" s="27"/>
      <c r="AQ223" s="27"/>
      <c r="AR223" s="27"/>
      <c r="AS223" s="27"/>
      <c r="AT223" s="27"/>
      <c r="AU223" s="27"/>
      <c r="AV223" s="27"/>
      <c r="AW223" s="27"/>
      <c r="AX223" s="27"/>
      <c r="AY223" s="27"/>
      <c r="AZ223" s="27"/>
      <c r="BA223" s="27"/>
      <c r="BB223" s="27"/>
      <c r="BC223" s="27"/>
      <c r="BD223" s="27"/>
      <c r="BE223" s="27"/>
      <c r="BF223" s="27"/>
      <c r="BG223" s="27"/>
      <c r="BH223" s="27"/>
      <c r="BI223" s="27"/>
      <c r="BJ223" s="27"/>
      <c r="BK223" s="27"/>
      <c r="BL223" s="27"/>
      <c r="BM223" s="27"/>
      <c r="BN223" s="27"/>
      <c r="BO223" s="27"/>
      <c r="BP223" s="27"/>
      <c r="BQ223" s="27"/>
      <c r="BR223" s="27"/>
      <c r="BS223" s="27"/>
      <c r="BT223" s="27"/>
      <c r="BU223" s="27"/>
      <c r="BV223" s="27"/>
      <c r="BW223" s="27"/>
      <c r="BX223" s="27"/>
      <c r="BY223" s="27"/>
      <c r="BZ223" s="27"/>
      <c r="CA223" s="27"/>
      <c r="CB223" s="27"/>
      <c r="CC223" s="27"/>
      <c r="CD223" s="27"/>
      <c r="CE223" s="27"/>
      <c r="CF223" s="27"/>
      <c r="CG223" s="27"/>
      <c r="CH223" s="27"/>
      <c r="CI223" s="27"/>
      <c r="CJ223" s="27"/>
      <c r="CK223" s="27"/>
      <c r="CL223" s="27"/>
      <c r="CM223" s="27"/>
      <c r="CN223" s="27"/>
      <c r="CO223" s="27"/>
      <c r="CP223" s="27"/>
      <c r="CQ223" s="27"/>
      <c r="CR223" s="27"/>
      <c r="CS223" s="27"/>
      <c r="CT223" s="27"/>
      <c r="CU223" s="27"/>
      <c r="CV223" s="27"/>
      <c r="CW223" s="27"/>
      <c r="CX223" s="27"/>
      <c r="CY223" s="27"/>
      <c r="CZ223" s="27"/>
      <c r="DA223" s="27"/>
      <c r="DB223" s="27"/>
      <c r="DC223" s="27"/>
      <c r="DD223" s="27"/>
      <c r="DE223" s="27"/>
      <c r="DF223" s="27"/>
      <c r="DG223" s="27"/>
      <c r="DH223" s="27"/>
      <c r="DI223" s="27"/>
      <c r="DJ223" s="27"/>
      <c r="DK223" s="27"/>
      <c r="DL223" s="27"/>
      <c r="DM223" s="27"/>
      <c r="DN223" s="27"/>
      <c r="DO223" s="27"/>
      <c r="DP223" s="27"/>
      <c r="DQ223" s="27"/>
      <c r="DR223" s="27"/>
      <c r="DS223" s="27"/>
      <c r="DT223" s="27"/>
    </row>
    <row r="224" spans="2:124" x14ac:dyDescent="0.2">
      <c r="B224" s="27"/>
      <c r="C224" s="27" t="e">
        <f>#REF!</f>
        <v>#REF!</v>
      </c>
      <c r="D224" s="27">
        <f>AB40</f>
        <v>0</v>
      </c>
      <c r="E224" s="27"/>
      <c r="F224" s="27"/>
      <c r="G224" s="27"/>
      <c r="H224" s="27"/>
      <c r="I224" s="27"/>
      <c r="J224" s="27"/>
      <c r="K224" s="27"/>
      <c r="L224" s="27"/>
      <c r="M224" s="27"/>
      <c r="N224" s="27"/>
      <c r="O224" s="27"/>
      <c r="P224" s="27"/>
      <c r="Q224" s="27"/>
      <c r="R224" s="27"/>
      <c r="S224" s="27"/>
      <c r="T224" s="27"/>
      <c r="U224" s="27"/>
      <c r="V224" s="27"/>
      <c r="W224" s="27"/>
      <c r="X224" s="27"/>
      <c r="Y224" s="27"/>
      <c r="Z224" s="27"/>
      <c r="AA224" s="27"/>
      <c r="AB224" s="27"/>
      <c r="AC224" s="27"/>
      <c r="AD224" s="27"/>
      <c r="AE224" s="27"/>
      <c r="AF224" s="27"/>
      <c r="AG224" s="27"/>
      <c r="AH224" s="27"/>
      <c r="AI224" s="27"/>
      <c r="AJ224" s="27"/>
      <c r="AK224" s="27"/>
      <c r="AL224" s="27"/>
      <c r="AM224" s="27"/>
      <c r="AN224" s="27"/>
      <c r="AO224" s="27"/>
      <c r="AP224" s="27"/>
      <c r="AQ224" s="27"/>
      <c r="AR224" s="27"/>
      <c r="AS224" s="27"/>
      <c r="AT224" s="27"/>
      <c r="AU224" s="27"/>
      <c r="AV224" s="27"/>
      <c r="AW224" s="27"/>
      <c r="AX224" s="27"/>
      <c r="AY224" s="27"/>
      <c r="AZ224" s="27"/>
      <c r="BA224" s="27"/>
      <c r="BB224" s="27"/>
      <c r="BC224" s="27"/>
      <c r="BD224" s="27"/>
      <c r="BE224" s="27"/>
      <c r="BF224" s="27"/>
      <c r="BG224" s="27"/>
      <c r="BH224" s="27"/>
      <c r="BI224" s="27"/>
      <c r="BJ224" s="27"/>
      <c r="BK224" s="27"/>
      <c r="BL224" s="27"/>
      <c r="BM224" s="27"/>
      <c r="BN224" s="27"/>
      <c r="BO224" s="27"/>
      <c r="BP224" s="27"/>
      <c r="BQ224" s="27"/>
      <c r="BR224" s="27"/>
      <c r="BS224" s="27"/>
      <c r="BT224" s="27"/>
      <c r="BU224" s="27"/>
      <c r="BV224" s="27"/>
      <c r="BW224" s="27"/>
      <c r="BX224" s="27"/>
      <c r="BY224" s="27"/>
      <c r="BZ224" s="27"/>
      <c r="CA224" s="27"/>
      <c r="CB224" s="27"/>
      <c r="CC224" s="27"/>
      <c r="CD224" s="27"/>
      <c r="CE224" s="27"/>
      <c r="CF224" s="27"/>
      <c r="CG224" s="27"/>
      <c r="CH224" s="27"/>
      <c r="CI224" s="27"/>
      <c r="CJ224" s="27"/>
      <c r="CK224" s="27"/>
      <c r="CL224" s="27"/>
      <c r="CM224" s="27"/>
      <c r="CN224" s="27"/>
      <c r="CO224" s="27"/>
      <c r="CP224" s="27"/>
      <c r="CQ224" s="27"/>
      <c r="CR224" s="27"/>
      <c r="CS224" s="27"/>
      <c r="CT224" s="27"/>
      <c r="CU224" s="27"/>
      <c r="CV224" s="27"/>
      <c r="CW224" s="27"/>
      <c r="CX224" s="27"/>
      <c r="CY224" s="27"/>
      <c r="CZ224" s="27"/>
      <c r="DA224" s="27"/>
      <c r="DB224" s="27"/>
      <c r="DC224" s="27"/>
      <c r="DD224" s="27"/>
      <c r="DE224" s="27"/>
      <c r="DF224" s="27"/>
      <c r="DG224" s="27"/>
      <c r="DH224" s="27"/>
      <c r="DI224" s="27"/>
      <c r="DJ224" s="27"/>
      <c r="DK224" s="27"/>
      <c r="DL224" s="27"/>
      <c r="DM224" s="27"/>
      <c r="DN224" s="27"/>
      <c r="DO224" s="27"/>
      <c r="DP224" s="27"/>
      <c r="DQ224" s="27"/>
      <c r="DR224" s="27"/>
      <c r="DS224" s="27"/>
      <c r="DT224" s="27"/>
    </row>
    <row r="225" spans="2:124" x14ac:dyDescent="0.2">
      <c r="B225" s="27"/>
      <c r="C225" s="27" t="e">
        <f>#REF!</f>
        <v>#REF!</v>
      </c>
      <c r="D225" s="27">
        <f>IF( C172=0,0,(P97+I11+P97*X2)*(70%*C172))</f>
        <v>0</v>
      </c>
      <c r="E225" s="27"/>
      <c r="F225" s="27"/>
      <c r="G225" s="27"/>
      <c r="H225" s="27"/>
      <c r="I225" s="27"/>
      <c r="J225" s="27"/>
      <c r="K225" s="27"/>
      <c r="L225" s="27"/>
      <c r="M225" s="27"/>
      <c r="N225" s="27"/>
      <c r="O225" s="27"/>
      <c r="P225" s="27"/>
      <c r="Q225" s="27"/>
      <c r="R225" s="27"/>
      <c r="S225" s="27"/>
      <c r="T225" s="27"/>
      <c r="U225" s="27"/>
      <c r="V225" s="27"/>
      <c r="W225" s="27"/>
      <c r="X225" s="27"/>
      <c r="Y225" s="27"/>
      <c r="Z225" s="27"/>
      <c r="AA225" s="27"/>
      <c r="AB225" s="27"/>
      <c r="AC225" s="27"/>
      <c r="AD225" s="27"/>
      <c r="AE225" s="27"/>
      <c r="AF225" s="27"/>
      <c r="AG225" s="27"/>
      <c r="AH225" s="27"/>
      <c r="AI225" s="27"/>
      <c r="AJ225" s="27"/>
      <c r="AK225" s="27"/>
      <c r="AL225" s="27"/>
      <c r="AM225" s="27"/>
      <c r="AN225" s="27"/>
      <c r="AO225" s="27"/>
      <c r="AP225" s="27"/>
      <c r="AQ225" s="27"/>
      <c r="AR225" s="27"/>
      <c r="AS225" s="27"/>
      <c r="AT225" s="27"/>
      <c r="AU225" s="27"/>
      <c r="AV225" s="27"/>
      <c r="AW225" s="27"/>
      <c r="AX225" s="27"/>
      <c r="AY225" s="27"/>
      <c r="AZ225" s="27"/>
      <c r="BA225" s="27"/>
      <c r="BB225" s="27"/>
      <c r="BC225" s="27"/>
      <c r="BD225" s="27"/>
      <c r="BE225" s="27"/>
      <c r="BF225" s="27"/>
      <c r="BG225" s="27"/>
      <c r="BH225" s="27"/>
      <c r="BI225" s="27"/>
      <c r="BJ225" s="27"/>
      <c r="BK225" s="27"/>
      <c r="BL225" s="27"/>
      <c r="BM225" s="27"/>
      <c r="BN225" s="27"/>
      <c r="BO225" s="27"/>
      <c r="BP225" s="27"/>
      <c r="BQ225" s="27"/>
      <c r="BR225" s="27"/>
      <c r="BS225" s="27"/>
      <c r="BT225" s="27"/>
      <c r="BU225" s="27"/>
      <c r="BV225" s="27"/>
      <c r="BW225" s="27"/>
      <c r="BX225" s="27"/>
      <c r="BY225" s="27"/>
      <c r="BZ225" s="27"/>
      <c r="CA225" s="27"/>
      <c r="CB225" s="27"/>
      <c r="CC225" s="27"/>
      <c r="CD225" s="27"/>
      <c r="CE225" s="27"/>
      <c r="CF225" s="27"/>
      <c r="CG225" s="27"/>
      <c r="CH225" s="27"/>
      <c r="CI225" s="27"/>
      <c r="CJ225" s="27"/>
      <c r="CK225" s="27"/>
      <c r="CL225" s="27"/>
      <c r="CM225" s="27"/>
      <c r="CN225" s="27"/>
      <c r="CO225" s="27"/>
      <c r="CP225" s="27"/>
      <c r="CQ225" s="27"/>
      <c r="CR225" s="27"/>
      <c r="CS225" s="27"/>
      <c r="CT225" s="27"/>
      <c r="CU225" s="27"/>
      <c r="CV225" s="27"/>
      <c r="CW225" s="27"/>
      <c r="CX225" s="27"/>
      <c r="CY225" s="27"/>
      <c r="CZ225" s="27"/>
      <c r="DA225" s="27"/>
      <c r="DB225" s="27"/>
      <c r="DC225" s="27"/>
      <c r="DD225" s="27"/>
      <c r="DE225" s="27"/>
      <c r="DF225" s="27"/>
      <c r="DG225" s="27"/>
      <c r="DH225" s="27"/>
      <c r="DI225" s="27"/>
      <c r="DJ225" s="27"/>
      <c r="DK225" s="27"/>
      <c r="DL225" s="27"/>
      <c r="DM225" s="27"/>
      <c r="DN225" s="27"/>
      <c r="DO225" s="27"/>
      <c r="DP225" s="27"/>
      <c r="DQ225" s="27"/>
      <c r="DR225" s="27"/>
      <c r="DS225" s="27"/>
      <c r="DT225" s="27"/>
    </row>
    <row r="226" spans="2:124" x14ac:dyDescent="0.2">
      <c r="B226" s="27"/>
      <c r="C226" s="27" t="e">
        <f>#REF!</f>
        <v>#REF!</v>
      </c>
      <c r="D226" s="27">
        <f>SUM(I7:I11)*B167</f>
        <v>0</v>
      </c>
      <c r="E226" s="27"/>
      <c r="F226" s="27"/>
      <c r="G226" s="27"/>
      <c r="H226" s="27"/>
      <c r="I226" s="27"/>
      <c r="J226" s="27"/>
      <c r="K226" s="27"/>
      <c r="L226" s="27"/>
      <c r="M226" s="27"/>
      <c r="N226" s="27"/>
      <c r="O226" s="27"/>
      <c r="P226" s="27"/>
      <c r="Q226" s="27"/>
      <c r="R226" s="27"/>
      <c r="S226" s="27"/>
      <c r="T226" s="27"/>
      <c r="U226" s="27"/>
      <c r="V226" s="27"/>
      <c r="W226" s="27"/>
      <c r="X226" s="27"/>
      <c r="Y226" s="27"/>
      <c r="Z226" s="27"/>
      <c r="AA226" s="27"/>
      <c r="AB226" s="27"/>
      <c r="AC226" s="27"/>
      <c r="AD226" s="27"/>
      <c r="AE226" s="27"/>
      <c r="AF226" s="27"/>
      <c r="AG226" s="27"/>
      <c r="AH226" s="27"/>
      <c r="AI226" s="27"/>
      <c r="AJ226" s="27"/>
      <c r="AK226" s="27"/>
      <c r="AL226" s="27"/>
      <c r="AM226" s="27"/>
      <c r="AN226" s="27"/>
      <c r="AO226" s="27"/>
      <c r="AP226" s="27"/>
      <c r="AQ226" s="27"/>
      <c r="AR226" s="27"/>
      <c r="AS226" s="27"/>
      <c r="AT226" s="27"/>
      <c r="AU226" s="27"/>
      <c r="AV226" s="27"/>
      <c r="AW226" s="27"/>
      <c r="AX226" s="27"/>
      <c r="AY226" s="27"/>
      <c r="AZ226" s="27"/>
      <c r="BA226" s="27"/>
      <c r="BB226" s="27"/>
      <c r="BC226" s="27"/>
      <c r="BD226" s="27"/>
      <c r="BE226" s="27"/>
      <c r="BF226" s="27"/>
      <c r="BG226" s="27"/>
      <c r="BH226" s="27"/>
      <c r="BI226" s="27"/>
      <c r="BJ226" s="27"/>
      <c r="BK226" s="27"/>
      <c r="BL226" s="27"/>
      <c r="BM226" s="27"/>
      <c r="BN226" s="27"/>
      <c r="BO226" s="27"/>
      <c r="BP226" s="27"/>
      <c r="BQ226" s="27"/>
      <c r="BR226" s="27"/>
      <c r="BS226" s="27"/>
      <c r="BT226" s="27"/>
      <c r="BU226" s="27"/>
      <c r="BV226" s="27"/>
      <c r="BW226" s="27"/>
      <c r="BX226" s="27"/>
      <c r="BY226" s="27"/>
      <c r="BZ226" s="27"/>
      <c r="CA226" s="27"/>
      <c r="CB226" s="27"/>
      <c r="CC226" s="27"/>
      <c r="CD226" s="27"/>
      <c r="CE226" s="27"/>
      <c r="CF226" s="27"/>
      <c r="CG226" s="27"/>
      <c r="CH226" s="27"/>
      <c r="CI226" s="27"/>
      <c r="CJ226" s="27"/>
      <c r="CK226" s="27"/>
      <c r="CL226" s="27"/>
      <c r="CM226" s="27"/>
      <c r="CN226" s="27"/>
      <c r="CO226" s="27"/>
      <c r="CP226" s="27"/>
      <c r="CQ226" s="27"/>
      <c r="CR226" s="27"/>
      <c r="CS226" s="27"/>
      <c r="CT226" s="27"/>
      <c r="CU226" s="27"/>
      <c r="CV226" s="27"/>
      <c r="CW226" s="27"/>
      <c r="CX226" s="27"/>
      <c r="CY226" s="27"/>
      <c r="CZ226" s="27"/>
      <c r="DA226" s="27"/>
      <c r="DB226" s="27"/>
      <c r="DC226" s="27"/>
      <c r="DD226" s="27"/>
      <c r="DE226" s="27"/>
      <c r="DF226" s="27"/>
      <c r="DG226" s="27"/>
      <c r="DH226" s="27"/>
      <c r="DI226" s="27"/>
      <c r="DJ226" s="27"/>
      <c r="DK226" s="27"/>
      <c r="DL226" s="27"/>
      <c r="DM226" s="27"/>
      <c r="DN226" s="27"/>
      <c r="DO226" s="27"/>
      <c r="DP226" s="27"/>
      <c r="DQ226" s="27"/>
      <c r="DR226" s="27"/>
      <c r="DS226" s="27"/>
      <c r="DT226" s="27"/>
    </row>
    <row r="227" spans="2:124" x14ac:dyDescent="0.2">
      <c r="B227" s="27"/>
      <c r="C227" s="27" t="e">
        <f>#REF!</f>
        <v>#REF!</v>
      </c>
      <c r="D227" s="27">
        <f>D226*BB20</f>
        <v>0</v>
      </c>
      <c r="E227" s="27"/>
      <c r="F227" s="27"/>
      <c r="G227" s="27"/>
      <c r="H227" s="27"/>
      <c r="I227" s="27"/>
      <c r="J227" s="27"/>
      <c r="K227" s="27"/>
      <c r="L227" s="27"/>
      <c r="M227" s="27"/>
      <c r="N227" s="27"/>
      <c r="O227" s="27"/>
      <c r="P227" s="27"/>
      <c r="Q227" s="27"/>
      <c r="R227" s="27"/>
      <c r="S227" s="27"/>
      <c r="T227" s="27"/>
      <c r="U227" s="27"/>
      <c r="V227" s="27"/>
      <c r="W227" s="27"/>
      <c r="X227" s="27"/>
      <c r="Y227" s="27"/>
      <c r="Z227" s="27"/>
      <c r="AA227" s="27"/>
      <c r="AB227" s="27"/>
      <c r="AC227" s="27"/>
      <c r="AD227" s="27"/>
      <c r="AE227" s="27"/>
      <c r="AF227" s="27"/>
      <c r="AG227" s="27"/>
      <c r="AH227" s="27"/>
      <c r="AI227" s="27"/>
      <c r="AJ227" s="27"/>
      <c r="AK227" s="27"/>
      <c r="AL227" s="27"/>
      <c r="AM227" s="27"/>
      <c r="AN227" s="27"/>
      <c r="AO227" s="27"/>
      <c r="AP227" s="27"/>
      <c r="AQ227" s="27"/>
      <c r="AR227" s="27"/>
      <c r="AS227" s="27"/>
      <c r="AT227" s="27"/>
      <c r="AU227" s="27"/>
      <c r="AV227" s="27"/>
      <c r="AW227" s="27"/>
      <c r="AX227" s="27"/>
      <c r="AY227" s="27"/>
      <c r="AZ227" s="27"/>
      <c r="BA227" s="27"/>
      <c r="BB227" s="27"/>
      <c r="BC227" s="27"/>
      <c r="BD227" s="27"/>
      <c r="BE227" s="27"/>
      <c r="BF227" s="27"/>
      <c r="BG227" s="27"/>
      <c r="BH227" s="27"/>
      <c r="BI227" s="27"/>
      <c r="BJ227" s="27"/>
      <c r="BK227" s="27"/>
      <c r="BL227" s="27"/>
      <c r="BM227" s="27"/>
      <c r="BN227" s="27"/>
      <c r="BO227" s="27"/>
      <c r="BP227" s="27"/>
      <c r="BQ227" s="27"/>
      <c r="BR227" s="27"/>
      <c r="BS227" s="27"/>
      <c r="BT227" s="27"/>
      <c r="BU227" s="27"/>
      <c r="BV227" s="27"/>
      <c r="BW227" s="27"/>
      <c r="BX227" s="27"/>
      <c r="BY227" s="27"/>
      <c r="BZ227" s="27"/>
      <c r="CA227" s="27"/>
      <c r="CB227" s="27"/>
      <c r="CC227" s="27"/>
      <c r="CD227" s="27"/>
      <c r="CE227" s="27"/>
      <c r="CF227" s="27"/>
      <c r="CG227" s="27"/>
      <c r="CH227" s="27"/>
      <c r="CI227" s="27"/>
      <c r="CJ227" s="27"/>
      <c r="CK227" s="27"/>
      <c r="CL227" s="27"/>
      <c r="CM227" s="27"/>
      <c r="CN227" s="27"/>
      <c r="CO227" s="27"/>
      <c r="CP227" s="27"/>
      <c r="CQ227" s="27"/>
      <c r="CR227" s="27"/>
      <c r="CS227" s="27"/>
      <c r="CT227" s="27"/>
      <c r="CU227" s="27"/>
      <c r="CV227" s="27"/>
      <c r="CW227" s="27"/>
      <c r="CX227" s="27"/>
      <c r="CY227" s="27"/>
      <c r="CZ227" s="27"/>
      <c r="DA227" s="27"/>
      <c r="DB227" s="27"/>
      <c r="DC227" s="27"/>
      <c r="DD227" s="27"/>
      <c r="DE227" s="27"/>
      <c r="DF227" s="27"/>
      <c r="DG227" s="27"/>
      <c r="DH227" s="27"/>
      <c r="DI227" s="27"/>
      <c r="DJ227" s="27"/>
      <c r="DK227" s="27"/>
      <c r="DL227" s="27"/>
      <c r="DM227" s="27"/>
      <c r="DN227" s="27"/>
      <c r="DO227" s="27"/>
      <c r="DP227" s="27"/>
      <c r="DQ227" s="27"/>
      <c r="DR227" s="27"/>
      <c r="DS227" s="27"/>
      <c r="DT227" s="27"/>
    </row>
    <row r="228" spans="2:124" x14ac:dyDescent="0.2">
      <c r="B228" s="27"/>
      <c r="C228" s="27" t="e">
        <f>#REF!</f>
        <v>#REF!</v>
      </c>
      <c r="D228" s="27">
        <f>IF(B169=AH45,0,P95*43%)</f>
        <v>0</v>
      </c>
      <c r="E228" s="27"/>
      <c r="F228" s="27"/>
      <c r="G228" s="27"/>
      <c r="H228" s="27"/>
      <c r="I228" s="27"/>
      <c r="J228" s="27"/>
      <c r="K228" s="27"/>
      <c r="L228" s="27"/>
      <c r="M228" s="27"/>
      <c r="N228" s="27"/>
      <c r="O228" s="27"/>
      <c r="P228" s="27"/>
      <c r="Q228" s="27"/>
      <c r="R228" s="27"/>
      <c r="S228" s="27"/>
      <c r="T228" s="27"/>
      <c r="U228" s="27"/>
      <c r="V228" s="27"/>
      <c r="W228" s="27"/>
      <c r="X228" s="27"/>
      <c r="Y228" s="27"/>
      <c r="Z228" s="27"/>
      <c r="AA228" s="27"/>
      <c r="AB228" s="27"/>
      <c r="AC228" s="27"/>
      <c r="AD228" s="27"/>
      <c r="AE228" s="27"/>
      <c r="AF228" s="27"/>
      <c r="AG228" s="27"/>
      <c r="AH228" s="27"/>
      <c r="AI228" s="27"/>
      <c r="AJ228" s="27"/>
      <c r="AK228" s="27"/>
      <c r="AL228" s="27"/>
      <c r="AM228" s="27"/>
      <c r="AN228" s="27"/>
      <c r="AO228" s="27"/>
      <c r="AP228" s="27"/>
      <c r="AQ228" s="27"/>
      <c r="AR228" s="27"/>
      <c r="AS228" s="27"/>
      <c r="AT228" s="27"/>
      <c r="AU228" s="27"/>
      <c r="AV228" s="27"/>
      <c r="AW228" s="27"/>
      <c r="AX228" s="27"/>
      <c r="AY228" s="27"/>
      <c r="AZ228" s="27"/>
      <c r="BA228" s="27"/>
      <c r="BB228" s="27"/>
      <c r="BC228" s="27"/>
      <c r="BD228" s="27"/>
      <c r="BE228" s="27"/>
      <c r="BF228" s="27"/>
      <c r="BG228" s="27"/>
      <c r="BH228" s="27"/>
      <c r="BI228" s="27"/>
      <c r="BJ228" s="27"/>
      <c r="BK228" s="27"/>
      <c r="BL228" s="27"/>
      <c r="BM228" s="27"/>
      <c r="BN228" s="27"/>
      <c r="BO228" s="27"/>
      <c r="BP228" s="27"/>
      <c r="BQ228" s="27"/>
      <c r="BR228" s="27"/>
      <c r="BS228" s="27"/>
      <c r="BT228" s="27"/>
      <c r="BU228" s="27"/>
      <c r="BV228" s="27"/>
      <c r="BW228" s="27"/>
      <c r="BX228" s="27"/>
      <c r="BY228" s="27"/>
      <c r="BZ228" s="27"/>
      <c r="CA228" s="27"/>
      <c r="CB228" s="27"/>
      <c r="CC228" s="27"/>
      <c r="CD228" s="27"/>
      <c r="CE228" s="27"/>
      <c r="CF228" s="27"/>
      <c r="CG228" s="27"/>
      <c r="CH228" s="27"/>
      <c r="CI228" s="27"/>
      <c r="CJ228" s="27"/>
      <c r="CK228" s="27"/>
      <c r="CL228" s="27"/>
      <c r="CM228" s="27"/>
      <c r="CN228" s="27"/>
      <c r="CO228" s="27"/>
      <c r="CP228" s="27"/>
      <c r="CQ228" s="27"/>
      <c r="CR228" s="27"/>
      <c r="CS228" s="27"/>
      <c r="CT228" s="27"/>
      <c r="CU228" s="27"/>
      <c r="CV228" s="27"/>
      <c r="CW228" s="27"/>
      <c r="CX228" s="27"/>
      <c r="CY228" s="27"/>
      <c r="CZ228" s="27"/>
      <c r="DA228" s="27"/>
      <c r="DB228" s="27"/>
      <c r="DC228" s="27"/>
      <c r="DD228" s="27"/>
      <c r="DE228" s="27"/>
      <c r="DF228" s="27"/>
      <c r="DG228" s="27"/>
      <c r="DH228" s="27"/>
      <c r="DI228" s="27"/>
      <c r="DJ228" s="27"/>
      <c r="DK228" s="27"/>
      <c r="DL228" s="27"/>
      <c r="DM228" s="27"/>
      <c r="DN228" s="27"/>
      <c r="DO228" s="27"/>
      <c r="DP228" s="27"/>
      <c r="DQ228" s="27"/>
      <c r="DR228" s="27"/>
      <c r="DS228" s="27"/>
      <c r="DT228" s="27"/>
    </row>
    <row r="229" spans="2:124" x14ac:dyDescent="0.2">
      <c r="B229" s="27"/>
      <c r="C229" s="27" t="str">
        <f>AA29</f>
        <v>תוספת סמינרים  12%</v>
      </c>
      <c r="D229" s="27">
        <f>SUM(I7:I11)*C12</f>
        <v>0</v>
      </c>
      <c r="E229" s="27"/>
      <c r="F229" s="27"/>
      <c r="G229" s="27"/>
      <c r="H229" s="27"/>
      <c r="I229" s="27"/>
      <c r="J229" s="27"/>
      <c r="K229" s="27"/>
      <c r="L229" s="27"/>
      <c r="M229" s="27"/>
      <c r="N229" s="27"/>
      <c r="O229" s="27"/>
      <c r="P229" s="27"/>
      <c r="Q229" s="27"/>
      <c r="R229" s="27"/>
      <c r="S229" s="27"/>
      <c r="T229" s="27"/>
      <c r="U229" s="27"/>
      <c r="V229" s="27"/>
      <c r="W229" s="27"/>
      <c r="X229" s="27"/>
      <c r="Y229" s="27"/>
      <c r="Z229" s="27"/>
      <c r="AA229" s="27"/>
      <c r="AB229" s="27"/>
      <c r="AC229" s="27"/>
      <c r="AD229" s="27"/>
      <c r="AE229" s="27"/>
      <c r="AF229" s="27"/>
      <c r="AG229" s="27"/>
      <c r="AH229" s="27"/>
      <c r="AI229" s="27"/>
      <c r="AJ229" s="27"/>
      <c r="AK229" s="27"/>
      <c r="AL229" s="27"/>
      <c r="AM229" s="27"/>
      <c r="AN229" s="27"/>
      <c r="AO229" s="27"/>
      <c r="AP229" s="27"/>
      <c r="AQ229" s="27"/>
      <c r="AR229" s="27"/>
      <c r="AS229" s="27"/>
      <c r="AT229" s="27"/>
      <c r="AU229" s="27"/>
      <c r="AV229" s="27"/>
      <c r="AW229" s="27"/>
      <c r="AX229" s="27"/>
      <c r="AY229" s="27"/>
      <c r="AZ229" s="27"/>
      <c r="BA229" s="27"/>
      <c r="BB229" s="27"/>
      <c r="BC229" s="27"/>
      <c r="BD229" s="27"/>
      <c r="BE229" s="27"/>
      <c r="BF229" s="27"/>
      <c r="BG229" s="27"/>
      <c r="BH229" s="27"/>
      <c r="BI229" s="27"/>
      <c r="BJ229" s="27"/>
      <c r="BK229" s="27"/>
      <c r="BL229" s="27"/>
      <c r="BM229" s="27"/>
      <c r="BN229" s="27"/>
      <c r="BO229" s="27"/>
      <c r="BP229" s="27"/>
      <c r="BQ229" s="27"/>
      <c r="BR229" s="27"/>
      <c r="BS229" s="27"/>
      <c r="BT229" s="27"/>
      <c r="BU229" s="27"/>
      <c r="BV229" s="27"/>
      <c r="BW229" s="27"/>
      <c r="BX229" s="27"/>
      <c r="BY229" s="27"/>
      <c r="BZ229" s="27"/>
      <c r="CA229" s="27"/>
      <c r="CB229" s="27"/>
      <c r="CC229" s="27"/>
      <c r="CD229" s="27"/>
      <c r="CE229" s="27"/>
      <c r="CF229" s="27"/>
      <c r="CG229" s="27"/>
      <c r="CH229" s="27"/>
      <c r="CI229" s="27"/>
      <c r="CJ229" s="27"/>
      <c r="CK229" s="27"/>
      <c r="CL229" s="27"/>
      <c r="CM229" s="27"/>
      <c r="CN229" s="27"/>
      <c r="CO229" s="27"/>
      <c r="CP229" s="27"/>
      <c r="CQ229" s="27"/>
      <c r="CR229" s="27"/>
      <c r="CS229" s="27"/>
      <c r="CT229" s="27"/>
      <c r="CU229" s="27"/>
      <c r="CV229" s="27"/>
      <c r="CW229" s="27"/>
      <c r="CX229" s="27"/>
      <c r="CY229" s="27"/>
      <c r="CZ229" s="27"/>
      <c r="DA229" s="27"/>
      <c r="DB229" s="27"/>
      <c r="DC229" s="27"/>
      <c r="DD229" s="27"/>
      <c r="DE229" s="27"/>
      <c r="DF229" s="27"/>
      <c r="DG229" s="27"/>
      <c r="DH229" s="27"/>
      <c r="DI229" s="27"/>
      <c r="DJ229" s="27"/>
      <c r="DK229" s="27"/>
      <c r="DL229" s="27"/>
      <c r="DM229" s="27"/>
      <c r="DN229" s="27"/>
      <c r="DO229" s="27"/>
      <c r="DP229" s="27"/>
      <c r="DQ229" s="27"/>
      <c r="DR229" s="27"/>
      <c r="DS229" s="27"/>
      <c r="DT229" s="27"/>
    </row>
    <row r="230" spans="2:124" x14ac:dyDescent="0.2">
      <c r="B230" s="27"/>
      <c r="C230" s="27" t="str">
        <f>BF72</f>
        <v xml:space="preserve">תוספת דרגת קידום </v>
      </c>
      <c r="D230" s="27">
        <f>I7*C13</f>
        <v>0</v>
      </c>
      <c r="E230" s="27"/>
      <c r="F230" s="27"/>
      <c r="G230" s="27"/>
      <c r="H230" s="27"/>
      <c r="I230" s="27"/>
      <c r="J230" s="27"/>
      <c r="K230" s="27"/>
      <c r="L230" s="27"/>
      <c r="M230" s="27"/>
      <c r="N230" s="27"/>
      <c r="O230" s="27"/>
      <c r="P230" s="27"/>
      <c r="Q230" s="27"/>
      <c r="R230" s="27"/>
      <c r="S230" s="27"/>
      <c r="T230" s="27"/>
      <c r="U230" s="27"/>
      <c r="V230" s="27"/>
      <c r="W230" s="27"/>
      <c r="X230" s="27"/>
      <c r="Y230" s="27"/>
      <c r="Z230" s="27"/>
      <c r="AA230" s="27"/>
      <c r="AB230" s="27"/>
      <c r="AC230" s="27"/>
      <c r="AD230" s="27"/>
      <c r="AE230" s="27"/>
      <c r="AF230" s="27"/>
      <c r="AG230" s="27"/>
      <c r="AH230" s="27"/>
      <c r="AI230" s="27"/>
      <c r="AJ230" s="27"/>
      <c r="AK230" s="27"/>
      <c r="AL230" s="27"/>
      <c r="AM230" s="27"/>
      <c r="AN230" s="27"/>
      <c r="AO230" s="27"/>
      <c r="AP230" s="27"/>
      <c r="AQ230" s="27"/>
      <c r="AR230" s="27"/>
      <c r="AS230" s="27"/>
      <c r="AT230" s="27"/>
      <c r="AU230" s="27"/>
      <c r="AV230" s="27"/>
      <c r="AW230" s="27"/>
      <c r="AX230" s="27"/>
      <c r="AY230" s="27"/>
      <c r="AZ230" s="27"/>
      <c r="BA230" s="27"/>
      <c r="BB230" s="27"/>
      <c r="BC230" s="27"/>
      <c r="BD230" s="27"/>
      <c r="BE230" s="27"/>
      <c r="BF230" s="27"/>
      <c r="BG230" s="27"/>
      <c r="BH230" s="27"/>
      <c r="BI230" s="27"/>
      <c r="BJ230" s="27"/>
      <c r="BK230" s="27"/>
      <c r="BL230" s="27"/>
      <c r="BM230" s="27"/>
      <c r="BN230" s="27"/>
      <c r="BO230" s="27"/>
      <c r="BP230" s="27"/>
      <c r="BQ230" s="27"/>
      <c r="BR230" s="27"/>
      <c r="BS230" s="27"/>
      <c r="BT230" s="27"/>
      <c r="BU230" s="27"/>
      <c r="BV230" s="27"/>
      <c r="BW230" s="27"/>
      <c r="BX230" s="27"/>
      <c r="BY230" s="27"/>
      <c r="BZ230" s="27"/>
      <c r="CA230" s="27"/>
      <c r="CB230" s="27"/>
      <c r="CC230" s="27"/>
      <c r="CD230" s="27"/>
      <c r="CE230" s="27"/>
      <c r="CF230" s="27"/>
      <c r="CG230" s="27"/>
      <c r="CH230" s="27"/>
      <c r="CI230" s="27"/>
      <c r="CJ230" s="27"/>
      <c r="CK230" s="27"/>
      <c r="CL230" s="27"/>
      <c r="CM230" s="27"/>
      <c r="CN230" s="27"/>
      <c r="CO230" s="27"/>
      <c r="CP230" s="27"/>
      <c r="CQ230" s="27"/>
      <c r="CR230" s="27"/>
      <c r="CS230" s="27"/>
      <c r="CT230" s="27"/>
      <c r="CU230" s="27"/>
      <c r="CV230" s="27"/>
      <c r="CW230" s="27"/>
      <c r="CX230" s="27"/>
      <c r="CY230" s="27"/>
      <c r="CZ230" s="27"/>
      <c r="DA230" s="27"/>
      <c r="DB230" s="27"/>
      <c r="DC230" s="27"/>
      <c r="DD230" s="27"/>
      <c r="DE230" s="27"/>
      <c r="DF230" s="27"/>
      <c r="DG230" s="27"/>
      <c r="DH230" s="27"/>
      <c r="DI230" s="27"/>
      <c r="DJ230" s="27"/>
      <c r="DK230" s="27"/>
      <c r="DL230" s="27"/>
      <c r="DM230" s="27"/>
      <c r="DN230" s="27"/>
      <c r="DO230" s="27"/>
      <c r="DP230" s="27"/>
      <c r="DQ230" s="27"/>
      <c r="DR230" s="27"/>
      <c r="DS230" s="27"/>
      <c r="DT230" s="27"/>
    </row>
    <row r="231" spans="2:124" x14ac:dyDescent="0.2">
      <c r="B231" s="27"/>
      <c r="C231" s="27" t="s">
        <v>32</v>
      </c>
      <c r="D231" s="27">
        <f>BG64*I7</f>
        <v>0</v>
      </c>
      <c r="E231" s="27"/>
      <c r="F231" s="27"/>
      <c r="G231" s="27"/>
      <c r="H231" s="27"/>
      <c r="I231" s="27"/>
      <c r="J231" s="27"/>
      <c r="K231" s="27"/>
      <c r="L231" s="27"/>
      <c r="M231" s="27"/>
      <c r="N231" s="27"/>
      <c r="O231" s="27"/>
      <c r="P231" s="27"/>
      <c r="Q231" s="27"/>
      <c r="R231" s="27"/>
      <c r="S231" s="27"/>
      <c r="T231" s="27"/>
      <c r="U231" s="27"/>
      <c r="V231" s="27"/>
      <c r="W231" s="27"/>
      <c r="X231" s="27"/>
      <c r="Y231" s="27"/>
      <c r="Z231" s="27"/>
      <c r="AA231" s="27"/>
      <c r="AB231" s="27"/>
      <c r="AC231" s="27"/>
      <c r="AD231" s="27"/>
      <c r="AE231" s="27"/>
      <c r="AF231" s="27"/>
      <c r="AG231" s="27"/>
      <c r="AH231" s="27"/>
      <c r="AI231" s="27"/>
      <c r="AJ231" s="27"/>
      <c r="AK231" s="27"/>
      <c r="AL231" s="27"/>
      <c r="AM231" s="27"/>
      <c r="AN231" s="27"/>
      <c r="AO231" s="27"/>
      <c r="AP231" s="27"/>
      <c r="AQ231" s="27"/>
      <c r="AR231" s="27"/>
      <c r="AS231" s="27"/>
      <c r="AT231" s="27"/>
      <c r="AU231" s="27"/>
      <c r="AV231" s="27"/>
      <c r="AW231" s="27"/>
      <c r="AX231" s="27"/>
      <c r="AY231" s="27"/>
      <c r="AZ231" s="27"/>
      <c r="BA231" s="27"/>
      <c r="BB231" s="27"/>
      <c r="BC231" s="27"/>
      <c r="BD231" s="27"/>
      <c r="BE231" s="27"/>
      <c r="BF231" s="27"/>
      <c r="BG231" s="27"/>
      <c r="BH231" s="27"/>
      <c r="BI231" s="27"/>
      <c r="BJ231" s="27"/>
      <c r="BK231" s="27"/>
      <c r="BL231" s="27"/>
      <c r="BM231" s="27"/>
      <c r="BN231" s="27"/>
      <c r="BO231" s="27"/>
      <c r="BP231" s="27"/>
      <c r="BQ231" s="27"/>
      <c r="BR231" s="27"/>
      <c r="BS231" s="27"/>
      <c r="BT231" s="27"/>
      <c r="BU231" s="27"/>
      <c r="BV231" s="27"/>
      <c r="BW231" s="27"/>
      <c r="BX231" s="27"/>
      <c r="BY231" s="27"/>
      <c r="BZ231" s="27"/>
      <c r="CA231" s="27"/>
      <c r="CB231" s="27"/>
      <c r="CC231" s="27"/>
      <c r="CD231" s="27"/>
      <c r="CE231" s="27"/>
      <c r="CF231" s="27"/>
      <c r="CG231" s="27"/>
      <c r="CH231" s="27"/>
      <c r="CI231" s="27"/>
      <c r="CJ231" s="27"/>
      <c r="CK231" s="27"/>
      <c r="CL231" s="27"/>
      <c r="CM231" s="27"/>
      <c r="CN231" s="27"/>
      <c r="CO231" s="27"/>
      <c r="CP231" s="27"/>
      <c r="CQ231" s="27"/>
      <c r="CR231" s="27"/>
      <c r="CS231" s="27"/>
      <c r="CT231" s="27"/>
      <c r="CU231" s="27"/>
      <c r="CV231" s="27"/>
      <c r="CW231" s="27"/>
      <c r="CX231" s="27"/>
      <c r="CY231" s="27"/>
      <c r="CZ231" s="27"/>
      <c r="DA231" s="27"/>
      <c r="DB231" s="27"/>
      <c r="DC231" s="27"/>
      <c r="DD231" s="27"/>
      <c r="DE231" s="27"/>
      <c r="DF231" s="27"/>
      <c r="DG231" s="27"/>
      <c r="DH231" s="27"/>
      <c r="DI231" s="27"/>
      <c r="DJ231" s="27"/>
      <c r="DK231" s="27"/>
      <c r="DL231" s="27"/>
      <c r="DM231" s="27"/>
      <c r="DN231" s="27"/>
      <c r="DO231" s="27"/>
      <c r="DP231" s="27"/>
      <c r="DQ231" s="27"/>
      <c r="DR231" s="27"/>
      <c r="DS231" s="27"/>
      <c r="DT231" s="27"/>
    </row>
    <row r="232" spans="2:124" x14ac:dyDescent="0.2">
      <c r="B232" s="27"/>
      <c r="C232" s="27"/>
      <c r="D232" s="27"/>
      <c r="E232" s="27"/>
      <c r="F232" s="27"/>
      <c r="G232" s="27"/>
      <c r="H232" s="27"/>
      <c r="I232" s="27"/>
      <c r="J232" s="27"/>
      <c r="K232" s="27"/>
      <c r="L232" s="27"/>
      <c r="M232" s="27"/>
      <c r="N232" s="27"/>
      <c r="O232" s="27"/>
      <c r="P232" s="27"/>
      <c r="Q232" s="27"/>
      <c r="R232" s="27"/>
      <c r="S232" s="27"/>
      <c r="T232" s="27"/>
      <c r="U232" s="27"/>
      <c r="V232" s="27"/>
      <c r="W232" s="27"/>
      <c r="X232" s="27"/>
      <c r="Y232" s="27"/>
      <c r="Z232" s="27"/>
      <c r="AA232" s="27"/>
      <c r="AB232" s="27"/>
      <c r="AC232" s="27"/>
      <c r="AD232" s="27"/>
      <c r="AE232" s="27"/>
      <c r="AF232" s="27"/>
      <c r="AG232" s="27"/>
      <c r="AH232" s="27"/>
      <c r="AI232" s="27"/>
      <c r="AJ232" s="27"/>
      <c r="AK232" s="27"/>
      <c r="AL232" s="27"/>
      <c r="AM232" s="27"/>
      <c r="AN232" s="27"/>
      <c r="AO232" s="27"/>
      <c r="AP232" s="27"/>
      <c r="AQ232" s="27"/>
      <c r="AR232" s="27"/>
      <c r="AS232" s="27"/>
      <c r="AT232" s="27"/>
      <c r="AU232" s="27"/>
      <c r="AV232" s="27"/>
      <c r="AW232" s="27"/>
      <c r="AX232" s="27"/>
      <c r="AY232" s="27"/>
      <c r="AZ232" s="27"/>
      <c r="BA232" s="27"/>
      <c r="BB232" s="27"/>
      <c r="BC232" s="27"/>
      <c r="BD232" s="27"/>
      <c r="BE232" s="27"/>
      <c r="BF232" s="27"/>
      <c r="BG232" s="27"/>
      <c r="BH232" s="27"/>
      <c r="BI232" s="27"/>
      <c r="BJ232" s="27"/>
      <c r="BK232" s="27"/>
      <c r="BL232" s="27"/>
      <c r="BM232" s="27"/>
      <c r="BN232" s="27"/>
      <c r="BO232" s="27"/>
      <c r="BP232" s="27"/>
      <c r="BQ232" s="27"/>
      <c r="BR232" s="27"/>
      <c r="BS232" s="27"/>
      <c r="BT232" s="27"/>
      <c r="BU232" s="27"/>
      <c r="BV232" s="27"/>
      <c r="BW232" s="27"/>
      <c r="BX232" s="27"/>
      <c r="BY232" s="27"/>
      <c r="BZ232" s="27"/>
      <c r="CA232" s="27"/>
      <c r="CB232" s="27"/>
      <c r="CC232" s="27"/>
      <c r="CD232" s="27"/>
      <c r="CE232" s="27"/>
      <c r="CF232" s="27"/>
      <c r="CG232" s="27"/>
      <c r="CH232" s="27"/>
      <c r="CI232" s="27"/>
      <c r="CJ232" s="27"/>
      <c r="CK232" s="27"/>
      <c r="CL232" s="27"/>
      <c r="CM232" s="27"/>
      <c r="CN232" s="27"/>
      <c r="CO232" s="27"/>
      <c r="CP232" s="27"/>
      <c r="CQ232" s="27"/>
      <c r="CR232" s="27"/>
      <c r="CS232" s="27"/>
      <c r="CT232" s="27"/>
      <c r="CU232" s="27"/>
      <c r="CV232" s="27"/>
      <c r="CW232" s="27"/>
      <c r="CX232" s="27"/>
      <c r="CY232" s="27"/>
      <c r="CZ232" s="27"/>
      <c r="DA232" s="27"/>
      <c r="DB232" s="27"/>
      <c r="DC232" s="27"/>
      <c r="DD232" s="27"/>
      <c r="DE232" s="27"/>
      <c r="DF232" s="27"/>
      <c r="DG232" s="27"/>
      <c r="DH232" s="27"/>
      <c r="DI232" s="27"/>
      <c r="DJ232" s="27"/>
      <c r="DK232" s="27"/>
      <c r="DL232" s="27"/>
      <c r="DM232" s="27"/>
      <c r="DN232" s="27"/>
      <c r="DO232" s="27"/>
      <c r="DP232" s="27"/>
      <c r="DQ232" s="27"/>
      <c r="DR232" s="27"/>
      <c r="DS232" s="27"/>
      <c r="DT232" s="27"/>
    </row>
    <row r="233" spans="2:124" x14ac:dyDescent="0.2">
      <c r="B233" s="27"/>
      <c r="C233" s="27"/>
      <c r="D233" s="27"/>
      <c r="E233" s="27"/>
      <c r="F233" s="27"/>
      <c r="G233" s="27"/>
      <c r="H233" s="27"/>
      <c r="I233" s="27"/>
      <c r="J233" s="27"/>
      <c r="K233" s="27"/>
      <c r="L233" s="27"/>
      <c r="M233" s="27"/>
      <c r="N233" s="27"/>
      <c r="O233" s="27"/>
      <c r="P233" s="27"/>
      <c r="Q233" s="27"/>
      <c r="R233" s="27"/>
      <c r="S233" s="27"/>
      <c r="T233" s="27"/>
      <c r="U233" s="27"/>
      <c r="V233" s="27"/>
      <c r="W233" s="27"/>
      <c r="X233" s="27"/>
      <c r="Y233" s="27"/>
      <c r="Z233" s="27"/>
      <c r="AA233" s="27"/>
      <c r="AB233" s="27"/>
      <c r="AC233" s="27"/>
      <c r="AD233" s="27"/>
      <c r="AE233" s="27"/>
      <c r="AF233" s="27"/>
      <c r="AG233" s="27"/>
      <c r="AH233" s="27"/>
      <c r="AI233" s="27"/>
      <c r="AJ233" s="27"/>
      <c r="AK233" s="27"/>
      <c r="AL233" s="27"/>
      <c r="AM233" s="27"/>
      <c r="AN233" s="27"/>
      <c r="AO233" s="27"/>
      <c r="AP233" s="27"/>
      <c r="AQ233" s="27"/>
      <c r="AR233" s="27"/>
      <c r="AS233" s="27"/>
      <c r="AT233" s="27"/>
      <c r="AU233" s="27"/>
      <c r="AV233" s="27"/>
      <c r="AW233" s="27"/>
      <c r="AX233" s="27"/>
      <c r="AY233" s="27"/>
      <c r="AZ233" s="27"/>
      <c r="BA233" s="27"/>
      <c r="BB233" s="27"/>
      <c r="BC233" s="27"/>
      <c r="BD233" s="27"/>
      <c r="BE233" s="27"/>
      <c r="BF233" s="27"/>
      <c r="BG233" s="27"/>
      <c r="BH233" s="27"/>
      <c r="BI233" s="27"/>
      <c r="BJ233" s="27"/>
      <c r="BK233" s="27"/>
      <c r="BL233" s="27"/>
      <c r="BM233" s="27"/>
      <c r="BN233" s="27"/>
      <c r="BO233" s="27"/>
      <c r="BP233" s="27"/>
      <c r="BQ233" s="27"/>
      <c r="BR233" s="27"/>
      <c r="BS233" s="27"/>
      <c r="BT233" s="27"/>
      <c r="BU233" s="27"/>
      <c r="BV233" s="27"/>
      <c r="BW233" s="27"/>
      <c r="BX233" s="27"/>
      <c r="BY233" s="27"/>
      <c r="BZ233" s="27"/>
      <c r="CA233" s="27"/>
      <c r="CB233" s="27"/>
      <c r="CC233" s="27"/>
      <c r="CD233" s="27"/>
      <c r="CE233" s="27"/>
      <c r="CF233" s="27"/>
      <c r="CG233" s="27"/>
      <c r="CH233" s="27"/>
      <c r="CI233" s="27"/>
      <c r="CJ233" s="27"/>
      <c r="CK233" s="27"/>
      <c r="CL233" s="27"/>
      <c r="CM233" s="27"/>
      <c r="CN233" s="27"/>
      <c r="CO233" s="27"/>
      <c r="CP233" s="27"/>
      <c r="CQ233" s="27"/>
      <c r="CR233" s="27"/>
      <c r="CS233" s="27"/>
      <c r="CT233" s="27"/>
      <c r="CU233" s="27"/>
      <c r="CV233" s="27"/>
      <c r="CW233" s="27"/>
      <c r="CX233" s="27"/>
      <c r="CY233" s="27"/>
      <c r="CZ233" s="27"/>
      <c r="DA233" s="27"/>
      <c r="DB233" s="27"/>
      <c r="DC233" s="27"/>
      <c r="DD233" s="27"/>
      <c r="DE233" s="27"/>
      <c r="DF233" s="27"/>
      <c r="DG233" s="27"/>
      <c r="DH233" s="27"/>
      <c r="DI233" s="27"/>
      <c r="DJ233" s="27"/>
      <c r="DK233" s="27"/>
      <c r="DL233" s="27"/>
      <c r="DM233" s="27"/>
      <c r="DN233" s="27"/>
      <c r="DO233" s="27"/>
      <c r="DP233" s="27"/>
      <c r="DQ233" s="27"/>
      <c r="DR233" s="27"/>
      <c r="DS233" s="27"/>
      <c r="DT233" s="27"/>
    </row>
    <row r="234" spans="2:124" x14ac:dyDescent="0.2">
      <c r="B234" s="27" t="s">
        <v>59</v>
      </c>
      <c r="C234" s="27" t="s">
        <v>563</v>
      </c>
      <c r="D234" s="27" t="e">
        <f>#REF!</f>
        <v>#REF!</v>
      </c>
      <c r="E234" s="27"/>
      <c r="F234" s="27"/>
      <c r="G234" s="27"/>
      <c r="H234" s="27"/>
      <c r="I234" s="27"/>
      <c r="J234" s="27"/>
      <c r="K234" s="27"/>
      <c r="L234" s="27"/>
      <c r="M234" s="27"/>
      <c r="N234" s="27"/>
      <c r="O234" s="27"/>
      <c r="P234" s="27"/>
      <c r="Q234" s="27"/>
      <c r="R234" s="27"/>
      <c r="S234" s="27"/>
      <c r="T234" s="27"/>
      <c r="U234" s="27"/>
      <c r="V234" s="27"/>
      <c r="W234" s="27"/>
      <c r="X234" s="27"/>
      <c r="Y234" s="27"/>
      <c r="Z234" s="27"/>
      <c r="AA234" s="27"/>
      <c r="AB234" s="27"/>
      <c r="AC234" s="27"/>
      <c r="AD234" s="27"/>
      <c r="AE234" s="27"/>
      <c r="AF234" s="27"/>
      <c r="AG234" s="27"/>
      <c r="AH234" s="27"/>
      <c r="AI234" s="27"/>
      <c r="AJ234" s="27"/>
      <c r="AK234" s="27"/>
      <c r="AL234" s="27"/>
      <c r="AM234" s="27"/>
      <c r="AN234" s="27"/>
      <c r="AO234" s="27"/>
      <c r="AP234" s="27"/>
      <c r="AQ234" s="27"/>
      <c r="AR234" s="27"/>
      <c r="AS234" s="27"/>
      <c r="AT234" s="27"/>
      <c r="AU234" s="27"/>
      <c r="AV234" s="27"/>
      <c r="AW234" s="27"/>
      <c r="AX234" s="27"/>
      <c r="AY234" s="27"/>
      <c r="AZ234" s="27"/>
      <c r="BA234" s="27"/>
      <c r="BB234" s="27"/>
      <c r="BC234" s="27"/>
      <c r="BD234" s="27"/>
      <c r="BE234" s="27"/>
      <c r="BF234" s="27"/>
      <c r="BG234" s="27"/>
      <c r="BH234" s="27"/>
      <c r="BI234" s="27"/>
      <c r="BJ234" s="27"/>
      <c r="BK234" s="27"/>
      <c r="BL234" s="27"/>
      <c r="BM234" s="27"/>
      <c r="BN234" s="27"/>
      <c r="BO234" s="27"/>
      <c r="BP234" s="27"/>
      <c r="BQ234" s="27"/>
      <c r="BR234" s="27"/>
      <c r="BS234" s="27"/>
      <c r="BT234" s="27"/>
      <c r="BU234" s="27"/>
      <c r="BV234" s="27"/>
      <c r="BW234" s="27"/>
      <c r="BX234" s="27"/>
      <c r="BY234" s="27"/>
      <c r="BZ234" s="27"/>
      <c r="CA234" s="27"/>
      <c r="CB234" s="27"/>
      <c r="CC234" s="27"/>
      <c r="CD234" s="27"/>
      <c r="CE234" s="27"/>
      <c r="CF234" s="27"/>
      <c r="CG234" s="27"/>
      <c r="CH234" s="27"/>
      <c r="CI234" s="27"/>
      <c r="CJ234" s="27"/>
      <c r="CK234" s="27"/>
      <c r="CL234" s="27"/>
      <c r="CM234" s="27"/>
      <c r="CN234" s="27"/>
      <c r="CO234" s="27"/>
      <c r="CP234" s="27"/>
      <c r="CQ234" s="27"/>
      <c r="CR234" s="27"/>
      <c r="CS234" s="27"/>
      <c r="CT234" s="27"/>
      <c r="CU234" s="27"/>
      <c r="CV234" s="27"/>
      <c r="CW234" s="27"/>
      <c r="CX234" s="27"/>
      <c r="CY234" s="27"/>
      <c r="CZ234" s="27"/>
      <c r="DA234" s="27"/>
      <c r="DB234" s="27"/>
      <c r="DC234" s="27"/>
      <c r="DD234" s="27"/>
      <c r="DE234" s="27"/>
      <c r="DF234" s="27"/>
      <c r="DG234" s="27"/>
      <c r="DH234" s="27"/>
      <c r="DI234" s="27"/>
      <c r="DJ234" s="27"/>
      <c r="DK234" s="27"/>
      <c r="DL234" s="27"/>
      <c r="DM234" s="27"/>
      <c r="DN234" s="27"/>
      <c r="DO234" s="27"/>
      <c r="DP234" s="27"/>
      <c r="DQ234" s="27"/>
      <c r="DR234" s="27"/>
      <c r="DS234" s="27"/>
      <c r="DT234" s="27"/>
    </row>
    <row r="235" spans="2:124" x14ac:dyDescent="0.2">
      <c r="B235" s="27"/>
      <c r="C235" s="27"/>
      <c r="D235" s="27"/>
      <c r="E235" s="27"/>
      <c r="F235" s="27"/>
      <c r="G235" s="27"/>
      <c r="H235" s="27"/>
      <c r="I235" s="27"/>
      <c r="J235" s="27"/>
      <c r="K235" s="27"/>
      <c r="L235" s="27"/>
      <c r="M235" s="27"/>
      <c r="N235" s="27"/>
      <c r="O235" s="27"/>
      <c r="P235" s="27"/>
      <c r="Q235" s="27"/>
      <c r="R235" s="27"/>
      <c r="S235" s="27"/>
      <c r="T235" s="27"/>
      <c r="U235" s="27"/>
      <c r="V235" s="27"/>
      <c r="W235" s="27"/>
      <c r="X235" s="27"/>
      <c r="Y235" s="27"/>
      <c r="Z235" s="27"/>
      <c r="AA235" s="27"/>
      <c r="AB235" s="27"/>
      <c r="AC235" s="27"/>
      <c r="AD235" s="27"/>
      <c r="AE235" s="27"/>
      <c r="AF235" s="27"/>
      <c r="AG235" s="27"/>
      <c r="AH235" s="27"/>
      <c r="AI235" s="27"/>
      <c r="AJ235" s="27"/>
      <c r="AK235" s="27"/>
      <c r="AL235" s="27"/>
      <c r="AM235" s="27"/>
      <c r="AN235" s="27"/>
      <c r="AO235" s="27"/>
      <c r="AP235" s="27"/>
      <c r="AQ235" s="27"/>
      <c r="AR235" s="27"/>
      <c r="AS235" s="27"/>
      <c r="AT235" s="27"/>
      <c r="AU235" s="27"/>
      <c r="AV235" s="27"/>
      <c r="AW235" s="27"/>
      <c r="AX235" s="27"/>
      <c r="AY235" s="27"/>
      <c r="AZ235" s="27"/>
      <c r="BA235" s="27"/>
      <c r="BB235" s="27"/>
      <c r="BC235" s="27"/>
      <c r="BD235" s="27"/>
      <c r="BE235" s="27"/>
      <c r="BF235" s="27"/>
      <c r="BG235" s="27"/>
      <c r="BH235" s="27"/>
      <c r="BI235" s="27"/>
      <c r="BJ235" s="27"/>
      <c r="BK235" s="27"/>
      <c r="BL235" s="27"/>
      <c r="BM235" s="27"/>
      <c r="BN235" s="27"/>
      <c r="BO235" s="27"/>
      <c r="BP235" s="27"/>
      <c r="BQ235" s="27"/>
      <c r="BR235" s="27"/>
      <c r="BS235" s="27"/>
      <c r="BT235" s="27"/>
      <c r="BU235" s="27"/>
      <c r="BV235" s="27"/>
      <c r="BW235" s="27"/>
      <c r="BX235" s="27"/>
      <c r="BY235" s="27"/>
      <c r="BZ235" s="27"/>
      <c r="CA235" s="27"/>
      <c r="CB235" s="27"/>
      <c r="CC235" s="27"/>
      <c r="CD235" s="27"/>
      <c r="CE235" s="27"/>
      <c r="CF235" s="27"/>
      <c r="CG235" s="27"/>
      <c r="CH235" s="27"/>
      <c r="CI235" s="27"/>
      <c r="CJ235" s="27"/>
      <c r="CK235" s="27"/>
      <c r="CL235" s="27"/>
      <c r="CM235" s="27"/>
      <c r="CN235" s="27"/>
      <c r="CO235" s="27"/>
      <c r="CP235" s="27"/>
      <c r="CQ235" s="27"/>
      <c r="CR235" s="27"/>
      <c r="CS235" s="27"/>
      <c r="CT235" s="27"/>
      <c r="CU235" s="27"/>
      <c r="CV235" s="27"/>
      <c r="CW235" s="27"/>
      <c r="CX235" s="27"/>
      <c r="CY235" s="27"/>
      <c r="CZ235" s="27"/>
      <c r="DA235" s="27"/>
      <c r="DB235" s="27"/>
      <c r="DC235" s="27"/>
      <c r="DD235" s="27"/>
      <c r="DE235" s="27"/>
      <c r="DF235" s="27"/>
      <c r="DG235" s="27"/>
      <c r="DH235" s="27"/>
      <c r="DI235" s="27"/>
      <c r="DJ235" s="27"/>
      <c r="DK235" s="27"/>
      <c r="DL235" s="27"/>
      <c r="DM235" s="27"/>
      <c r="DN235" s="27"/>
      <c r="DO235" s="27"/>
      <c r="DP235" s="27"/>
      <c r="DQ235" s="27"/>
      <c r="DR235" s="27"/>
      <c r="DS235" s="27"/>
      <c r="DT235" s="27"/>
    </row>
    <row r="236" spans="2:124" x14ac:dyDescent="0.2">
      <c r="B236" s="27"/>
      <c r="C236" s="27"/>
      <c r="D236" s="27"/>
      <c r="E236" s="27"/>
      <c r="F236" s="27"/>
      <c r="G236" s="27"/>
      <c r="H236" s="27"/>
      <c r="I236" s="27"/>
      <c r="J236" s="27"/>
      <c r="K236" s="27"/>
      <c r="L236" s="27"/>
      <c r="M236" s="27"/>
      <c r="N236" s="27"/>
      <c r="O236" s="27"/>
      <c r="P236" s="27"/>
      <c r="Q236" s="27"/>
      <c r="R236" s="27"/>
      <c r="S236" s="27"/>
      <c r="T236" s="27"/>
      <c r="U236" s="27"/>
      <c r="V236" s="27"/>
      <c r="W236" s="27"/>
      <c r="X236" s="27"/>
      <c r="Y236" s="27"/>
      <c r="Z236" s="27"/>
      <c r="AA236" s="27"/>
      <c r="AB236" s="27"/>
      <c r="AC236" s="27"/>
      <c r="AD236" s="27"/>
      <c r="AE236" s="27"/>
      <c r="AF236" s="27"/>
      <c r="AG236" s="27"/>
      <c r="AH236" s="27"/>
      <c r="AI236" s="27"/>
      <c r="AJ236" s="27"/>
      <c r="AK236" s="27"/>
      <c r="AL236" s="27"/>
      <c r="AM236" s="27"/>
      <c r="AN236" s="27"/>
      <c r="AO236" s="27"/>
      <c r="AP236" s="27"/>
      <c r="AQ236" s="27"/>
      <c r="AR236" s="27"/>
      <c r="AS236" s="27"/>
      <c r="AT236" s="27"/>
      <c r="AU236" s="27"/>
      <c r="AV236" s="27"/>
      <c r="AW236" s="27"/>
      <c r="AX236" s="27"/>
      <c r="AY236" s="27"/>
      <c r="AZ236" s="27"/>
      <c r="BA236" s="27"/>
      <c r="BB236" s="27"/>
      <c r="BC236" s="27"/>
      <c r="BD236" s="27"/>
      <c r="BE236" s="27"/>
      <c r="BF236" s="27"/>
      <c r="BG236" s="27"/>
      <c r="BH236" s="27"/>
      <c r="BI236" s="27"/>
      <c r="BJ236" s="27"/>
      <c r="BK236" s="27"/>
      <c r="BL236" s="27"/>
      <c r="BM236" s="27"/>
      <c r="BN236" s="27"/>
      <c r="BO236" s="27"/>
      <c r="BP236" s="27"/>
      <c r="BQ236" s="27"/>
      <c r="BR236" s="27"/>
      <c r="BS236" s="27"/>
      <c r="BT236" s="27"/>
      <c r="BU236" s="27"/>
      <c r="BV236" s="27"/>
      <c r="BW236" s="27"/>
      <c r="BX236" s="27"/>
      <c r="BY236" s="27"/>
      <c r="BZ236" s="27"/>
      <c r="CA236" s="27"/>
      <c r="CB236" s="27"/>
      <c r="CC236" s="27"/>
      <c r="CD236" s="27"/>
      <c r="CE236" s="27"/>
      <c r="CF236" s="27"/>
      <c r="CG236" s="27"/>
      <c r="CH236" s="27"/>
      <c r="CI236" s="27"/>
      <c r="CJ236" s="27"/>
      <c r="CK236" s="27"/>
      <c r="CL236" s="27"/>
      <c r="CM236" s="27"/>
      <c r="CN236" s="27"/>
      <c r="CO236" s="27"/>
      <c r="CP236" s="27"/>
      <c r="CQ236" s="27"/>
      <c r="CR236" s="27"/>
      <c r="CS236" s="27"/>
      <c r="CT236" s="27"/>
      <c r="CU236" s="27"/>
      <c r="CV236" s="27"/>
      <c r="CW236" s="27"/>
      <c r="CX236" s="27"/>
      <c r="CY236" s="27"/>
      <c r="CZ236" s="27"/>
      <c r="DA236" s="27"/>
      <c r="DB236" s="27"/>
      <c r="DC236" s="27"/>
      <c r="DD236" s="27"/>
      <c r="DE236" s="27"/>
      <c r="DF236" s="27"/>
      <c r="DG236" s="27"/>
      <c r="DH236" s="27"/>
      <c r="DI236" s="27"/>
      <c r="DJ236" s="27"/>
      <c r="DK236" s="27"/>
      <c r="DL236" s="27"/>
      <c r="DM236" s="27"/>
      <c r="DN236" s="27"/>
      <c r="DO236" s="27"/>
      <c r="DP236" s="27"/>
      <c r="DQ236" s="27"/>
      <c r="DR236" s="27"/>
      <c r="DS236" s="27"/>
      <c r="DT236" s="27"/>
    </row>
    <row r="237" spans="2:124" x14ac:dyDescent="0.2">
      <c r="B237" s="27"/>
      <c r="C237" s="27"/>
      <c r="D237" s="27"/>
      <c r="E237" s="27"/>
      <c r="F237" s="27"/>
      <c r="G237" s="27"/>
      <c r="H237" s="27"/>
      <c r="I237" s="27"/>
      <c r="J237" s="27"/>
      <c r="K237" s="27"/>
      <c r="L237" s="27"/>
      <c r="M237" s="27"/>
      <c r="N237" s="27"/>
      <c r="O237" s="27"/>
      <c r="P237" s="27"/>
      <c r="Q237" s="27"/>
      <c r="R237" s="27"/>
      <c r="S237" s="27"/>
      <c r="T237" s="27"/>
      <c r="U237" s="27"/>
      <c r="V237" s="27"/>
      <c r="W237" s="27"/>
      <c r="X237" s="27"/>
      <c r="Y237" s="27"/>
      <c r="Z237" s="27"/>
      <c r="AA237" s="27"/>
      <c r="AB237" s="27"/>
      <c r="AC237" s="27"/>
      <c r="AD237" s="27"/>
      <c r="AE237" s="27"/>
      <c r="AF237" s="27"/>
      <c r="AG237" s="27"/>
      <c r="AH237" s="27"/>
      <c r="AI237" s="27"/>
      <c r="AJ237" s="27"/>
      <c r="AK237" s="27"/>
      <c r="AL237" s="27"/>
      <c r="AM237" s="27"/>
      <c r="AN237" s="27"/>
      <c r="AO237" s="27"/>
      <c r="AP237" s="27"/>
      <c r="AQ237" s="27"/>
      <c r="AR237" s="27"/>
      <c r="AS237" s="27"/>
      <c r="AT237" s="27"/>
      <c r="AU237" s="27"/>
      <c r="AV237" s="27"/>
      <c r="AW237" s="27"/>
      <c r="AX237" s="27"/>
      <c r="AY237" s="27"/>
      <c r="AZ237" s="27"/>
      <c r="BA237" s="27"/>
      <c r="BB237" s="27"/>
      <c r="BC237" s="27"/>
      <c r="BD237" s="27"/>
      <c r="BE237" s="27"/>
      <c r="BF237" s="27"/>
      <c r="BG237" s="27"/>
      <c r="BH237" s="27"/>
      <c r="BI237" s="27"/>
      <c r="BJ237" s="27"/>
      <c r="BK237" s="27"/>
      <c r="BL237" s="27"/>
      <c r="BM237" s="27"/>
      <c r="BN237" s="27"/>
      <c r="BO237" s="27"/>
      <c r="BP237" s="27"/>
      <c r="BQ237" s="27"/>
      <c r="BR237" s="27"/>
      <c r="BS237" s="27"/>
      <c r="BT237" s="27"/>
      <c r="BU237" s="27"/>
      <c r="BV237" s="27"/>
      <c r="BW237" s="27"/>
      <c r="BX237" s="27"/>
      <c r="BY237" s="27"/>
      <c r="BZ237" s="27"/>
      <c r="CA237" s="27"/>
      <c r="CB237" s="27"/>
      <c r="CC237" s="27"/>
      <c r="CD237" s="27"/>
      <c r="CE237" s="27"/>
      <c r="CF237" s="27"/>
      <c r="CG237" s="27"/>
      <c r="CH237" s="27"/>
      <c r="CI237" s="27"/>
      <c r="CJ237" s="27"/>
      <c r="CK237" s="27"/>
      <c r="CL237" s="27"/>
      <c r="CM237" s="27"/>
      <c r="CN237" s="27"/>
      <c r="CO237" s="27"/>
      <c r="CP237" s="27"/>
      <c r="CQ237" s="27"/>
      <c r="CR237" s="27"/>
      <c r="CS237" s="27"/>
      <c r="CT237" s="27"/>
      <c r="CU237" s="27"/>
      <c r="CV237" s="27"/>
      <c r="CW237" s="27"/>
      <c r="CX237" s="27"/>
      <c r="CY237" s="27"/>
      <c r="CZ237" s="27"/>
      <c r="DA237" s="27"/>
      <c r="DB237" s="27"/>
      <c r="DC237" s="27"/>
      <c r="DD237" s="27"/>
      <c r="DE237" s="27"/>
      <c r="DF237" s="27"/>
      <c r="DG237" s="27"/>
      <c r="DH237" s="27"/>
      <c r="DI237" s="27"/>
      <c r="DJ237" s="27"/>
      <c r="DK237" s="27"/>
      <c r="DL237" s="27"/>
      <c r="DM237" s="27"/>
      <c r="DN237" s="27"/>
      <c r="DO237" s="27"/>
      <c r="DP237" s="27"/>
      <c r="DQ237" s="27"/>
      <c r="DR237" s="27"/>
      <c r="DS237" s="27"/>
      <c r="DT237" s="27"/>
    </row>
    <row r="238" spans="2:124" x14ac:dyDescent="0.2">
      <c r="B238" s="27"/>
      <c r="C238" s="27"/>
      <c r="D238" s="27"/>
      <c r="E238" s="27"/>
      <c r="F238" s="27"/>
      <c r="G238" s="27"/>
      <c r="H238" s="27"/>
      <c r="I238" s="27"/>
      <c r="J238" s="27"/>
      <c r="K238" s="27"/>
      <c r="L238" s="27"/>
      <c r="M238" s="27"/>
      <c r="N238" s="27"/>
      <c r="O238" s="27"/>
      <c r="P238" s="27"/>
      <c r="Q238" s="27"/>
      <c r="R238" s="27"/>
      <c r="S238" s="27"/>
      <c r="T238" s="27"/>
      <c r="U238" s="27"/>
      <c r="V238" s="27"/>
      <c r="W238" s="27"/>
      <c r="X238" s="27"/>
      <c r="Y238" s="27"/>
      <c r="Z238" s="27"/>
      <c r="AA238" s="27"/>
      <c r="AB238" s="27"/>
      <c r="AC238" s="27"/>
      <c r="AD238" s="27"/>
      <c r="AE238" s="27"/>
      <c r="AF238" s="27"/>
      <c r="AG238" s="27"/>
      <c r="AH238" s="27"/>
      <c r="AI238" s="27"/>
      <c r="AJ238" s="27"/>
      <c r="AK238" s="27"/>
      <c r="AL238" s="27"/>
      <c r="AM238" s="27"/>
      <c r="AN238" s="27"/>
      <c r="AO238" s="27"/>
      <c r="AP238" s="27"/>
      <c r="AQ238" s="27"/>
      <c r="AR238" s="27"/>
      <c r="AS238" s="27"/>
      <c r="AT238" s="27"/>
      <c r="AU238" s="27"/>
      <c r="AV238" s="27"/>
      <c r="AW238" s="27"/>
      <c r="AX238" s="27"/>
      <c r="AY238" s="27"/>
      <c r="AZ238" s="27"/>
      <c r="BA238" s="27"/>
      <c r="BB238" s="27"/>
      <c r="BC238" s="27"/>
      <c r="BD238" s="27"/>
      <c r="BE238" s="27"/>
      <c r="BF238" s="27"/>
      <c r="BG238" s="27"/>
      <c r="BH238" s="27"/>
      <c r="BI238" s="27"/>
      <c r="BJ238" s="27"/>
      <c r="BK238" s="27"/>
      <c r="BL238" s="27"/>
      <c r="BM238" s="27"/>
      <c r="BN238" s="27"/>
      <c r="BO238" s="27"/>
      <c r="BP238" s="27"/>
      <c r="BQ238" s="27"/>
      <c r="BR238" s="27"/>
      <c r="BS238" s="27"/>
      <c r="BT238" s="27"/>
      <c r="BU238" s="27"/>
      <c r="BV238" s="27"/>
      <c r="BW238" s="27"/>
      <c r="BX238" s="27"/>
      <c r="BY238" s="27"/>
      <c r="BZ238" s="27"/>
      <c r="CA238" s="27"/>
      <c r="CB238" s="27"/>
      <c r="CC238" s="27"/>
      <c r="CD238" s="27"/>
      <c r="CE238" s="27"/>
      <c r="CF238" s="27"/>
      <c r="CG238" s="27"/>
      <c r="CH238" s="27"/>
      <c r="CI238" s="27"/>
      <c r="CJ238" s="27"/>
      <c r="CK238" s="27"/>
      <c r="CL238" s="27"/>
      <c r="CM238" s="27"/>
      <c r="CN238" s="27"/>
      <c r="CO238" s="27"/>
      <c r="CP238" s="27"/>
      <c r="CQ238" s="27"/>
      <c r="CR238" s="27"/>
      <c r="CS238" s="27"/>
      <c r="CT238" s="27"/>
      <c r="CU238" s="27"/>
      <c r="CV238" s="27"/>
      <c r="CW238" s="27"/>
      <c r="CX238" s="27"/>
      <c r="CY238" s="27"/>
      <c r="CZ238" s="27"/>
      <c r="DA238" s="27"/>
      <c r="DB238" s="27"/>
      <c r="DC238" s="27"/>
      <c r="DD238" s="27"/>
      <c r="DE238" s="27"/>
      <c r="DF238" s="27"/>
      <c r="DG238" s="27"/>
      <c r="DH238" s="27"/>
      <c r="DI238" s="27"/>
      <c r="DJ238" s="27"/>
      <c r="DK238" s="27"/>
      <c r="DL238" s="27"/>
      <c r="DM238" s="27"/>
      <c r="DN238" s="27"/>
      <c r="DO238" s="27"/>
      <c r="DP238" s="27"/>
      <c r="DQ238" s="27"/>
      <c r="DR238" s="27"/>
      <c r="DS238" s="27"/>
      <c r="DT238" s="27"/>
    </row>
    <row r="239" spans="2:124" x14ac:dyDescent="0.2">
      <c r="B239" s="27"/>
      <c r="C239" s="27"/>
      <c r="D239" s="27"/>
      <c r="E239" s="27"/>
      <c r="F239" s="27"/>
      <c r="G239" s="27"/>
      <c r="H239" s="27"/>
      <c r="I239" s="27"/>
      <c r="J239" s="27"/>
      <c r="K239" s="27"/>
      <c r="L239" s="27"/>
      <c r="M239" s="27"/>
      <c r="N239" s="27"/>
      <c r="O239" s="27"/>
      <c r="P239" s="27"/>
      <c r="Q239" s="27"/>
      <c r="R239" s="27"/>
      <c r="S239" s="27"/>
      <c r="T239" s="27"/>
      <c r="U239" s="27"/>
      <c r="V239" s="27"/>
      <c r="W239" s="27"/>
      <c r="X239" s="27"/>
      <c r="Y239" s="27"/>
      <c r="Z239" s="27"/>
      <c r="AA239" s="27"/>
      <c r="AB239" s="27"/>
      <c r="AC239" s="27"/>
      <c r="AD239" s="27"/>
      <c r="AE239" s="27"/>
      <c r="AF239" s="27"/>
      <c r="AG239" s="27"/>
      <c r="AH239" s="27"/>
      <c r="AI239" s="27"/>
      <c r="AJ239" s="27"/>
      <c r="AK239" s="27"/>
      <c r="AL239" s="27"/>
      <c r="AM239" s="27"/>
      <c r="AN239" s="27"/>
      <c r="AO239" s="27"/>
      <c r="AP239" s="27"/>
      <c r="AQ239" s="27"/>
      <c r="AR239" s="27"/>
      <c r="AS239" s="27"/>
      <c r="AT239" s="27"/>
      <c r="AU239" s="27"/>
      <c r="AV239" s="27"/>
      <c r="AW239" s="27"/>
      <c r="AX239" s="27"/>
      <c r="AY239" s="27"/>
      <c r="AZ239" s="27"/>
      <c r="BA239" s="27"/>
      <c r="BB239" s="27"/>
      <c r="BC239" s="27"/>
      <c r="BD239" s="27"/>
      <c r="BE239" s="27"/>
      <c r="BF239" s="27"/>
      <c r="BG239" s="27"/>
      <c r="BH239" s="27"/>
      <c r="BI239" s="27"/>
      <c r="BJ239" s="27"/>
      <c r="BK239" s="27"/>
      <c r="BL239" s="27"/>
      <c r="BM239" s="27"/>
      <c r="BN239" s="27"/>
      <c r="BO239" s="27"/>
      <c r="BP239" s="27"/>
      <c r="BQ239" s="27"/>
      <c r="BR239" s="27"/>
      <c r="BS239" s="27"/>
      <c r="BT239" s="27"/>
      <c r="BU239" s="27"/>
      <c r="BV239" s="27"/>
      <c r="BW239" s="27"/>
      <c r="BX239" s="27"/>
      <c r="BY239" s="27"/>
      <c r="BZ239" s="27"/>
      <c r="CA239" s="27"/>
      <c r="CB239" s="27"/>
      <c r="CC239" s="27"/>
      <c r="CD239" s="27"/>
      <c r="CE239" s="27"/>
      <c r="CF239" s="27"/>
      <c r="CG239" s="27"/>
      <c r="CH239" s="27"/>
      <c r="CI239" s="27"/>
      <c r="CJ239" s="27"/>
      <c r="CK239" s="27"/>
      <c r="CL239" s="27"/>
      <c r="CM239" s="27"/>
      <c r="CN239" s="27"/>
      <c r="CO239" s="27"/>
      <c r="CP239" s="27"/>
      <c r="CQ239" s="27"/>
      <c r="CR239" s="27"/>
      <c r="CS239" s="27"/>
      <c r="CT239" s="27"/>
      <c r="CU239" s="27"/>
      <c r="CV239" s="27"/>
      <c r="CW239" s="27"/>
      <c r="CX239" s="27"/>
      <c r="CY239" s="27"/>
      <c r="CZ239" s="27"/>
      <c r="DA239" s="27"/>
      <c r="DB239" s="27"/>
      <c r="DC239" s="27"/>
      <c r="DD239" s="27"/>
      <c r="DE239" s="27"/>
      <c r="DF239" s="27"/>
      <c r="DG239" s="27"/>
      <c r="DH239" s="27"/>
      <c r="DI239" s="27"/>
      <c r="DJ239" s="27"/>
      <c r="DK239" s="27"/>
      <c r="DL239" s="27"/>
      <c r="DM239" s="27"/>
      <c r="DN239" s="27"/>
      <c r="DO239" s="27"/>
      <c r="DP239" s="27"/>
      <c r="DQ239" s="27"/>
      <c r="DR239" s="27"/>
      <c r="DS239" s="27"/>
      <c r="DT239" s="27"/>
    </row>
    <row r="240" spans="2:124" x14ac:dyDescent="0.2">
      <c r="B240" s="27"/>
      <c r="C240" s="27"/>
      <c r="D240" s="27"/>
      <c r="E240" s="27"/>
      <c r="F240" s="27"/>
      <c r="G240" s="27"/>
      <c r="H240" s="27"/>
      <c r="I240" s="27"/>
      <c r="J240" s="27"/>
      <c r="K240" s="27"/>
      <c r="L240" s="27"/>
      <c r="M240" s="27"/>
      <c r="N240" s="27"/>
      <c r="O240" s="27"/>
      <c r="P240" s="27"/>
      <c r="Q240" s="27"/>
      <c r="R240" s="27"/>
      <c r="S240" s="27"/>
      <c r="T240" s="27"/>
      <c r="U240" s="27"/>
      <c r="V240" s="27"/>
      <c r="W240" s="27"/>
      <c r="X240" s="27"/>
      <c r="Y240" s="27"/>
      <c r="Z240" s="27"/>
      <c r="AA240" s="27"/>
      <c r="AB240" s="27"/>
      <c r="AC240" s="27"/>
      <c r="AD240" s="27"/>
      <c r="AE240" s="27"/>
      <c r="AF240" s="27"/>
      <c r="AG240" s="27"/>
      <c r="AH240" s="27"/>
      <c r="AI240" s="27"/>
      <c r="AJ240" s="27"/>
      <c r="AK240" s="27"/>
      <c r="AL240" s="27"/>
      <c r="AM240" s="27"/>
      <c r="AN240" s="27"/>
      <c r="AO240" s="27"/>
      <c r="AP240" s="27"/>
      <c r="AQ240" s="27"/>
      <c r="AR240" s="27"/>
      <c r="AS240" s="27"/>
      <c r="AT240" s="27"/>
      <c r="AU240" s="27"/>
      <c r="AV240" s="27"/>
      <c r="AW240" s="27"/>
      <c r="AX240" s="27"/>
      <c r="AY240" s="27"/>
      <c r="AZ240" s="27"/>
      <c r="BA240" s="27"/>
      <c r="BB240" s="27"/>
      <c r="BC240" s="27"/>
      <c r="BD240" s="27"/>
      <c r="BE240" s="27"/>
      <c r="BF240" s="27"/>
      <c r="BG240" s="27"/>
      <c r="BH240" s="27"/>
      <c r="BI240" s="27"/>
      <c r="BJ240" s="27"/>
      <c r="BK240" s="27"/>
      <c r="BL240" s="27"/>
      <c r="BM240" s="27"/>
      <c r="BN240" s="27"/>
      <c r="BO240" s="27"/>
      <c r="BP240" s="27"/>
      <c r="BQ240" s="27"/>
      <c r="BR240" s="27"/>
      <c r="BS240" s="27"/>
      <c r="BT240" s="27"/>
      <c r="BU240" s="27"/>
      <c r="BV240" s="27"/>
      <c r="BW240" s="27"/>
      <c r="BX240" s="27"/>
      <c r="BY240" s="27"/>
      <c r="BZ240" s="27"/>
      <c r="CA240" s="27"/>
      <c r="CB240" s="27"/>
      <c r="CC240" s="27"/>
      <c r="CD240" s="27"/>
      <c r="CE240" s="27"/>
      <c r="CF240" s="27"/>
      <c r="CG240" s="27"/>
      <c r="CH240" s="27"/>
      <c r="CI240" s="27"/>
      <c r="CJ240" s="27"/>
      <c r="CK240" s="27"/>
      <c r="CL240" s="27"/>
      <c r="CM240" s="27"/>
      <c r="CN240" s="27"/>
      <c r="CO240" s="27"/>
      <c r="CP240" s="27"/>
      <c r="CQ240" s="27"/>
      <c r="CR240" s="27"/>
      <c r="CS240" s="27"/>
      <c r="CT240" s="27"/>
      <c r="CU240" s="27"/>
      <c r="CV240" s="27"/>
      <c r="CW240" s="27"/>
      <c r="CX240" s="27"/>
      <c r="CY240" s="27"/>
      <c r="CZ240" s="27"/>
      <c r="DA240" s="27"/>
      <c r="DB240" s="27"/>
      <c r="DC240" s="27"/>
      <c r="DD240" s="27"/>
      <c r="DE240" s="27"/>
      <c r="DF240" s="27"/>
      <c r="DG240" s="27"/>
      <c r="DH240" s="27"/>
      <c r="DI240" s="27"/>
      <c r="DJ240" s="27"/>
      <c r="DK240" s="27"/>
      <c r="DL240" s="27"/>
      <c r="DM240" s="27"/>
      <c r="DN240" s="27"/>
      <c r="DO240" s="27"/>
      <c r="DP240" s="27"/>
      <c r="DQ240" s="27"/>
      <c r="DR240" s="27"/>
      <c r="DS240" s="27"/>
      <c r="DT240" s="27"/>
    </row>
    <row r="241" spans="2:124" x14ac:dyDescent="0.2">
      <c r="B241" s="27"/>
      <c r="C241" s="27"/>
      <c r="D241" s="27"/>
      <c r="E241" s="27"/>
      <c r="F241" s="27"/>
      <c r="G241" s="27"/>
      <c r="H241" s="27"/>
      <c r="I241" s="27"/>
      <c r="J241" s="27"/>
      <c r="K241" s="27"/>
      <c r="L241" s="27"/>
      <c r="M241" s="27"/>
      <c r="N241" s="27"/>
      <c r="O241" s="27"/>
      <c r="P241" s="27"/>
      <c r="Q241" s="27"/>
      <c r="R241" s="27"/>
      <c r="S241" s="27"/>
      <c r="T241" s="27"/>
      <c r="U241" s="27"/>
      <c r="V241" s="27"/>
      <c r="W241" s="27"/>
      <c r="X241" s="27"/>
      <c r="Y241" s="27"/>
      <c r="Z241" s="27"/>
      <c r="AA241" s="27"/>
      <c r="AB241" s="27"/>
      <c r="AC241" s="27"/>
      <c r="AD241" s="27"/>
      <c r="AE241" s="27"/>
      <c r="AF241" s="27"/>
      <c r="AG241" s="27"/>
      <c r="AH241" s="27"/>
      <c r="AI241" s="27"/>
      <c r="AJ241" s="27"/>
      <c r="AK241" s="27"/>
      <c r="AL241" s="27"/>
      <c r="AM241" s="27"/>
      <c r="AN241" s="27"/>
      <c r="AO241" s="27"/>
      <c r="AP241" s="27"/>
      <c r="AQ241" s="27"/>
      <c r="AR241" s="27"/>
      <c r="AS241" s="27"/>
      <c r="AT241" s="27"/>
      <c r="AU241" s="27"/>
      <c r="AV241" s="27"/>
      <c r="AW241" s="27"/>
      <c r="AX241" s="27"/>
      <c r="AY241" s="27"/>
      <c r="AZ241" s="27"/>
      <c r="BA241" s="27"/>
      <c r="BB241" s="27"/>
      <c r="BC241" s="27"/>
      <c r="BD241" s="27"/>
      <c r="BE241" s="27"/>
      <c r="BF241" s="27"/>
      <c r="BG241" s="27"/>
      <c r="BH241" s="27"/>
      <c r="BI241" s="27"/>
      <c r="BJ241" s="27"/>
      <c r="BK241" s="27"/>
      <c r="BL241" s="27"/>
      <c r="BM241" s="27"/>
      <c r="BN241" s="27"/>
      <c r="BO241" s="27"/>
      <c r="BP241" s="27"/>
      <c r="BQ241" s="27"/>
      <c r="BR241" s="27"/>
      <c r="BS241" s="27"/>
      <c r="BT241" s="27"/>
      <c r="BU241" s="27"/>
      <c r="BV241" s="27"/>
      <c r="BW241" s="27"/>
      <c r="BX241" s="27"/>
      <c r="BY241" s="27"/>
      <c r="BZ241" s="27"/>
      <c r="CA241" s="27"/>
      <c r="CB241" s="27"/>
      <c r="CC241" s="27"/>
      <c r="CD241" s="27"/>
      <c r="CE241" s="27"/>
      <c r="CF241" s="27"/>
      <c r="CG241" s="27"/>
      <c r="CH241" s="27"/>
      <c r="CI241" s="27"/>
      <c r="CJ241" s="27"/>
      <c r="CK241" s="27"/>
      <c r="CL241" s="27"/>
      <c r="CM241" s="27"/>
      <c r="CN241" s="27"/>
      <c r="CO241" s="27"/>
      <c r="CP241" s="27"/>
      <c r="CQ241" s="27"/>
      <c r="CR241" s="27"/>
      <c r="CS241" s="27"/>
      <c r="CT241" s="27"/>
      <c r="CU241" s="27"/>
      <c r="CV241" s="27"/>
      <c r="CW241" s="27"/>
      <c r="CX241" s="27"/>
      <c r="CY241" s="27"/>
      <c r="CZ241" s="27"/>
      <c r="DA241" s="27"/>
      <c r="DB241" s="27"/>
      <c r="DC241" s="27"/>
      <c r="DD241" s="27"/>
      <c r="DE241" s="27"/>
      <c r="DF241" s="27"/>
      <c r="DG241" s="27"/>
      <c r="DH241" s="27"/>
      <c r="DI241" s="27"/>
      <c r="DJ241" s="27"/>
      <c r="DK241" s="27"/>
      <c r="DL241" s="27"/>
      <c r="DM241" s="27"/>
      <c r="DN241" s="27"/>
      <c r="DO241" s="27"/>
      <c r="DP241" s="27"/>
      <c r="DQ241" s="27"/>
      <c r="DR241" s="27"/>
      <c r="DS241" s="27"/>
      <c r="DT241" s="27"/>
    </row>
    <row r="242" spans="2:124" x14ac:dyDescent="0.2">
      <c r="B242" s="27"/>
      <c r="C242" s="27"/>
      <c r="D242" s="27"/>
      <c r="E242" s="27"/>
      <c r="F242" s="27"/>
      <c r="G242" s="27"/>
      <c r="H242" s="27"/>
      <c r="I242" s="27"/>
      <c r="J242" s="27"/>
      <c r="K242" s="27"/>
      <c r="L242" s="27"/>
      <c r="M242" s="27"/>
      <c r="N242" s="27"/>
      <c r="O242" s="27"/>
      <c r="P242" s="27"/>
      <c r="Q242" s="27"/>
      <c r="R242" s="27"/>
      <c r="S242" s="27"/>
      <c r="T242" s="27"/>
      <c r="U242" s="27"/>
      <c r="V242" s="27"/>
      <c r="W242" s="27"/>
      <c r="X242" s="27"/>
      <c r="Y242" s="27"/>
      <c r="Z242" s="27"/>
      <c r="AA242" s="27"/>
      <c r="AB242" s="27"/>
      <c r="AC242" s="27"/>
      <c r="AD242" s="27"/>
      <c r="AE242" s="27"/>
      <c r="AF242" s="27"/>
      <c r="AG242" s="27"/>
      <c r="AH242" s="27"/>
      <c r="AI242" s="27"/>
      <c r="AJ242" s="27"/>
      <c r="AK242" s="27"/>
      <c r="AL242" s="27"/>
      <c r="AM242" s="27"/>
      <c r="AN242" s="27"/>
      <c r="AO242" s="27"/>
      <c r="AP242" s="27"/>
      <c r="AQ242" s="27"/>
      <c r="AR242" s="27"/>
      <c r="AS242" s="27"/>
      <c r="AT242" s="27"/>
      <c r="AU242" s="27"/>
      <c r="AV242" s="27"/>
      <c r="AW242" s="27"/>
      <c r="AX242" s="27"/>
      <c r="AY242" s="27"/>
      <c r="AZ242" s="27"/>
      <c r="BA242" s="27"/>
      <c r="BB242" s="27"/>
      <c r="BC242" s="27"/>
      <c r="BD242" s="27"/>
      <c r="BE242" s="27"/>
      <c r="BF242" s="27"/>
      <c r="BG242" s="27"/>
      <c r="BH242" s="27"/>
      <c r="BI242" s="27"/>
      <c r="BJ242" s="27"/>
      <c r="BK242" s="27"/>
      <c r="BL242" s="27"/>
      <c r="BM242" s="27"/>
      <c r="BN242" s="27"/>
      <c r="BO242" s="27"/>
      <c r="BP242" s="27"/>
      <c r="BQ242" s="27"/>
      <c r="BR242" s="27"/>
      <c r="BS242" s="27"/>
      <c r="BT242" s="27"/>
      <c r="BU242" s="27"/>
      <c r="BV242" s="27"/>
      <c r="BW242" s="27"/>
      <c r="BX242" s="27"/>
      <c r="BY242" s="27"/>
      <c r="BZ242" s="27"/>
      <c r="CA242" s="27"/>
      <c r="CB242" s="27"/>
      <c r="CC242" s="27"/>
      <c r="CD242" s="27"/>
      <c r="CE242" s="27"/>
      <c r="CF242" s="27"/>
      <c r="CG242" s="27"/>
      <c r="CH242" s="27"/>
      <c r="CI242" s="27"/>
      <c r="CJ242" s="27"/>
      <c r="CK242" s="27"/>
      <c r="CL242" s="27"/>
      <c r="CM242" s="27"/>
      <c r="CN242" s="27"/>
      <c r="CO242" s="27"/>
      <c r="CP242" s="27"/>
      <c r="CQ242" s="27"/>
      <c r="CR242" s="27"/>
      <c r="CS242" s="27"/>
      <c r="CT242" s="27"/>
      <c r="CU242" s="27"/>
      <c r="CV242" s="27"/>
      <c r="CW242" s="27"/>
      <c r="CX242" s="27"/>
      <c r="CY242" s="27"/>
      <c r="CZ242" s="27"/>
      <c r="DA242" s="27"/>
      <c r="DB242" s="27"/>
      <c r="DC242" s="27"/>
      <c r="DD242" s="27"/>
      <c r="DE242" s="27"/>
      <c r="DF242" s="27"/>
      <c r="DG242" s="27"/>
      <c r="DH242" s="27"/>
      <c r="DI242" s="27"/>
      <c r="DJ242" s="27"/>
      <c r="DK242" s="27"/>
      <c r="DL242" s="27"/>
      <c r="DM242" s="27"/>
      <c r="DN242" s="27"/>
      <c r="DO242" s="27"/>
      <c r="DP242" s="27"/>
      <c r="DQ242" s="27"/>
      <c r="DR242" s="27"/>
      <c r="DS242" s="27"/>
      <c r="DT242" s="27"/>
    </row>
    <row r="243" spans="2:124" x14ac:dyDescent="0.2">
      <c r="B243" s="27"/>
      <c r="C243" s="27"/>
      <c r="D243" s="27"/>
      <c r="E243" s="27"/>
      <c r="F243" s="27"/>
      <c r="G243" s="27"/>
      <c r="H243" s="27"/>
      <c r="I243" s="27"/>
      <c r="J243" s="27"/>
      <c r="K243" s="27"/>
      <c r="L243" s="27"/>
      <c r="M243" s="27"/>
      <c r="N243" s="27"/>
      <c r="O243" s="27"/>
      <c r="P243" s="27"/>
      <c r="Q243" s="27"/>
      <c r="R243" s="27"/>
      <c r="S243" s="27"/>
      <c r="T243" s="27"/>
      <c r="U243" s="27"/>
      <c r="V243" s="27"/>
      <c r="W243" s="27"/>
      <c r="X243" s="27"/>
      <c r="Y243" s="27"/>
      <c r="Z243" s="27"/>
      <c r="AA243" s="27"/>
      <c r="AB243" s="27"/>
      <c r="AC243" s="27"/>
      <c r="AD243" s="27"/>
      <c r="AE243" s="27"/>
      <c r="AF243" s="27"/>
      <c r="AG243" s="27"/>
      <c r="AH243" s="27"/>
      <c r="AI243" s="27"/>
      <c r="AJ243" s="27"/>
      <c r="AK243" s="27"/>
      <c r="AL243" s="27"/>
      <c r="AM243" s="27"/>
      <c r="AN243" s="27"/>
      <c r="AO243" s="27"/>
      <c r="AP243" s="27"/>
      <c r="AQ243" s="27"/>
      <c r="AR243" s="27"/>
      <c r="AS243" s="27"/>
      <c r="AT243" s="27"/>
      <c r="AU243" s="27"/>
      <c r="AV243" s="27"/>
      <c r="AW243" s="27"/>
      <c r="AX243" s="27"/>
      <c r="AY243" s="27"/>
      <c r="AZ243" s="27"/>
      <c r="BA243" s="27"/>
      <c r="BB243" s="27"/>
      <c r="BC243" s="27"/>
      <c r="BD243" s="27"/>
      <c r="BE243" s="27"/>
      <c r="BF243" s="27"/>
      <c r="BG243" s="27"/>
      <c r="BH243" s="27"/>
      <c r="BI243" s="27"/>
      <c r="BJ243" s="27"/>
      <c r="BK243" s="27"/>
      <c r="BL243" s="27"/>
      <c r="BM243" s="27"/>
      <c r="BN243" s="27"/>
      <c r="BO243" s="27"/>
      <c r="BP243" s="27"/>
      <c r="BQ243" s="27"/>
      <c r="BR243" s="27"/>
      <c r="BS243" s="27"/>
      <c r="BT243" s="27"/>
      <c r="BU243" s="27"/>
      <c r="BV243" s="27"/>
      <c r="BW243" s="27"/>
      <c r="BX243" s="27"/>
      <c r="BY243" s="27"/>
      <c r="BZ243" s="27"/>
      <c r="CA243" s="27"/>
      <c r="CB243" s="27"/>
      <c r="CC243" s="27"/>
      <c r="CD243" s="27"/>
      <c r="CE243" s="27"/>
      <c r="CF243" s="27"/>
      <c r="CG243" s="27"/>
      <c r="CH243" s="27"/>
      <c r="CI243" s="27"/>
      <c r="CJ243" s="27"/>
      <c r="CK243" s="27"/>
      <c r="CL243" s="27"/>
      <c r="CM243" s="27"/>
      <c r="CN243" s="27"/>
      <c r="CO243" s="27"/>
      <c r="CP243" s="27"/>
      <c r="CQ243" s="27"/>
      <c r="CR243" s="27"/>
      <c r="CS243" s="27"/>
      <c r="CT243" s="27"/>
      <c r="CU243" s="27"/>
      <c r="CV243" s="27"/>
      <c r="CW243" s="27"/>
      <c r="CX243" s="27"/>
      <c r="CY243" s="27"/>
      <c r="CZ243" s="27"/>
      <c r="DA243" s="27"/>
      <c r="DB243" s="27"/>
      <c r="DC243" s="27"/>
      <c r="DD243" s="27"/>
      <c r="DE243" s="27"/>
      <c r="DF243" s="27"/>
      <c r="DG243" s="27"/>
      <c r="DH243" s="27"/>
      <c r="DI243" s="27"/>
      <c r="DJ243" s="27"/>
      <c r="DK243" s="27"/>
      <c r="DL243" s="27"/>
      <c r="DM243" s="27"/>
      <c r="DN243" s="27"/>
      <c r="DO243" s="27"/>
      <c r="DP243" s="27"/>
      <c r="DQ243" s="27"/>
      <c r="DR243" s="27"/>
      <c r="DS243" s="27"/>
      <c r="DT243" s="27"/>
    </row>
    <row r="244" spans="2:124" x14ac:dyDescent="0.2">
      <c r="B244" s="27"/>
      <c r="C244" s="27"/>
      <c r="D244" s="27"/>
      <c r="E244" s="27"/>
      <c r="F244" s="27"/>
      <c r="G244" s="27"/>
      <c r="H244" s="27"/>
      <c r="I244" s="27"/>
      <c r="J244" s="27"/>
      <c r="K244" s="27"/>
      <c r="L244" s="27"/>
      <c r="M244" s="27"/>
      <c r="N244" s="27"/>
      <c r="O244" s="27"/>
      <c r="P244" s="27"/>
      <c r="Q244" s="27"/>
      <c r="R244" s="27"/>
      <c r="S244" s="27"/>
      <c r="T244" s="27"/>
      <c r="U244" s="27"/>
      <c r="V244" s="27"/>
      <c r="W244" s="27"/>
      <c r="X244" s="27"/>
      <c r="Y244" s="27"/>
      <c r="Z244" s="27"/>
      <c r="AA244" s="27"/>
      <c r="AB244" s="27"/>
      <c r="AC244" s="27"/>
      <c r="AD244" s="27"/>
      <c r="AE244" s="27"/>
      <c r="AF244" s="27"/>
      <c r="AG244" s="27"/>
      <c r="AH244" s="27"/>
      <c r="AI244" s="27"/>
      <c r="AJ244" s="27"/>
      <c r="AK244" s="27"/>
      <c r="AL244" s="27"/>
      <c r="AM244" s="27"/>
      <c r="AN244" s="27"/>
      <c r="AO244" s="27"/>
      <c r="AP244" s="27"/>
      <c r="AQ244" s="27"/>
      <c r="AR244" s="27"/>
      <c r="AS244" s="27"/>
      <c r="AT244" s="27"/>
      <c r="AU244" s="27"/>
      <c r="AV244" s="27"/>
      <c r="AW244" s="27"/>
      <c r="AX244" s="27"/>
      <c r="AY244" s="27"/>
      <c r="AZ244" s="27"/>
      <c r="BA244" s="27"/>
      <c r="BB244" s="27"/>
      <c r="BC244" s="27"/>
      <c r="BD244" s="27"/>
      <c r="BE244" s="27"/>
      <c r="BF244" s="27"/>
      <c r="BG244" s="27"/>
      <c r="BH244" s="27"/>
      <c r="BI244" s="27"/>
      <c r="BJ244" s="27"/>
      <c r="BK244" s="27"/>
      <c r="BL244" s="27"/>
      <c r="BM244" s="27"/>
      <c r="BN244" s="27"/>
      <c r="BO244" s="27"/>
      <c r="BP244" s="27"/>
      <c r="BQ244" s="27"/>
      <c r="BR244" s="27"/>
      <c r="BS244" s="27"/>
      <c r="BT244" s="27"/>
      <c r="BU244" s="27"/>
      <c r="BV244" s="27"/>
      <c r="BW244" s="27"/>
      <c r="BX244" s="27"/>
      <c r="BY244" s="27"/>
      <c r="BZ244" s="27"/>
      <c r="CA244" s="27"/>
      <c r="CB244" s="27"/>
      <c r="CC244" s="27"/>
      <c r="CD244" s="27"/>
      <c r="CE244" s="27"/>
      <c r="CF244" s="27"/>
      <c r="CG244" s="27"/>
      <c r="CH244" s="27"/>
      <c r="CI244" s="27"/>
      <c r="CJ244" s="27"/>
      <c r="CK244" s="27"/>
      <c r="CL244" s="27"/>
      <c r="CM244" s="27"/>
      <c r="CN244" s="27"/>
      <c r="CO244" s="27"/>
      <c r="CP244" s="27"/>
      <c r="CQ244" s="27"/>
      <c r="CR244" s="27"/>
      <c r="CS244" s="27"/>
      <c r="CT244" s="27"/>
      <c r="CU244" s="27"/>
      <c r="CV244" s="27"/>
      <c r="CW244" s="27"/>
      <c r="CX244" s="27"/>
      <c r="CY244" s="27"/>
      <c r="CZ244" s="27"/>
      <c r="DA244" s="27"/>
      <c r="DB244" s="27"/>
      <c r="DC244" s="27"/>
      <c r="DD244" s="27"/>
      <c r="DE244" s="27"/>
      <c r="DF244" s="27"/>
      <c r="DG244" s="27"/>
      <c r="DH244" s="27"/>
      <c r="DI244" s="27"/>
      <c r="DJ244" s="27"/>
      <c r="DK244" s="27"/>
      <c r="DL244" s="27"/>
      <c r="DM244" s="27"/>
      <c r="DN244" s="27"/>
      <c r="DO244" s="27"/>
      <c r="DP244" s="27"/>
      <c r="DQ244" s="27"/>
      <c r="DR244" s="27"/>
      <c r="DS244" s="27"/>
      <c r="DT244" s="27"/>
    </row>
    <row r="245" spans="2:124" x14ac:dyDescent="0.2">
      <c r="B245" s="27"/>
      <c r="C245" s="27"/>
      <c r="D245" s="27"/>
      <c r="E245" s="27"/>
      <c r="F245" s="27"/>
      <c r="G245" s="27"/>
      <c r="H245" s="27"/>
      <c r="I245" s="27"/>
      <c r="J245" s="27"/>
      <c r="K245" s="27"/>
      <c r="L245" s="27"/>
      <c r="M245" s="27"/>
      <c r="N245" s="27"/>
      <c r="O245" s="27"/>
      <c r="P245" s="27"/>
      <c r="Q245" s="27"/>
      <c r="R245" s="27"/>
      <c r="S245" s="27"/>
      <c r="T245" s="27"/>
      <c r="U245" s="27"/>
      <c r="V245" s="27"/>
      <c r="W245" s="27"/>
      <c r="X245" s="27"/>
      <c r="Y245" s="27"/>
      <c r="Z245" s="27"/>
      <c r="AA245" s="27"/>
      <c r="AB245" s="27"/>
      <c r="AC245" s="27"/>
      <c r="AD245" s="27"/>
      <c r="AE245" s="27"/>
      <c r="AF245" s="27"/>
      <c r="AG245" s="27"/>
      <c r="AH245" s="27"/>
      <c r="AI245" s="27"/>
      <c r="AJ245" s="27"/>
      <c r="AK245" s="27"/>
      <c r="AL245" s="27"/>
      <c r="AM245" s="27"/>
      <c r="AN245" s="27"/>
      <c r="AO245" s="27"/>
      <c r="AP245" s="27"/>
      <c r="AQ245" s="27"/>
      <c r="AR245" s="27"/>
      <c r="AS245" s="27"/>
      <c r="AT245" s="27"/>
      <c r="AU245" s="27"/>
      <c r="AV245" s="27"/>
      <c r="AW245" s="27"/>
      <c r="AX245" s="27"/>
      <c r="AY245" s="27"/>
      <c r="AZ245" s="27"/>
      <c r="BA245" s="27"/>
      <c r="BB245" s="27"/>
      <c r="BC245" s="27"/>
      <c r="BD245" s="27"/>
      <c r="BE245" s="27"/>
      <c r="BF245" s="27"/>
      <c r="BG245" s="27"/>
      <c r="BH245" s="27"/>
      <c r="BI245" s="27"/>
      <c r="BJ245" s="27"/>
      <c r="BK245" s="27"/>
      <c r="BL245" s="27"/>
      <c r="BM245" s="27"/>
      <c r="BN245" s="27"/>
      <c r="BO245" s="27"/>
      <c r="BP245" s="27"/>
      <c r="BQ245" s="27"/>
      <c r="BR245" s="27"/>
      <c r="BS245" s="27"/>
      <c r="BT245" s="27"/>
      <c r="BU245" s="27"/>
      <c r="BV245" s="27"/>
      <c r="BW245" s="27"/>
      <c r="BX245" s="27"/>
      <c r="BY245" s="27"/>
      <c r="BZ245" s="27"/>
      <c r="CA245" s="27"/>
      <c r="CB245" s="27"/>
      <c r="CC245" s="27"/>
      <c r="CD245" s="27"/>
      <c r="CE245" s="27"/>
      <c r="CF245" s="27"/>
      <c r="CG245" s="27"/>
      <c r="CH245" s="27"/>
      <c r="CI245" s="27"/>
      <c r="CJ245" s="27"/>
      <c r="CK245" s="27"/>
      <c r="CL245" s="27"/>
      <c r="CM245" s="27"/>
      <c r="CN245" s="27"/>
      <c r="CO245" s="27"/>
      <c r="CP245" s="27"/>
      <c r="CQ245" s="27"/>
      <c r="CR245" s="27"/>
      <c r="CS245" s="27"/>
      <c r="CT245" s="27"/>
      <c r="CU245" s="27"/>
      <c r="CV245" s="27"/>
      <c r="CW245" s="27"/>
      <c r="CX245" s="27"/>
      <c r="CY245" s="27"/>
      <c r="CZ245" s="27"/>
      <c r="DA245" s="27"/>
      <c r="DB245" s="27"/>
      <c r="DC245" s="27"/>
      <c r="DD245" s="27"/>
      <c r="DE245" s="27"/>
      <c r="DF245" s="27"/>
      <c r="DG245" s="27"/>
      <c r="DH245" s="27"/>
      <c r="DI245" s="27"/>
      <c r="DJ245" s="27"/>
      <c r="DK245" s="27"/>
      <c r="DL245" s="27"/>
      <c r="DM245" s="27"/>
      <c r="DN245" s="27"/>
      <c r="DO245" s="27"/>
      <c r="DP245" s="27"/>
      <c r="DQ245" s="27"/>
      <c r="DR245" s="27"/>
      <c r="DS245" s="27"/>
      <c r="DT245" s="27"/>
    </row>
    <row r="246" spans="2:124" x14ac:dyDescent="0.2">
      <c r="B246" s="27"/>
      <c r="C246" s="27"/>
      <c r="D246" s="27"/>
      <c r="E246" s="27"/>
      <c r="F246" s="27"/>
      <c r="G246" s="27"/>
      <c r="H246" s="27"/>
      <c r="I246" s="27"/>
      <c r="J246" s="27"/>
      <c r="K246" s="27"/>
      <c r="L246" s="27"/>
      <c r="M246" s="27"/>
      <c r="N246" s="27"/>
      <c r="O246" s="27"/>
      <c r="P246" s="27"/>
      <c r="Q246" s="27"/>
      <c r="R246" s="27"/>
      <c r="S246" s="27"/>
      <c r="T246" s="27"/>
      <c r="U246" s="27"/>
      <c r="V246" s="27"/>
      <c r="W246" s="27"/>
      <c r="X246" s="27"/>
      <c r="Y246" s="27"/>
      <c r="Z246" s="27"/>
      <c r="AA246" s="27"/>
      <c r="AB246" s="27"/>
      <c r="AC246" s="27"/>
      <c r="AD246" s="27"/>
      <c r="AE246" s="27"/>
      <c r="AF246" s="27"/>
      <c r="AG246" s="27"/>
      <c r="AH246" s="27"/>
      <c r="AI246" s="27"/>
      <c r="AJ246" s="27"/>
      <c r="AK246" s="27"/>
      <c r="AL246" s="27"/>
      <c r="AM246" s="27"/>
      <c r="AN246" s="27"/>
      <c r="AO246" s="27"/>
      <c r="AP246" s="27"/>
      <c r="AQ246" s="27"/>
      <c r="AR246" s="27"/>
      <c r="AS246" s="27"/>
      <c r="AT246" s="27"/>
      <c r="AU246" s="27"/>
      <c r="AV246" s="27"/>
      <c r="AW246" s="27"/>
      <c r="AX246" s="27"/>
      <c r="AY246" s="27"/>
      <c r="AZ246" s="27"/>
      <c r="BA246" s="27"/>
      <c r="BB246" s="27"/>
      <c r="BC246" s="27"/>
      <c r="BD246" s="27"/>
      <c r="BE246" s="27"/>
      <c r="BF246" s="27"/>
      <c r="BG246" s="27"/>
      <c r="BH246" s="27"/>
      <c r="BI246" s="27"/>
      <c r="BJ246" s="27"/>
      <c r="BK246" s="27"/>
      <c r="BL246" s="27"/>
      <c r="BM246" s="27"/>
      <c r="BN246" s="27"/>
      <c r="BO246" s="27"/>
      <c r="BP246" s="27"/>
      <c r="BQ246" s="27"/>
      <c r="BR246" s="27"/>
      <c r="BS246" s="27"/>
      <c r="BT246" s="27"/>
      <c r="BU246" s="27"/>
      <c r="BV246" s="27"/>
      <c r="BW246" s="27"/>
      <c r="BX246" s="27"/>
      <c r="BY246" s="27"/>
      <c r="BZ246" s="27"/>
      <c r="CA246" s="27"/>
      <c r="CB246" s="27"/>
      <c r="CC246" s="27"/>
      <c r="CD246" s="27"/>
      <c r="CE246" s="27"/>
      <c r="CF246" s="27"/>
      <c r="CG246" s="27"/>
      <c r="CH246" s="27"/>
      <c r="CI246" s="27"/>
      <c r="CJ246" s="27"/>
      <c r="CK246" s="27"/>
      <c r="CL246" s="27"/>
      <c r="CM246" s="27"/>
      <c r="CN246" s="27"/>
      <c r="CO246" s="27"/>
      <c r="CP246" s="27"/>
      <c r="CQ246" s="27"/>
      <c r="CR246" s="27"/>
      <c r="CS246" s="27"/>
      <c r="CT246" s="27"/>
      <c r="CU246" s="27"/>
      <c r="CV246" s="27"/>
      <c r="CW246" s="27"/>
      <c r="CX246" s="27"/>
      <c r="CY246" s="27"/>
      <c r="CZ246" s="27"/>
      <c r="DA246" s="27"/>
      <c r="DB246" s="27"/>
      <c r="DC246" s="27"/>
      <c r="DD246" s="27"/>
      <c r="DE246" s="27"/>
      <c r="DF246" s="27"/>
      <c r="DG246" s="27"/>
      <c r="DH246" s="27"/>
      <c r="DI246" s="27"/>
      <c r="DJ246" s="27"/>
      <c r="DK246" s="27"/>
      <c r="DL246" s="27"/>
      <c r="DM246" s="27"/>
      <c r="DN246" s="27"/>
      <c r="DO246" s="27"/>
      <c r="DP246" s="27"/>
      <c r="DQ246" s="27"/>
      <c r="DR246" s="27"/>
      <c r="DS246" s="27"/>
      <c r="DT246" s="27"/>
    </row>
    <row r="247" spans="2:124" x14ac:dyDescent="0.2">
      <c r="B247" s="27"/>
      <c r="C247" s="27"/>
      <c r="D247" s="27"/>
      <c r="E247" s="27"/>
      <c r="F247" s="27"/>
      <c r="G247" s="27"/>
      <c r="H247" s="27"/>
      <c r="I247" s="27"/>
      <c r="J247" s="27"/>
      <c r="K247" s="27"/>
      <c r="L247" s="27"/>
      <c r="M247" s="27"/>
      <c r="N247" s="27"/>
      <c r="O247" s="27"/>
      <c r="P247" s="27"/>
      <c r="Q247" s="27"/>
      <c r="R247" s="27"/>
      <c r="S247" s="27"/>
      <c r="T247" s="27"/>
      <c r="U247" s="27"/>
      <c r="V247" s="27"/>
      <c r="W247" s="27"/>
      <c r="X247" s="27"/>
      <c r="Y247" s="27"/>
      <c r="Z247" s="27"/>
      <c r="AA247" s="27"/>
      <c r="AB247" s="27"/>
      <c r="AC247" s="27"/>
      <c r="AD247" s="27"/>
      <c r="AE247" s="27"/>
      <c r="AF247" s="27"/>
      <c r="AG247" s="27"/>
      <c r="AH247" s="27"/>
      <c r="AI247" s="27"/>
      <c r="AJ247" s="27"/>
      <c r="AK247" s="27"/>
      <c r="AL247" s="27"/>
      <c r="AM247" s="27"/>
      <c r="AN247" s="27"/>
      <c r="AO247" s="27"/>
      <c r="AP247" s="27"/>
      <c r="AQ247" s="27"/>
      <c r="AR247" s="27"/>
      <c r="AS247" s="27"/>
      <c r="AT247" s="27"/>
      <c r="AU247" s="27"/>
      <c r="AV247" s="27"/>
      <c r="AW247" s="27"/>
      <c r="AX247" s="27"/>
      <c r="AY247" s="27"/>
      <c r="AZ247" s="27"/>
      <c r="BA247" s="27"/>
      <c r="BB247" s="27"/>
      <c r="BC247" s="27"/>
      <c r="BD247" s="27"/>
      <c r="BE247" s="27"/>
      <c r="BF247" s="27"/>
      <c r="BG247" s="27"/>
      <c r="BH247" s="27"/>
      <c r="BI247" s="27"/>
      <c r="BJ247" s="27"/>
      <c r="BK247" s="27"/>
      <c r="BL247" s="27"/>
      <c r="BM247" s="27"/>
      <c r="BN247" s="27"/>
      <c r="BO247" s="27"/>
      <c r="BP247" s="27"/>
      <c r="BQ247" s="27"/>
      <c r="BR247" s="27"/>
      <c r="BS247" s="27"/>
      <c r="BT247" s="27"/>
      <c r="BU247" s="27"/>
      <c r="BV247" s="27"/>
      <c r="BW247" s="27"/>
      <c r="BX247" s="27"/>
      <c r="BY247" s="27"/>
      <c r="BZ247" s="27"/>
      <c r="CA247" s="27"/>
      <c r="CB247" s="27"/>
      <c r="CC247" s="27"/>
      <c r="CD247" s="27"/>
      <c r="CE247" s="27"/>
      <c r="CF247" s="27"/>
      <c r="CG247" s="27"/>
      <c r="CH247" s="27"/>
      <c r="CI247" s="27"/>
      <c r="CJ247" s="27"/>
      <c r="CK247" s="27"/>
      <c r="CL247" s="27"/>
      <c r="CM247" s="27"/>
      <c r="CN247" s="27"/>
      <c r="CO247" s="27"/>
      <c r="CP247" s="27"/>
      <c r="CQ247" s="27"/>
      <c r="CR247" s="27"/>
      <c r="CS247" s="27"/>
      <c r="CT247" s="27"/>
      <c r="CU247" s="27"/>
      <c r="CV247" s="27"/>
      <c r="CW247" s="27"/>
      <c r="CX247" s="27"/>
      <c r="CY247" s="27"/>
      <c r="CZ247" s="27"/>
      <c r="DA247" s="27"/>
      <c r="DB247" s="27"/>
      <c r="DC247" s="27"/>
      <c r="DD247" s="27"/>
      <c r="DE247" s="27"/>
      <c r="DF247" s="27"/>
      <c r="DG247" s="27"/>
      <c r="DH247" s="27"/>
      <c r="DI247" s="27"/>
      <c r="DJ247" s="27"/>
      <c r="DK247" s="27"/>
      <c r="DL247" s="27"/>
      <c r="DM247" s="27"/>
      <c r="DN247" s="27"/>
      <c r="DO247" s="27"/>
      <c r="DP247" s="27"/>
      <c r="DQ247" s="27"/>
      <c r="DR247" s="27"/>
      <c r="DS247" s="27"/>
      <c r="DT247" s="27"/>
    </row>
    <row r="248" spans="2:124" x14ac:dyDescent="0.2">
      <c r="B248" s="27"/>
      <c r="C248" s="27"/>
      <c r="D248" s="27"/>
      <c r="E248" s="27"/>
      <c r="F248" s="27"/>
      <c r="G248" s="27"/>
      <c r="H248" s="27"/>
      <c r="I248" s="27"/>
      <c r="J248" s="27"/>
      <c r="K248" s="27"/>
      <c r="L248" s="27"/>
      <c r="M248" s="27"/>
      <c r="N248" s="27"/>
      <c r="O248" s="27"/>
      <c r="P248" s="27"/>
      <c r="Q248" s="27"/>
      <c r="R248" s="27"/>
      <c r="S248" s="27"/>
      <c r="T248" s="27"/>
      <c r="U248" s="27"/>
      <c r="V248" s="27"/>
      <c r="W248" s="27"/>
      <c r="X248" s="27"/>
      <c r="Y248" s="27"/>
      <c r="Z248" s="27"/>
      <c r="AA248" s="27"/>
      <c r="AB248" s="27"/>
      <c r="AC248" s="27"/>
      <c r="AD248" s="27"/>
      <c r="AE248" s="27"/>
      <c r="AF248" s="27"/>
      <c r="AG248" s="27"/>
      <c r="AH248" s="27"/>
      <c r="AI248" s="27"/>
      <c r="AJ248" s="27"/>
      <c r="AK248" s="27"/>
      <c r="AL248" s="27"/>
      <c r="AM248" s="27"/>
      <c r="AN248" s="27"/>
      <c r="AO248" s="27"/>
      <c r="AP248" s="27"/>
      <c r="AQ248" s="27"/>
      <c r="AR248" s="27"/>
      <c r="AS248" s="27"/>
      <c r="AT248" s="27"/>
      <c r="AU248" s="27"/>
      <c r="AV248" s="27"/>
      <c r="AW248" s="27"/>
      <c r="AX248" s="27"/>
      <c r="AY248" s="27"/>
      <c r="AZ248" s="27"/>
      <c r="BA248" s="27"/>
      <c r="BB248" s="27"/>
      <c r="BC248" s="27"/>
      <c r="BD248" s="27"/>
      <c r="BE248" s="27"/>
      <c r="BF248" s="27"/>
      <c r="BG248" s="27"/>
      <c r="BH248" s="27"/>
      <c r="BI248" s="27"/>
      <c r="BJ248" s="27"/>
      <c r="BK248" s="27"/>
      <c r="BL248" s="27"/>
      <c r="BM248" s="27"/>
      <c r="BN248" s="27"/>
      <c r="BO248" s="27"/>
      <c r="BP248" s="27"/>
      <c r="BQ248" s="27"/>
      <c r="BR248" s="27"/>
      <c r="BS248" s="27"/>
      <c r="BT248" s="27"/>
      <c r="BU248" s="27"/>
      <c r="BV248" s="27"/>
      <c r="BW248" s="27"/>
      <c r="BX248" s="27"/>
      <c r="BY248" s="27"/>
      <c r="BZ248" s="27"/>
      <c r="CA248" s="27"/>
      <c r="CB248" s="27"/>
      <c r="CC248" s="27"/>
      <c r="CD248" s="27"/>
      <c r="CE248" s="27"/>
      <c r="CF248" s="27"/>
      <c r="CG248" s="27"/>
      <c r="CH248" s="27"/>
      <c r="CI248" s="27"/>
      <c r="CJ248" s="27"/>
      <c r="CK248" s="27"/>
      <c r="CL248" s="27"/>
      <c r="CM248" s="27"/>
      <c r="CN248" s="27"/>
      <c r="CO248" s="27"/>
      <c r="CP248" s="27"/>
      <c r="CQ248" s="27"/>
      <c r="CR248" s="27"/>
      <c r="CS248" s="27"/>
      <c r="CT248" s="27"/>
      <c r="CU248" s="27"/>
      <c r="CV248" s="27"/>
      <c r="CW248" s="27"/>
      <c r="CX248" s="27"/>
      <c r="CY248" s="27"/>
      <c r="CZ248" s="27"/>
      <c r="DA248" s="27"/>
      <c r="DB248" s="27"/>
      <c r="DC248" s="27"/>
      <c r="DD248" s="27"/>
      <c r="DE248" s="27"/>
      <c r="DF248" s="27"/>
      <c r="DG248" s="27"/>
      <c r="DH248" s="27"/>
      <c r="DI248" s="27"/>
      <c r="DJ248" s="27"/>
      <c r="DK248" s="27"/>
      <c r="DL248" s="27"/>
      <c r="DM248" s="27"/>
      <c r="DN248" s="27"/>
      <c r="DO248" s="27"/>
      <c r="DP248" s="27"/>
      <c r="DQ248" s="27"/>
      <c r="DR248" s="27"/>
      <c r="DS248" s="27"/>
      <c r="DT248" s="27"/>
    </row>
    <row r="249" spans="2:124" x14ac:dyDescent="0.2">
      <c r="B249" s="27"/>
      <c r="C249" s="27"/>
      <c r="D249" s="27"/>
      <c r="E249" s="27"/>
      <c r="F249" s="27"/>
      <c r="G249" s="27"/>
      <c r="H249" s="27"/>
      <c r="I249" s="27"/>
      <c r="J249" s="27"/>
      <c r="K249" s="27"/>
      <c r="L249" s="27"/>
      <c r="M249" s="27"/>
      <c r="N249" s="27"/>
      <c r="O249" s="27"/>
      <c r="P249" s="27"/>
      <c r="Q249" s="27"/>
      <c r="R249" s="27"/>
      <c r="S249" s="27"/>
      <c r="T249" s="27"/>
      <c r="U249" s="27"/>
      <c r="V249" s="27"/>
      <c r="W249" s="27"/>
      <c r="X249" s="27"/>
      <c r="Y249" s="27"/>
      <c r="Z249" s="27"/>
      <c r="AA249" s="27"/>
      <c r="AB249" s="27"/>
      <c r="AC249" s="27"/>
      <c r="AD249" s="27"/>
      <c r="AE249" s="27"/>
      <c r="AF249" s="27"/>
      <c r="AG249" s="27"/>
      <c r="AH249" s="27"/>
      <c r="AI249" s="27"/>
      <c r="AJ249" s="27"/>
      <c r="AK249" s="27"/>
      <c r="AL249" s="27"/>
      <c r="AM249" s="27"/>
      <c r="AN249" s="27"/>
      <c r="AO249" s="27"/>
      <c r="AP249" s="27"/>
      <c r="AQ249" s="27"/>
      <c r="AR249" s="27"/>
      <c r="AS249" s="27"/>
      <c r="AT249" s="27"/>
      <c r="AU249" s="27"/>
      <c r="AV249" s="27"/>
      <c r="AW249" s="27"/>
      <c r="AX249" s="27"/>
      <c r="AY249" s="27"/>
      <c r="AZ249" s="27"/>
      <c r="BA249" s="27"/>
      <c r="BB249" s="27"/>
      <c r="BC249" s="27"/>
      <c r="BD249" s="27"/>
      <c r="BE249" s="27"/>
      <c r="BF249" s="27"/>
      <c r="BG249" s="27"/>
      <c r="BH249" s="27"/>
      <c r="BI249" s="27"/>
      <c r="BJ249" s="27"/>
      <c r="BK249" s="27"/>
      <c r="BL249" s="27"/>
      <c r="BM249" s="27"/>
      <c r="BN249" s="27"/>
      <c r="BO249" s="27"/>
      <c r="BP249" s="27"/>
      <c r="BQ249" s="27"/>
      <c r="BR249" s="27"/>
      <c r="BS249" s="27"/>
      <c r="BT249" s="27"/>
      <c r="BU249" s="27"/>
      <c r="BV249" s="27"/>
      <c r="BW249" s="27"/>
      <c r="BX249" s="27"/>
      <c r="BY249" s="27"/>
      <c r="BZ249" s="27"/>
      <c r="CA249" s="27"/>
      <c r="CB249" s="27"/>
      <c r="CC249" s="27"/>
      <c r="CD249" s="27"/>
      <c r="CE249" s="27"/>
      <c r="CF249" s="27"/>
      <c r="CG249" s="27"/>
      <c r="CH249" s="27"/>
      <c r="CI249" s="27"/>
      <c r="CJ249" s="27"/>
      <c r="CK249" s="27"/>
      <c r="CL249" s="27"/>
      <c r="CM249" s="27"/>
      <c r="CN249" s="27"/>
      <c r="CO249" s="27"/>
      <c r="CP249" s="27"/>
      <c r="CQ249" s="27"/>
      <c r="CR249" s="27"/>
      <c r="CS249" s="27"/>
      <c r="CT249" s="27"/>
      <c r="CU249" s="27"/>
      <c r="CV249" s="27"/>
      <c r="CW249" s="27"/>
      <c r="CX249" s="27"/>
      <c r="CY249" s="27"/>
      <c r="CZ249" s="27"/>
      <c r="DA249" s="27"/>
      <c r="DB249" s="27"/>
      <c r="DC249" s="27"/>
      <c r="DD249" s="27"/>
      <c r="DE249" s="27"/>
      <c r="DF249" s="27"/>
      <c r="DG249" s="27"/>
      <c r="DH249" s="27"/>
      <c r="DI249" s="27"/>
      <c r="DJ249" s="27"/>
      <c r="DK249" s="27"/>
      <c r="DL249" s="27"/>
      <c r="DM249" s="27"/>
      <c r="DN249" s="27"/>
      <c r="DO249" s="27"/>
      <c r="DP249" s="27"/>
      <c r="DQ249" s="27"/>
      <c r="DR249" s="27"/>
      <c r="DS249" s="27"/>
      <c r="DT249" s="27"/>
    </row>
    <row r="250" spans="2:124" x14ac:dyDescent="0.2">
      <c r="B250" s="27"/>
      <c r="C250" s="27"/>
      <c r="D250" s="27"/>
      <c r="E250" s="27"/>
      <c r="F250" s="27"/>
      <c r="G250" s="27"/>
      <c r="H250" s="27"/>
      <c r="I250" s="27"/>
      <c r="J250" s="27"/>
      <c r="K250" s="27"/>
      <c r="L250" s="27"/>
      <c r="M250" s="27"/>
      <c r="N250" s="27"/>
      <c r="O250" s="27"/>
      <c r="P250" s="27"/>
      <c r="Q250" s="27"/>
      <c r="R250" s="27"/>
      <c r="S250" s="27"/>
      <c r="T250" s="27"/>
      <c r="U250" s="27"/>
      <c r="V250" s="27"/>
      <c r="W250" s="27"/>
      <c r="X250" s="27"/>
      <c r="Y250" s="27"/>
      <c r="Z250" s="27"/>
      <c r="AA250" s="27"/>
      <c r="AB250" s="27"/>
      <c r="AC250" s="27"/>
      <c r="AD250" s="27"/>
      <c r="AE250" s="27"/>
      <c r="AF250" s="27"/>
      <c r="AG250" s="27"/>
      <c r="AH250" s="27"/>
      <c r="AI250" s="27"/>
      <c r="AJ250" s="27"/>
      <c r="AK250" s="27"/>
      <c r="AL250" s="27"/>
      <c r="AM250" s="27"/>
      <c r="AN250" s="27"/>
      <c r="AO250" s="27"/>
      <c r="AP250" s="27"/>
      <c r="AQ250" s="27"/>
      <c r="AR250" s="27"/>
      <c r="AS250" s="27"/>
      <c r="AT250" s="27"/>
      <c r="AU250" s="27"/>
      <c r="AV250" s="27"/>
      <c r="AW250" s="27"/>
      <c r="AX250" s="27"/>
      <c r="AY250" s="27"/>
      <c r="AZ250" s="27"/>
      <c r="BA250" s="27"/>
      <c r="BB250" s="27"/>
      <c r="BC250" s="27"/>
      <c r="BD250" s="27"/>
      <c r="BE250" s="27"/>
      <c r="BF250" s="27"/>
      <c r="BG250" s="27"/>
      <c r="BH250" s="27"/>
      <c r="BI250" s="27"/>
      <c r="BJ250" s="27"/>
      <c r="BK250" s="27"/>
      <c r="BL250" s="27"/>
      <c r="BM250" s="27"/>
      <c r="BN250" s="27"/>
      <c r="BO250" s="27"/>
      <c r="BP250" s="27"/>
      <c r="BQ250" s="27"/>
      <c r="BR250" s="27"/>
      <c r="BS250" s="27"/>
      <c r="BT250" s="27"/>
      <c r="BU250" s="27"/>
      <c r="BV250" s="27"/>
      <c r="BW250" s="27"/>
      <c r="BX250" s="27"/>
      <c r="BY250" s="27"/>
      <c r="BZ250" s="27"/>
      <c r="CA250" s="27"/>
      <c r="CB250" s="27"/>
      <c r="CC250" s="27"/>
      <c r="CD250" s="27"/>
      <c r="CE250" s="27"/>
      <c r="CF250" s="27"/>
      <c r="CG250" s="27"/>
      <c r="CH250" s="27"/>
      <c r="CI250" s="27"/>
      <c r="CJ250" s="27"/>
      <c r="CK250" s="27"/>
      <c r="CL250" s="27"/>
      <c r="CM250" s="27"/>
      <c r="CN250" s="27"/>
      <c r="CO250" s="27"/>
      <c r="CP250" s="27"/>
      <c r="CQ250" s="27"/>
      <c r="CR250" s="27"/>
      <c r="CS250" s="27"/>
      <c r="CT250" s="27"/>
      <c r="CU250" s="27"/>
      <c r="CV250" s="27"/>
      <c r="CW250" s="27"/>
      <c r="CX250" s="27"/>
      <c r="CY250" s="27"/>
      <c r="CZ250" s="27"/>
      <c r="DA250" s="27"/>
      <c r="DB250" s="27"/>
      <c r="DC250" s="27"/>
      <c r="DD250" s="27"/>
      <c r="DE250" s="27"/>
      <c r="DF250" s="27"/>
      <c r="DG250" s="27"/>
      <c r="DH250" s="27"/>
      <c r="DI250" s="27"/>
      <c r="DJ250" s="27"/>
      <c r="DK250" s="27"/>
      <c r="DL250" s="27"/>
      <c r="DM250" s="27"/>
      <c r="DN250" s="27"/>
      <c r="DO250" s="27"/>
      <c r="DP250" s="27"/>
      <c r="DQ250" s="27"/>
      <c r="DR250" s="27"/>
      <c r="DS250" s="27"/>
      <c r="DT250" s="27"/>
    </row>
    <row r="251" spans="2:124" x14ac:dyDescent="0.2">
      <c r="B251" s="27"/>
      <c r="C251" s="27"/>
      <c r="D251" s="27"/>
      <c r="E251" s="27"/>
      <c r="F251" s="27"/>
      <c r="G251" s="27"/>
      <c r="H251" s="27"/>
      <c r="I251" s="27"/>
      <c r="J251" s="27"/>
      <c r="K251" s="27"/>
      <c r="L251" s="27"/>
      <c r="M251" s="27"/>
      <c r="N251" s="27"/>
      <c r="O251" s="27"/>
      <c r="P251" s="27"/>
      <c r="Q251" s="27"/>
      <c r="R251" s="27"/>
      <c r="S251" s="27"/>
      <c r="T251" s="27"/>
      <c r="U251" s="27"/>
      <c r="V251" s="27"/>
      <c r="W251" s="27"/>
      <c r="X251" s="27"/>
      <c r="Y251" s="27"/>
      <c r="Z251" s="27"/>
      <c r="AA251" s="27"/>
      <c r="AB251" s="27"/>
      <c r="AC251" s="27"/>
      <c r="AD251" s="27"/>
      <c r="AE251" s="27"/>
      <c r="AF251" s="27"/>
      <c r="AG251" s="27"/>
      <c r="AH251" s="27"/>
      <c r="AI251" s="27"/>
      <c r="AJ251" s="27"/>
      <c r="AK251" s="27"/>
      <c r="AL251" s="27"/>
      <c r="AM251" s="27"/>
      <c r="AN251" s="27"/>
      <c r="AO251" s="27"/>
      <c r="AP251" s="27"/>
      <c r="AQ251" s="27"/>
      <c r="AR251" s="27"/>
      <c r="AS251" s="27"/>
      <c r="AT251" s="27"/>
      <c r="AU251" s="27"/>
      <c r="AV251" s="27"/>
      <c r="AW251" s="27"/>
      <c r="AX251" s="27"/>
      <c r="AY251" s="27"/>
      <c r="AZ251" s="27"/>
      <c r="BA251" s="27"/>
      <c r="BB251" s="27"/>
      <c r="BC251" s="27"/>
      <c r="BD251" s="27"/>
      <c r="BE251" s="27"/>
      <c r="BF251" s="27"/>
      <c r="BG251" s="27"/>
      <c r="BH251" s="27"/>
      <c r="BI251" s="27"/>
      <c r="BJ251" s="27"/>
      <c r="BK251" s="27"/>
      <c r="BL251" s="27"/>
      <c r="BM251" s="27"/>
      <c r="BN251" s="27"/>
      <c r="BO251" s="27"/>
      <c r="BP251" s="27"/>
      <c r="BQ251" s="27"/>
      <c r="BR251" s="27"/>
      <c r="BS251" s="27"/>
      <c r="BT251" s="27"/>
      <c r="BU251" s="27"/>
      <c r="BV251" s="27"/>
      <c r="BW251" s="27"/>
      <c r="BX251" s="27"/>
      <c r="BY251" s="27"/>
      <c r="BZ251" s="27"/>
      <c r="CA251" s="27"/>
      <c r="CB251" s="27"/>
      <c r="CC251" s="27"/>
      <c r="CD251" s="27"/>
      <c r="CE251" s="27"/>
      <c r="CF251" s="27"/>
      <c r="CG251" s="27"/>
      <c r="CH251" s="27"/>
      <c r="CI251" s="27"/>
      <c r="CJ251" s="27"/>
      <c r="CK251" s="27"/>
      <c r="CL251" s="27"/>
      <c r="CM251" s="27"/>
      <c r="CN251" s="27"/>
      <c r="CO251" s="27"/>
      <c r="CP251" s="27"/>
      <c r="CQ251" s="27"/>
      <c r="CR251" s="27"/>
      <c r="CS251" s="27"/>
      <c r="CT251" s="27"/>
      <c r="CU251" s="27"/>
      <c r="CV251" s="27"/>
      <c r="CW251" s="27"/>
      <c r="CX251" s="27"/>
      <c r="CY251" s="27"/>
      <c r="CZ251" s="27"/>
      <c r="DA251" s="27"/>
      <c r="DB251" s="27"/>
      <c r="DC251" s="27"/>
      <c r="DD251" s="27"/>
      <c r="DE251" s="27"/>
      <c r="DF251" s="27"/>
      <c r="DG251" s="27"/>
      <c r="DH251" s="27"/>
      <c r="DI251" s="27"/>
      <c r="DJ251" s="27"/>
      <c r="DK251" s="27"/>
      <c r="DL251" s="27"/>
      <c r="DM251" s="27"/>
      <c r="DN251" s="27"/>
      <c r="DO251" s="27"/>
      <c r="DP251" s="27"/>
      <c r="DQ251" s="27"/>
      <c r="DR251" s="27"/>
      <c r="DS251" s="27"/>
      <c r="DT251" s="27"/>
    </row>
    <row r="252" spans="2:124" x14ac:dyDescent="0.2">
      <c r="B252" s="27"/>
      <c r="C252" s="27"/>
      <c r="D252" s="27"/>
      <c r="E252" s="27"/>
      <c r="F252" s="27"/>
      <c r="G252" s="27"/>
      <c r="H252" s="27"/>
      <c r="I252" s="27"/>
      <c r="J252" s="27"/>
      <c r="K252" s="27"/>
      <c r="L252" s="27"/>
      <c r="M252" s="27"/>
      <c r="N252" s="27"/>
      <c r="O252" s="27"/>
      <c r="P252" s="27"/>
      <c r="Q252" s="27"/>
      <c r="R252" s="27"/>
      <c r="S252" s="27"/>
      <c r="T252" s="27"/>
      <c r="U252" s="27"/>
      <c r="V252" s="27"/>
      <c r="W252" s="27"/>
      <c r="X252" s="27"/>
      <c r="Y252" s="27"/>
      <c r="Z252" s="27"/>
      <c r="AA252" s="27"/>
      <c r="AB252" s="27"/>
      <c r="AC252" s="27"/>
      <c r="AD252" s="27"/>
      <c r="AE252" s="27"/>
      <c r="AF252" s="27"/>
      <c r="AG252" s="27"/>
      <c r="AH252" s="27"/>
      <c r="AI252" s="27"/>
      <c r="AJ252" s="27"/>
      <c r="AK252" s="27"/>
      <c r="AL252" s="27"/>
      <c r="AM252" s="27"/>
      <c r="AN252" s="27"/>
      <c r="AO252" s="27"/>
      <c r="AP252" s="27"/>
      <c r="AQ252" s="27"/>
      <c r="AR252" s="27"/>
      <c r="AS252" s="27"/>
      <c r="AT252" s="27"/>
      <c r="AU252" s="27"/>
      <c r="AV252" s="27"/>
      <c r="AW252" s="27"/>
      <c r="AX252" s="27"/>
      <c r="AY252" s="27"/>
      <c r="AZ252" s="27"/>
      <c r="BA252" s="27"/>
      <c r="BB252" s="27"/>
      <c r="BC252" s="27"/>
      <c r="BD252" s="27"/>
      <c r="BE252" s="27"/>
      <c r="BF252" s="27"/>
      <c r="BG252" s="27"/>
      <c r="BH252" s="27"/>
      <c r="BI252" s="27"/>
      <c r="BJ252" s="27"/>
      <c r="BK252" s="27"/>
      <c r="BL252" s="27"/>
      <c r="BM252" s="27"/>
      <c r="BN252" s="27"/>
      <c r="BO252" s="27"/>
      <c r="BP252" s="27"/>
      <c r="BQ252" s="27"/>
      <c r="BR252" s="27"/>
      <c r="BS252" s="27"/>
      <c r="BT252" s="27"/>
      <c r="BU252" s="27"/>
      <c r="BV252" s="27"/>
      <c r="BW252" s="27"/>
      <c r="BX252" s="27"/>
      <c r="BY252" s="27"/>
      <c r="BZ252" s="27"/>
      <c r="CA252" s="27"/>
      <c r="CB252" s="27"/>
      <c r="CC252" s="27"/>
      <c r="CD252" s="27"/>
      <c r="CE252" s="27"/>
      <c r="CF252" s="27"/>
      <c r="CG252" s="27"/>
      <c r="CH252" s="27"/>
      <c r="CI252" s="27"/>
      <c r="CJ252" s="27"/>
      <c r="CK252" s="27"/>
      <c r="CL252" s="27"/>
      <c r="CM252" s="27"/>
      <c r="CN252" s="27"/>
      <c r="CO252" s="27"/>
      <c r="CP252" s="27"/>
      <c r="CQ252" s="27"/>
      <c r="CR252" s="27"/>
      <c r="CS252" s="27"/>
      <c r="CT252" s="27"/>
      <c r="CU252" s="27"/>
      <c r="CV252" s="27"/>
      <c r="CW252" s="27"/>
      <c r="CX252" s="27"/>
      <c r="CY252" s="27"/>
      <c r="CZ252" s="27"/>
      <c r="DA252" s="27"/>
      <c r="DB252" s="27"/>
      <c r="DC252" s="27"/>
      <c r="DD252" s="27"/>
      <c r="DE252" s="27"/>
      <c r="DF252" s="27"/>
      <c r="DG252" s="27"/>
      <c r="DH252" s="27"/>
      <c r="DI252" s="27"/>
      <c r="DJ252" s="27"/>
      <c r="DK252" s="27"/>
      <c r="DL252" s="27"/>
      <c r="DM252" s="27"/>
      <c r="DN252" s="27"/>
      <c r="DO252" s="27"/>
      <c r="DP252" s="27"/>
      <c r="DQ252" s="27"/>
      <c r="DR252" s="27"/>
      <c r="DS252" s="27"/>
      <c r="DT252" s="27"/>
    </row>
    <row r="253" spans="2:124" x14ac:dyDescent="0.2">
      <c r="B253" s="27"/>
      <c r="C253" s="27"/>
      <c r="D253" s="27"/>
      <c r="E253" s="27"/>
      <c r="F253" s="27"/>
      <c r="G253" s="27"/>
      <c r="H253" s="27"/>
      <c r="I253" s="27"/>
      <c r="J253" s="27"/>
      <c r="K253" s="27"/>
      <c r="L253" s="27"/>
      <c r="M253" s="27"/>
      <c r="N253" s="27"/>
      <c r="O253" s="27"/>
      <c r="P253" s="27"/>
      <c r="Q253" s="27"/>
      <c r="R253" s="27"/>
      <c r="S253" s="27"/>
      <c r="T253" s="27"/>
      <c r="U253" s="27"/>
      <c r="V253" s="27"/>
      <c r="W253" s="27"/>
      <c r="X253" s="27"/>
      <c r="Y253" s="27"/>
      <c r="Z253" s="27"/>
      <c r="AA253" s="27"/>
      <c r="AB253" s="27"/>
      <c r="AC253" s="27"/>
      <c r="AD253" s="27"/>
      <c r="AE253" s="27"/>
      <c r="AF253" s="27"/>
      <c r="AG253" s="27"/>
      <c r="AH253" s="27"/>
      <c r="AI253" s="27"/>
      <c r="AJ253" s="27"/>
      <c r="AK253" s="27"/>
      <c r="AL253" s="27"/>
      <c r="AM253" s="27"/>
      <c r="AN253" s="27"/>
      <c r="AO253" s="27"/>
      <c r="AP253" s="27"/>
      <c r="AQ253" s="27"/>
      <c r="AR253" s="27"/>
      <c r="AS253" s="27"/>
      <c r="AT253" s="27"/>
      <c r="AU253" s="27"/>
      <c r="AV253" s="27"/>
      <c r="AW253" s="27"/>
      <c r="AX253" s="27"/>
      <c r="AY253" s="27"/>
      <c r="AZ253" s="27"/>
      <c r="BA253" s="27"/>
      <c r="BB253" s="27"/>
      <c r="BC253" s="27"/>
      <c r="BD253" s="27"/>
      <c r="BE253" s="27"/>
      <c r="BF253" s="27"/>
      <c r="BG253" s="27"/>
      <c r="BH253" s="27"/>
      <c r="BI253" s="27"/>
      <c r="BJ253" s="27"/>
      <c r="BK253" s="27"/>
      <c r="BL253" s="27"/>
      <c r="BM253" s="27"/>
      <c r="BN253" s="27"/>
      <c r="BO253" s="27"/>
      <c r="BP253" s="27"/>
      <c r="BQ253" s="27"/>
      <c r="BR253" s="27"/>
      <c r="BS253" s="27"/>
      <c r="BT253" s="27"/>
      <c r="BU253" s="27"/>
      <c r="BV253" s="27"/>
      <c r="BW253" s="27"/>
      <c r="BX253" s="27"/>
      <c r="BY253" s="27"/>
      <c r="BZ253" s="27"/>
      <c r="CA253" s="27"/>
      <c r="CB253" s="27"/>
      <c r="CC253" s="27"/>
      <c r="CD253" s="27"/>
      <c r="CE253" s="27"/>
      <c r="CF253" s="27"/>
      <c r="CG253" s="27"/>
      <c r="CH253" s="27"/>
      <c r="CI253" s="27"/>
      <c r="CJ253" s="27"/>
      <c r="CK253" s="27"/>
      <c r="CL253" s="27"/>
      <c r="CM253" s="27"/>
      <c r="CN253" s="27"/>
      <c r="CO253" s="27"/>
      <c r="CP253" s="27"/>
      <c r="CQ253" s="27"/>
      <c r="CR253" s="27"/>
      <c r="CS253" s="27"/>
      <c r="CT253" s="27"/>
      <c r="CU253" s="27"/>
      <c r="CV253" s="27"/>
      <c r="CW253" s="27"/>
      <c r="CX253" s="27"/>
      <c r="CY253" s="27"/>
      <c r="CZ253" s="27"/>
      <c r="DA253" s="27"/>
      <c r="DB253" s="27"/>
      <c r="DC253" s="27"/>
      <c r="DD253" s="27"/>
      <c r="DE253" s="27"/>
      <c r="DF253" s="27"/>
      <c r="DG253" s="27"/>
      <c r="DH253" s="27"/>
      <c r="DI253" s="27"/>
      <c r="DJ253" s="27"/>
      <c r="DK253" s="27"/>
      <c r="DL253" s="27"/>
      <c r="DM253" s="27"/>
      <c r="DN253" s="27"/>
      <c r="DO253" s="27"/>
      <c r="DP253" s="27"/>
      <c r="DQ253" s="27"/>
      <c r="DR253" s="27"/>
      <c r="DS253" s="27"/>
      <c r="DT253" s="27"/>
    </row>
    <row r="254" spans="2:124" x14ac:dyDescent="0.2">
      <c r="B254" s="27"/>
      <c r="C254" s="27"/>
      <c r="D254" s="27"/>
      <c r="E254" s="27"/>
      <c r="F254" s="27"/>
      <c r="G254" s="27"/>
      <c r="H254" s="27"/>
      <c r="I254" s="27"/>
      <c r="J254" s="27"/>
      <c r="K254" s="27"/>
      <c r="L254" s="27"/>
      <c r="M254" s="27"/>
      <c r="N254" s="27"/>
      <c r="O254" s="27"/>
      <c r="P254" s="27"/>
      <c r="Q254" s="27"/>
      <c r="R254" s="27"/>
      <c r="S254" s="27"/>
      <c r="T254" s="27"/>
      <c r="U254" s="27"/>
      <c r="V254" s="27"/>
      <c r="W254" s="27"/>
      <c r="X254" s="27"/>
      <c r="Y254" s="27"/>
      <c r="Z254" s="27"/>
      <c r="AA254" s="27"/>
      <c r="AB254" s="27"/>
      <c r="AC254" s="27"/>
      <c r="AD254" s="27"/>
      <c r="AE254" s="27"/>
      <c r="AF254" s="27"/>
      <c r="AG254" s="27"/>
      <c r="AH254" s="27"/>
      <c r="AI254" s="27"/>
      <c r="AJ254" s="27"/>
      <c r="AK254" s="27"/>
      <c r="AL254" s="27"/>
      <c r="AM254" s="27"/>
      <c r="AN254" s="27"/>
      <c r="AO254" s="27"/>
      <c r="AP254" s="27"/>
      <c r="AQ254" s="27"/>
      <c r="AR254" s="27"/>
      <c r="AS254" s="27"/>
      <c r="AT254" s="27"/>
      <c r="AU254" s="27"/>
      <c r="AV254" s="27"/>
      <c r="AW254" s="27"/>
      <c r="AX254" s="27"/>
      <c r="AY254" s="27"/>
      <c r="AZ254" s="27"/>
      <c r="BA254" s="27"/>
      <c r="BB254" s="27"/>
      <c r="BC254" s="27"/>
      <c r="BD254" s="27"/>
      <c r="BE254" s="27"/>
      <c r="BF254" s="27"/>
      <c r="BG254" s="27"/>
      <c r="BH254" s="27"/>
      <c r="BI254" s="27"/>
      <c r="BJ254" s="27"/>
      <c r="BK254" s="27"/>
      <c r="BL254" s="27"/>
      <c r="BM254" s="27"/>
      <c r="BN254" s="27"/>
      <c r="BO254" s="27"/>
      <c r="BP254" s="27"/>
      <c r="BQ254" s="27"/>
      <c r="BR254" s="27"/>
      <c r="BS254" s="27"/>
      <c r="BT254" s="27"/>
      <c r="BU254" s="27"/>
      <c r="BV254" s="27"/>
      <c r="BW254" s="27"/>
      <c r="BX254" s="27"/>
      <c r="BY254" s="27"/>
      <c r="BZ254" s="27"/>
      <c r="CA254" s="27"/>
      <c r="CB254" s="27"/>
      <c r="CC254" s="27"/>
      <c r="CD254" s="27"/>
      <c r="CE254" s="27"/>
      <c r="CF254" s="27"/>
      <c r="CG254" s="27"/>
      <c r="CH254" s="27"/>
      <c r="CI254" s="27"/>
      <c r="CJ254" s="27"/>
      <c r="CK254" s="27"/>
      <c r="CL254" s="27"/>
      <c r="CM254" s="27"/>
      <c r="CN254" s="27"/>
      <c r="CO254" s="27"/>
      <c r="CP254" s="27"/>
      <c r="CQ254" s="27"/>
      <c r="CR254" s="27"/>
      <c r="CS254" s="27"/>
      <c r="CT254" s="27"/>
      <c r="CU254" s="27"/>
      <c r="CV254" s="27"/>
      <c r="CW254" s="27"/>
      <c r="CX254" s="27"/>
      <c r="CY254" s="27"/>
      <c r="CZ254" s="27"/>
      <c r="DA254" s="27"/>
      <c r="DB254" s="27"/>
      <c r="DC254" s="27"/>
      <c r="DD254" s="27"/>
      <c r="DE254" s="27"/>
      <c r="DF254" s="27"/>
      <c r="DG254" s="27"/>
      <c r="DH254" s="27"/>
      <c r="DI254" s="27"/>
      <c r="DJ254" s="27"/>
      <c r="DK254" s="27"/>
      <c r="DL254" s="27"/>
      <c r="DM254" s="27"/>
      <c r="DN254" s="27"/>
      <c r="DO254" s="27"/>
      <c r="DP254" s="27"/>
      <c r="DQ254" s="27"/>
      <c r="DR254" s="27"/>
      <c r="DS254" s="27"/>
      <c r="DT254" s="27"/>
    </row>
    <row r="255" spans="2:124" x14ac:dyDescent="0.2">
      <c r="B255" s="27"/>
      <c r="C255" s="27"/>
      <c r="D255" s="27"/>
      <c r="E255" s="27"/>
      <c r="F255" s="27"/>
      <c r="G255" s="27"/>
      <c r="H255" s="27"/>
      <c r="I255" s="27"/>
      <c r="J255" s="27"/>
      <c r="K255" s="27"/>
      <c r="L255" s="27"/>
      <c r="M255" s="27"/>
      <c r="N255" s="27"/>
      <c r="O255" s="27"/>
      <c r="P255" s="27"/>
      <c r="Q255" s="27"/>
      <c r="R255" s="27"/>
      <c r="S255" s="27"/>
      <c r="T255" s="27"/>
      <c r="U255" s="27"/>
      <c r="V255" s="27"/>
      <c r="W255" s="27"/>
      <c r="X255" s="27"/>
      <c r="Y255" s="27"/>
      <c r="Z255" s="27"/>
      <c r="AA255" s="27"/>
      <c r="AB255" s="27"/>
      <c r="AC255" s="27"/>
      <c r="AD255" s="27"/>
      <c r="AE255" s="27"/>
      <c r="AF255" s="27"/>
      <c r="AG255" s="27"/>
      <c r="AH255" s="27"/>
      <c r="AI255" s="27"/>
      <c r="AJ255" s="27"/>
      <c r="AK255" s="27"/>
      <c r="AL255" s="27"/>
      <c r="AM255" s="27"/>
      <c r="AN255" s="27"/>
      <c r="AO255" s="27"/>
      <c r="AP255" s="27"/>
      <c r="AQ255" s="27"/>
      <c r="AR255" s="27"/>
      <c r="AS255" s="27"/>
      <c r="AT255" s="27"/>
      <c r="AU255" s="27"/>
      <c r="AV255" s="27"/>
      <c r="AW255" s="27"/>
      <c r="AX255" s="27"/>
      <c r="AY255" s="27"/>
      <c r="AZ255" s="27"/>
      <c r="BA255" s="27"/>
      <c r="BB255" s="27"/>
      <c r="BC255" s="27"/>
      <c r="BD255" s="27"/>
      <c r="BE255" s="27"/>
      <c r="BF255" s="27"/>
      <c r="BG255" s="27"/>
      <c r="BH255" s="27"/>
      <c r="BI255" s="27"/>
      <c r="BJ255" s="27"/>
      <c r="BK255" s="27"/>
      <c r="BL255" s="27"/>
      <c r="BM255" s="27"/>
      <c r="BN255" s="27"/>
      <c r="BO255" s="27"/>
      <c r="BP255" s="27"/>
      <c r="BQ255" s="27"/>
      <c r="BR255" s="27"/>
      <c r="BS255" s="27"/>
      <c r="BT255" s="27"/>
      <c r="BU255" s="27"/>
      <c r="BV255" s="27"/>
      <c r="BW255" s="27"/>
      <c r="BX255" s="27"/>
      <c r="BY255" s="27"/>
      <c r="BZ255" s="27"/>
      <c r="CA255" s="27"/>
      <c r="CB255" s="27"/>
      <c r="CC255" s="27"/>
      <c r="CD255" s="27"/>
      <c r="CE255" s="27"/>
      <c r="CF255" s="27"/>
      <c r="CG255" s="27"/>
      <c r="CH255" s="27"/>
      <c r="CI255" s="27"/>
      <c r="CJ255" s="27"/>
      <c r="CK255" s="27"/>
      <c r="CL255" s="27"/>
      <c r="CM255" s="27"/>
      <c r="CN255" s="27"/>
      <c r="CO255" s="27"/>
      <c r="CP255" s="27"/>
      <c r="CQ255" s="27"/>
      <c r="CR255" s="27"/>
      <c r="CS255" s="27"/>
      <c r="CT255" s="27"/>
      <c r="CU255" s="27"/>
      <c r="CV255" s="27"/>
      <c r="CW255" s="27"/>
      <c r="CX255" s="27"/>
      <c r="CY255" s="27"/>
      <c r="CZ255" s="27"/>
      <c r="DA255" s="27"/>
      <c r="DB255" s="27"/>
      <c r="DC255" s="27"/>
      <c r="DD255" s="27"/>
      <c r="DE255" s="27"/>
      <c r="DF255" s="27"/>
      <c r="DG255" s="27"/>
      <c r="DH255" s="27"/>
      <c r="DI255" s="27"/>
      <c r="DJ255" s="27"/>
      <c r="DK255" s="27"/>
      <c r="DL255" s="27"/>
      <c r="DM255" s="27"/>
      <c r="DN255" s="27"/>
      <c r="DO255" s="27"/>
      <c r="DP255" s="27"/>
      <c r="DQ255" s="27"/>
      <c r="DR255" s="27"/>
      <c r="DS255" s="27"/>
      <c r="DT255" s="27"/>
    </row>
    <row r="256" spans="2:124" x14ac:dyDescent="0.2">
      <c r="B256" s="27"/>
      <c r="C256" s="27"/>
      <c r="D256" s="27"/>
      <c r="E256" s="27"/>
      <c r="F256" s="27"/>
      <c r="G256" s="27"/>
      <c r="H256" s="27"/>
      <c r="I256" s="27"/>
      <c r="J256" s="27"/>
      <c r="K256" s="27"/>
      <c r="L256" s="27"/>
      <c r="M256" s="27"/>
      <c r="N256" s="27"/>
      <c r="O256" s="27"/>
      <c r="P256" s="27"/>
      <c r="Q256" s="27"/>
      <c r="R256" s="27"/>
      <c r="S256" s="27"/>
      <c r="T256" s="27"/>
      <c r="U256" s="27"/>
      <c r="V256" s="27"/>
      <c r="W256" s="27"/>
      <c r="X256" s="27"/>
      <c r="Y256" s="27"/>
      <c r="Z256" s="27"/>
      <c r="AA256" s="27"/>
      <c r="AB256" s="27"/>
      <c r="AC256" s="27"/>
      <c r="AD256" s="27"/>
      <c r="AE256" s="27"/>
      <c r="AF256" s="27"/>
      <c r="AG256" s="27"/>
      <c r="AH256" s="27"/>
      <c r="AI256" s="27"/>
      <c r="AJ256" s="27"/>
      <c r="AK256" s="27"/>
      <c r="AL256" s="27"/>
      <c r="AM256" s="27"/>
      <c r="AN256" s="27"/>
      <c r="AO256" s="27"/>
      <c r="AP256" s="27"/>
      <c r="AQ256" s="27"/>
      <c r="AR256" s="27"/>
      <c r="AS256" s="27"/>
      <c r="AT256" s="27"/>
      <c r="AU256" s="27"/>
      <c r="AV256" s="27"/>
      <c r="AW256" s="27"/>
      <c r="AX256" s="27"/>
      <c r="AY256" s="27"/>
      <c r="AZ256" s="27"/>
      <c r="BA256" s="27"/>
      <c r="BB256" s="27"/>
      <c r="BC256" s="27"/>
      <c r="BD256" s="27"/>
      <c r="BE256" s="27"/>
      <c r="BF256" s="27"/>
      <c r="BG256" s="27"/>
      <c r="BH256" s="27"/>
      <c r="BI256" s="27"/>
      <c r="BJ256" s="27"/>
      <c r="BK256" s="27"/>
      <c r="BL256" s="27"/>
      <c r="BM256" s="27"/>
      <c r="BN256" s="27"/>
      <c r="BO256" s="27"/>
      <c r="BP256" s="27"/>
      <c r="BQ256" s="27"/>
      <c r="BR256" s="27"/>
      <c r="BS256" s="27"/>
      <c r="BT256" s="27"/>
      <c r="BU256" s="27"/>
      <c r="BV256" s="27"/>
      <c r="BW256" s="27"/>
      <c r="BX256" s="27"/>
      <c r="BY256" s="27"/>
      <c r="BZ256" s="27"/>
      <c r="CA256" s="27"/>
      <c r="CB256" s="27"/>
      <c r="CC256" s="27"/>
      <c r="CD256" s="27"/>
      <c r="CE256" s="27"/>
      <c r="CF256" s="27"/>
      <c r="CG256" s="27"/>
      <c r="CH256" s="27"/>
      <c r="CI256" s="27"/>
      <c r="CJ256" s="27"/>
      <c r="CK256" s="27"/>
      <c r="CL256" s="27"/>
      <c r="CM256" s="27"/>
      <c r="CN256" s="27"/>
      <c r="CO256" s="27"/>
      <c r="CP256" s="27"/>
      <c r="CQ256" s="27"/>
      <c r="CR256" s="27"/>
      <c r="CS256" s="27"/>
      <c r="CT256" s="27"/>
      <c r="CU256" s="27"/>
      <c r="CV256" s="27"/>
      <c r="CW256" s="27"/>
      <c r="CX256" s="27"/>
      <c r="CY256" s="27"/>
      <c r="CZ256" s="27"/>
      <c r="DA256" s="27"/>
      <c r="DB256" s="27"/>
      <c r="DC256" s="27"/>
      <c r="DD256" s="27"/>
      <c r="DE256" s="27"/>
      <c r="DF256" s="27"/>
      <c r="DG256" s="27"/>
      <c r="DH256" s="27"/>
      <c r="DI256" s="27"/>
      <c r="DJ256" s="27"/>
      <c r="DK256" s="27"/>
      <c r="DL256" s="27"/>
      <c r="DM256" s="27"/>
      <c r="DN256" s="27"/>
      <c r="DO256" s="27"/>
      <c r="DP256" s="27"/>
      <c r="DQ256" s="27"/>
      <c r="DR256" s="27"/>
      <c r="DS256" s="27"/>
      <c r="DT256" s="27"/>
    </row>
    <row r="257" spans="2:124" x14ac:dyDescent="0.2">
      <c r="B257" s="27"/>
      <c r="C257" s="27"/>
      <c r="D257" s="27"/>
      <c r="E257" s="27"/>
      <c r="F257" s="27"/>
      <c r="G257" s="27"/>
      <c r="H257" s="27"/>
      <c r="I257" s="27"/>
      <c r="J257" s="27"/>
      <c r="K257" s="27"/>
      <c r="L257" s="27"/>
      <c r="M257" s="27"/>
      <c r="N257" s="27"/>
      <c r="O257" s="27"/>
      <c r="P257" s="27"/>
      <c r="Q257" s="27"/>
      <c r="R257" s="27"/>
      <c r="S257" s="27"/>
      <c r="T257" s="27"/>
      <c r="U257" s="27"/>
      <c r="V257" s="27"/>
      <c r="W257" s="27"/>
      <c r="X257" s="27"/>
      <c r="Y257" s="27"/>
      <c r="Z257" s="27"/>
      <c r="AA257" s="27"/>
      <c r="AB257" s="27"/>
      <c r="AC257" s="27"/>
      <c r="AD257" s="27"/>
      <c r="AE257" s="27"/>
      <c r="AF257" s="27"/>
      <c r="AG257" s="27"/>
      <c r="AH257" s="27"/>
      <c r="AI257" s="27"/>
      <c r="AJ257" s="27"/>
      <c r="AK257" s="27"/>
      <c r="AL257" s="27"/>
      <c r="AM257" s="27"/>
      <c r="AN257" s="27"/>
      <c r="AO257" s="27"/>
      <c r="AP257" s="27"/>
      <c r="AQ257" s="27"/>
      <c r="AR257" s="27"/>
      <c r="AS257" s="27"/>
      <c r="AT257" s="27"/>
      <c r="AU257" s="27"/>
      <c r="AV257" s="27"/>
      <c r="AW257" s="27"/>
      <c r="AX257" s="27"/>
      <c r="AY257" s="27"/>
      <c r="AZ257" s="27"/>
      <c r="BA257" s="27"/>
      <c r="BB257" s="27"/>
      <c r="BC257" s="27"/>
      <c r="BD257" s="27"/>
      <c r="BE257" s="27"/>
      <c r="BF257" s="27"/>
      <c r="BG257" s="27"/>
      <c r="BH257" s="27"/>
      <c r="BI257" s="27"/>
      <c r="BJ257" s="27"/>
      <c r="BK257" s="27"/>
      <c r="BL257" s="27"/>
      <c r="BM257" s="27"/>
      <c r="BN257" s="27"/>
      <c r="BO257" s="27"/>
      <c r="BP257" s="27"/>
      <c r="BQ257" s="27"/>
      <c r="BR257" s="27"/>
      <c r="BS257" s="27"/>
      <c r="BT257" s="27"/>
      <c r="BU257" s="27"/>
      <c r="BV257" s="27"/>
      <c r="BW257" s="27"/>
      <c r="BX257" s="27"/>
      <c r="BY257" s="27"/>
      <c r="BZ257" s="27"/>
      <c r="CA257" s="27"/>
      <c r="CB257" s="27"/>
      <c r="CC257" s="27"/>
      <c r="CD257" s="27"/>
      <c r="CE257" s="27"/>
      <c r="CF257" s="27"/>
      <c r="CG257" s="27"/>
      <c r="CH257" s="27"/>
      <c r="CI257" s="27"/>
      <c r="CJ257" s="27"/>
      <c r="CK257" s="27"/>
      <c r="CL257" s="27"/>
      <c r="CM257" s="27"/>
      <c r="CN257" s="27"/>
      <c r="CO257" s="27"/>
      <c r="CP257" s="27"/>
      <c r="CQ257" s="27"/>
      <c r="CR257" s="27"/>
      <c r="CS257" s="27"/>
      <c r="CT257" s="27"/>
      <c r="CU257" s="27"/>
      <c r="CV257" s="27"/>
      <c r="CW257" s="27"/>
      <c r="CX257" s="27"/>
      <c r="CY257" s="27"/>
      <c r="CZ257" s="27"/>
      <c r="DA257" s="27"/>
      <c r="DB257" s="27"/>
      <c r="DC257" s="27"/>
      <c r="DD257" s="27"/>
      <c r="DE257" s="27"/>
      <c r="DF257" s="27"/>
      <c r="DG257" s="27"/>
      <c r="DH257" s="27"/>
      <c r="DI257" s="27"/>
      <c r="DJ257" s="27"/>
      <c r="DK257" s="27"/>
      <c r="DL257" s="27"/>
      <c r="DM257" s="27"/>
      <c r="DN257" s="27"/>
      <c r="DO257" s="27"/>
      <c r="DP257" s="27"/>
      <c r="DQ257" s="27"/>
      <c r="DR257" s="27"/>
      <c r="DS257" s="27"/>
      <c r="DT257" s="27"/>
    </row>
    <row r="258" spans="2:124" x14ac:dyDescent="0.2">
      <c r="B258" s="27"/>
      <c r="C258" s="27"/>
      <c r="D258" s="27"/>
      <c r="E258" s="27"/>
      <c r="F258" s="27"/>
      <c r="G258" s="27"/>
      <c r="H258" s="27"/>
      <c r="I258" s="27"/>
      <c r="J258" s="27"/>
      <c r="K258" s="27"/>
      <c r="L258" s="27"/>
      <c r="M258" s="27"/>
      <c r="N258" s="27"/>
      <c r="O258" s="27"/>
      <c r="P258" s="27"/>
      <c r="Q258" s="27"/>
      <c r="R258" s="27"/>
      <c r="S258" s="27"/>
      <c r="T258" s="27"/>
      <c r="U258" s="27"/>
      <c r="V258" s="27"/>
      <c r="W258" s="27"/>
      <c r="X258" s="27"/>
      <c r="Y258" s="27"/>
      <c r="Z258" s="27"/>
      <c r="AA258" s="27"/>
      <c r="AB258" s="27"/>
      <c r="AC258" s="27"/>
      <c r="AD258" s="27"/>
      <c r="AE258" s="27"/>
      <c r="AF258" s="27"/>
      <c r="AG258" s="27"/>
      <c r="AH258" s="27"/>
      <c r="AI258" s="27"/>
      <c r="AJ258" s="27"/>
      <c r="AK258" s="27"/>
      <c r="AL258" s="27"/>
      <c r="AM258" s="27"/>
      <c r="AN258" s="27"/>
      <c r="AO258" s="27"/>
      <c r="AP258" s="27"/>
      <c r="AQ258" s="27"/>
      <c r="AR258" s="27"/>
      <c r="AS258" s="27"/>
      <c r="AT258" s="27"/>
      <c r="AU258" s="27"/>
      <c r="AV258" s="27"/>
      <c r="AW258" s="27"/>
      <c r="AX258" s="27"/>
      <c r="AY258" s="27"/>
      <c r="AZ258" s="27"/>
      <c r="BA258" s="27"/>
      <c r="BB258" s="27"/>
      <c r="BC258" s="27"/>
      <c r="BD258" s="27"/>
      <c r="BE258" s="27"/>
      <c r="BF258" s="27"/>
      <c r="BG258" s="27"/>
      <c r="BH258" s="27"/>
      <c r="BI258" s="27"/>
      <c r="BJ258" s="27"/>
      <c r="BK258" s="27"/>
      <c r="BL258" s="27"/>
      <c r="BM258" s="27"/>
      <c r="BN258" s="27"/>
      <c r="BO258" s="27"/>
      <c r="BP258" s="27"/>
      <c r="BQ258" s="27"/>
      <c r="BR258" s="27"/>
      <c r="BS258" s="27"/>
      <c r="BT258" s="27"/>
      <c r="BU258" s="27"/>
      <c r="BV258" s="27"/>
      <c r="BW258" s="27"/>
      <c r="BX258" s="27"/>
      <c r="BY258" s="27"/>
      <c r="BZ258" s="27"/>
      <c r="CA258" s="27"/>
      <c r="CB258" s="27"/>
      <c r="CC258" s="27"/>
      <c r="CD258" s="27"/>
      <c r="CE258" s="27"/>
      <c r="CF258" s="27"/>
      <c r="CG258" s="27"/>
      <c r="CH258" s="27"/>
      <c r="CI258" s="27"/>
      <c r="CJ258" s="27"/>
      <c r="CK258" s="27"/>
      <c r="CL258" s="27"/>
      <c r="CM258" s="27"/>
      <c r="CN258" s="27"/>
      <c r="CO258" s="27"/>
      <c r="CP258" s="27"/>
      <c r="CQ258" s="27"/>
      <c r="CR258" s="27"/>
      <c r="CS258" s="27"/>
      <c r="CT258" s="27"/>
      <c r="CU258" s="27"/>
      <c r="CV258" s="27"/>
      <c r="CW258" s="27"/>
      <c r="CX258" s="27"/>
      <c r="CY258" s="27"/>
      <c r="CZ258" s="27"/>
      <c r="DA258" s="27"/>
      <c r="DB258" s="27"/>
      <c r="DC258" s="27"/>
      <c r="DD258" s="27"/>
      <c r="DE258" s="27"/>
      <c r="DF258" s="27"/>
      <c r="DG258" s="27"/>
      <c r="DH258" s="27"/>
      <c r="DI258" s="27"/>
      <c r="DJ258" s="27"/>
      <c r="DK258" s="27"/>
      <c r="DL258" s="27"/>
      <c r="DM258" s="27"/>
      <c r="DN258" s="27"/>
      <c r="DO258" s="27"/>
      <c r="DP258" s="27"/>
      <c r="DQ258" s="27"/>
      <c r="DR258" s="27"/>
      <c r="DS258" s="27"/>
      <c r="DT258" s="27"/>
    </row>
    <row r="259" spans="2:124" x14ac:dyDescent="0.2">
      <c r="B259" s="27"/>
      <c r="C259" s="27"/>
      <c r="D259" s="27"/>
      <c r="E259" s="27"/>
      <c r="F259" s="27"/>
      <c r="G259" s="27"/>
      <c r="H259" s="27"/>
      <c r="I259" s="27"/>
      <c r="J259" s="27"/>
      <c r="K259" s="27"/>
      <c r="L259" s="27"/>
      <c r="M259" s="27"/>
      <c r="N259" s="27"/>
      <c r="O259" s="27"/>
      <c r="P259" s="27"/>
      <c r="Q259" s="27"/>
      <c r="R259" s="27"/>
      <c r="S259" s="27"/>
      <c r="T259" s="27"/>
      <c r="U259" s="27"/>
      <c r="V259" s="27"/>
      <c r="W259" s="27"/>
      <c r="X259" s="27"/>
      <c r="Y259" s="27"/>
      <c r="Z259" s="27"/>
      <c r="AA259" s="27"/>
      <c r="AB259" s="27"/>
      <c r="AC259" s="27"/>
      <c r="AD259" s="27"/>
      <c r="AE259" s="27"/>
      <c r="AF259" s="27"/>
      <c r="AG259" s="27"/>
      <c r="AH259" s="27"/>
      <c r="AI259" s="27"/>
      <c r="AJ259" s="27"/>
      <c r="AK259" s="27"/>
      <c r="AL259" s="27"/>
      <c r="AM259" s="27"/>
      <c r="AN259" s="27"/>
      <c r="AO259" s="27"/>
      <c r="AP259" s="27"/>
      <c r="AQ259" s="27"/>
      <c r="AR259" s="27"/>
      <c r="AS259" s="27"/>
      <c r="AT259" s="27"/>
      <c r="AU259" s="27"/>
      <c r="AV259" s="27"/>
      <c r="AW259" s="27"/>
      <c r="AX259" s="27"/>
      <c r="AY259" s="27"/>
      <c r="AZ259" s="27"/>
      <c r="BA259" s="27"/>
      <c r="BB259" s="27"/>
      <c r="BC259" s="27"/>
      <c r="BD259" s="27"/>
      <c r="BE259" s="27"/>
      <c r="BF259" s="27"/>
      <c r="BG259" s="27"/>
      <c r="BH259" s="27"/>
      <c r="BI259" s="27"/>
      <c r="BJ259" s="27"/>
      <c r="BK259" s="27"/>
      <c r="BL259" s="27"/>
      <c r="BM259" s="27"/>
      <c r="BN259" s="27"/>
      <c r="BO259" s="27"/>
      <c r="BP259" s="27"/>
      <c r="BQ259" s="27"/>
      <c r="BR259" s="27"/>
      <c r="BS259" s="27"/>
      <c r="BT259" s="27"/>
      <c r="BU259" s="27"/>
      <c r="BV259" s="27"/>
      <c r="BW259" s="27"/>
      <c r="BX259" s="27"/>
      <c r="BY259" s="27"/>
      <c r="BZ259" s="27"/>
      <c r="CA259" s="27"/>
      <c r="CB259" s="27"/>
      <c r="CC259" s="27"/>
      <c r="CD259" s="27"/>
      <c r="CE259" s="27"/>
      <c r="CF259" s="27"/>
      <c r="CG259" s="27"/>
      <c r="CH259" s="27"/>
      <c r="CI259" s="27"/>
      <c r="CJ259" s="27"/>
      <c r="CK259" s="27"/>
      <c r="CL259" s="27"/>
      <c r="CM259" s="27"/>
      <c r="CN259" s="27"/>
      <c r="CO259" s="27"/>
      <c r="CP259" s="27"/>
      <c r="CQ259" s="27"/>
      <c r="CR259" s="27"/>
      <c r="CS259" s="27"/>
      <c r="CT259" s="27"/>
      <c r="CU259" s="27"/>
      <c r="CV259" s="27"/>
      <c r="CW259" s="27"/>
      <c r="CX259" s="27"/>
      <c r="CY259" s="27"/>
      <c r="CZ259" s="27"/>
      <c r="DA259" s="27"/>
      <c r="DB259" s="27"/>
      <c r="DC259" s="27"/>
      <c r="DD259" s="27"/>
      <c r="DE259" s="27"/>
      <c r="DF259" s="27"/>
      <c r="DG259" s="27"/>
      <c r="DH259" s="27"/>
      <c r="DI259" s="27"/>
      <c r="DJ259" s="27"/>
      <c r="DK259" s="27"/>
      <c r="DL259" s="27"/>
      <c r="DM259" s="27"/>
      <c r="DN259" s="27"/>
      <c r="DO259" s="27"/>
      <c r="DP259" s="27"/>
      <c r="DQ259" s="27"/>
      <c r="DR259" s="27"/>
      <c r="DS259" s="27"/>
      <c r="DT259" s="27"/>
    </row>
    <row r="260" spans="2:124" x14ac:dyDescent="0.2">
      <c r="B260" s="27"/>
      <c r="C260" s="27"/>
      <c r="D260" s="27"/>
      <c r="E260" s="27"/>
      <c r="F260" s="27"/>
      <c r="G260" s="27"/>
      <c r="H260" s="27"/>
      <c r="I260" s="27"/>
      <c r="J260" s="27"/>
      <c r="K260" s="27"/>
      <c r="L260" s="27"/>
      <c r="M260" s="27"/>
      <c r="N260" s="27"/>
      <c r="O260" s="27"/>
      <c r="P260" s="27"/>
      <c r="Q260" s="27"/>
      <c r="R260" s="27"/>
      <c r="S260" s="27"/>
      <c r="T260" s="27"/>
      <c r="U260" s="27"/>
      <c r="V260" s="27"/>
      <c r="W260" s="27"/>
      <c r="X260" s="27"/>
      <c r="Y260" s="27"/>
      <c r="Z260" s="27"/>
      <c r="AA260" s="27"/>
      <c r="AB260" s="27"/>
      <c r="AC260" s="27"/>
      <c r="AD260" s="27"/>
      <c r="AE260" s="27"/>
      <c r="AF260" s="27"/>
      <c r="AG260" s="27"/>
      <c r="AH260" s="27"/>
      <c r="AI260" s="27"/>
      <c r="AJ260" s="27"/>
      <c r="AK260" s="27"/>
      <c r="AL260" s="27"/>
      <c r="AM260" s="27"/>
      <c r="AN260" s="27"/>
      <c r="AO260" s="27"/>
      <c r="AP260" s="27"/>
      <c r="AQ260" s="27"/>
      <c r="AR260" s="27"/>
      <c r="AS260" s="27"/>
      <c r="AT260" s="27"/>
      <c r="AU260" s="27"/>
      <c r="AV260" s="27"/>
      <c r="AW260" s="27"/>
      <c r="AX260" s="27"/>
      <c r="AY260" s="27"/>
      <c r="AZ260" s="27"/>
      <c r="BA260" s="27"/>
      <c r="BB260" s="27"/>
      <c r="BC260" s="27"/>
      <c r="BD260" s="27"/>
      <c r="BE260" s="27"/>
      <c r="BF260" s="27"/>
      <c r="BG260" s="27"/>
      <c r="BH260" s="27"/>
      <c r="BI260" s="27"/>
      <c r="BJ260" s="27"/>
      <c r="BK260" s="27"/>
      <c r="BL260" s="27"/>
      <c r="BM260" s="27"/>
      <c r="BN260" s="27"/>
      <c r="BO260" s="27"/>
      <c r="BP260" s="27"/>
      <c r="BQ260" s="27"/>
      <c r="BR260" s="27"/>
      <c r="BS260" s="27"/>
      <c r="BT260" s="27"/>
      <c r="BU260" s="27"/>
      <c r="BV260" s="27"/>
      <c r="BW260" s="27"/>
      <c r="BX260" s="27"/>
      <c r="BY260" s="27"/>
      <c r="BZ260" s="27"/>
      <c r="CA260" s="27"/>
      <c r="CB260" s="27"/>
      <c r="CC260" s="27"/>
      <c r="CD260" s="27"/>
      <c r="CE260" s="27"/>
      <c r="CF260" s="27"/>
      <c r="CG260" s="27"/>
      <c r="CH260" s="27"/>
      <c r="CI260" s="27"/>
      <c r="CJ260" s="27"/>
      <c r="CK260" s="27"/>
      <c r="CL260" s="27"/>
      <c r="CM260" s="27"/>
      <c r="CN260" s="27"/>
      <c r="CO260" s="27"/>
      <c r="CP260" s="27"/>
      <c r="CQ260" s="27"/>
      <c r="CR260" s="27"/>
      <c r="CS260" s="27"/>
      <c r="CT260" s="27"/>
      <c r="CU260" s="27"/>
      <c r="CV260" s="27"/>
      <c r="CW260" s="27"/>
      <c r="CX260" s="27"/>
      <c r="CY260" s="27"/>
      <c r="CZ260" s="27"/>
      <c r="DA260" s="27"/>
      <c r="DB260" s="27"/>
      <c r="DC260" s="27"/>
      <c r="DD260" s="27"/>
      <c r="DE260" s="27"/>
      <c r="DF260" s="27"/>
      <c r="DG260" s="27"/>
      <c r="DH260" s="27"/>
      <c r="DI260" s="27"/>
      <c r="DJ260" s="27"/>
      <c r="DK260" s="27"/>
      <c r="DL260" s="27"/>
      <c r="DM260" s="27"/>
      <c r="DN260" s="27"/>
      <c r="DO260" s="27"/>
      <c r="DP260" s="27"/>
      <c r="DQ260" s="27"/>
      <c r="DR260" s="27"/>
      <c r="DS260" s="27"/>
      <c r="DT260" s="27"/>
    </row>
    <row r="261" spans="2:124" x14ac:dyDescent="0.2">
      <c r="B261" s="27"/>
      <c r="C261" s="27"/>
      <c r="D261" s="27"/>
      <c r="E261" s="27"/>
      <c r="F261" s="27"/>
      <c r="G261" s="27"/>
      <c r="H261" s="27"/>
      <c r="I261" s="27"/>
      <c r="J261" s="27"/>
      <c r="K261" s="27"/>
      <c r="L261" s="27"/>
      <c r="M261" s="27"/>
      <c r="N261" s="27"/>
      <c r="O261" s="27"/>
      <c r="P261" s="27"/>
      <c r="Q261" s="27"/>
      <c r="R261" s="27"/>
      <c r="S261" s="27"/>
      <c r="T261" s="27"/>
      <c r="U261" s="27"/>
      <c r="V261" s="27"/>
      <c r="W261" s="27"/>
      <c r="X261" s="27"/>
      <c r="Y261" s="27"/>
      <c r="Z261" s="27"/>
      <c r="AA261" s="27"/>
      <c r="AB261" s="27"/>
      <c r="AC261" s="27"/>
      <c r="AD261" s="27"/>
      <c r="AE261" s="27"/>
      <c r="AF261" s="27"/>
      <c r="AG261" s="27"/>
      <c r="AH261" s="27"/>
      <c r="AI261" s="27"/>
      <c r="AJ261" s="27"/>
      <c r="AK261" s="27"/>
      <c r="AL261" s="27"/>
      <c r="AM261" s="27"/>
      <c r="AN261" s="27"/>
      <c r="AO261" s="27"/>
      <c r="AP261" s="27"/>
      <c r="AQ261" s="27"/>
      <c r="AR261" s="27"/>
      <c r="AS261" s="27"/>
      <c r="AT261" s="27"/>
      <c r="AU261" s="27"/>
      <c r="AV261" s="27"/>
      <c r="AW261" s="27"/>
      <c r="AX261" s="27"/>
      <c r="AY261" s="27"/>
      <c r="AZ261" s="27"/>
      <c r="BA261" s="27"/>
      <c r="BB261" s="27"/>
      <c r="BC261" s="27"/>
      <c r="BD261" s="27"/>
      <c r="BE261" s="27"/>
      <c r="BF261" s="27"/>
      <c r="BG261" s="27"/>
      <c r="BH261" s="27"/>
      <c r="BI261" s="27"/>
      <c r="BJ261" s="27"/>
      <c r="BK261" s="27"/>
      <c r="BL261" s="27"/>
      <c r="BM261" s="27"/>
      <c r="BN261" s="27"/>
      <c r="BO261" s="27"/>
      <c r="BP261" s="27"/>
      <c r="BQ261" s="27"/>
      <c r="BR261" s="27"/>
      <c r="BS261" s="27"/>
      <c r="BT261" s="27"/>
      <c r="BU261" s="27"/>
      <c r="BV261" s="27"/>
      <c r="BW261" s="27"/>
      <c r="BX261" s="27"/>
      <c r="BY261" s="27"/>
      <c r="BZ261" s="27"/>
      <c r="CA261" s="27"/>
      <c r="CB261" s="27"/>
      <c r="CC261" s="27"/>
      <c r="CD261" s="27"/>
      <c r="CE261" s="27"/>
      <c r="CF261" s="27"/>
      <c r="CG261" s="27"/>
      <c r="CH261" s="27"/>
      <c r="CI261" s="27"/>
      <c r="CJ261" s="27"/>
      <c r="CK261" s="27"/>
      <c r="CL261" s="27"/>
      <c r="CM261" s="27"/>
      <c r="CN261" s="27"/>
      <c r="CO261" s="27"/>
      <c r="CP261" s="27"/>
      <c r="CQ261" s="27"/>
      <c r="CR261" s="27"/>
      <c r="CS261" s="27"/>
      <c r="CT261" s="27"/>
      <c r="CU261" s="27"/>
      <c r="CV261" s="27"/>
      <c r="CW261" s="27"/>
      <c r="CX261" s="27"/>
      <c r="CY261" s="27"/>
      <c r="CZ261" s="27"/>
      <c r="DA261" s="27"/>
      <c r="DB261" s="27"/>
      <c r="DC261" s="27"/>
      <c r="DD261" s="27"/>
      <c r="DE261" s="27"/>
      <c r="DF261" s="27"/>
      <c r="DG261" s="27"/>
      <c r="DH261" s="27"/>
      <c r="DI261" s="27"/>
      <c r="DJ261" s="27"/>
      <c r="DK261" s="27"/>
      <c r="DL261" s="27"/>
      <c r="DM261" s="27"/>
      <c r="DN261" s="27"/>
      <c r="DO261" s="27"/>
      <c r="DP261" s="27"/>
      <c r="DQ261" s="27"/>
      <c r="DR261" s="27"/>
      <c r="DS261" s="27"/>
      <c r="DT261" s="27"/>
    </row>
    <row r="262" spans="2:124" x14ac:dyDescent="0.2">
      <c r="B262" s="27"/>
      <c r="C262" s="27"/>
      <c r="D262" s="27"/>
      <c r="E262" s="27"/>
      <c r="F262" s="27"/>
      <c r="G262" s="27"/>
      <c r="H262" s="27"/>
      <c r="I262" s="27"/>
      <c r="J262" s="27"/>
      <c r="K262" s="27"/>
      <c r="L262" s="27"/>
      <c r="M262" s="27"/>
      <c r="N262" s="27"/>
      <c r="O262" s="27"/>
      <c r="P262" s="27"/>
      <c r="Q262" s="27"/>
      <c r="R262" s="27"/>
      <c r="S262" s="27"/>
      <c r="T262" s="27"/>
      <c r="U262" s="27"/>
      <c r="V262" s="27"/>
      <c r="W262" s="27"/>
      <c r="X262" s="27"/>
      <c r="Y262" s="27"/>
      <c r="Z262" s="27"/>
      <c r="AA262" s="27"/>
      <c r="AB262" s="27"/>
      <c r="AC262" s="27"/>
      <c r="AD262" s="27"/>
      <c r="AE262" s="27"/>
      <c r="AF262" s="27"/>
      <c r="AG262" s="27"/>
      <c r="AH262" s="27"/>
      <c r="AI262" s="27"/>
      <c r="AJ262" s="27"/>
      <c r="AK262" s="27"/>
      <c r="AL262" s="27"/>
      <c r="AM262" s="27"/>
      <c r="AN262" s="27"/>
      <c r="AO262" s="27"/>
      <c r="AP262" s="27"/>
      <c r="AQ262" s="27"/>
      <c r="AR262" s="27"/>
      <c r="AS262" s="27"/>
      <c r="AT262" s="27"/>
      <c r="AU262" s="27"/>
      <c r="AV262" s="27"/>
      <c r="AW262" s="27"/>
      <c r="AX262" s="27"/>
      <c r="AY262" s="27"/>
      <c r="AZ262" s="27"/>
      <c r="BA262" s="27"/>
      <c r="BB262" s="27"/>
      <c r="BC262" s="27"/>
      <c r="BD262" s="27"/>
      <c r="BE262" s="27"/>
      <c r="BF262" s="27"/>
      <c r="BG262" s="27"/>
      <c r="BH262" s="27"/>
      <c r="BI262" s="27"/>
      <c r="BJ262" s="27"/>
      <c r="BK262" s="27"/>
      <c r="BL262" s="27"/>
      <c r="BM262" s="27"/>
      <c r="BN262" s="27"/>
      <c r="BO262" s="27"/>
      <c r="BP262" s="27"/>
      <c r="BQ262" s="27"/>
      <c r="BR262" s="27"/>
      <c r="BS262" s="27"/>
      <c r="BT262" s="27"/>
      <c r="BU262" s="27"/>
      <c r="BV262" s="27"/>
      <c r="BW262" s="27"/>
      <c r="BX262" s="27"/>
      <c r="BY262" s="27"/>
      <c r="BZ262" s="27"/>
      <c r="CA262" s="27"/>
      <c r="CB262" s="27"/>
      <c r="CC262" s="27"/>
      <c r="CD262" s="27"/>
      <c r="CE262" s="27"/>
      <c r="CF262" s="27"/>
      <c r="CG262" s="27"/>
      <c r="CH262" s="27"/>
      <c r="CI262" s="27"/>
      <c r="CJ262" s="27"/>
      <c r="CK262" s="27"/>
      <c r="CL262" s="27"/>
      <c r="CM262" s="27"/>
      <c r="CN262" s="27"/>
      <c r="CO262" s="27"/>
      <c r="CP262" s="27"/>
      <c r="CQ262" s="27"/>
      <c r="CR262" s="27"/>
      <c r="CS262" s="27"/>
      <c r="CT262" s="27"/>
      <c r="CU262" s="27"/>
      <c r="CV262" s="27"/>
      <c r="CW262" s="27"/>
      <c r="CX262" s="27"/>
      <c r="CY262" s="27"/>
      <c r="CZ262" s="27"/>
      <c r="DA262" s="27"/>
      <c r="DB262" s="27"/>
      <c r="DC262" s="27"/>
      <c r="DD262" s="27"/>
      <c r="DE262" s="27"/>
      <c r="DF262" s="27"/>
      <c r="DG262" s="27"/>
      <c r="DH262" s="27"/>
      <c r="DI262" s="27"/>
      <c r="DJ262" s="27"/>
      <c r="DK262" s="27"/>
      <c r="DL262" s="27"/>
      <c r="DM262" s="27"/>
      <c r="DN262" s="27"/>
      <c r="DO262" s="27"/>
      <c r="DP262" s="27"/>
      <c r="DQ262" s="27"/>
      <c r="DR262" s="27"/>
      <c r="DS262" s="27"/>
      <c r="DT262" s="27"/>
    </row>
    <row r="263" spans="2:124" x14ac:dyDescent="0.2">
      <c r="B263" s="27"/>
      <c r="C263" s="27"/>
      <c r="D263" s="27"/>
      <c r="E263" s="27"/>
      <c r="F263" s="27"/>
      <c r="G263" s="27"/>
      <c r="H263" s="27"/>
      <c r="I263" s="27"/>
      <c r="J263" s="27"/>
      <c r="K263" s="27"/>
      <c r="L263" s="27"/>
      <c r="M263" s="27"/>
      <c r="N263" s="27"/>
      <c r="O263" s="27"/>
      <c r="P263" s="27"/>
      <c r="Q263" s="27"/>
      <c r="R263" s="27"/>
      <c r="S263" s="27"/>
      <c r="T263" s="27"/>
      <c r="U263" s="27"/>
      <c r="V263" s="27"/>
      <c r="W263" s="27"/>
      <c r="X263" s="27"/>
      <c r="Y263" s="27"/>
      <c r="Z263" s="27"/>
      <c r="AA263" s="27"/>
      <c r="AB263" s="27"/>
      <c r="AC263" s="27"/>
      <c r="AD263" s="27"/>
      <c r="AE263" s="27"/>
      <c r="AF263" s="27"/>
      <c r="AG263" s="27"/>
      <c r="AH263" s="27"/>
      <c r="AI263" s="27"/>
      <c r="AJ263" s="27"/>
      <c r="AK263" s="27"/>
      <c r="AL263" s="27"/>
      <c r="AM263" s="27"/>
      <c r="AN263" s="27"/>
      <c r="AO263" s="27"/>
      <c r="AP263" s="27"/>
      <c r="AQ263" s="27"/>
      <c r="AR263" s="27"/>
      <c r="AS263" s="27"/>
      <c r="AT263" s="27"/>
      <c r="AU263" s="27"/>
      <c r="AV263" s="27"/>
      <c r="AW263" s="27"/>
      <c r="AX263" s="27"/>
      <c r="AY263" s="27"/>
      <c r="AZ263" s="27"/>
      <c r="BA263" s="27"/>
      <c r="BB263" s="27"/>
      <c r="BC263" s="27"/>
      <c r="BD263" s="27"/>
      <c r="BE263" s="27"/>
      <c r="BF263" s="27"/>
      <c r="BG263" s="27"/>
      <c r="BH263" s="27"/>
      <c r="BI263" s="27"/>
      <c r="BJ263" s="27"/>
      <c r="BK263" s="27"/>
      <c r="BL263" s="27"/>
      <c r="BM263" s="27"/>
      <c r="BN263" s="27"/>
      <c r="BO263" s="27"/>
      <c r="BP263" s="27"/>
      <c r="BQ263" s="27"/>
      <c r="BR263" s="27"/>
      <c r="BS263" s="27"/>
      <c r="BT263" s="27"/>
      <c r="BU263" s="27"/>
      <c r="BV263" s="27"/>
      <c r="BW263" s="27"/>
      <c r="BX263" s="27"/>
      <c r="BY263" s="27"/>
      <c r="BZ263" s="27"/>
      <c r="CA263" s="27"/>
      <c r="CB263" s="27"/>
      <c r="CC263" s="27"/>
      <c r="CD263" s="27"/>
      <c r="CE263" s="27"/>
      <c r="CF263" s="27"/>
      <c r="CG263" s="27"/>
      <c r="CH263" s="27"/>
      <c r="CI263" s="27"/>
      <c r="CJ263" s="27"/>
      <c r="CK263" s="27"/>
      <c r="CL263" s="27"/>
      <c r="CM263" s="27"/>
      <c r="CN263" s="27"/>
      <c r="CO263" s="27"/>
      <c r="CP263" s="27"/>
      <c r="CQ263" s="27"/>
      <c r="CR263" s="27"/>
      <c r="CS263" s="27"/>
      <c r="CT263" s="27"/>
      <c r="CU263" s="27"/>
      <c r="CV263" s="27"/>
      <c r="CW263" s="27"/>
      <c r="CX263" s="27"/>
      <c r="CY263" s="27"/>
      <c r="CZ263" s="27"/>
      <c r="DA263" s="27"/>
      <c r="DB263" s="27"/>
      <c r="DC263" s="27"/>
      <c r="DD263" s="27"/>
      <c r="DE263" s="27"/>
      <c r="DF263" s="27"/>
      <c r="DG263" s="27"/>
      <c r="DH263" s="27"/>
      <c r="DI263" s="27"/>
      <c r="DJ263" s="27"/>
      <c r="DK263" s="27"/>
      <c r="DL263" s="27"/>
      <c r="DM263" s="27"/>
      <c r="DN263" s="27"/>
      <c r="DO263" s="27"/>
      <c r="DP263" s="27"/>
      <c r="DQ263" s="27"/>
      <c r="DR263" s="27"/>
      <c r="DS263" s="27"/>
      <c r="DT263" s="27"/>
    </row>
    <row r="264" spans="2:124" x14ac:dyDescent="0.2">
      <c r="B264" s="27"/>
      <c r="C264" s="27"/>
      <c r="D264" s="27"/>
      <c r="E264" s="27"/>
      <c r="F264" s="27"/>
      <c r="G264" s="27"/>
      <c r="H264" s="27"/>
      <c r="I264" s="27"/>
      <c r="J264" s="27"/>
      <c r="K264" s="27"/>
      <c r="L264" s="27"/>
      <c r="M264" s="27"/>
      <c r="N264" s="27"/>
      <c r="O264" s="27"/>
      <c r="P264" s="27"/>
      <c r="Q264" s="27"/>
      <c r="R264" s="27"/>
      <c r="S264" s="27"/>
      <c r="T264" s="27"/>
      <c r="U264" s="27"/>
      <c r="V264" s="27"/>
      <c r="W264" s="27"/>
      <c r="X264" s="27"/>
      <c r="Y264" s="27"/>
      <c r="Z264" s="27"/>
      <c r="AA264" s="27"/>
      <c r="AB264" s="27"/>
      <c r="AC264" s="27"/>
      <c r="AD264" s="27"/>
      <c r="AE264" s="27"/>
      <c r="AF264" s="27"/>
      <c r="AG264" s="27"/>
      <c r="AH264" s="27"/>
      <c r="AI264" s="27"/>
      <c r="AJ264" s="27"/>
      <c r="AK264" s="27"/>
      <c r="AL264" s="27"/>
      <c r="AM264" s="27"/>
      <c r="AN264" s="27"/>
      <c r="AO264" s="27"/>
      <c r="AP264" s="27"/>
      <c r="AQ264" s="27"/>
      <c r="AR264" s="27"/>
      <c r="AS264" s="27"/>
      <c r="AT264" s="27"/>
      <c r="AU264" s="27"/>
      <c r="AV264" s="27"/>
      <c r="AW264" s="27"/>
      <c r="AX264" s="27"/>
      <c r="AY264" s="27"/>
      <c r="AZ264" s="27"/>
      <c r="BA264" s="27"/>
      <c r="BB264" s="27"/>
      <c r="BC264" s="27"/>
      <c r="BD264" s="27"/>
      <c r="BE264" s="27"/>
      <c r="BF264" s="27"/>
      <c r="BG264" s="27"/>
      <c r="BH264" s="27"/>
      <c r="BI264" s="27"/>
      <c r="BJ264" s="27"/>
      <c r="BK264" s="27"/>
      <c r="BL264" s="27"/>
      <c r="BM264" s="27"/>
      <c r="BN264" s="27"/>
      <c r="BO264" s="27"/>
      <c r="BP264" s="27"/>
      <c r="BQ264" s="27"/>
      <c r="BR264" s="27"/>
      <c r="BS264" s="27"/>
      <c r="BT264" s="27"/>
      <c r="BU264" s="27"/>
      <c r="BV264" s="27"/>
      <c r="BW264" s="27"/>
      <c r="BX264" s="27"/>
      <c r="BY264" s="27"/>
      <c r="BZ264" s="27"/>
      <c r="CA264" s="27"/>
      <c r="CB264" s="27"/>
      <c r="CC264" s="27"/>
      <c r="CD264" s="27"/>
      <c r="CE264" s="27"/>
      <c r="CF264" s="27"/>
      <c r="CG264" s="27"/>
      <c r="CH264" s="27"/>
      <c r="CI264" s="27"/>
      <c r="CJ264" s="27"/>
      <c r="CK264" s="27"/>
      <c r="CL264" s="27"/>
      <c r="CM264" s="27"/>
      <c r="CN264" s="27"/>
      <c r="CO264" s="27"/>
      <c r="CP264" s="27"/>
      <c r="CQ264" s="27"/>
      <c r="CR264" s="27"/>
      <c r="CS264" s="27"/>
      <c r="CT264" s="27"/>
      <c r="CU264" s="27"/>
      <c r="CV264" s="27"/>
      <c r="CW264" s="27"/>
      <c r="CX264" s="27"/>
      <c r="CY264" s="27"/>
      <c r="CZ264" s="27"/>
      <c r="DA264" s="27"/>
      <c r="DB264" s="27"/>
      <c r="DC264" s="27"/>
      <c r="DD264" s="27"/>
      <c r="DE264" s="27"/>
      <c r="DF264" s="27"/>
      <c r="DG264" s="27"/>
      <c r="DH264" s="27"/>
      <c r="DI264" s="27"/>
      <c r="DJ264" s="27"/>
      <c r="DK264" s="27"/>
      <c r="DL264" s="27"/>
      <c r="DM264" s="27"/>
      <c r="DN264" s="27"/>
      <c r="DO264" s="27"/>
      <c r="DP264" s="27"/>
      <c r="DQ264" s="27"/>
      <c r="DR264" s="27"/>
      <c r="DS264" s="27"/>
      <c r="DT264" s="27"/>
    </row>
    <row r="265" spans="2:124" x14ac:dyDescent="0.2">
      <c r="B265" s="27"/>
      <c r="C265" s="27"/>
      <c r="D265" s="27"/>
      <c r="E265" s="27"/>
      <c r="F265" s="27"/>
      <c r="G265" s="27"/>
      <c r="H265" s="27"/>
      <c r="I265" s="27"/>
      <c r="J265" s="27"/>
      <c r="K265" s="27"/>
      <c r="L265" s="27"/>
      <c r="M265" s="27"/>
      <c r="N265" s="27"/>
      <c r="O265" s="27"/>
      <c r="P265" s="27"/>
      <c r="Q265" s="27"/>
      <c r="R265" s="27"/>
      <c r="S265" s="27"/>
      <c r="T265" s="27"/>
      <c r="U265" s="27"/>
      <c r="V265" s="27"/>
      <c r="W265" s="27"/>
      <c r="X265" s="27"/>
      <c r="Y265" s="27"/>
      <c r="Z265" s="27"/>
      <c r="AA265" s="27"/>
      <c r="AB265" s="27"/>
      <c r="AC265" s="27"/>
      <c r="AD265" s="27"/>
      <c r="AE265" s="27"/>
      <c r="AF265" s="27"/>
      <c r="AG265" s="27"/>
      <c r="AH265" s="27"/>
      <c r="AI265" s="27"/>
      <c r="AJ265" s="27"/>
      <c r="AK265" s="27"/>
      <c r="AL265" s="27"/>
      <c r="AM265" s="27"/>
      <c r="AN265" s="27"/>
      <c r="AO265" s="27"/>
      <c r="AP265" s="27"/>
      <c r="AQ265" s="27"/>
      <c r="AR265" s="27"/>
      <c r="AS265" s="27"/>
      <c r="AT265" s="27"/>
      <c r="AU265" s="27"/>
      <c r="AV265" s="27"/>
      <c r="AW265" s="27"/>
      <c r="AX265" s="27"/>
      <c r="AY265" s="27"/>
      <c r="AZ265" s="27"/>
      <c r="BA265" s="27"/>
      <c r="BB265" s="27"/>
      <c r="BC265" s="27"/>
      <c r="BD265" s="27"/>
      <c r="BE265" s="27"/>
      <c r="BF265" s="27"/>
      <c r="BG265" s="27"/>
      <c r="BH265" s="27"/>
      <c r="BI265" s="27"/>
      <c r="BJ265" s="27"/>
      <c r="BK265" s="27"/>
      <c r="BL265" s="27"/>
      <c r="BM265" s="27"/>
      <c r="BN265" s="27"/>
      <c r="BO265" s="27"/>
      <c r="BP265" s="27"/>
      <c r="BQ265" s="27"/>
      <c r="BR265" s="27"/>
      <c r="BS265" s="27"/>
      <c r="BT265" s="27"/>
      <c r="BU265" s="27"/>
      <c r="BV265" s="27"/>
      <c r="BW265" s="27"/>
      <c r="BX265" s="27"/>
      <c r="BY265" s="27"/>
      <c r="BZ265" s="27"/>
      <c r="CA265" s="27"/>
      <c r="CB265" s="27"/>
      <c r="CC265" s="27"/>
      <c r="CD265" s="27"/>
      <c r="CE265" s="27"/>
      <c r="CF265" s="27"/>
      <c r="CG265" s="27"/>
      <c r="CH265" s="27"/>
      <c r="CI265" s="27"/>
      <c r="CJ265" s="27"/>
      <c r="CK265" s="27"/>
      <c r="CL265" s="27"/>
      <c r="CM265" s="27"/>
      <c r="CN265" s="27"/>
      <c r="CO265" s="27"/>
      <c r="CP265" s="27"/>
      <c r="CQ265" s="27"/>
      <c r="CR265" s="27"/>
      <c r="CS265" s="27"/>
      <c r="CT265" s="27"/>
      <c r="CU265" s="27"/>
      <c r="CV265" s="27"/>
      <c r="CW265" s="27"/>
      <c r="CX265" s="27"/>
      <c r="CY265" s="27"/>
      <c r="CZ265" s="27"/>
      <c r="DA265" s="27"/>
      <c r="DB265" s="27"/>
      <c r="DC265" s="27"/>
      <c r="DD265" s="27"/>
      <c r="DE265" s="27"/>
      <c r="DF265" s="27"/>
      <c r="DG265" s="27"/>
      <c r="DH265" s="27"/>
      <c r="DI265" s="27"/>
      <c r="DJ265" s="27"/>
      <c r="DK265" s="27"/>
      <c r="DL265" s="27"/>
      <c r="DM265" s="27"/>
      <c r="DN265" s="27"/>
      <c r="DO265" s="27"/>
      <c r="DP265" s="27"/>
      <c r="DQ265" s="27"/>
      <c r="DR265" s="27"/>
      <c r="DS265" s="27"/>
      <c r="DT265" s="27"/>
    </row>
    <row r="266" spans="2:124" x14ac:dyDescent="0.2">
      <c r="B266" s="27"/>
      <c r="C266" s="27"/>
      <c r="D266" s="27"/>
      <c r="E266" s="27"/>
      <c r="F266" s="27"/>
      <c r="G266" s="27"/>
      <c r="H266" s="27"/>
      <c r="I266" s="27"/>
      <c r="J266" s="27"/>
      <c r="K266" s="27"/>
      <c r="L266" s="27"/>
      <c r="M266" s="27"/>
      <c r="N266" s="27"/>
      <c r="O266" s="27"/>
      <c r="P266" s="27"/>
      <c r="Q266" s="27"/>
      <c r="R266" s="27"/>
      <c r="S266" s="27"/>
      <c r="T266" s="27"/>
      <c r="U266" s="27"/>
      <c r="V266" s="27"/>
      <c r="W266" s="27"/>
      <c r="X266" s="27"/>
      <c r="Y266" s="27"/>
      <c r="Z266" s="27"/>
      <c r="AA266" s="27"/>
      <c r="AB266" s="27"/>
      <c r="AC266" s="27"/>
      <c r="AD266" s="27"/>
      <c r="AE266" s="27"/>
      <c r="AF266" s="27"/>
      <c r="AG266" s="27"/>
      <c r="AH266" s="27"/>
      <c r="AI266" s="27"/>
      <c r="AJ266" s="27"/>
      <c r="AK266" s="27"/>
      <c r="AL266" s="27"/>
      <c r="AM266" s="27"/>
      <c r="AN266" s="27"/>
      <c r="AO266" s="27"/>
      <c r="AP266" s="27"/>
      <c r="AQ266" s="27"/>
      <c r="AR266" s="27"/>
      <c r="AS266" s="27"/>
      <c r="AT266" s="27"/>
      <c r="AU266" s="27"/>
      <c r="AV266" s="27"/>
      <c r="AW266" s="27"/>
      <c r="AX266" s="27"/>
      <c r="AY266" s="27"/>
      <c r="AZ266" s="27"/>
      <c r="BA266" s="27"/>
      <c r="BB266" s="27"/>
      <c r="BC266" s="27"/>
      <c r="BD266" s="27"/>
      <c r="BE266" s="27"/>
      <c r="BF266" s="27"/>
      <c r="BG266" s="27"/>
      <c r="BH266" s="27"/>
      <c r="BI266" s="27"/>
      <c r="BJ266" s="27"/>
      <c r="BK266" s="27"/>
      <c r="BL266" s="27"/>
      <c r="BM266" s="27"/>
      <c r="BN266" s="27"/>
      <c r="BO266" s="27"/>
      <c r="BP266" s="27"/>
      <c r="BQ266" s="27"/>
      <c r="BR266" s="27"/>
      <c r="BS266" s="27"/>
      <c r="BT266" s="27"/>
      <c r="BU266" s="27"/>
      <c r="BV266" s="27"/>
      <c r="BW266" s="27"/>
      <c r="BX266" s="27"/>
      <c r="BY266" s="27"/>
      <c r="BZ266" s="27"/>
      <c r="CA266" s="27"/>
      <c r="CB266" s="27"/>
      <c r="CC266" s="27"/>
      <c r="CD266" s="27"/>
      <c r="CE266" s="27"/>
      <c r="CF266" s="27"/>
      <c r="CG266" s="27"/>
      <c r="CH266" s="27"/>
      <c r="CI266" s="27"/>
      <c r="CJ266" s="27"/>
      <c r="CK266" s="27"/>
      <c r="CL266" s="27"/>
      <c r="CM266" s="27"/>
      <c r="CN266" s="27"/>
      <c r="CO266" s="27"/>
      <c r="CP266" s="27"/>
      <c r="CQ266" s="27"/>
      <c r="CR266" s="27"/>
      <c r="CS266" s="27"/>
      <c r="CT266" s="27"/>
      <c r="CU266" s="27"/>
      <c r="CV266" s="27"/>
      <c r="CW266" s="27"/>
      <c r="CX266" s="27"/>
      <c r="CY266" s="27"/>
      <c r="CZ266" s="27"/>
      <c r="DA266" s="27"/>
      <c r="DB266" s="27"/>
      <c r="DC266" s="27"/>
      <c r="DD266" s="27"/>
      <c r="DE266" s="27"/>
      <c r="DF266" s="27"/>
      <c r="DG266" s="27"/>
      <c r="DH266" s="27"/>
      <c r="DI266" s="27"/>
      <c r="DJ266" s="27"/>
      <c r="DK266" s="27"/>
      <c r="DL266" s="27"/>
      <c r="DM266" s="27"/>
      <c r="DN266" s="27"/>
      <c r="DO266" s="27"/>
      <c r="DP266" s="27"/>
      <c r="DQ266" s="27"/>
      <c r="DR266" s="27"/>
      <c r="DS266" s="27"/>
      <c r="DT266" s="27"/>
    </row>
    <row r="267" spans="2:124" x14ac:dyDescent="0.2">
      <c r="B267" s="27"/>
      <c r="C267" s="27"/>
      <c r="D267" s="27"/>
      <c r="E267" s="27"/>
      <c r="F267" s="27"/>
      <c r="G267" s="27"/>
      <c r="H267" s="27"/>
      <c r="I267" s="27"/>
      <c r="J267" s="27"/>
      <c r="K267" s="27"/>
      <c r="L267" s="27"/>
      <c r="M267" s="27"/>
      <c r="N267" s="27"/>
      <c r="O267" s="27"/>
      <c r="P267" s="27"/>
      <c r="Q267" s="27"/>
      <c r="R267" s="27"/>
      <c r="S267" s="27"/>
      <c r="T267" s="27"/>
      <c r="U267" s="27"/>
      <c r="V267" s="27"/>
      <c r="W267" s="27"/>
      <c r="X267" s="27"/>
      <c r="Y267" s="27"/>
      <c r="Z267" s="27"/>
      <c r="AA267" s="27"/>
      <c r="AB267" s="27"/>
      <c r="AC267" s="27"/>
      <c r="AD267" s="27"/>
      <c r="AE267" s="27"/>
      <c r="AF267" s="27"/>
      <c r="AG267" s="27"/>
      <c r="AH267" s="27"/>
      <c r="AI267" s="27"/>
      <c r="AJ267" s="27"/>
      <c r="AK267" s="27"/>
      <c r="AL267" s="27"/>
      <c r="AM267" s="27"/>
      <c r="AN267" s="27"/>
      <c r="AO267" s="27"/>
      <c r="AP267" s="27"/>
      <c r="AQ267" s="27"/>
      <c r="AR267" s="27"/>
      <c r="AS267" s="27"/>
      <c r="AT267" s="27"/>
      <c r="AU267" s="27"/>
      <c r="AV267" s="27"/>
      <c r="AW267" s="27"/>
      <c r="AX267" s="27"/>
      <c r="AY267" s="27"/>
      <c r="AZ267" s="27"/>
      <c r="BA267" s="27"/>
      <c r="BB267" s="27"/>
      <c r="BC267" s="27"/>
      <c r="BD267" s="27"/>
      <c r="BE267" s="27"/>
      <c r="BF267" s="27"/>
      <c r="BG267" s="27"/>
      <c r="BH267" s="27"/>
      <c r="BI267" s="27"/>
      <c r="BJ267" s="27"/>
      <c r="BK267" s="27"/>
      <c r="BL267" s="27"/>
      <c r="BM267" s="27"/>
      <c r="BN267" s="27"/>
      <c r="BO267" s="27"/>
      <c r="BP267" s="27"/>
      <c r="BQ267" s="27"/>
      <c r="BR267" s="27"/>
      <c r="BS267" s="27"/>
      <c r="BT267" s="27"/>
      <c r="BU267" s="27"/>
      <c r="BV267" s="27"/>
      <c r="BW267" s="27"/>
      <c r="BX267" s="27"/>
      <c r="BY267" s="27"/>
      <c r="BZ267" s="27"/>
      <c r="CA267" s="27"/>
      <c r="CB267" s="27"/>
      <c r="CC267" s="27"/>
      <c r="CD267" s="27"/>
      <c r="CE267" s="27"/>
      <c r="CF267" s="27"/>
      <c r="CG267" s="27"/>
      <c r="CH267" s="27"/>
      <c r="CI267" s="27"/>
      <c r="CJ267" s="27"/>
      <c r="CK267" s="27"/>
      <c r="CL267" s="27"/>
      <c r="CM267" s="27"/>
      <c r="CN267" s="27"/>
      <c r="CO267" s="27"/>
      <c r="CP267" s="27"/>
      <c r="CQ267" s="27"/>
      <c r="CR267" s="27"/>
      <c r="CS267" s="27"/>
      <c r="CT267" s="27"/>
      <c r="CU267" s="27"/>
      <c r="CV267" s="27"/>
      <c r="CW267" s="27"/>
      <c r="CX267" s="27"/>
      <c r="CY267" s="27"/>
      <c r="CZ267" s="27"/>
      <c r="DA267" s="27"/>
      <c r="DB267" s="27"/>
      <c r="DC267" s="27"/>
      <c r="DD267" s="27"/>
      <c r="DE267" s="27"/>
      <c r="DF267" s="27"/>
      <c r="DG267" s="27"/>
      <c r="DH267" s="27"/>
      <c r="DI267" s="27"/>
      <c r="DJ267" s="27"/>
      <c r="DK267" s="27"/>
      <c r="DL267" s="27"/>
      <c r="DM267" s="27"/>
      <c r="DN267" s="27"/>
      <c r="DO267" s="27"/>
      <c r="DP267" s="27"/>
      <c r="DQ267" s="27"/>
      <c r="DR267" s="27"/>
      <c r="DS267" s="27"/>
      <c r="DT267" s="27"/>
    </row>
    <row r="268" spans="2:124" x14ac:dyDescent="0.2">
      <c r="B268" s="27"/>
      <c r="C268" s="27"/>
      <c r="D268" s="27"/>
      <c r="E268" s="27"/>
      <c r="F268" s="27"/>
      <c r="G268" s="27"/>
      <c r="H268" s="27"/>
      <c r="I268" s="27"/>
      <c r="J268" s="27"/>
      <c r="K268" s="27"/>
      <c r="L268" s="27"/>
      <c r="M268" s="27"/>
      <c r="N268" s="27"/>
      <c r="O268" s="27"/>
      <c r="P268" s="27"/>
      <c r="Q268" s="27"/>
      <c r="R268" s="27"/>
      <c r="S268" s="27"/>
      <c r="T268" s="27"/>
      <c r="U268" s="27"/>
      <c r="V268" s="27"/>
      <c r="W268" s="27"/>
      <c r="X268" s="27"/>
      <c r="Y268" s="27"/>
      <c r="Z268" s="27"/>
      <c r="AA268" s="27"/>
      <c r="AB268" s="27"/>
      <c r="AC268" s="27"/>
      <c r="AD268" s="27"/>
      <c r="AE268" s="27"/>
      <c r="AF268" s="27"/>
      <c r="AG268" s="27"/>
      <c r="AH268" s="27"/>
      <c r="AI268" s="27"/>
      <c r="AJ268" s="27"/>
      <c r="AK268" s="27"/>
      <c r="AL268" s="27"/>
      <c r="AM268" s="27"/>
      <c r="AN268" s="27"/>
      <c r="AO268" s="27"/>
      <c r="AP268" s="27"/>
      <c r="AQ268" s="27"/>
      <c r="AR268" s="27"/>
      <c r="AS268" s="27"/>
      <c r="AT268" s="27"/>
      <c r="AU268" s="27"/>
      <c r="AV268" s="27"/>
      <c r="AW268" s="27"/>
      <c r="AX268" s="27"/>
      <c r="AY268" s="27"/>
      <c r="AZ268" s="27"/>
      <c r="BA268" s="27"/>
      <c r="BB268" s="27"/>
      <c r="BC268" s="27"/>
      <c r="BD268" s="27"/>
      <c r="BE268" s="27"/>
      <c r="BF268" s="27"/>
      <c r="BG268" s="27"/>
      <c r="BH268" s="27"/>
      <c r="BI268" s="27"/>
      <c r="BJ268" s="27"/>
      <c r="BK268" s="27"/>
      <c r="BL268" s="27"/>
      <c r="BM268" s="27"/>
      <c r="BN268" s="27"/>
      <c r="BO268" s="27"/>
      <c r="BP268" s="27"/>
      <c r="BQ268" s="27"/>
      <c r="BR268" s="27"/>
      <c r="BS268" s="27"/>
      <c r="BT268" s="27"/>
      <c r="BU268" s="27"/>
      <c r="BV268" s="27"/>
      <c r="BW268" s="27"/>
      <c r="BX268" s="27"/>
      <c r="BY268" s="27"/>
      <c r="BZ268" s="27"/>
      <c r="CA268" s="27"/>
      <c r="CB268" s="27"/>
      <c r="CC268" s="27"/>
      <c r="CD268" s="27"/>
      <c r="CE268" s="27"/>
      <c r="CF268" s="27"/>
      <c r="CG268" s="27"/>
      <c r="CH268" s="27"/>
      <c r="CI268" s="27"/>
      <c r="CJ268" s="27"/>
      <c r="CK268" s="27"/>
      <c r="CL268" s="27"/>
      <c r="CM268" s="27"/>
      <c r="CN268" s="27"/>
      <c r="CO268" s="27"/>
      <c r="CP268" s="27"/>
      <c r="CQ268" s="27"/>
      <c r="CR268" s="27"/>
      <c r="CS268" s="27"/>
      <c r="CT268" s="27"/>
      <c r="CU268" s="27"/>
      <c r="CV268" s="27"/>
      <c r="CW268" s="27"/>
      <c r="CX268" s="27"/>
      <c r="CY268" s="27"/>
      <c r="CZ268" s="27"/>
      <c r="DA268" s="27"/>
      <c r="DB268" s="27"/>
      <c r="DC268" s="27"/>
      <c r="DD268" s="27"/>
      <c r="DE268" s="27"/>
      <c r="DF268" s="27"/>
      <c r="DG268" s="27"/>
      <c r="DH268" s="27"/>
      <c r="DI268" s="27"/>
      <c r="DJ268" s="27"/>
      <c r="DK268" s="27"/>
      <c r="DL268" s="27"/>
      <c r="DM268" s="27"/>
      <c r="DN268" s="27"/>
      <c r="DO268" s="27"/>
      <c r="DP268" s="27"/>
      <c r="DQ268" s="27"/>
      <c r="DR268" s="27"/>
      <c r="DS268" s="27"/>
      <c r="DT268" s="27"/>
    </row>
    <row r="269" spans="2:124" x14ac:dyDescent="0.2">
      <c r="B269" s="27"/>
      <c r="C269" s="27"/>
      <c r="D269" s="27"/>
      <c r="E269" s="27"/>
      <c r="F269" s="27"/>
      <c r="G269" s="27"/>
      <c r="H269" s="27"/>
      <c r="I269" s="27"/>
      <c r="J269" s="27"/>
      <c r="K269" s="27"/>
      <c r="L269" s="27"/>
      <c r="M269" s="27"/>
      <c r="N269" s="27"/>
      <c r="O269" s="27"/>
      <c r="P269" s="27"/>
      <c r="Q269" s="27"/>
      <c r="R269" s="27"/>
      <c r="S269" s="27"/>
      <c r="T269" s="27"/>
      <c r="U269" s="27"/>
      <c r="V269" s="27"/>
      <c r="W269" s="27"/>
      <c r="X269" s="27"/>
      <c r="Y269" s="27"/>
      <c r="Z269" s="27"/>
      <c r="AA269" s="27"/>
      <c r="AB269" s="27"/>
      <c r="AC269" s="27"/>
      <c r="AD269" s="27"/>
      <c r="AE269" s="27"/>
      <c r="AF269" s="27"/>
      <c r="AG269" s="27"/>
      <c r="AH269" s="27"/>
      <c r="AI269" s="27"/>
      <c r="AJ269" s="27"/>
      <c r="AK269" s="27"/>
      <c r="AL269" s="27"/>
      <c r="AM269" s="27"/>
      <c r="AN269" s="27"/>
      <c r="AO269" s="27"/>
      <c r="AP269" s="27"/>
      <c r="AQ269" s="27"/>
      <c r="AR269" s="27"/>
      <c r="AS269" s="27"/>
      <c r="AT269" s="27"/>
      <c r="AU269" s="27"/>
      <c r="AV269" s="27"/>
      <c r="AW269" s="27"/>
      <c r="AX269" s="27"/>
      <c r="AY269" s="27"/>
      <c r="AZ269" s="27"/>
      <c r="BA269" s="27"/>
      <c r="BB269" s="27"/>
      <c r="BC269" s="27"/>
      <c r="BD269" s="27"/>
      <c r="BE269" s="27"/>
      <c r="BF269" s="27"/>
      <c r="BG269" s="27"/>
      <c r="BH269" s="27"/>
      <c r="BI269" s="27"/>
      <c r="BJ269" s="27"/>
      <c r="BK269" s="27"/>
      <c r="BL269" s="27"/>
      <c r="BM269" s="27"/>
      <c r="BN269" s="27"/>
      <c r="BO269" s="27"/>
      <c r="BP269" s="27"/>
      <c r="BQ269" s="27"/>
      <c r="BR269" s="27"/>
      <c r="BS269" s="27"/>
      <c r="BT269" s="27"/>
      <c r="BU269" s="27"/>
      <c r="BV269" s="27"/>
      <c r="BW269" s="27"/>
      <c r="BX269" s="27"/>
      <c r="BY269" s="27"/>
      <c r="BZ269" s="27"/>
      <c r="CA269" s="27"/>
      <c r="CB269" s="27"/>
      <c r="CC269" s="27"/>
      <c r="CD269" s="27"/>
      <c r="CE269" s="27"/>
      <c r="CF269" s="27"/>
      <c r="CG269" s="27"/>
      <c r="CH269" s="27"/>
      <c r="CI269" s="27"/>
      <c r="CJ269" s="27"/>
      <c r="CK269" s="27"/>
      <c r="CL269" s="27"/>
      <c r="CM269" s="27"/>
      <c r="CN269" s="27"/>
      <c r="CO269" s="27"/>
      <c r="CP269" s="27"/>
      <c r="CQ269" s="27"/>
      <c r="CR269" s="27"/>
      <c r="CS269" s="27"/>
      <c r="CT269" s="27"/>
      <c r="CU269" s="27"/>
      <c r="CV269" s="27"/>
      <c r="CW269" s="27"/>
      <c r="CX269" s="27"/>
      <c r="CY269" s="27"/>
      <c r="CZ269" s="27"/>
      <c r="DA269" s="27"/>
      <c r="DB269" s="27"/>
      <c r="DC269" s="27"/>
      <c r="DD269" s="27"/>
      <c r="DE269" s="27"/>
      <c r="DF269" s="27"/>
      <c r="DG269" s="27"/>
      <c r="DH269" s="27"/>
      <c r="DI269" s="27"/>
      <c r="DJ269" s="27"/>
      <c r="DK269" s="27"/>
      <c r="DL269" s="27"/>
      <c r="DM269" s="27"/>
      <c r="DN269" s="27"/>
      <c r="DO269" s="27"/>
      <c r="DP269" s="27"/>
      <c r="DQ269" s="27"/>
      <c r="DR269" s="27"/>
      <c r="DS269" s="27"/>
      <c r="DT269" s="27"/>
    </row>
    <row r="270" spans="2:124" x14ac:dyDescent="0.2">
      <c r="B270" s="27"/>
      <c r="C270" s="27"/>
      <c r="D270" s="27"/>
      <c r="E270" s="27"/>
      <c r="F270" s="27"/>
      <c r="G270" s="27"/>
      <c r="H270" s="27"/>
      <c r="I270" s="27"/>
      <c r="J270" s="27"/>
      <c r="K270" s="27"/>
      <c r="L270" s="27"/>
      <c r="M270" s="27"/>
      <c r="N270" s="27"/>
      <c r="O270" s="27"/>
      <c r="P270" s="27"/>
      <c r="Q270" s="27"/>
      <c r="R270" s="27"/>
      <c r="S270" s="27"/>
      <c r="T270" s="27"/>
      <c r="U270" s="27"/>
      <c r="V270" s="27"/>
      <c r="W270" s="27"/>
      <c r="X270" s="27"/>
      <c r="Y270" s="27"/>
      <c r="Z270" s="27"/>
      <c r="AA270" s="27"/>
      <c r="AB270" s="27"/>
      <c r="AC270" s="27"/>
      <c r="AD270" s="27"/>
      <c r="AE270" s="27"/>
      <c r="AF270" s="27"/>
      <c r="AG270" s="27"/>
      <c r="AH270" s="27"/>
      <c r="AI270" s="27"/>
      <c r="AJ270" s="27"/>
      <c r="AK270" s="27"/>
      <c r="AL270" s="27"/>
      <c r="AM270" s="27"/>
      <c r="AN270" s="27"/>
      <c r="AO270" s="27"/>
      <c r="AP270" s="27"/>
      <c r="AQ270" s="27"/>
      <c r="AR270" s="27"/>
      <c r="AS270" s="27"/>
      <c r="AT270" s="27"/>
      <c r="AU270" s="27"/>
      <c r="AV270" s="27"/>
      <c r="AW270" s="27"/>
      <c r="AX270" s="27"/>
      <c r="AY270" s="27"/>
      <c r="AZ270" s="27"/>
      <c r="BA270" s="27"/>
      <c r="BB270" s="27"/>
      <c r="BC270" s="27"/>
      <c r="BD270" s="27"/>
      <c r="BE270" s="27"/>
      <c r="BF270" s="27"/>
      <c r="BG270" s="27"/>
      <c r="BH270" s="27"/>
      <c r="BI270" s="27"/>
      <c r="BJ270" s="27"/>
      <c r="BK270" s="27"/>
      <c r="BL270" s="27"/>
      <c r="BM270" s="27"/>
      <c r="BN270" s="27"/>
      <c r="BO270" s="27"/>
      <c r="BP270" s="27"/>
      <c r="BQ270" s="27"/>
      <c r="BR270" s="27"/>
      <c r="BS270" s="27"/>
      <c r="BT270" s="27"/>
      <c r="BU270" s="27"/>
      <c r="BV270" s="27"/>
      <c r="BW270" s="27"/>
      <c r="BX270" s="27"/>
      <c r="BY270" s="27"/>
      <c r="BZ270" s="27"/>
      <c r="CA270" s="27"/>
      <c r="CB270" s="27"/>
      <c r="CC270" s="27"/>
      <c r="CD270" s="27"/>
      <c r="CE270" s="27"/>
      <c r="CF270" s="27"/>
      <c r="CG270" s="27"/>
      <c r="CH270" s="27"/>
      <c r="CI270" s="27"/>
      <c r="CJ270" s="27"/>
      <c r="CK270" s="27"/>
      <c r="CL270" s="27"/>
      <c r="CM270" s="27"/>
      <c r="CN270" s="27"/>
      <c r="CO270" s="27"/>
      <c r="CP270" s="27"/>
      <c r="CQ270" s="27"/>
      <c r="CR270" s="27"/>
      <c r="CS270" s="27"/>
      <c r="CT270" s="27"/>
      <c r="CU270" s="27"/>
      <c r="CV270" s="27"/>
      <c r="CW270" s="27"/>
      <c r="CX270" s="27"/>
      <c r="CY270" s="27"/>
      <c r="CZ270" s="27"/>
      <c r="DA270" s="27"/>
      <c r="DB270" s="27"/>
      <c r="DC270" s="27"/>
      <c r="DD270" s="27"/>
      <c r="DE270" s="27"/>
      <c r="DF270" s="27"/>
      <c r="DG270" s="27"/>
      <c r="DH270" s="27"/>
      <c r="DI270" s="27"/>
      <c r="DJ270" s="27"/>
      <c r="DK270" s="27"/>
      <c r="DL270" s="27"/>
      <c r="DM270" s="27"/>
      <c r="DN270" s="27"/>
      <c r="DO270" s="27"/>
      <c r="DP270" s="27"/>
      <c r="DQ270" s="27"/>
      <c r="DR270" s="27"/>
      <c r="DS270" s="27"/>
      <c r="DT270" s="27"/>
    </row>
    <row r="271" spans="2:124" x14ac:dyDescent="0.2">
      <c r="B271" s="27"/>
      <c r="C271" s="27"/>
      <c r="D271" s="27"/>
      <c r="E271" s="27"/>
      <c r="F271" s="27"/>
      <c r="G271" s="27"/>
      <c r="H271" s="27"/>
      <c r="I271" s="27"/>
      <c r="J271" s="27"/>
      <c r="K271" s="27"/>
      <c r="L271" s="27"/>
      <c r="M271" s="27"/>
      <c r="N271" s="27"/>
      <c r="O271" s="27"/>
      <c r="P271" s="27"/>
      <c r="Q271" s="27"/>
      <c r="R271" s="27"/>
      <c r="S271" s="27"/>
      <c r="T271" s="27"/>
      <c r="U271" s="27"/>
      <c r="V271" s="27"/>
      <c r="W271" s="27"/>
      <c r="X271" s="27"/>
      <c r="Y271" s="27"/>
      <c r="Z271" s="27"/>
      <c r="AA271" s="27"/>
      <c r="AB271" s="27"/>
      <c r="AC271" s="27"/>
      <c r="AD271" s="27"/>
      <c r="AE271" s="27"/>
      <c r="AF271" s="27"/>
      <c r="AG271" s="27"/>
      <c r="AH271" s="27"/>
      <c r="AI271" s="27"/>
      <c r="AJ271" s="27"/>
      <c r="AK271" s="27"/>
      <c r="AL271" s="27"/>
      <c r="AM271" s="27"/>
      <c r="AN271" s="27"/>
      <c r="AO271" s="27"/>
      <c r="AP271" s="27"/>
      <c r="AQ271" s="27"/>
      <c r="AR271" s="27"/>
      <c r="AS271" s="27"/>
      <c r="AT271" s="27"/>
      <c r="AU271" s="27"/>
      <c r="AV271" s="27"/>
      <c r="AW271" s="27"/>
      <c r="AX271" s="27"/>
      <c r="AY271" s="27"/>
      <c r="AZ271" s="27"/>
      <c r="BA271" s="27"/>
      <c r="BB271" s="27"/>
      <c r="BC271" s="27"/>
      <c r="BD271" s="27"/>
      <c r="BE271" s="27"/>
      <c r="BF271" s="27"/>
      <c r="BG271" s="27"/>
      <c r="BH271" s="27"/>
      <c r="BI271" s="27"/>
      <c r="BJ271" s="27"/>
      <c r="BK271" s="27"/>
      <c r="BL271" s="27"/>
      <c r="BM271" s="27"/>
      <c r="BN271" s="27"/>
      <c r="BO271" s="27"/>
      <c r="BP271" s="27"/>
      <c r="BQ271" s="27"/>
      <c r="BR271" s="27"/>
      <c r="BS271" s="27"/>
      <c r="BT271" s="27"/>
      <c r="BU271" s="27"/>
      <c r="BV271" s="27"/>
      <c r="BW271" s="27"/>
      <c r="BX271" s="27"/>
      <c r="BY271" s="27"/>
      <c r="BZ271" s="27"/>
      <c r="CA271" s="27"/>
      <c r="CB271" s="27"/>
      <c r="CC271" s="27"/>
      <c r="CD271" s="27"/>
      <c r="CE271" s="27"/>
      <c r="CF271" s="27"/>
      <c r="CG271" s="27"/>
      <c r="CH271" s="27"/>
      <c r="CI271" s="27"/>
      <c r="CJ271" s="27"/>
      <c r="CK271" s="27"/>
      <c r="CL271" s="27"/>
      <c r="CM271" s="27"/>
      <c r="CN271" s="27"/>
      <c r="CO271" s="27"/>
      <c r="CP271" s="27"/>
      <c r="CQ271" s="27"/>
      <c r="CR271" s="27"/>
      <c r="CS271" s="27"/>
      <c r="CT271" s="27"/>
      <c r="CU271" s="27"/>
      <c r="CV271" s="27"/>
      <c r="CW271" s="27"/>
      <c r="CX271" s="27"/>
      <c r="CY271" s="27"/>
      <c r="CZ271" s="27"/>
      <c r="DA271" s="27"/>
      <c r="DB271" s="27"/>
      <c r="DC271" s="27"/>
      <c r="DD271" s="27"/>
      <c r="DE271" s="27"/>
      <c r="DF271" s="27"/>
      <c r="DG271" s="27"/>
      <c r="DH271" s="27"/>
      <c r="DI271" s="27"/>
      <c r="DJ271" s="27"/>
      <c r="DK271" s="27"/>
      <c r="DL271" s="27"/>
      <c r="DM271" s="27"/>
      <c r="DN271" s="27"/>
      <c r="DO271" s="27"/>
      <c r="DP271" s="27"/>
      <c r="DQ271" s="27"/>
      <c r="DR271" s="27"/>
      <c r="DS271" s="27"/>
      <c r="DT271" s="27"/>
    </row>
    <row r="272" spans="2:124" x14ac:dyDescent="0.2">
      <c r="B272" s="27"/>
      <c r="C272" s="27"/>
      <c r="D272" s="27"/>
      <c r="E272" s="27"/>
      <c r="F272" s="27"/>
      <c r="G272" s="27"/>
      <c r="H272" s="27"/>
      <c r="I272" s="27"/>
      <c r="J272" s="27"/>
      <c r="K272" s="27"/>
      <c r="L272" s="27"/>
      <c r="M272" s="27"/>
      <c r="N272" s="27"/>
      <c r="O272" s="27"/>
      <c r="P272" s="27"/>
      <c r="Q272" s="27"/>
      <c r="R272" s="27"/>
      <c r="S272" s="27"/>
      <c r="T272" s="27"/>
      <c r="U272" s="27"/>
      <c r="V272" s="27"/>
      <c r="W272" s="27"/>
      <c r="X272" s="27"/>
      <c r="Y272" s="27"/>
      <c r="Z272" s="27"/>
      <c r="AA272" s="27"/>
      <c r="AB272" s="27"/>
      <c r="AC272" s="27"/>
      <c r="AD272" s="27"/>
      <c r="AE272" s="27"/>
      <c r="AF272" s="27"/>
      <c r="AG272" s="27"/>
      <c r="AH272" s="27"/>
      <c r="AI272" s="27"/>
      <c r="AJ272" s="27"/>
      <c r="AK272" s="27"/>
      <c r="AL272" s="27"/>
      <c r="AM272" s="27"/>
      <c r="AN272" s="27"/>
      <c r="AO272" s="27"/>
      <c r="AP272" s="27"/>
      <c r="AQ272" s="27"/>
      <c r="AR272" s="27"/>
      <c r="AS272" s="27"/>
      <c r="AT272" s="27"/>
      <c r="AU272" s="27"/>
      <c r="AV272" s="27"/>
      <c r="AW272" s="27"/>
      <c r="AX272" s="27"/>
      <c r="AY272" s="27"/>
      <c r="AZ272" s="27"/>
      <c r="BA272" s="27"/>
      <c r="BB272" s="27"/>
      <c r="BC272" s="27"/>
      <c r="BD272" s="27"/>
      <c r="BE272" s="27"/>
      <c r="BF272" s="27"/>
      <c r="BG272" s="27"/>
      <c r="BH272" s="27"/>
      <c r="BI272" s="27"/>
      <c r="BJ272" s="27"/>
      <c r="BK272" s="27"/>
      <c r="BL272" s="27"/>
      <c r="BM272" s="27"/>
      <c r="BN272" s="27"/>
      <c r="BO272" s="27"/>
      <c r="BP272" s="27"/>
      <c r="BQ272" s="27"/>
      <c r="BR272" s="27"/>
      <c r="BS272" s="27"/>
      <c r="BT272" s="27"/>
      <c r="BU272" s="27"/>
      <c r="BV272" s="27"/>
      <c r="BW272" s="27"/>
      <c r="BX272" s="27"/>
      <c r="BY272" s="27"/>
      <c r="BZ272" s="27"/>
      <c r="CA272" s="27"/>
      <c r="CB272" s="27"/>
      <c r="CC272" s="27"/>
      <c r="CD272" s="27"/>
      <c r="CE272" s="27"/>
      <c r="CF272" s="27"/>
      <c r="CG272" s="27"/>
      <c r="CH272" s="27"/>
      <c r="CI272" s="27"/>
      <c r="CJ272" s="27"/>
      <c r="CK272" s="27"/>
      <c r="CL272" s="27"/>
      <c r="CM272" s="27"/>
      <c r="CN272" s="27"/>
      <c r="CO272" s="27"/>
      <c r="CP272" s="27"/>
      <c r="CQ272" s="27"/>
      <c r="CR272" s="27"/>
      <c r="CS272" s="27"/>
      <c r="CT272" s="27"/>
      <c r="CU272" s="27"/>
      <c r="CV272" s="27"/>
      <c r="CW272" s="27"/>
      <c r="CX272" s="27"/>
      <c r="CY272" s="27"/>
      <c r="CZ272" s="27"/>
      <c r="DA272" s="27"/>
      <c r="DB272" s="27"/>
      <c r="DC272" s="27"/>
      <c r="DD272" s="27"/>
      <c r="DE272" s="27"/>
      <c r="DF272" s="27"/>
      <c r="DG272" s="27"/>
      <c r="DH272" s="27"/>
      <c r="DI272" s="27"/>
      <c r="DJ272" s="27"/>
      <c r="DK272" s="27"/>
      <c r="DL272" s="27"/>
      <c r="DM272" s="27"/>
      <c r="DN272" s="27"/>
      <c r="DO272" s="27"/>
      <c r="DP272" s="27"/>
      <c r="DQ272" s="27"/>
      <c r="DR272" s="27"/>
      <c r="DS272" s="27"/>
      <c r="DT272" s="27"/>
    </row>
    <row r="273" spans="2:124" x14ac:dyDescent="0.2">
      <c r="B273" s="27"/>
      <c r="C273" s="27"/>
      <c r="D273" s="27"/>
      <c r="E273" s="27"/>
      <c r="F273" s="27"/>
      <c r="G273" s="27"/>
      <c r="H273" s="27"/>
      <c r="I273" s="27"/>
      <c r="J273" s="27"/>
      <c r="K273" s="27"/>
      <c r="L273" s="27"/>
      <c r="M273" s="27"/>
      <c r="N273" s="27"/>
      <c r="O273" s="27"/>
      <c r="P273" s="27"/>
      <c r="Q273" s="27"/>
      <c r="R273" s="27"/>
      <c r="S273" s="27"/>
      <c r="T273" s="27"/>
      <c r="U273" s="27"/>
      <c r="V273" s="27"/>
      <c r="W273" s="27"/>
      <c r="X273" s="27"/>
      <c r="Y273" s="27"/>
      <c r="Z273" s="27"/>
      <c r="AA273" s="27"/>
      <c r="AB273" s="27"/>
      <c r="AC273" s="27"/>
      <c r="AD273" s="27"/>
      <c r="AE273" s="27"/>
      <c r="AF273" s="27"/>
      <c r="AG273" s="27"/>
      <c r="AH273" s="27"/>
      <c r="AI273" s="27"/>
      <c r="AJ273" s="27"/>
      <c r="AK273" s="27"/>
      <c r="AL273" s="27"/>
      <c r="AM273" s="27"/>
      <c r="AN273" s="27"/>
      <c r="AO273" s="27"/>
      <c r="AP273" s="27"/>
      <c r="AQ273" s="27"/>
      <c r="AR273" s="27"/>
      <c r="AS273" s="27"/>
      <c r="AT273" s="27"/>
      <c r="AU273" s="27"/>
      <c r="AV273" s="27"/>
      <c r="AW273" s="27"/>
      <c r="AX273" s="27"/>
      <c r="AY273" s="27"/>
      <c r="AZ273" s="27"/>
      <c r="BA273" s="27"/>
      <c r="BB273" s="27"/>
      <c r="BC273" s="27"/>
      <c r="BD273" s="27"/>
      <c r="BE273" s="27"/>
      <c r="BF273" s="27"/>
      <c r="BG273" s="27"/>
      <c r="BH273" s="27"/>
      <c r="BI273" s="27"/>
      <c r="BJ273" s="27"/>
      <c r="BK273" s="27"/>
      <c r="BL273" s="27"/>
      <c r="BM273" s="27"/>
      <c r="BN273" s="27"/>
      <c r="BO273" s="27"/>
      <c r="BP273" s="27"/>
      <c r="BQ273" s="27"/>
      <c r="BR273" s="27"/>
      <c r="BS273" s="27"/>
      <c r="BT273" s="27"/>
      <c r="BU273" s="27"/>
      <c r="BV273" s="27"/>
      <c r="BW273" s="27"/>
      <c r="BX273" s="27"/>
      <c r="BY273" s="27"/>
      <c r="BZ273" s="27"/>
      <c r="CA273" s="27"/>
      <c r="CB273" s="27"/>
      <c r="CC273" s="27"/>
      <c r="CD273" s="27"/>
      <c r="CE273" s="27"/>
      <c r="CF273" s="27"/>
      <c r="CG273" s="27"/>
      <c r="CH273" s="27"/>
      <c r="CI273" s="27"/>
      <c r="CJ273" s="27"/>
      <c r="CK273" s="27"/>
      <c r="CL273" s="27"/>
      <c r="CM273" s="27"/>
      <c r="CN273" s="27"/>
      <c r="CO273" s="27"/>
      <c r="CP273" s="27"/>
      <c r="CQ273" s="27"/>
      <c r="CR273" s="27"/>
      <c r="CS273" s="27"/>
      <c r="CT273" s="27"/>
      <c r="CU273" s="27"/>
      <c r="CV273" s="27"/>
      <c r="CW273" s="27"/>
      <c r="CX273" s="27"/>
      <c r="CY273" s="27"/>
      <c r="CZ273" s="27"/>
      <c r="DA273" s="27"/>
      <c r="DB273" s="27"/>
      <c r="DC273" s="27"/>
      <c r="DD273" s="27"/>
      <c r="DE273" s="27"/>
      <c r="DF273" s="27"/>
      <c r="DG273" s="27"/>
      <c r="DH273" s="27"/>
      <c r="DI273" s="27"/>
      <c r="DJ273" s="27"/>
      <c r="DK273" s="27"/>
      <c r="DL273" s="27"/>
      <c r="DM273" s="27"/>
      <c r="DN273" s="27"/>
      <c r="DO273" s="27"/>
      <c r="DP273" s="27"/>
      <c r="DQ273" s="27"/>
      <c r="DR273" s="27"/>
      <c r="DS273" s="27"/>
      <c r="DT273" s="27"/>
    </row>
    <row r="274" spans="2:124" x14ac:dyDescent="0.2">
      <c r="B274" s="27"/>
      <c r="C274" s="27"/>
      <c r="D274" s="27"/>
      <c r="E274" s="27"/>
      <c r="F274" s="27"/>
      <c r="G274" s="27"/>
      <c r="H274" s="27"/>
      <c r="I274" s="27"/>
      <c r="J274" s="27"/>
      <c r="K274" s="27"/>
      <c r="L274" s="27"/>
      <c r="M274" s="27"/>
      <c r="N274" s="27"/>
      <c r="O274" s="27"/>
      <c r="P274" s="27"/>
      <c r="Q274" s="27"/>
      <c r="R274" s="27"/>
      <c r="S274" s="27"/>
      <c r="T274" s="27"/>
      <c r="U274" s="27"/>
      <c r="V274" s="27"/>
      <c r="W274" s="27"/>
      <c r="X274" s="27"/>
      <c r="Y274" s="27"/>
      <c r="Z274" s="27"/>
      <c r="AA274" s="27"/>
      <c r="AB274" s="27"/>
      <c r="AC274" s="27"/>
      <c r="AD274" s="27"/>
      <c r="AE274" s="27"/>
      <c r="AF274" s="27"/>
      <c r="AG274" s="27"/>
      <c r="AH274" s="27"/>
      <c r="AI274" s="27"/>
      <c r="AJ274" s="27"/>
      <c r="AK274" s="27"/>
      <c r="AL274" s="27"/>
      <c r="AM274" s="27"/>
      <c r="AN274" s="27"/>
      <c r="AO274" s="27"/>
      <c r="AP274" s="27"/>
      <c r="AQ274" s="27"/>
      <c r="AR274" s="27"/>
      <c r="AS274" s="27"/>
      <c r="AT274" s="27"/>
      <c r="AU274" s="27"/>
      <c r="AV274" s="27"/>
      <c r="AW274" s="27"/>
      <c r="AX274" s="27"/>
      <c r="AY274" s="27"/>
      <c r="AZ274" s="27"/>
      <c r="BA274" s="27"/>
      <c r="BB274" s="27"/>
      <c r="BC274" s="27"/>
      <c r="BD274" s="27"/>
      <c r="BE274" s="27"/>
      <c r="BF274" s="27"/>
      <c r="BG274" s="27"/>
      <c r="BH274" s="27"/>
      <c r="BI274" s="27"/>
      <c r="BJ274" s="27"/>
      <c r="BK274" s="27"/>
      <c r="BL274" s="27"/>
      <c r="BM274" s="27"/>
      <c r="BN274" s="27"/>
      <c r="BO274" s="27"/>
      <c r="BP274" s="27"/>
      <c r="BQ274" s="27"/>
      <c r="BR274" s="27"/>
      <c r="BS274" s="27"/>
      <c r="BT274" s="27"/>
      <c r="BU274" s="27"/>
      <c r="BV274" s="27"/>
      <c r="BW274" s="27"/>
      <c r="BX274" s="27"/>
      <c r="BY274" s="27"/>
      <c r="BZ274" s="27"/>
      <c r="CA274" s="27"/>
      <c r="CB274" s="27"/>
      <c r="CC274" s="27"/>
      <c r="CD274" s="27"/>
      <c r="CE274" s="27"/>
      <c r="CF274" s="27"/>
      <c r="CG274" s="27"/>
      <c r="CH274" s="27"/>
      <c r="CI274" s="27"/>
      <c r="CJ274" s="27"/>
      <c r="CK274" s="27"/>
      <c r="CL274" s="27"/>
      <c r="CM274" s="27"/>
      <c r="CN274" s="27"/>
      <c r="CO274" s="27"/>
      <c r="CP274" s="27"/>
      <c r="CQ274" s="27"/>
      <c r="CR274" s="27"/>
      <c r="CS274" s="27"/>
      <c r="CT274" s="27"/>
      <c r="CU274" s="27"/>
      <c r="CV274" s="27"/>
      <c r="CW274" s="27"/>
      <c r="CX274" s="27"/>
      <c r="CY274" s="27"/>
      <c r="CZ274" s="27"/>
      <c r="DA274" s="27"/>
      <c r="DB274" s="27"/>
      <c r="DC274" s="27"/>
      <c r="DD274" s="27"/>
      <c r="DE274" s="27"/>
      <c r="DF274" s="27"/>
      <c r="DG274" s="27"/>
      <c r="DH274" s="27"/>
      <c r="DI274" s="27"/>
      <c r="DJ274" s="27"/>
      <c r="DK274" s="27"/>
      <c r="DL274" s="27"/>
      <c r="DM274" s="27"/>
      <c r="DN274" s="27"/>
      <c r="DO274" s="27"/>
      <c r="DP274" s="27"/>
      <c r="DQ274" s="27"/>
      <c r="DR274" s="27"/>
      <c r="DS274" s="27"/>
      <c r="DT274" s="27"/>
    </row>
    <row r="275" spans="2:124" x14ac:dyDescent="0.2">
      <c r="B275" s="27"/>
      <c r="C275" s="27"/>
      <c r="D275" s="27"/>
      <c r="E275" s="27"/>
      <c r="F275" s="27"/>
      <c r="G275" s="27"/>
      <c r="H275" s="27"/>
      <c r="I275" s="27"/>
      <c r="J275" s="27"/>
      <c r="K275" s="27"/>
      <c r="L275" s="27"/>
      <c r="M275" s="27"/>
      <c r="N275" s="27"/>
      <c r="O275" s="27"/>
      <c r="P275" s="27"/>
      <c r="Q275" s="27"/>
      <c r="R275" s="27"/>
      <c r="S275" s="27"/>
      <c r="T275" s="27"/>
      <c r="U275" s="27"/>
      <c r="V275" s="27"/>
      <c r="W275" s="27"/>
      <c r="X275" s="27"/>
      <c r="Y275" s="27"/>
      <c r="Z275" s="27"/>
      <c r="AA275" s="27"/>
      <c r="AB275" s="27"/>
      <c r="AC275" s="27"/>
      <c r="AD275" s="27"/>
      <c r="AE275" s="27"/>
      <c r="AF275" s="27"/>
      <c r="AG275" s="27"/>
      <c r="AH275" s="27"/>
      <c r="AI275" s="27"/>
      <c r="AJ275" s="27"/>
      <c r="AK275" s="27"/>
      <c r="AL275" s="27"/>
      <c r="AM275" s="27"/>
      <c r="AN275" s="27"/>
      <c r="AO275" s="27"/>
      <c r="AP275" s="27"/>
      <c r="AQ275" s="27"/>
      <c r="AR275" s="27"/>
      <c r="AS275" s="27"/>
      <c r="AT275" s="27"/>
      <c r="AU275" s="27"/>
      <c r="AV275" s="27"/>
      <c r="AW275" s="27"/>
      <c r="AX275" s="27"/>
      <c r="AY275" s="27"/>
      <c r="AZ275" s="27"/>
      <c r="BA275" s="27"/>
      <c r="BB275" s="27"/>
      <c r="BC275" s="27"/>
      <c r="BD275" s="27"/>
      <c r="BE275" s="27"/>
      <c r="BF275" s="27"/>
      <c r="BG275" s="27"/>
      <c r="BH275" s="27"/>
      <c r="BI275" s="27"/>
      <c r="BJ275" s="27"/>
      <c r="BK275" s="27"/>
      <c r="BL275" s="27"/>
      <c r="BM275" s="27"/>
      <c r="BN275" s="27"/>
      <c r="BO275" s="27"/>
      <c r="BP275" s="27"/>
      <c r="BQ275" s="27"/>
      <c r="BR275" s="27"/>
      <c r="BS275" s="27"/>
      <c r="BT275" s="27"/>
      <c r="BU275" s="27"/>
      <c r="BV275" s="27"/>
      <c r="BW275" s="27"/>
      <c r="BX275" s="27"/>
      <c r="BY275" s="27"/>
      <c r="BZ275" s="27"/>
      <c r="CA275" s="27"/>
      <c r="CB275" s="27"/>
      <c r="CC275" s="27"/>
      <c r="CD275" s="27"/>
      <c r="CE275" s="27"/>
      <c r="CF275" s="27"/>
      <c r="CG275" s="27"/>
      <c r="CH275" s="27"/>
      <c r="CI275" s="27"/>
      <c r="CJ275" s="27"/>
      <c r="CK275" s="27"/>
      <c r="CL275" s="27"/>
      <c r="CM275" s="27"/>
      <c r="CN275" s="27"/>
      <c r="CO275" s="27"/>
      <c r="CP275" s="27"/>
      <c r="CQ275" s="27"/>
      <c r="CR275" s="27"/>
      <c r="CS275" s="27"/>
      <c r="CT275" s="27"/>
      <c r="CU275" s="27"/>
      <c r="CV275" s="27"/>
      <c r="CW275" s="27"/>
      <c r="CX275" s="27"/>
      <c r="CY275" s="27"/>
      <c r="CZ275" s="27"/>
      <c r="DA275" s="27"/>
      <c r="DB275" s="27"/>
      <c r="DC275" s="27"/>
      <c r="DD275" s="27"/>
      <c r="DE275" s="27"/>
      <c r="DF275" s="27"/>
      <c r="DG275" s="27"/>
      <c r="DH275" s="27"/>
      <c r="DI275" s="27"/>
      <c r="DJ275" s="27"/>
      <c r="DK275" s="27"/>
      <c r="DL275" s="27"/>
      <c r="DM275" s="27"/>
      <c r="DN275" s="27"/>
      <c r="DO275" s="27"/>
      <c r="DP275" s="27"/>
      <c r="DQ275" s="27"/>
      <c r="DR275" s="27"/>
      <c r="DS275" s="27"/>
      <c r="DT275" s="27"/>
    </row>
    <row r="276" spans="2:124" x14ac:dyDescent="0.2">
      <c r="B276" s="27"/>
      <c r="C276" s="27"/>
      <c r="D276" s="27"/>
      <c r="E276" s="27"/>
      <c r="F276" s="27"/>
      <c r="G276" s="27"/>
      <c r="H276" s="27"/>
      <c r="I276" s="27"/>
      <c r="J276" s="27"/>
      <c r="K276" s="27"/>
      <c r="L276" s="27"/>
      <c r="M276" s="27"/>
      <c r="N276" s="27"/>
      <c r="O276" s="27"/>
      <c r="P276" s="27"/>
      <c r="Q276" s="27"/>
      <c r="R276" s="27"/>
      <c r="S276" s="27"/>
      <c r="T276" s="27"/>
      <c r="U276" s="27"/>
      <c r="V276" s="27"/>
      <c r="W276" s="27"/>
      <c r="X276" s="27"/>
      <c r="Y276" s="27"/>
      <c r="Z276" s="27"/>
      <c r="AA276" s="27"/>
      <c r="AB276" s="27"/>
      <c r="AC276" s="27"/>
      <c r="AD276" s="27"/>
      <c r="AE276" s="27"/>
      <c r="AF276" s="27"/>
      <c r="AG276" s="27"/>
      <c r="AH276" s="27"/>
      <c r="AI276" s="27"/>
      <c r="AJ276" s="27"/>
      <c r="AK276" s="27"/>
      <c r="AL276" s="27"/>
      <c r="AM276" s="27"/>
      <c r="AN276" s="27"/>
      <c r="AO276" s="27"/>
      <c r="AP276" s="27"/>
      <c r="AQ276" s="27"/>
      <c r="AR276" s="27"/>
      <c r="AS276" s="27"/>
      <c r="AT276" s="27"/>
      <c r="AU276" s="27"/>
      <c r="AV276" s="27"/>
      <c r="AW276" s="27"/>
      <c r="AX276" s="27"/>
      <c r="AY276" s="27"/>
      <c r="AZ276" s="27"/>
      <c r="BA276" s="27"/>
      <c r="BB276" s="27"/>
      <c r="BC276" s="27"/>
      <c r="BD276" s="27"/>
      <c r="BE276" s="27"/>
      <c r="BF276" s="27"/>
      <c r="BG276" s="27"/>
      <c r="BH276" s="27"/>
      <c r="BI276" s="27"/>
      <c r="BJ276" s="27"/>
      <c r="BK276" s="27"/>
      <c r="BL276" s="27"/>
      <c r="BM276" s="27"/>
      <c r="BN276" s="27"/>
      <c r="BO276" s="27"/>
      <c r="BP276" s="27"/>
      <c r="BQ276" s="27"/>
      <c r="BR276" s="27"/>
      <c r="BS276" s="27"/>
      <c r="BT276" s="27"/>
      <c r="BU276" s="27"/>
      <c r="BV276" s="27"/>
      <c r="BW276" s="27"/>
      <c r="BX276" s="27"/>
      <c r="BY276" s="27"/>
      <c r="BZ276" s="27"/>
      <c r="CA276" s="27"/>
      <c r="CB276" s="27"/>
      <c r="CC276" s="27"/>
      <c r="CD276" s="27"/>
      <c r="CE276" s="27"/>
      <c r="CF276" s="27"/>
      <c r="CG276" s="27"/>
      <c r="CH276" s="27"/>
      <c r="CI276" s="27"/>
      <c r="CJ276" s="27"/>
      <c r="CK276" s="27"/>
      <c r="CL276" s="27"/>
      <c r="CM276" s="27"/>
      <c r="CN276" s="27"/>
      <c r="CO276" s="27"/>
      <c r="CP276" s="27"/>
      <c r="CQ276" s="27"/>
      <c r="CR276" s="27"/>
      <c r="CS276" s="27"/>
      <c r="CT276" s="27"/>
      <c r="CU276" s="27"/>
      <c r="CV276" s="27"/>
      <c r="CW276" s="27"/>
      <c r="CX276" s="27"/>
      <c r="CY276" s="27"/>
      <c r="CZ276" s="27"/>
      <c r="DA276" s="27"/>
      <c r="DB276" s="27"/>
      <c r="DC276" s="27"/>
      <c r="DD276" s="27"/>
      <c r="DE276" s="27"/>
      <c r="DF276" s="27"/>
      <c r="DG276" s="27"/>
      <c r="DH276" s="27"/>
      <c r="DI276" s="27"/>
      <c r="DJ276" s="27"/>
      <c r="DK276" s="27"/>
      <c r="DL276" s="27"/>
      <c r="DM276" s="27"/>
      <c r="DN276" s="27"/>
      <c r="DO276" s="27"/>
      <c r="DP276" s="27"/>
      <c r="DQ276" s="27"/>
      <c r="DR276" s="27"/>
      <c r="DS276" s="27"/>
      <c r="DT276" s="27"/>
    </row>
    <row r="277" spans="2:124" x14ac:dyDescent="0.2">
      <c r="B277" s="27"/>
      <c r="C277" s="27"/>
      <c r="D277" s="27"/>
      <c r="E277" s="27"/>
      <c r="F277" s="27"/>
      <c r="G277" s="27"/>
      <c r="H277" s="27"/>
      <c r="I277" s="27"/>
      <c r="J277" s="27"/>
      <c r="K277" s="27"/>
      <c r="L277" s="27"/>
      <c r="M277" s="27"/>
      <c r="N277" s="27"/>
      <c r="O277" s="27"/>
      <c r="P277" s="27"/>
      <c r="Q277" s="27"/>
      <c r="R277" s="27"/>
      <c r="S277" s="27"/>
      <c r="T277" s="27"/>
      <c r="U277" s="27"/>
      <c r="V277" s="27"/>
      <c r="W277" s="27"/>
      <c r="X277" s="27"/>
      <c r="Y277" s="27"/>
      <c r="Z277" s="27"/>
      <c r="AA277" s="27"/>
      <c r="AB277" s="27"/>
      <c r="AC277" s="27"/>
      <c r="AD277" s="27"/>
      <c r="AE277" s="27"/>
      <c r="AF277" s="27"/>
      <c r="AG277" s="27"/>
      <c r="AH277" s="27"/>
      <c r="AI277" s="27"/>
      <c r="AJ277" s="27"/>
      <c r="AK277" s="27"/>
      <c r="AL277" s="27"/>
      <c r="AM277" s="27"/>
      <c r="AN277" s="27"/>
      <c r="AO277" s="27"/>
      <c r="AP277" s="27"/>
      <c r="AQ277" s="27"/>
      <c r="AR277" s="27"/>
      <c r="AS277" s="27"/>
      <c r="AT277" s="27"/>
      <c r="AU277" s="27"/>
      <c r="AV277" s="27"/>
      <c r="AW277" s="27"/>
      <c r="AX277" s="27"/>
      <c r="AY277" s="27"/>
      <c r="AZ277" s="27"/>
      <c r="BA277" s="27"/>
      <c r="BB277" s="27"/>
      <c r="BC277" s="27"/>
      <c r="BD277" s="27"/>
      <c r="BE277" s="27"/>
      <c r="BF277" s="27"/>
      <c r="BG277" s="27"/>
      <c r="BH277" s="27"/>
      <c r="BI277" s="27"/>
      <c r="BJ277" s="27"/>
      <c r="BK277" s="27"/>
      <c r="BL277" s="27"/>
      <c r="BM277" s="27"/>
      <c r="BN277" s="27"/>
      <c r="BO277" s="27"/>
      <c r="BP277" s="27"/>
      <c r="BQ277" s="27"/>
      <c r="BR277" s="27"/>
      <c r="BS277" s="27"/>
      <c r="BT277" s="27"/>
      <c r="BU277" s="27"/>
      <c r="BV277" s="27"/>
      <c r="BW277" s="27"/>
      <c r="BX277" s="27"/>
      <c r="BY277" s="27"/>
      <c r="BZ277" s="27"/>
      <c r="CA277" s="27"/>
      <c r="CB277" s="27"/>
      <c r="CC277" s="27"/>
      <c r="CD277" s="27"/>
      <c r="CE277" s="27"/>
      <c r="CF277" s="27"/>
      <c r="CG277" s="27"/>
      <c r="CH277" s="27"/>
      <c r="CI277" s="27"/>
      <c r="CJ277" s="27"/>
      <c r="CK277" s="27"/>
      <c r="CL277" s="27"/>
      <c r="CM277" s="27"/>
      <c r="CN277" s="27"/>
      <c r="CO277" s="27"/>
      <c r="CP277" s="27"/>
      <c r="CQ277" s="27"/>
      <c r="CR277" s="27"/>
      <c r="CS277" s="27"/>
      <c r="CT277" s="27"/>
      <c r="CU277" s="27"/>
      <c r="CV277" s="27"/>
      <c r="CW277" s="27"/>
      <c r="CX277" s="27"/>
      <c r="CY277" s="27"/>
      <c r="CZ277" s="27"/>
      <c r="DA277" s="27"/>
      <c r="DB277" s="27"/>
      <c r="DC277" s="27"/>
      <c r="DD277" s="27"/>
      <c r="DE277" s="27"/>
      <c r="DF277" s="27"/>
      <c r="DG277" s="27"/>
      <c r="DH277" s="27"/>
      <c r="DI277" s="27"/>
      <c r="DJ277" s="27"/>
      <c r="DK277" s="27"/>
      <c r="DL277" s="27"/>
      <c r="DM277" s="27"/>
      <c r="DN277" s="27"/>
      <c r="DO277" s="27"/>
      <c r="DP277" s="27"/>
      <c r="DQ277" s="27"/>
      <c r="DR277" s="27"/>
      <c r="DS277" s="27"/>
      <c r="DT277" s="27"/>
    </row>
    <row r="278" spans="2:124" x14ac:dyDescent="0.2">
      <c r="B278" s="27"/>
      <c r="C278" s="27"/>
      <c r="D278" s="27"/>
      <c r="E278" s="27"/>
      <c r="F278" s="27"/>
      <c r="G278" s="27"/>
      <c r="H278" s="27"/>
      <c r="I278" s="27"/>
      <c r="J278" s="27"/>
      <c r="K278" s="27"/>
      <c r="L278" s="27"/>
      <c r="M278" s="27"/>
      <c r="N278" s="27"/>
      <c r="O278" s="27"/>
      <c r="P278" s="27"/>
      <c r="Q278" s="27"/>
      <c r="R278" s="27"/>
      <c r="S278" s="27"/>
      <c r="T278" s="27"/>
      <c r="U278" s="27"/>
      <c r="V278" s="27"/>
      <c r="W278" s="27"/>
      <c r="X278" s="27"/>
      <c r="Y278" s="27"/>
      <c r="Z278" s="27"/>
      <c r="AA278" s="27"/>
      <c r="AB278" s="27"/>
      <c r="AC278" s="27"/>
      <c r="AD278" s="27"/>
      <c r="AE278" s="27"/>
      <c r="AF278" s="27"/>
      <c r="AG278" s="27"/>
      <c r="AH278" s="27"/>
      <c r="AI278" s="27"/>
      <c r="AJ278" s="27"/>
      <c r="AK278" s="27"/>
      <c r="AL278" s="27"/>
      <c r="AM278" s="27"/>
      <c r="AN278" s="27"/>
      <c r="AO278" s="27"/>
      <c r="AP278" s="27"/>
      <c r="AQ278" s="27"/>
      <c r="AR278" s="27"/>
      <c r="AS278" s="27"/>
      <c r="AT278" s="27"/>
      <c r="AU278" s="27"/>
      <c r="AV278" s="27"/>
      <c r="AW278" s="27"/>
      <c r="AX278" s="27"/>
      <c r="AY278" s="27"/>
      <c r="AZ278" s="27"/>
      <c r="BA278" s="27"/>
      <c r="BB278" s="27"/>
      <c r="BC278" s="27"/>
      <c r="BD278" s="27"/>
      <c r="BE278" s="27"/>
      <c r="BF278" s="27"/>
      <c r="BG278" s="27"/>
      <c r="BH278" s="27"/>
      <c r="BI278" s="27"/>
      <c r="BJ278" s="27"/>
      <c r="BK278" s="27"/>
      <c r="BL278" s="27"/>
      <c r="BM278" s="27"/>
      <c r="BN278" s="27"/>
      <c r="BO278" s="27"/>
      <c r="BP278" s="27"/>
      <c r="BQ278" s="27"/>
      <c r="BR278" s="27"/>
      <c r="BS278" s="27"/>
      <c r="BT278" s="27"/>
      <c r="BU278" s="27"/>
      <c r="BV278" s="27"/>
      <c r="BW278" s="27"/>
      <c r="BX278" s="27"/>
      <c r="BY278" s="27"/>
      <c r="BZ278" s="27"/>
      <c r="CA278" s="27"/>
      <c r="CB278" s="27"/>
      <c r="CC278" s="27"/>
      <c r="CD278" s="27"/>
      <c r="CE278" s="27"/>
      <c r="CF278" s="27"/>
      <c r="CG278" s="27"/>
      <c r="CH278" s="27"/>
      <c r="CI278" s="27"/>
      <c r="CJ278" s="27"/>
      <c r="CK278" s="27"/>
      <c r="CL278" s="27"/>
      <c r="CM278" s="27"/>
      <c r="CN278" s="27"/>
      <c r="CO278" s="27"/>
      <c r="CP278" s="27"/>
      <c r="CQ278" s="27"/>
      <c r="CR278" s="27"/>
      <c r="CS278" s="27"/>
      <c r="CT278" s="27"/>
      <c r="CU278" s="27"/>
      <c r="CV278" s="27"/>
      <c r="CW278" s="27"/>
      <c r="CX278" s="27"/>
      <c r="CY278" s="27"/>
      <c r="CZ278" s="27"/>
      <c r="DA278" s="27"/>
      <c r="DB278" s="27"/>
      <c r="DC278" s="27"/>
      <c r="DD278" s="27"/>
      <c r="DE278" s="27"/>
      <c r="DF278" s="27"/>
      <c r="DG278" s="27"/>
      <c r="DH278" s="27"/>
      <c r="DI278" s="27"/>
      <c r="DJ278" s="27"/>
      <c r="DK278" s="27"/>
      <c r="DL278" s="27"/>
      <c r="DM278" s="27"/>
      <c r="DN278" s="27"/>
      <c r="DO278" s="27"/>
      <c r="DP278" s="27"/>
      <c r="DQ278" s="27"/>
      <c r="DR278" s="27"/>
      <c r="DS278" s="27"/>
      <c r="DT278" s="27"/>
    </row>
    <row r="279" spans="2:124" x14ac:dyDescent="0.2">
      <c r="B279" s="27"/>
      <c r="C279" s="27"/>
      <c r="D279" s="27"/>
      <c r="E279" s="27"/>
      <c r="F279" s="27"/>
      <c r="G279" s="27"/>
      <c r="H279" s="27"/>
      <c r="I279" s="27"/>
      <c r="J279" s="27"/>
      <c r="K279" s="27"/>
      <c r="L279" s="27"/>
      <c r="M279" s="27"/>
      <c r="N279" s="27"/>
      <c r="O279" s="27"/>
      <c r="P279" s="27"/>
      <c r="Q279" s="27"/>
      <c r="R279" s="27"/>
      <c r="S279" s="27"/>
      <c r="T279" s="27"/>
      <c r="U279" s="27"/>
      <c r="V279" s="27"/>
      <c r="W279" s="27"/>
      <c r="X279" s="27"/>
      <c r="Y279" s="27"/>
      <c r="Z279" s="27"/>
      <c r="AA279" s="27"/>
      <c r="AB279" s="27"/>
      <c r="AC279" s="27"/>
      <c r="AD279" s="27"/>
      <c r="AE279" s="27"/>
      <c r="AF279" s="27"/>
      <c r="AG279" s="27"/>
      <c r="AH279" s="27"/>
      <c r="AI279" s="27"/>
      <c r="AJ279" s="27"/>
      <c r="AK279" s="27"/>
      <c r="AL279" s="27"/>
      <c r="AM279" s="27"/>
      <c r="AN279" s="27"/>
      <c r="AO279" s="27"/>
      <c r="AP279" s="27"/>
      <c r="AQ279" s="27"/>
      <c r="AR279" s="27"/>
      <c r="AS279" s="27"/>
      <c r="AT279" s="27"/>
      <c r="AU279" s="27"/>
      <c r="AV279" s="27"/>
      <c r="AW279" s="27"/>
      <c r="AX279" s="27"/>
      <c r="AY279" s="27"/>
      <c r="AZ279" s="27"/>
      <c r="BA279" s="27"/>
      <c r="BB279" s="27"/>
      <c r="BC279" s="27"/>
      <c r="BD279" s="27"/>
      <c r="BE279" s="27"/>
      <c r="BF279" s="27"/>
      <c r="BG279" s="27"/>
      <c r="BH279" s="27"/>
      <c r="BI279" s="27"/>
      <c r="BJ279" s="27"/>
      <c r="BK279" s="27"/>
      <c r="BL279" s="27"/>
      <c r="BM279" s="27"/>
      <c r="BN279" s="27"/>
      <c r="BO279" s="27"/>
      <c r="BP279" s="27"/>
      <c r="BQ279" s="27"/>
      <c r="BR279" s="27"/>
      <c r="BS279" s="27"/>
      <c r="BT279" s="27"/>
      <c r="BU279" s="27"/>
      <c r="BV279" s="27"/>
      <c r="BW279" s="27"/>
      <c r="BX279" s="27"/>
      <c r="BY279" s="27"/>
      <c r="BZ279" s="27"/>
      <c r="CA279" s="27"/>
      <c r="CB279" s="27"/>
      <c r="CC279" s="27"/>
      <c r="CD279" s="27"/>
      <c r="CE279" s="27"/>
      <c r="CF279" s="27"/>
      <c r="CG279" s="27"/>
      <c r="CH279" s="27"/>
      <c r="CI279" s="27"/>
      <c r="CJ279" s="27"/>
      <c r="CK279" s="27"/>
      <c r="CL279" s="27"/>
      <c r="CM279" s="27"/>
      <c r="CN279" s="27"/>
      <c r="CO279" s="27"/>
      <c r="CP279" s="27"/>
      <c r="CQ279" s="27"/>
      <c r="CR279" s="27"/>
      <c r="CS279" s="27"/>
      <c r="CT279" s="27"/>
      <c r="CU279" s="27"/>
      <c r="CV279" s="27"/>
      <c r="CW279" s="27"/>
      <c r="CX279" s="27"/>
      <c r="CY279" s="27"/>
      <c r="CZ279" s="27"/>
      <c r="DA279" s="27"/>
      <c r="DB279" s="27"/>
      <c r="DC279" s="27"/>
      <c r="DD279" s="27"/>
      <c r="DE279" s="27"/>
      <c r="DF279" s="27"/>
      <c r="DG279" s="27"/>
      <c r="DH279" s="27"/>
      <c r="DI279" s="27"/>
      <c r="DJ279" s="27"/>
      <c r="DK279" s="27"/>
      <c r="DL279" s="27"/>
      <c r="DM279" s="27"/>
      <c r="DN279" s="27"/>
      <c r="DO279" s="27"/>
      <c r="DP279" s="27"/>
      <c r="DQ279" s="27"/>
      <c r="DR279" s="27"/>
      <c r="DS279" s="27"/>
      <c r="DT279" s="27"/>
    </row>
    <row r="280" spans="2:124" x14ac:dyDescent="0.2">
      <c r="B280" s="27"/>
      <c r="C280" s="27"/>
      <c r="D280" s="27"/>
      <c r="E280" s="27"/>
      <c r="F280" s="27"/>
      <c r="G280" s="27"/>
      <c r="H280" s="27"/>
      <c r="I280" s="27"/>
      <c r="J280" s="27"/>
      <c r="K280" s="27"/>
      <c r="L280" s="27"/>
      <c r="M280" s="27"/>
      <c r="N280" s="27"/>
      <c r="O280" s="27"/>
      <c r="P280" s="27"/>
      <c r="Q280" s="27"/>
      <c r="R280" s="27"/>
      <c r="S280" s="27"/>
      <c r="T280" s="27"/>
      <c r="U280" s="27"/>
      <c r="V280" s="27"/>
      <c r="W280" s="27"/>
      <c r="X280" s="27"/>
      <c r="Y280" s="27"/>
      <c r="Z280" s="27"/>
      <c r="AA280" s="27"/>
      <c r="AB280" s="27"/>
      <c r="AC280" s="27"/>
      <c r="AD280" s="27"/>
      <c r="AE280" s="27"/>
      <c r="AF280" s="27"/>
      <c r="AG280" s="27"/>
      <c r="AH280" s="27"/>
      <c r="AI280" s="27"/>
      <c r="AJ280" s="27"/>
      <c r="AK280" s="27"/>
      <c r="AL280" s="27"/>
      <c r="AM280" s="27"/>
      <c r="AN280" s="27"/>
      <c r="AO280" s="27"/>
      <c r="AP280" s="27"/>
      <c r="AQ280" s="27"/>
      <c r="AR280" s="27"/>
      <c r="AS280" s="27"/>
      <c r="AT280" s="27"/>
      <c r="AU280" s="27"/>
      <c r="AV280" s="27"/>
      <c r="AW280" s="27"/>
      <c r="AX280" s="27"/>
      <c r="AY280" s="27"/>
      <c r="AZ280" s="27"/>
      <c r="BA280" s="27"/>
      <c r="BB280" s="27"/>
      <c r="BC280" s="27"/>
      <c r="BD280" s="27"/>
      <c r="BE280" s="27"/>
      <c r="BF280" s="27"/>
      <c r="BG280" s="27"/>
      <c r="BH280" s="27"/>
      <c r="BI280" s="27"/>
      <c r="BJ280" s="27"/>
      <c r="BK280" s="27"/>
      <c r="BL280" s="27"/>
      <c r="BM280" s="27"/>
      <c r="BN280" s="27"/>
      <c r="BO280" s="27"/>
      <c r="BP280" s="27"/>
      <c r="BQ280" s="27"/>
      <c r="BR280" s="27"/>
      <c r="BS280" s="27"/>
      <c r="BT280" s="27"/>
      <c r="BU280" s="27"/>
      <c r="BV280" s="27"/>
      <c r="BW280" s="27"/>
      <c r="BX280" s="27"/>
      <c r="BY280" s="27"/>
      <c r="BZ280" s="27"/>
      <c r="CA280" s="27"/>
      <c r="CB280" s="27"/>
      <c r="CC280" s="27"/>
      <c r="CD280" s="27"/>
      <c r="CE280" s="27"/>
      <c r="CF280" s="27"/>
      <c r="CG280" s="27"/>
      <c r="CH280" s="27"/>
      <c r="CI280" s="27"/>
      <c r="CJ280" s="27"/>
      <c r="CK280" s="27"/>
      <c r="CL280" s="27"/>
      <c r="CM280" s="27"/>
      <c r="CN280" s="27"/>
      <c r="CO280" s="27"/>
      <c r="CP280" s="27"/>
      <c r="CQ280" s="27"/>
      <c r="CR280" s="27"/>
      <c r="CS280" s="27"/>
      <c r="CT280" s="27"/>
      <c r="CU280" s="27"/>
      <c r="CV280" s="27"/>
      <c r="CW280" s="27"/>
      <c r="CX280" s="27"/>
      <c r="CY280" s="27"/>
      <c r="CZ280" s="27"/>
      <c r="DA280" s="27"/>
      <c r="DB280" s="27"/>
      <c r="DC280" s="27"/>
      <c r="DD280" s="27"/>
      <c r="DE280" s="27"/>
      <c r="DF280" s="27"/>
      <c r="DG280" s="27"/>
      <c r="DH280" s="27"/>
      <c r="DI280" s="27"/>
      <c r="DJ280" s="27"/>
      <c r="DK280" s="27"/>
      <c r="DL280" s="27"/>
      <c r="DM280" s="27"/>
      <c r="DN280" s="27"/>
      <c r="DO280" s="27"/>
      <c r="DP280" s="27"/>
      <c r="DQ280" s="27"/>
      <c r="DR280" s="27"/>
      <c r="DS280" s="27"/>
      <c r="DT280" s="27"/>
    </row>
    <row r="281" spans="2:124" x14ac:dyDescent="0.2">
      <c r="B281" s="27"/>
      <c r="C281" s="27"/>
      <c r="D281" s="27"/>
      <c r="E281" s="27"/>
      <c r="F281" s="27"/>
      <c r="G281" s="27"/>
      <c r="H281" s="27"/>
      <c r="I281" s="27"/>
      <c r="J281" s="27"/>
      <c r="K281" s="27"/>
      <c r="L281" s="27"/>
      <c r="M281" s="27"/>
      <c r="N281" s="27"/>
      <c r="O281" s="27"/>
      <c r="P281" s="27"/>
      <c r="Q281" s="27"/>
      <c r="R281" s="27"/>
      <c r="S281" s="27"/>
      <c r="T281" s="27"/>
      <c r="U281" s="27"/>
      <c r="V281" s="27"/>
      <c r="W281" s="27"/>
      <c r="X281" s="27"/>
      <c r="Y281" s="27"/>
      <c r="Z281" s="27"/>
      <c r="AA281" s="27"/>
      <c r="AB281" s="27"/>
      <c r="AC281" s="27"/>
      <c r="AD281" s="27"/>
      <c r="AE281" s="27"/>
      <c r="AF281" s="27"/>
      <c r="AG281" s="27"/>
      <c r="AH281" s="27"/>
      <c r="AI281" s="27"/>
      <c r="AJ281" s="27"/>
      <c r="AK281" s="27"/>
      <c r="AL281" s="27"/>
      <c r="AM281" s="27"/>
      <c r="AN281" s="27"/>
      <c r="AO281" s="27"/>
      <c r="AP281" s="27"/>
      <c r="AQ281" s="27"/>
      <c r="AR281" s="27"/>
      <c r="AS281" s="27"/>
      <c r="AT281" s="27"/>
      <c r="AU281" s="27"/>
      <c r="AV281" s="27"/>
      <c r="AW281" s="27"/>
      <c r="AX281" s="27"/>
      <c r="AY281" s="27"/>
      <c r="AZ281" s="27"/>
      <c r="BA281" s="27"/>
      <c r="BB281" s="27"/>
      <c r="BC281" s="27"/>
      <c r="BD281" s="27"/>
      <c r="BE281" s="27"/>
      <c r="BF281" s="27"/>
      <c r="BG281" s="27"/>
      <c r="BH281" s="27"/>
      <c r="BI281" s="27"/>
      <c r="BJ281" s="27"/>
      <c r="BK281" s="27"/>
      <c r="BL281" s="27"/>
      <c r="BM281" s="27"/>
      <c r="BN281" s="27"/>
      <c r="BO281" s="27"/>
      <c r="BP281" s="27"/>
      <c r="BQ281" s="27"/>
      <c r="BR281" s="27"/>
      <c r="BS281" s="27"/>
      <c r="BT281" s="27"/>
      <c r="BU281" s="27"/>
      <c r="BV281" s="27"/>
      <c r="BW281" s="27"/>
      <c r="BX281" s="27"/>
      <c r="BY281" s="27"/>
      <c r="BZ281" s="27"/>
      <c r="CA281" s="27"/>
      <c r="CB281" s="27"/>
      <c r="CC281" s="27"/>
      <c r="CD281" s="27"/>
      <c r="CE281" s="27"/>
      <c r="CF281" s="27"/>
      <c r="CG281" s="27"/>
      <c r="CH281" s="27"/>
      <c r="CI281" s="27"/>
      <c r="CJ281" s="27"/>
      <c r="CK281" s="27"/>
      <c r="CL281" s="27"/>
      <c r="CM281" s="27"/>
      <c r="CN281" s="27"/>
      <c r="CO281" s="27"/>
      <c r="CP281" s="27"/>
      <c r="CQ281" s="27"/>
      <c r="CR281" s="27"/>
      <c r="CS281" s="27"/>
      <c r="CT281" s="27"/>
      <c r="CU281" s="27"/>
      <c r="CV281" s="27"/>
      <c r="CW281" s="27"/>
      <c r="CX281" s="27"/>
      <c r="CY281" s="27"/>
      <c r="CZ281" s="27"/>
      <c r="DA281" s="27"/>
      <c r="DB281" s="27"/>
      <c r="DC281" s="27"/>
      <c r="DD281" s="27"/>
      <c r="DE281" s="27"/>
      <c r="DF281" s="27"/>
      <c r="DG281" s="27"/>
      <c r="DH281" s="27"/>
      <c r="DI281" s="27"/>
      <c r="DJ281" s="27"/>
      <c r="DK281" s="27"/>
      <c r="DL281" s="27"/>
      <c r="DM281" s="27"/>
      <c r="DN281" s="27"/>
      <c r="DO281" s="27"/>
      <c r="DP281" s="27"/>
      <c r="DQ281" s="27"/>
      <c r="DR281" s="27"/>
      <c r="DS281" s="27"/>
      <c r="DT281" s="27"/>
    </row>
    <row r="282" spans="2:124" x14ac:dyDescent="0.2">
      <c r="B282" s="27"/>
      <c r="C282" s="27"/>
      <c r="D282" s="27"/>
      <c r="E282" s="27"/>
      <c r="F282" s="27"/>
      <c r="G282" s="27"/>
      <c r="H282" s="27"/>
      <c r="I282" s="27"/>
      <c r="J282" s="27"/>
      <c r="K282" s="27"/>
      <c r="L282" s="27"/>
      <c r="M282" s="27"/>
      <c r="N282" s="27"/>
      <c r="O282" s="27"/>
      <c r="P282" s="27"/>
      <c r="Q282" s="27"/>
      <c r="R282" s="27"/>
      <c r="S282" s="27"/>
      <c r="T282" s="27"/>
      <c r="U282" s="27"/>
      <c r="V282" s="27"/>
      <c r="W282" s="27"/>
      <c r="X282" s="27"/>
      <c r="Y282" s="27"/>
      <c r="Z282" s="27"/>
      <c r="AA282" s="27"/>
      <c r="AB282" s="27"/>
      <c r="AC282" s="27"/>
      <c r="AD282" s="27"/>
      <c r="AE282" s="27"/>
      <c r="AF282" s="27"/>
      <c r="AG282" s="27"/>
      <c r="AH282" s="27"/>
      <c r="AI282" s="27"/>
      <c r="AJ282" s="27"/>
      <c r="AK282" s="27"/>
      <c r="AL282" s="27"/>
      <c r="AM282" s="27"/>
      <c r="AN282" s="27"/>
      <c r="AO282" s="27"/>
      <c r="AP282" s="27"/>
      <c r="AQ282" s="27"/>
      <c r="AR282" s="27"/>
      <c r="AS282" s="27"/>
      <c r="AT282" s="27"/>
      <c r="AU282" s="27"/>
      <c r="AV282" s="27"/>
      <c r="AW282" s="27"/>
      <c r="AX282" s="27"/>
      <c r="AY282" s="27"/>
      <c r="AZ282" s="27"/>
      <c r="BA282" s="27"/>
      <c r="BB282" s="27"/>
      <c r="BC282" s="27"/>
      <c r="BD282" s="27"/>
      <c r="BE282" s="27"/>
      <c r="BF282" s="27"/>
      <c r="BG282" s="27"/>
      <c r="BH282" s="27"/>
      <c r="BI282" s="27"/>
      <c r="BJ282" s="27"/>
      <c r="BK282" s="27"/>
      <c r="BL282" s="27"/>
      <c r="BM282" s="27"/>
      <c r="BN282" s="27"/>
      <c r="BO282" s="27"/>
      <c r="BP282" s="27"/>
      <c r="BQ282" s="27"/>
      <c r="BR282" s="27"/>
      <c r="BS282" s="27"/>
      <c r="BT282" s="27"/>
      <c r="BU282" s="27"/>
      <c r="BV282" s="27"/>
      <c r="BW282" s="27"/>
      <c r="BX282" s="27"/>
      <c r="BY282" s="27"/>
      <c r="BZ282" s="27"/>
      <c r="CA282" s="27"/>
      <c r="CB282" s="27"/>
      <c r="CC282" s="27"/>
      <c r="CD282" s="27"/>
      <c r="CE282" s="27"/>
      <c r="CF282" s="27"/>
      <c r="CG282" s="27"/>
      <c r="CH282" s="27"/>
      <c r="CI282" s="27"/>
      <c r="CJ282" s="27"/>
      <c r="CK282" s="27"/>
      <c r="CL282" s="27"/>
      <c r="CM282" s="27"/>
      <c r="CN282" s="27"/>
      <c r="CO282" s="27"/>
      <c r="CP282" s="27"/>
      <c r="CQ282" s="27"/>
      <c r="CR282" s="27"/>
      <c r="CS282" s="27"/>
      <c r="CT282" s="27"/>
      <c r="CU282" s="27"/>
      <c r="CV282" s="27"/>
      <c r="CW282" s="27"/>
      <c r="CX282" s="27"/>
      <c r="CY282" s="27"/>
      <c r="CZ282" s="27"/>
      <c r="DA282" s="27"/>
      <c r="DB282" s="27"/>
      <c r="DC282" s="27"/>
      <c r="DD282" s="27"/>
      <c r="DE282" s="27"/>
      <c r="DF282" s="27"/>
      <c r="DG282" s="27"/>
      <c r="DH282" s="27"/>
      <c r="DI282" s="27"/>
      <c r="DJ282" s="27"/>
      <c r="DK282" s="27"/>
      <c r="DL282" s="27"/>
      <c r="DM282" s="27"/>
      <c r="DN282" s="27"/>
      <c r="DO282" s="27"/>
      <c r="DP282" s="27"/>
      <c r="DQ282" s="27"/>
      <c r="DR282" s="27"/>
      <c r="DS282" s="27"/>
      <c r="DT282" s="27"/>
    </row>
    <row r="283" spans="2:124" x14ac:dyDescent="0.2">
      <c r="B283" s="27"/>
      <c r="C283" s="27"/>
      <c r="D283" s="27"/>
      <c r="E283" s="27"/>
      <c r="F283" s="27"/>
      <c r="G283" s="27"/>
      <c r="H283" s="27"/>
      <c r="I283" s="27"/>
      <c r="J283" s="27"/>
      <c r="K283" s="27"/>
      <c r="L283" s="27"/>
      <c r="M283" s="27"/>
      <c r="N283" s="27"/>
      <c r="O283" s="27"/>
      <c r="P283" s="27"/>
      <c r="Q283" s="27"/>
      <c r="R283" s="27"/>
      <c r="S283" s="27"/>
      <c r="T283" s="27"/>
      <c r="U283" s="27"/>
      <c r="V283" s="27"/>
      <c r="W283" s="27"/>
      <c r="X283" s="27"/>
      <c r="Y283" s="27"/>
      <c r="Z283" s="27"/>
      <c r="AA283" s="27"/>
      <c r="AB283" s="27"/>
      <c r="AC283" s="27"/>
      <c r="AD283" s="27"/>
      <c r="AE283" s="27"/>
      <c r="AF283" s="27"/>
      <c r="AG283" s="27"/>
      <c r="AH283" s="27"/>
      <c r="AI283" s="27"/>
      <c r="AJ283" s="27"/>
      <c r="AK283" s="27"/>
      <c r="AL283" s="27"/>
      <c r="AM283" s="27"/>
      <c r="AN283" s="27"/>
      <c r="AO283" s="27"/>
      <c r="AP283" s="27"/>
      <c r="AQ283" s="27"/>
      <c r="AR283" s="27"/>
      <c r="AS283" s="27"/>
      <c r="AT283" s="27"/>
      <c r="AU283" s="27"/>
      <c r="AV283" s="27"/>
      <c r="AW283" s="27"/>
      <c r="AX283" s="27"/>
      <c r="AY283" s="27"/>
      <c r="AZ283" s="27"/>
      <c r="BA283" s="27"/>
      <c r="BB283" s="27"/>
      <c r="BC283" s="27"/>
      <c r="BD283" s="27"/>
      <c r="BE283" s="27"/>
      <c r="BF283" s="27"/>
      <c r="BG283" s="27"/>
      <c r="BH283" s="27"/>
      <c r="BI283" s="27"/>
      <c r="BJ283" s="27"/>
      <c r="BK283" s="27"/>
      <c r="BL283" s="27"/>
      <c r="BM283" s="27"/>
      <c r="BN283" s="27"/>
      <c r="BO283" s="27"/>
      <c r="BP283" s="27"/>
      <c r="BQ283" s="27"/>
      <c r="BR283" s="27"/>
      <c r="BS283" s="27"/>
      <c r="BT283" s="27"/>
      <c r="BU283" s="27"/>
      <c r="BV283" s="27"/>
      <c r="BW283" s="27"/>
      <c r="BX283" s="27"/>
      <c r="BY283" s="27"/>
      <c r="BZ283" s="27"/>
      <c r="CA283" s="27"/>
      <c r="CB283" s="27"/>
      <c r="CC283" s="27"/>
      <c r="CD283" s="27"/>
      <c r="CE283" s="27"/>
      <c r="CF283" s="27"/>
      <c r="CG283" s="27"/>
      <c r="CH283" s="27"/>
      <c r="CI283" s="27"/>
      <c r="CJ283" s="27"/>
      <c r="CK283" s="27"/>
      <c r="CL283" s="27"/>
      <c r="CM283" s="27"/>
      <c r="CN283" s="27"/>
      <c r="CO283" s="27"/>
      <c r="CP283" s="27"/>
      <c r="CQ283" s="27"/>
      <c r="CR283" s="27"/>
      <c r="CS283" s="27"/>
      <c r="CT283" s="27"/>
      <c r="CU283" s="27"/>
      <c r="CV283" s="27"/>
      <c r="CW283" s="27"/>
      <c r="CX283" s="27"/>
      <c r="CY283" s="27"/>
      <c r="CZ283" s="27"/>
      <c r="DA283" s="27"/>
      <c r="DB283" s="27"/>
      <c r="DC283" s="27"/>
      <c r="DD283" s="27"/>
      <c r="DE283" s="27"/>
      <c r="DF283" s="27"/>
      <c r="DG283" s="27"/>
      <c r="DH283" s="27"/>
      <c r="DI283" s="27"/>
      <c r="DJ283" s="27"/>
      <c r="DK283" s="27"/>
      <c r="DL283" s="27"/>
      <c r="DM283" s="27"/>
      <c r="DN283" s="27"/>
      <c r="DO283" s="27"/>
      <c r="DP283" s="27"/>
      <c r="DQ283" s="27"/>
      <c r="DR283" s="27"/>
      <c r="DS283" s="27"/>
      <c r="DT283" s="27"/>
    </row>
    <row r="284" spans="2:124" x14ac:dyDescent="0.2">
      <c r="B284" s="27"/>
      <c r="C284" s="27"/>
      <c r="D284" s="27"/>
      <c r="E284" s="27"/>
      <c r="F284" s="27"/>
      <c r="G284" s="27"/>
      <c r="H284" s="27"/>
      <c r="I284" s="27"/>
      <c r="J284" s="27"/>
      <c r="K284" s="27"/>
      <c r="L284" s="27"/>
      <c r="M284" s="27"/>
      <c r="N284" s="27"/>
      <c r="O284" s="27"/>
      <c r="P284" s="27"/>
      <c r="Q284" s="27"/>
      <c r="R284" s="27"/>
      <c r="S284" s="27"/>
      <c r="T284" s="27"/>
      <c r="U284" s="27"/>
      <c r="V284" s="27"/>
      <c r="W284" s="27"/>
      <c r="X284" s="27"/>
      <c r="Y284" s="27"/>
      <c r="Z284" s="27"/>
      <c r="AA284" s="27"/>
      <c r="AB284" s="27"/>
      <c r="AC284" s="27"/>
      <c r="AD284" s="27"/>
      <c r="AE284" s="27"/>
      <c r="AF284" s="27"/>
      <c r="AG284" s="27"/>
      <c r="AH284" s="27"/>
      <c r="AI284" s="27"/>
      <c r="AJ284" s="27"/>
      <c r="AK284" s="27"/>
      <c r="AL284" s="27"/>
      <c r="AM284" s="27"/>
      <c r="AN284" s="27"/>
      <c r="AO284" s="27"/>
      <c r="AP284" s="27"/>
      <c r="AQ284" s="27"/>
      <c r="AR284" s="27"/>
      <c r="AS284" s="27"/>
      <c r="AT284" s="27"/>
      <c r="AU284" s="27"/>
      <c r="AV284" s="27"/>
      <c r="AW284" s="27"/>
      <c r="AX284" s="27"/>
      <c r="AY284" s="27"/>
      <c r="AZ284" s="27"/>
      <c r="BA284" s="27"/>
      <c r="BB284" s="27"/>
      <c r="BC284" s="27"/>
      <c r="BD284" s="27"/>
      <c r="BE284" s="27"/>
      <c r="BF284" s="27"/>
      <c r="BG284" s="27"/>
      <c r="BH284" s="27"/>
      <c r="BI284" s="27"/>
      <c r="BJ284" s="27"/>
      <c r="BK284" s="27"/>
      <c r="BL284" s="27"/>
      <c r="BM284" s="27"/>
      <c r="BN284" s="27"/>
      <c r="BO284" s="27"/>
      <c r="BP284" s="27"/>
      <c r="BQ284" s="27"/>
      <c r="BR284" s="27"/>
      <c r="BS284" s="27"/>
      <c r="BT284" s="27"/>
      <c r="BU284" s="27"/>
      <c r="BV284" s="27"/>
      <c r="BW284" s="27"/>
      <c r="BX284" s="27"/>
      <c r="BY284" s="27"/>
      <c r="BZ284" s="27"/>
      <c r="CA284" s="27"/>
      <c r="CB284" s="27"/>
      <c r="CC284" s="27"/>
      <c r="CD284" s="27"/>
      <c r="CE284" s="27"/>
      <c r="CF284" s="27"/>
      <c r="CG284" s="27"/>
      <c r="CH284" s="27"/>
      <c r="CI284" s="27"/>
      <c r="CJ284" s="27"/>
      <c r="CK284" s="27"/>
      <c r="CL284" s="27"/>
      <c r="CM284" s="27"/>
      <c r="CN284" s="27"/>
      <c r="CO284" s="27"/>
      <c r="CP284" s="27"/>
      <c r="CQ284" s="27"/>
      <c r="CR284" s="27"/>
      <c r="CS284" s="27"/>
      <c r="CT284" s="27"/>
      <c r="CU284" s="27"/>
      <c r="CV284" s="27"/>
      <c r="CW284" s="27"/>
      <c r="CX284" s="27"/>
      <c r="CY284" s="27"/>
      <c r="CZ284" s="27"/>
      <c r="DA284" s="27"/>
      <c r="DB284" s="27"/>
      <c r="DC284" s="27"/>
      <c r="DD284" s="27"/>
      <c r="DE284" s="27"/>
      <c r="DF284" s="27"/>
      <c r="DG284" s="27"/>
      <c r="DH284" s="27"/>
      <c r="DI284" s="27"/>
      <c r="DJ284" s="27"/>
      <c r="DK284" s="27"/>
      <c r="DL284" s="27"/>
      <c r="DM284" s="27"/>
      <c r="DN284" s="27"/>
      <c r="DO284" s="27"/>
      <c r="DP284" s="27"/>
      <c r="DQ284" s="27"/>
      <c r="DR284" s="27"/>
      <c r="DS284" s="27"/>
      <c r="DT284" s="27"/>
    </row>
    <row r="285" spans="2:124" x14ac:dyDescent="0.2">
      <c r="B285" s="27"/>
      <c r="C285" s="27"/>
      <c r="D285" s="27"/>
      <c r="E285" s="27"/>
      <c r="F285" s="27"/>
      <c r="G285" s="27"/>
      <c r="H285" s="27"/>
      <c r="I285" s="27"/>
      <c r="J285" s="27"/>
      <c r="K285" s="27"/>
      <c r="L285" s="27"/>
      <c r="M285" s="27"/>
      <c r="N285" s="27"/>
      <c r="O285" s="27"/>
      <c r="P285" s="27"/>
      <c r="Q285" s="27"/>
      <c r="R285" s="27"/>
      <c r="S285" s="27"/>
      <c r="T285" s="27"/>
      <c r="U285" s="27"/>
      <c r="V285" s="27"/>
      <c r="W285" s="27"/>
      <c r="X285" s="27"/>
      <c r="Y285" s="27"/>
      <c r="Z285" s="27"/>
      <c r="AA285" s="27"/>
      <c r="AB285" s="27"/>
      <c r="AC285" s="27"/>
      <c r="AD285" s="27"/>
      <c r="AE285" s="27"/>
      <c r="AF285" s="27"/>
      <c r="AG285" s="27"/>
      <c r="AH285" s="27"/>
      <c r="AI285" s="27"/>
      <c r="AJ285" s="27"/>
      <c r="AK285" s="27"/>
      <c r="AL285" s="27"/>
      <c r="AM285" s="27"/>
      <c r="AN285" s="27"/>
      <c r="AO285" s="27"/>
      <c r="AP285" s="27"/>
      <c r="AQ285" s="27"/>
      <c r="AR285" s="27"/>
      <c r="AS285" s="27"/>
      <c r="AT285" s="27"/>
      <c r="AU285" s="27"/>
      <c r="AV285" s="27"/>
      <c r="AW285" s="27"/>
      <c r="AX285" s="27"/>
      <c r="AY285" s="27"/>
      <c r="AZ285" s="27"/>
      <c r="BA285" s="27"/>
      <c r="BB285" s="27"/>
      <c r="BC285" s="27"/>
      <c r="BD285" s="27"/>
      <c r="BE285" s="27"/>
      <c r="BF285" s="27"/>
      <c r="BG285" s="27"/>
      <c r="BH285" s="27"/>
      <c r="BI285" s="27"/>
      <c r="BJ285" s="27"/>
      <c r="BK285" s="27"/>
      <c r="BL285" s="27"/>
      <c r="BM285" s="27"/>
      <c r="BN285" s="27"/>
      <c r="BO285" s="27"/>
      <c r="BP285" s="27"/>
      <c r="BQ285" s="27"/>
      <c r="BR285" s="27"/>
      <c r="BS285" s="27"/>
      <c r="BT285" s="27"/>
      <c r="BU285" s="27"/>
      <c r="BV285" s="27"/>
      <c r="BW285" s="27"/>
      <c r="BX285" s="27"/>
      <c r="BY285" s="27"/>
      <c r="BZ285" s="27"/>
      <c r="CA285" s="27"/>
      <c r="CB285" s="27"/>
      <c r="CC285" s="27"/>
      <c r="CD285" s="27"/>
      <c r="CE285" s="27"/>
      <c r="CF285" s="27"/>
      <c r="CG285" s="27"/>
      <c r="CH285" s="27"/>
      <c r="CI285" s="27"/>
      <c r="CJ285" s="27"/>
      <c r="CK285" s="27"/>
      <c r="CL285" s="27"/>
      <c r="CM285" s="27"/>
      <c r="CN285" s="27"/>
      <c r="CO285" s="27"/>
      <c r="CP285" s="27"/>
      <c r="CQ285" s="27"/>
      <c r="CR285" s="27"/>
      <c r="CS285" s="27"/>
      <c r="CT285" s="27"/>
      <c r="CU285" s="27"/>
      <c r="CV285" s="27"/>
      <c r="CW285" s="27"/>
      <c r="CX285" s="27"/>
      <c r="CY285" s="27"/>
      <c r="CZ285" s="27"/>
      <c r="DA285" s="27"/>
      <c r="DB285" s="27"/>
      <c r="DC285" s="27"/>
      <c r="DD285" s="27"/>
      <c r="DE285" s="27"/>
      <c r="DF285" s="27"/>
      <c r="DG285" s="27"/>
      <c r="DH285" s="27"/>
      <c r="DI285" s="27"/>
      <c r="DJ285" s="27"/>
      <c r="DK285" s="27"/>
      <c r="DL285" s="27"/>
      <c r="DM285" s="27"/>
      <c r="DN285" s="27"/>
      <c r="DO285" s="27"/>
      <c r="DP285" s="27"/>
      <c r="DQ285" s="27"/>
      <c r="DR285" s="27"/>
      <c r="DS285" s="27"/>
      <c r="DT285" s="27"/>
    </row>
    <row r="286" spans="2:124" x14ac:dyDescent="0.2">
      <c r="B286" s="27"/>
      <c r="C286" s="27"/>
      <c r="D286" s="27"/>
      <c r="E286" s="27"/>
      <c r="F286" s="27"/>
      <c r="G286" s="27"/>
      <c r="H286" s="27"/>
      <c r="I286" s="27"/>
      <c r="J286" s="27"/>
      <c r="K286" s="27"/>
      <c r="L286" s="27"/>
      <c r="M286" s="27"/>
      <c r="N286" s="27"/>
      <c r="O286" s="27"/>
      <c r="P286" s="27"/>
      <c r="Q286" s="27"/>
      <c r="R286" s="27"/>
      <c r="S286" s="27"/>
      <c r="T286" s="27"/>
      <c r="U286" s="27"/>
      <c r="V286" s="27"/>
      <c r="W286" s="27"/>
      <c r="X286" s="27"/>
      <c r="Y286" s="27"/>
      <c r="Z286" s="27"/>
      <c r="AA286" s="27"/>
      <c r="AB286" s="27"/>
      <c r="AC286" s="27"/>
      <c r="AD286" s="27"/>
      <c r="AE286" s="27"/>
      <c r="AF286" s="27"/>
      <c r="AG286" s="27"/>
      <c r="AH286" s="27"/>
      <c r="AI286" s="27"/>
      <c r="AJ286" s="27"/>
      <c r="AK286" s="27"/>
      <c r="AL286" s="27"/>
      <c r="AM286" s="27"/>
      <c r="AN286" s="27"/>
      <c r="AO286" s="27"/>
      <c r="AP286" s="27"/>
      <c r="AQ286" s="27"/>
      <c r="AR286" s="27"/>
      <c r="AS286" s="27"/>
      <c r="AT286" s="27"/>
      <c r="AU286" s="27"/>
      <c r="AV286" s="27"/>
      <c r="AW286" s="27"/>
      <c r="AX286" s="27"/>
      <c r="AY286" s="27"/>
      <c r="AZ286" s="27"/>
      <c r="BA286" s="27"/>
      <c r="BB286" s="27"/>
      <c r="BC286" s="27"/>
      <c r="BD286" s="27"/>
      <c r="BE286" s="27"/>
      <c r="BF286" s="27"/>
      <c r="BG286" s="27"/>
      <c r="BH286" s="27"/>
      <c r="BI286" s="27"/>
      <c r="BJ286" s="27"/>
      <c r="BK286" s="27"/>
      <c r="BL286" s="27"/>
      <c r="BM286" s="27"/>
      <c r="BN286" s="27"/>
      <c r="BO286" s="27"/>
      <c r="BP286" s="27"/>
      <c r="BQ286" s="27"/>
      <c r="BR286" s="27"/>
      <c r="BS286" s="27"/>
      <c r="BT286" s="27"/>
      <c r="BU286" s="27"/>
      <c r="BV286" s="27"/>
      <c r="BW286" s="27"/>
      <c r="BX286" s="27"/>
      <c r="BY286" s="27"/>
      <c r="BZ286" s="27"/>
      <c r="CA286" s="27"/>
      <c r="CB286" s="27"/>
      <c r="CC286" s="27"/>
      <c r="CD286" s="27"/>
      <c r="CE286" s="27"/>
      <c r="CF286" s="27"/>
      <c r="CG286" s="27"/>
      <c r="CH286" s="27"/>
      <c r="CI286" s="27"/>
      <c r="CJ286" s="27"/>
      <c r="CK286" s="27"/>
      <c r="CL286" s="27"/>
      <c r="CM286" s="27"/>
      <c r="CN286" s="27"/>
      <c r="CO286" s="27"/>
      <c r="CP286" s="27"/>
      <c r="CQ286" s="27"/>
      <c r="CR286" s="27"/>
      <c r="CS286" s="27"/>
      <c r="CT286" s="27"/>
      <c r="CU286" s="27"/>
      <c r="CV286" s="27"/>
      <c r="CW286" s="27"/>
      <c r="CX286" s="27"/>
      <c r="CY286" s="27"/>
      <c r="CZ286" s="27"/>
      <c r="DA286" s="27"/>
      <c r="DB286" s="27"/>
      <c r="DC286" s="27"/>
      <c r="DD286" s="27"/>
      <c r="DE286" s="27"/>
      <c r="DF286" s="27"/>
      <c r="DG286" s="27"/>
      <c r="DH286" s="27"/>
      <c r="DI286" s="27"/>
      <c r="DJ286" s="27"/>
      <c r="DK286" s="27"/>
      <c r="DL286" s="27"/>
      <c r="DM286" s="27"/>
      <c r="DN286" s="27"/>
      <c r="DO286" s="27"/>
      <c r="DP286" s="27"/>
      <c r="DQ286" s="27"/>
      <c r="DR286" s="27"/>
      <c r="DS286" s="27"/>
      <c r="DT286" s="27"/>
    </row>
    <row r="287" spans="2:124" x14ac:dyDescent="0.2">
      <c r="B287" s="27"/>
      <c r="C287" s="27"/>
      <c r="D287" s="27"/>
      <c r="E287" s="27"/>
      <c r="F287" s="27"/>
      <c r="G287" s="27"/>
      <c r="H287" s="27"/>
      <c r="I287" s="27"/>
      <c r="J287" s="27"/>
      <c r="K287" s="27"/>
      <c r="L287" s="27"/>
      <c r="M287" s="27"/>
      <c r="N287" s="27"/>
      <c r="O287" s="27"/>
      <c r="P287" s="27"/>
      <c r="Q287" s="27"/>
      <c r="R287" s="27"/>
      <c r="S287" s="27"/>
      <c r="T287" s="27"/>
      <c r="U287" s="27"/>
      <c r="V287" s="27"/>
      <c r="W287" s="27"/>
      <c r="X287" s="27"/>
      <c r="Y287" s="27"/>
      <c r="Z287" s="27"/>
      <c r="AA287" s="27"/>
      <c r="AB287" s="27"/>
      <c r="AC287" s="27"/>
      <c r="AD287" s="27"/>
      <c r="AE287" s="27"/>
      <c r="AF287" s="27"/>
      <c r="AG287" s="27"/>
      <c r="AH287" s="27"/>
      <c r="AI287" s="27"/>
      <c r="AJ287" s="27"/>
      <c r="AK287" s="27"/>
      <c r="AL287" s="27"/>
      <c r="AM287" s="27"/>
      <c r="AN287" s="27"/>
      <c r="AO287" s="27"/>
      <c r="AP287" s="27"/>
      <c r="AQ287" s="27"/>
      <c r="AR287" s="27"/>
      <c r="AS287" s="27"/>
      <c r="AT287" s="27"/>
      <c r="AU287" s="27"/>
      <c r="AV287" s="27"/>
      <c r="AW287" s="27"/>
      <c r="AX287" s="27"/>
      <c r="AY287" s="27"/>
      <c r="AZ287" s="27"/>
      <c r="BA287" s="27"/>
      <c r="BB287" s="27"/>
      <c r="BC287" s="27"/>
      <c r="BD287" s="27"/>
      <c r="BE287" s="27"/>
      <c r="BF287" s="27"/>
      <c r="BG287" s="27"/>
      <c r="BH287" s="27"/>
      <c r="BI287" s="27"/>
      <c r="BJ287" s="27"/>
      <c r="BK287" s="27"/>
      <c r="BL287" s="27"/>
      <c r="BM287" s="27"/>
      <c r="BN287" s="27"/>
      <c r="BO287" s="27"/>
      <c r="BP287" s="27"/>
      <c r="BQ287" s="27"/>
      <c r="BR287" s="27"/>
      <c r="BS287" s="27"/>
      <c r="BT287" s="27"/>
      <c r="BU287" s="27"/>
      <c r="BV287" s="27"/>
      <c r="BW287" s="27"/>
      <c r="BX287" s="27"/>
      <c r="BY287" s="27"/>
      <c r="BZ287" s="27"/>
      <c r="CA287" s="27"/>
      <c r="CB287" s="27"/>
      <c r="CC287" s="27"/>
      <c r="CD287" s="27"/>
      <c r="CE287" s="27"/>
      <c r="CF287" s="27"/>
      <c r="CG287" s="27"/>
      <c r="CH287" s="27"/>
      <c r="CI287" s="27"/>
      <c r="CJ287" s="27"/>
      <c r="CK287" s="27"/>
      <c r="CL287" s="27"/>
      <c r="CM287" s="27"/>
      <c r="CN287" s="27"/>
      <c r="CO287" s="27"/>
      <c r="CP287" s="27"/>
      <c r="CQ287" s="27"/>
      <c r="CR287" s="27"/>
      <c r="CS287" s="27"/>
      <c r="CT287" s="27"/>
      <c r="CU287" s="27"/>
      <c r="CV287" s="27"/>
      <c r="CW287" s="27"/>
      <c r="CX287" s="27"/>
      <c r="CY287" s="27"/>
      <c r="CZ287" s="27"/>
      <c r="DA287" s="27"/>
      <c r="DB287" s="27"/>
      <c r="DC287" s="27"/>
      <c r="DD287" s="27"/>
      <c r="DE287" s="27"/>
      <c r="DF287" s="27"/>
      <c r="DG287" s="27"/>
      <c r="DH287" s="27"/>
      <c r="DI287" s="27"/>
      <c r="DJ287" s="27"/>
      <c r="DK287" s="27"/>
      <c r="DL287" s="27"/>
      <c r="DM287" s="27"/>
      <c r="DN287" s="27"/>
      <c r="DO287" s="27"/>
      <c r="DP287" s="27"/>
      <c r="DQ287" s="27"/>
      <c r="DR287" s="27"/>
      <c r="DS287" s="27"/>
      <c r="DT287" s="27"/>
    </row>
    <row r="288" spans="2:124" x14ac:dyDescent="0.2">
      <c r="B288" s="27"/>
      <c r="C288" s="27"/>
      <c r="D288" s="27"/>
      <c r="E288" s="27"/>
      <c r="F288" s="27"/>
      <c r="G288" s="27"/>
      <c r="H288" s="27"/>
      <c r="I288" s="27"/>
      <c r="J288" s="27"/>
      <c r="K288" s="27"/>
      <c r="L288" s="27"/>
      <c r="M288" s="27"/>
      <c r="N288" s="27"/>
      <c r="O288" s="27"/>
      <c r="P288" s="27"/>
      <c r="Q288" s="27"/>
      <c r="R288" s="27"/>
      <c r="S288" s="27"/>
      <c r="T288" s="27"/>
      <c r="U288" s="27"/>
      <c r="V288" s="27"/>
      <c r="W288" s="27"/>
      <c r="X288" s="27"/>
      <c r="Y288" s="27"/>
      <c r="Z288" s="27"/>
      <c r="AA288" s="27"/>
      <c r="AB288" s="27"/>
      <c r="AC288" s="27"/>
      <c r="AD288" s="27"/>
      <c r="AE288" s="27"/>
      <c r="AF288" s="27"/>
      <c r="AG288" s="27"/>
      <c r="AH288" s="27"/>
      <c r="AI288" s="27"/>
      <c r="AJ288" s="27"/>
      <c r="AK288" s="27"/>
      <c r="AL288" s="27"/>
      <c r="AM288" s="27"/>
      <c r="AN288" s="27"/>
      <c r="AO288" s="27"/>
      <c r="AP288" s="27"/>
      <c r="AQ288" s="27"/>
      <c r="AR288" s="27"/>
      <c r="AS288" s="27"/>
      <c r="AT288" s="27"/>
      <c r="AU288" s="27"/>
      <c r="AV288" s="27"/>
      <c r="AW288" s="27"/>
      <c r="AX288" s="27"/>
      <c r="AY288" s="27"/>
      <c r="AZ288" s="27"/>
      <c r="BA288" s="27"/>
      <c r="BB288" s="27"/>
      <c r="BC288" s="27"/>
      <c r="BD288" s="27"/>
      <c r="BE288" s="27"/>
      <c r="BF288" s="27"/>
      <c r="BG288" s="27"/>
      <c r="BH288" s="27"/>
      <c r="BI288" s="27"/>
      <c r="BJ288" s="27"/>
      <c r="BK288" s="27"/>
      <c r="BL288" s="27"/>
      <c r="BM288" s="27"/>
      <c r="BN288" s="27"/>
      <c r="BO288" s="27"/>
      <c r="BP288" s="27"/>
      <c r="BQ288" s="27"/>
      <c r="BR288" s="27"/>
      <c r="BS288" s="27"/>
      <c r="BT288" s="27"/>
      <c r="BU288" s="27"/>
      <c r="BV288" s="27"/>
      <c r="BW288" s="27"/>
      <c r="BX288" s="27"/>
      <c r="BY288" s="27"/>
      <c r="BZ288" s="27"/>
      <c r="CA288" s="27"/>
      <c r="CB288" s="27"/>
      <c r="CC288" s="27"/>
      <c r="CD288" s="27"/>
      <c r="CE288" s="27"/>
      <c r="CF288" s="27"/>
      <c r="CG288" s="27"/>
      <c r="CH288" s="27"/>
      <c r="CI288" s="27"/>
      <c r="CJ288" s="27"/>
      <c r="CK288" s="27"/>
      <c r="CL288" s="27"/>
      <c r="CM288" s="27"/>
      <c r="CN288" s="27"/>
      <c r="CO288" s="27"/>
      <c r="CP288" s="27"/>
      <c r="CQ288" s="27"/>
      <c r="CR288" s="27"/>
      <c r="CS288" s="27"/>
      <c r="CT288" s="27"/>
      <c r="CU288" s="27"/>
      <c r="CV288" s="27"/>
      <c r="CW288" s="27"/>
      <c r="CX288" s="27"/>
      <c r="CY288" s="27"/>
      <c r="CZ288" s="27"/>
      <c r="DA288" s="27"/>
      <c r="DB288" s="27"/>
      <c r="DC288" s="27"/>
      <c r="DD288" s="27"/>
      <c r="DE288" s="27"/>
      <c r="DF288" s="27"/>
      <c r="DG288" s="27"/>
      <c r="DH288" s="27"/>
      <c r="DI288" s="27"/>
      <c r="DJ288" s="27"/>
      <c r="DK288" s="27"/>
      <c r="DL288" s="27"/>
      <c r="DM288" s="27"/>
      <c r="DN288" s="27"/>
      <c r="DO288" s="27"/>
      <c r="DP288" s="27"/>
      <c r="DQ288" s="27"/>
      <c r="DR288" s="27"/>
      <c r="DS288" s="27"/>
      <c r="DT288" s="27"/>
    </row>
    <row r="289" spans="2:124" x14ac:dyDescent="0.2">
      <c r="B289" s="27"/>
      <c r="C289" s="27"/>
      <c r="D289" s="27"/>
      <c r="E289" s="27"/>
      <c r="F289" s="27"/>
      <c r="G289" s="27"/>
      <c r="H289" s="27"/>
      <c r="I289" s="27"/>
      <c r="J289" s="27"/>
      <c r="K289" s="27"/>
      <c r="L289" s="27"/>
      <c r="M289" s="27"/>
      <c r="N289" s="27"/>
      <c r="O289" s="27"/>
      <c r="P289" s="27"/>
      <c r="Q289" s="27"/>
      <c r="R289" s="27"/>
      <c r="S289" s="27"/>
      <c r="T289" s="27"/>
      <c r="U289" s="27"/>
      <c r="V289" s="27"/>
      <c r="W289" s="27"/>
      <c r="X289" s="27"/>
      <c r="Y289" s="27"/>
      <c r="Z289" s="27"/>
      <c r="AA289" s="27"/>
      <c r="AB289" s="27"/>
      <c r="AC289" s="27"/>
      <c r="AD289" s="27"/>
      <c r="AE289" s="27"/>
      <c r="AF289" s="27"/>
      <c r="AG289" s="27"/>
      <c r="AH289" s="27"/>
      <c r="AI289" s="27"/>
      <c r="AJ289" s="27"/>
      <c r="AK289" s="27"/>
      <c r="AL289" s="27"/>
      <c r="AM289" s="27"/>
      <c r="AN289" s="27"/>
      <c r="AO289" s="27"/>
      <c r="AP289" s="27"/>
      <c r="AQ289" s="27"/>
      <c r="AR289" s="27"/>
      <c r="AS289" s="27"/>
      <c r="AT289" s="27"/>
      <c r="AU289" s="27"/>
      <c r="AV289" s="27"/>
      <c r="AW289" s="27"/>
      <c r="AX289" s="27"/>
      <c r="AY289" s="27"/>
      <c r="AZ289" s="27"/>
      <c r="BA289" s="27"/>
      <c r="BB289" s="27"/>
      <c r="BC289" s="27"/>
      <c r="BD289" s="27"/>
      <c r="BE289" s="27"/>
      <c r="BF289" s="27"/>
      <c r="BG289" s="27"/>
      <c r="BH289" s="27"/>
      <c r="BI289" s="27"/>
      <c r="BJ289" s="27"/>
      <c r="BK289" s="27"/>
      <c r="BL289" s="27"/>
      <c r="BM289" s="27"/>
      <c r="BN289" s="27"/>
      <c r="BO289" s="27"/>
      <c r="BP289" s="27"/>
      <c r="BQ289" s="27"/>
      <c r="BR289" s="27"/>
      <c r="BS289" s="27"/>
      <c r="BT289" s="27"/>
      <c r="BU289" s="27"/>
      <c r="BV289" s="27"/>
      <c r="BW289" s="27"/>
      <c r="BX289" s="27"/>
      <c r="BY289" s="27"/>
      <c r="BZ289" s="27"/>
      <c r="CA289" s="27"/>
      <c r="CB289" s="27"/>
      <c r="CC289" s="27"/>
      <c r="CD289" s="27"/>
      <c r="CE289" s="27"/>
      <c r="CF289" s="27"/>
      <c r="CG289" s="27"/>
      <c r="CH289" s="27"/>
      <c r="CI289" s="27"/>
      <c r="CJ289" s="27"/>
      <c r="CK289" s="27"/>
      <c r="CL289" s="27"/>
      <c r="CM289" s="27"/>
      <c r="CN289" s="27"/>
      <c r="CO289" s="27"/>
      <c r="CP289" s="27"/>
      <c r="CQ289" s="27"/>
      <c r="CR289" s="27"/>
      <c r="CS289" s="27"/>
      <c r="CT289" s="27"/>
      <c r="CU289" s="27"/>
      <c r="CV289" s="27"/>
      <c r="CW289" s="27"/>
      <c r="CX289" s="27"/>
      <c r="CY289" s="27"/>
      <c r="CZ289" s="27"/>
      <c r="DA289" s="27"/>
      <c r="DB289" s="27"/>
      <c r="DC289" s="27"/>
      <c r="DD289" s="27"/>
      <c r="DE289" s="27"/>
      <c r="DF289" s="27"/>
      <c r="DG289" s="27"/>
      <c r="DH289" s="27"/>
      <c r="DI289" s="27"/>
      <c r="DJ289" s="27"/>
      <c r="DK289" s="27"/>
      <c r="DL289" s="27"/>
      <c r="DM289" s="27"/>
      <c r="DN289" s="27"/>
      <c r="DO289" s="27"/>
      <c r="DP289" s="27"/>
      <c r="DQ289" s="27"/>
      <c r="DR289" s="27"/>
      <c r="DS289" s="27"/>
      <c r="DT289" s="27"/>
    </row>
    <row r="290" spans="2:124" x14ac:dyDescent="0.2">
      <c r="B290" s="27"/>
      <c r="C290" s="27"/>
      <c r="D290" s="27"/>
      <c r="E290" s="27"/>
      <c r="F290" s="27"/>
      <c r="G290" s="27"/>
      <c r="H290" s="27"/>
      <c r="I290" s="27"/>
      <c r="J290" s="27"/>
      <c r="K290" s="27"/>
      <c r="L290" s="27"/>
      <c r="M290" s="27"/>
      <c r="N290" s="27"/>
      <c r="O290" s="27"/>
      <c r="P290" s="27"/>
      <c r="Q290" s="27"/>
      <c r="R290" s="27"/>
      <c r="S290" s="27"/>
      <c r="T290" s="27"/>
      <c r="U290" s="27"/>
      <c r="V290" s="27"/>
      <c r="W290" s="27"/>
      <c r="X290" s="27"/>
      <c r="Y290" s="27"/>
      <c r="Z290" s="27"/>
      <c r="AA290" s="27"/>
      <c r="AB290" s="27"/>
      <c r="AC290" s="27"/>
      <c r="AD290" s="27"/>
      <c r="AE290" s="27"/>
      <c r="AF290" s="27"/>
      <c r="AG290" s="27"/>
      <c r="AH290" s="27"/>
      <c r="AI290" s="27"/>
      <c r="AJ290" s="27"/>
      <c r="AK290" s="27"/>
      <c r="AL290" s="27"/>
      <c r="AM290" s="27"/>
      <c r="AN290" s="27"/>
      <c r="AO290" s="27"/>
      <c r="AP290" s="27"/>
      <c r="AQ290" s="27"/>
      <c r="AR290" s="27"/>
      <c r="AS290" s="27"/>
      <c r="AT290" s="27"/>
      <c r="AU290" s="27"/>
      <c r="AV290" s="27"/>
      <c r="AW290" s="27"/>
      <c r="AX290" s="27"/>
      <c r="AY290" s="27"/>
      <c r="AZ290" s="27"/>
      <c r="BA290" s="27"/>
      <c r="BB290" s="27"/>
      <c r="BC290" s="27"/>
      <c r="BD290" s="27"/>
      <c r="BE290" s="27"/>
      <c r="BF290" s="27"/>
      <c r="BG290" s="27"/>
      <c r="BH290" s="27"/>
      <c r="BI290" s="27"/>
      <c r="BJ290" s="27"/>
      <c r="BK290" s="27"/>
      <c r="BL290" s="27"/>
      <c r="BM290" s="27"/>
      <c r="BN290" s="27"/>
      <c r="BO290" s="27"/>
      <c r="BP290" s="27"/>
      <c r="BQ290" s="27"/>
      <c r="BR290" s="27"/>
      <c r="BS290" s="27"/>
      <c r="BT290" s="27"/>
      <c r="BU290" s="27"/>
      <c r="BV290" s="27"/>
      <c r="BW290" s="27"/>
      <c r="BX290" s="27"/>
      <c r="BY290" s="27"/>
      <c r="BZ290" s="27"/>
      <c r="CA290" s="27"/>
      <c r="CB290" s="27"/>
      <c r="CC290" s="27"/>
      <c r="CD290" s="27"/>
      <c r="CE290" s="27"/>
      <c r="CF290" s="27"/>
      <c r="CG290" s="27"/>
      <c r="CH290" s="27"/>
      <c r="CI290" s="27"/>
      <c r="CJ290" s="27"/>
      <c r="CK290" s="27"/>
      <c r="CL290" s="27"/>
      <c r="CM290" s="27"/>
      <c r="CN290" s="27"/>
      <c r="CO290" s="27"/>
      <c r="CP290" s="27"/>
      <c r="CQ290" s="27"/>
      <c r="CR290" s="27"/>
      <c r="CS290" s="27"/>
      <c r="CT290" s="27"/>
      <c r="CU290" s="27"/>
      <c r="CV290" s="27"/>
      <c r="CW290" s="27"/>
      <c r="CX290" s="27"/>
      <c r="CY290" s="27"/>
      <c r="CZ290" s="27"/>
      <c r="DA290" s="27"/>
      <c r="DB290" s="27"/>
      <c r="DC290" s="27"/>
      <c r="DD290" s="27"/>
      <c r="DE290" s="27"/>
      <c r="DF290" s="27"/>
      <c r="DG290" s="27"/>
      <c r="DH290" s="27"/>
      <c r="DI290" s="27"/>
      <c r="DJ290" s="27"/>
      <c r="DK290" s="27"/>
      <c r="DL290" s="27"/>
      <c r="DM290" s="27"/>
      <c r="DN290" s="27"/>
      <c r="DO290" s="27"/>
      <c r="DP290" s="27"/>
      <c r="DQ290" s="27"/>
      <c r="DR290" s="27"/>
      <c r="DS290" s="27"/>
      <c r="DT290" s="27"/>
    </row>
    <row r="291" spans="2:124" x14ac:dyDescent="0.2">
      <c r="B291" s="27"/>
      <c r="C291" s="27"/>
      <c r="D291" s="27"/>
      <c r="E291" s="27"/>
      <c r="F291" s="27"/>
      <c r="G291" s="27"/>
      <c r="H291" s="27"/>
      <c r="I291" s="27"/>
      <c r="J291" s="27"/>
      <c r="K291" s="27"/>
      <c r="L291" s="27"/>
      <c r="M291" s="27"/>
      <c r="N291" s="27"/>
      <c r="O291" s="27"/>
      <c r="P291" s="27"/>
      <c r="Q291" s="27"/>
      <c r="R291" s="27"/>
      <c r="S291" s="27"/>
      <c r="T291" s="27"/>
      <c r="U291" s="27"/>
      <c r="V291" s="27"/>
      <c r="W291" s="27"/>
      <c r="X291" s="27"/>
      <c r="Y291" s="27"/>
      <c r="Z291" s="27"/>
      <c r="AA291" s="27"/>
      <c r="AB291" s="27"/>
      <c r="AC291" s="27"/>
      <c r="AD291" s="27"/>
      <c r="AE291" s="27"/>
      <c r="AF291" s="27"/>
      <c r="AG291" s="27"/>
      <c r="AH291" s="27"/>
      <c r="AI291" s="27"/>
      <c r="AJ291" s="27"/>
      <c r="AK291" s="27"/>
      <c r="AL291" s="27"/>
      <c r="AM291" s="27"/>
      <c r="AN291" s="27"/>
      <c r="AO291" s="27"/>
      <c r="AP291" s="27"/>
      <c r="AQ291" s="27"/>
      <c r="AR291" s="27"/>
      <c r="AS291" s="27"/>
      <c r="AT291" s="27"/>
      <c r="AU291" s="27"/>
      <c r="AV291" s="27"/>
      <c r="AW291" s="27"/>
      <c r="AX291" s="27"/>
      <c r="AY291" s="27"/>
      <c r="AZ291" s="27"/>
      <c r="BA291" s="27"/>
      <c r="BB291" s="27"/>
      <c r="BC291" s="27"/>
      <c r="BD291" s="27"/>
      <c r="BE291" s="27"/>
      <c r="BF291" s="27"/>
      <c r="BG291" s="27"/>
      <c r="BH291" s="27"/>
      <c r="BI291" s="27"/>
      <c r="BJ291" s="27"/>
      <c r="BK291" s="27"/>
      <c r="BL291" s="27"/>
      <c r="BM291" s="27"/>
      <c r="BN291" s="27"/>
      <c r="BO291" s="27"/>
      <c r="BP291" s="27"/>
      <c r="BQ291" s="27"/>
      <c r="BR291" s="27"/>
      <c r="BS291" s="27"/>
      <c r="BT291" s="27"/>
      <c r="BU291" s="27"/>
      <c r="BV291" s="27"/>
      <c r="BW291" s="27"/>
      <c r="BX291" s="27"/>
      <c r="BY291" s="27"/>
      <c r="BZ291" s="27"/>
      <c r="CA291" s="27"/>
      <c r="CB291" s="27"/>
      <c r="CC291" s="27"/>
      <c r="CD291" s="27"/>
      <c r="CE291" s="27"/>
      <c r="CF291" s="27"/>
      <c r="CG291" s="27"/>
      <c r="CH291" s="27"/>
      <c r="CI291" s="27"/>
      <c r="CJ291" s="27"/>
      <c r="CK291" s="27"/>
      <c r="CL291" s="27"/>
      <c r="CM291" s="27"/>
      <c r="CN291" s="27"/>
      <c r="CO291" s="27"/>
      <c r="CP291" s="27"/>
      <c r="CQ291" s="27"/>
      <c r="CR291" s="27"/>
      <c r="CS291" s="27"/>
      <c r="CT291" s="27"/>
      <c r="CU291" s="27"/>
      <c r="CV291" s="27"/>
      <c r="CW291" s="27"/>
      <c r="CX291" s="27"/>
      <c r="CY291" s="27"/>
      <c r="CZ291" s="27"/>
      <c r="DA291" s="27"/>
      <c r="DB291" s="27"/>
      <c r="DC291" s="27"/>
      <c r="DD291" s="27"/>
      <c r="DE291" s="27"/>
      <c r="DF291" s="27"/>
      <c r="DG291" s="27"/>
      <c r="DH291" s="27"/>
      <c r="DI291" s="27"/>
      <c r="DJ291" s="27"/>
      <c r="DK291" s="27"/>
      <c r="DL291" s="27"/>
      <c r="DM291" s="27"/>
      <c r="DN291" s="27"/>
      <c r="DO291" s="27"/>
      <c r="DP291" s="27"/>
      <c r="DQ291" s="27"/>
      <c r="DR291" s="27"/>
      <c r="DS291" s="27"/>
      <c r="DT291" s="27"/>
    </row>
    <row r="292" spans="2:124" x14ac:dyDescent="0.2">
      <c r="B292" s="27"/>
      <c r="C292" s="27"/>
      <c r="D292" s="27"/>
      <c r="E292" s="27"/>
      <c r="F292" s="27"/>
      <c r="G292" s="27"/>
      <c r="H292" s="27"/>
      <c r="I292" s="27"/>
      <c r="J292" s="27"/>
      <c r="K292" s="27"/>
      <c r="L292" s="27"/>
      <c r="M292" s="27"/>
      <c r="N292" s="27"/>
      <c r="O292" s="27"/>
      <c r="P292" s="27"/>
      <c r="Q292" s="27"/>
      <c r="R292" s="27"/>
      <c r="S292" s="27"/>
      <c r="T292" s="27"/>
      <c r="U292" s="27"/>
      <c r="V292" s="27"/>
      <c r="W292" s="27"/>
      <c r="X292" s="27"/>
      <c r="Y292" s="27"/>
      <c r="Z292" s="27"/>
      <c r="AA292" s="27"/>
      <c r="AB292" s="27"/>
      <c r="AC292" s="27"/>
      <c r="AD292" s="27"/>
      <c r="AE292" s="27"/>
      <c r="AF292" s="27"/>
      <c r="AG292" s="27"/>
      <c r="AH292" s="27"/>
      <c r="AI292" s="27"/>
      <c r="AJ292" s="27"/>
      <c r="AK292" s="27"/>
      <c r="AL292" s="27"/>
      <c r="AM292" s="27"/>
      <c r="AN292" s="27"/>
      <c r="AO292" s="27"/>
      <c r="AP292" s="27"/>
      <c r="AQ292" s="27"/>
      <c r="AR292" s="27"/>
      <c r="AS292" s="27"/>
      <c r="AT292" s="27"/>
      <c r="AU292" s="27"/>
      <c r="AV292" s="27"/>
      <c r="AW292" s="27"/>
      <c r="AX292" s="27"/>
      <c r="AY292" s="27"/>
      <c r="AZ292" s="27"/>
      <c r="BA292" s="27"/>
      <c r="BB292" s="27"/>
      <c r="BC292" s="27"/>
      <c r="BD292" s="27"/>
      <c r="BE292" s="27"/>
      <c r="BF292" s="27"/>
      <c r="BG292" s="27"/>
      <c r="BH292" s="27"/>
      <c r="BI292" s="27"/>
      <c r="BJ292" s="27"/>
      <c r="BK292" s="27"/>
      <c r="BL292" s="27"/>
      <c r="BM292" s="27"/>
      <c r="BN292" s="27"/>
      <c r="BO292" s="27"/>
      <c r="BP292" s="27"/>
      <c r="BQ292" s="27"/>
      <c r="BR292" s="27"/>
      <c r="BS292" s="27"/>
      <c r="BT292" s="27"/>
      <c r="BU292" s="27"/>
      <c r="BV292" s="27"/>
      <c r="BW292" s="27"/>
      <c r="BX292" s="27"/>
      <c r="BY292" s="27"/>
      <c r="BZ292" s="27"/>
      <c r="CA292" s="27"/>
      <c r="CB292" s="27"/>
      <c r="CC292" s="27"/>
      <c r="CD292" s="27"/>
      <c r="CE292" s="27"/>
      <c r="CF292" s="27"/>
      <c r="CG292" s="27"/>
      <c r="CH292" s="27"/>
      <c r="CI292" s="27"/>
      <c r="CJ292" s="27"/>
      <c r="CK292" s="27"/>
      <c r="CL292" s="27"/>
      <c r="CM292" s="27"/>
      <c r="CN292" s="27"/>
      <c r="CO292" s="27"/>
      <c r="CP292" s="27"/>
      <c r="CQ292" s="27"/>
      <c r="CR292" s="27"/>
      <c r="CS292" s="27"/>
      <c r="CT292" s="27"/>
      <c r="CU292" s="27"/>
      <c r="CV292" s="27"/>
      <c r="CW292" s="27"/>
      <c r="CX292" s="27"/>
      <c r="CY292" s="27"/>
      <c r="CZ292" s="27"/>
      <c r="DA292" s="27"/>
      <c r="DB292" s="27"/>
      <c r="DC292" s="27"/>
      <c r="DD292" s="27"/>
      <c r="DE292" s="27"/>
      <c r="DF292" s="27"/>
      <c r="DG292" s="27"/>
      <c r="DH292" s="27"/>
      <c r="DI292" s="27"/>
      <c r="DJ292" s="27"/>
      <c r="DK292" s="27"/>
      <c r="DL292" s="27"/>
      <c r="DM292" s="27"/>
      <c r="DN292" s="27"/>
      <c r="DO292" s="27"/>
      <c r="DP292" s="27"/>
      <c r="DQ292" s="27"/>
      <c r="DR292" s="27"/>
      <c r="DS292" s="27"/>
      <c r="DT292" s="27"/>
    </row>
    <row r="293" spans="2:124" x14ac:dyDescent="0.2">
      <c r="B293" s="27"/>
      <c r="C293" s="27"/>
      <c r="D293" s="27"/>
      <c r="E293" s="27"/>
      <c r="F293" s="27"/>
      <c r="G293" s="27"/>
      <c r="H293" s="27"/>
      <c r="I293" s="27"/>
      <c r="J293" s="27"/>
      <c r="K293" s="27"/>
      <c r="L293" s="27"/>
      <c r="M293" s="27"/>
      <c r="N293" s="27"/>
      <c r="O293" s="27"/>
      <c r="P293" s="27"/>
      <c r="Q293" s="27"/>
      <c r="R293" s="27"/>
      <c r="S293" s="27"/>
      <c r="T293" s="27"/>
      <c r="U293" s="27"/>
      <c r="V293" s="27"/>
      <c r="W293" s="27"/>
      <c r="X293" s="27"/>
      <c r="Y293" s="27"/>
      <c r="Z293" s="27"/>
      <c r="AA293" s="27"/>
      <c r="AB293" s="27"/>
      <c r="AC293" s="27"/>
      <c r="AD293" s="27"/>
      <c r="AE293" s="27"/>
      <c r="AF293" s="27"/>
      <c r="AG293" s="27"/>
      <c r="AH293" s="27"/>
      <c r="AI293" s="27"/>
      <c r="AJ293" s="27"/>
      <c r="AK293" s="27"/>
      <c r="AL293" s="27"/>
      <c r="AM293" s="27"/>
      <c r="AN293" s="27"/>
      <c r="AO293" s="27"/>
      <c r="AP293" s="27"/>
      <c r="AQ293" s="27"/>
      <c r="AR293" s="27"/>
      <c r="AS293" s="27"/>
      <c r="AT293" s="27"/>
      <c r="AU293" s="27"/>
      <c r="AV293" s="27"/>
      <c r="AW293" s="27"/>
      <c r="AX293" s="27"/>
      <c r="AY293" s="27"/>
      <c r="AZ293" s="27"/>
      <c r="BA293" s="27"/>
      <c r="BB293" s="27"/>
      <c r="BC293" s="27"/>
      <c r="BD293" s="27"/>
      <c r="BE293" s="27"/>
      <c r="BF293" s="27"/>
      <c r="BG293" s="27"/>
      <c r="BH293" s="27"/>
      <c r="BI293" s="27"/>
      <c r="BJ293" s="27"/>
      <c r="BK293" s="27"/>
      <c r="BL293" s="27"/>
      <c r="BM293" s="27"/>
      <c r="BN293" s="27"/>
      <c r="BO293" s="27"/>
      <c r="BP293" s="27"/>
      <c r="BQ293" s="27"/>
      <c r="BR293" s="27"/>
      <c r="BS293" s="27"/>
      <c r="BT293" s="27"/>
      <c r="BU293" s="27"/>
      <c r="BV293" s="27"/>
      <c r="BW293" s="27"/>
      <c r="BX293" s="27"/>
      <c r="BY293" s="27"/>
      <c r="BZ293" s="27"/>
      <c r="CA293" s="27"/>
      <c r="CB293" s="27"/>
      <c r="CC293" s="27"/>
      <c r="CD293" s="27"/>
      <c r="CE293" s="27"/>
      <c r="CF293" s="27"/>
      <c r="CG293" s="27"/>
      <c r="CH293" s="27"/>
      <c r="CI293" s="27"/>
      <c r="CJ293" s="27"/>
      <c r="CK293" s="27"/>
      <c r="CL293" s="27"/>
      <c r="CM293" s="27"/>
      <c r="CN293" s="27"/>
      <c r="CO293" s="27"/>
      <c r="CP293" s="27"/>
      <c r="CQ293" s="27"/>
      <c r="CR293" s="27"/>
      <c r="CS293" s="27"/>
      <c r="CT293" s="27"/>
      <c r="CU293" s="27"/>
      <c r="CV293" s="27"/>
      <c r="CW293" s="27"/>
      <c r="CX293" s="27"/>
      <c r="CY293" s="27"/>
      <c r="CZ293" s="27"/>
      <c r="DA293" s="27"/>
      <c r="DB293" s="27"/>
      <c r="DC293" s="27"/>
      <c r="DD293" s="27"/>
      <c r="DE293" s="27"/>
      <c r="DF293" s="27"/>
      <c r="DG293" s="27"/>
      <c r="DH293" s="27"/>
      <c r="DI293" s="27"/>
      <c r="DJ293" s="27"/>
      <c r="DK293" s="27"/>
      <c r="DL293" s="27"/>
      <c r="DM293" s="27"/>
      <c r="DN293" s="27"/>
      <c r="DO293" s="27"/>
      <c r="DP293" s="27"/>
      <c r="DQ293" s="27"/>
      <c r="DR293" s="27"/>
      <c r="DS293" s="27"/>
      <c r="DT293" s="27"/>
    </row>
    <row r="294" spans="2:124" x14ac:dyDescent="0.2">
      <c r="B294" s="27"/>
      <c r="C294" s="27"/>
      <c r="D294" s="27"/>
      <c r="E294" s="27"/>
      <c r="F294" s="27"/>
      <c r="G294" s="27"/>
      <c r="H294" s="27"/>
      <c r="I294" s="27"/>
      <c r="J294" s="27"/>
      <c r="K294" s="27"/>
      <c r="L294" s="27"/>
      <c r="M294" s="27"/>
      <c r="N294" s="27"/>
      <c r="O294" s="27"/>
      <c r="P294" s="27"/>
      <c r="Q294" s="27"/>
      <c r="R294" s="27"/>
      <c r="S294" s="27"/>
      <c r="T294" s="27"/>
      <c r="U294" s="27"/>
      <c r="V294" s="27"/>
      <c r="W294" s="27"/>
      <c r="X294" s="27"/>
      <c r="Y294" s="27"/>
      <c r="Z294" s="27"/>
      <c r="AA294" s="27"/>
      <c r="AB294" s="27"/>
      <c r="AC294" s="27"/>
      <c r="AD294" s="27"/>
      <c r="AE294" s="27"/>
      <c r="AF294" s="27"/>
      <c r="AG294" s="27"/>
      <c r="AH294" s="27"/>
      <c r="AI294" s="27"/>
      <c r="AJ294" s="27"/>
      <c r="AK294" s="27"/>
      <c r="AL294" s="27"/>
      <c r="AM294" s="27"/>
      <c r="AN294" s="27"/>
      <c r="AO294" s="27"/>
      <c r="AP294" s="27"/>
      <c r="AQ294" s="27"/>
      <c r="AR294" s="27"/>
      <c r="AS294" s="27"/>
      <c r="AT294" s="27"/>
      <c r="AU294" s="27"/>
      <c r="AV294" s="27"/>
      <c r="AW294" s="27"/>
      <c r="AX294" s="27"/>
      <c r="AY294" s="27"/>
      <c r="AZ294" s="27"/>
      <c r="BA294" s="27"/>
      <c r="BB294" s="27"/>
      <c r="BC294" s="27"/>
      <c r="BD294" s="27"/>
      <c r="BE294" s="27"/>
      <c r="BF294" s="27"/>
      <c r="BG294" s="27"/>
      <c r="BH294" s="27"/>
      <c r="BI294" s="27"/>
      <c r="BJ294" s="27"/>
      <c r="BK294" s="27"/>
      <c r="BL294" s="27"/>
      <c r="BM294" s="27"/>
      <c r="BN294" s="27"/>
      <c r="BO294" s="27"/>
      <c r="BP294" s="27"/>
      <c r="BQ294" s="27"/>
      <c r="BR294" s="27"/>
      <c r="BS294" s="27"/>
      <c r="BT294" s="27"/>
      <c r="BU294" s="27"/>
      <c r="BV294" s="27"/>
      <c r="BW294" s="27"/>
      <c r="BX294" s="27"/>
      <c r="BY294" s="27"/>
      <c r="BZ294" s="27"/>
      <c r="CA294" s="27"/>
      <c r="CB294" s="27"/>
      <c r="CC294" s="27"/>
      <c r="CD294" s="27"/>
      <c r="CE294" s="27"/>
      <c r="CF294" s="27"/>
      <c r="CG294" s="27"/>
      <c r="CH294" s="27"/>
      <c r="CI294" s="27"/>
      <c r="CJ294" s="27"/>
      <c r="CK294" s="27"/>
      <c r="CL294" s="27"/>
      <c r="CM294" s="27"/>
      <c r="CN294" s="27"/>
      <c r="CO294" s="27"/>
      <c r="CP294" s="27"/>
      <c r="CQ294" s="27"/>
      <c r="CR294" s="27"/>
      <c r="CS294" s="27"/>
      <c r="CT294" s="27"/>
      <c r="CU294" s="27"/>
      <c r="CV294" s="27"/>
      <c r="CW294" s="27"/>
      <c r="CX294" s="27"/>
      <c r="CY294" s="27"/>
      <c r="CZ294" s="27"/>
      <c r="DA294" s="27"/>
      <c r="DB294" s="27"/>
      <c r="DC294" s="27"/>
      <c r="DD294" s="27"/>
      <c r="DE294" s="27"/>
      <c r="DF294" s="27"/>
      <c r="DG294" s="27"/>
      <c r="DH294" s="27"/>
      <c r="DI294" s="27"/>
      <c r="DJ294" s="27"/>
      <c r="DK294" s="27"/>
      <c r="DL294" s="27"/>
      <c r="DM294" s="27"/>
      <c r="DN294" s="27"/>
      <c r="DO294" s="27"/>
      <c r="DP294" s="27"/>
      <c r="DQ294" s="27"/>
      <c r="DR294" s="27"/>
      <c r="DS294" s="27"/>
      <c r="DT294" s="27"/>
    </row>
    <row r="295" spans="2:124" x14ac:dyDescent="0.2">
      <c r="B295" s="27"/>
      <c r="C295" s="27"/>
      <c r="D295" s="27"/>
      <c r="E295" s="27"/>
      <c r="F295" s="27"/>
      <c r="G295" s="27"/>
      <c r="H295" s="27"/>
      <c r="I295" s="27"/>
      <c r="J295" s="27"/>
      <c r="K295" s="27"/>
      <c r="L295" s="27"/>
      <c r="M295" s="27"/>
      <c r="N295" s="27"/>
      <c r="O295" s="27"/>
      <c r="P295" s="27"/>
      <c r="Q295" s="27"/>
      <c r="R295" s="27"/>
      <c r="S295" s="27"/>
      <c r="T295" s="27"/>
      <c r="U295" s="27"/>
      <c r="V295" s="27"/>
      <c r="W295" s="27"/>
      <c r="X295" s="27"/>
      <c r="Y295" s="27"/>
      <c r="Z295" s="27"/>
      <c r="AA295" s="27"/>
      <c r="AB295" s="27"/>
      <c r="AC295" s="27"/>
      <c r="AD295" s="27"/>
      <c r="AE295" s="27"/>
      <c r="AF295" s="27"/>
      <c r="AG295" s="27"/>
      <c r="AH295" s="27"/>
      <c r="AI295" s="27"/>
      <c r="AJ295" s="27"/>
      <c r="AK295" s="27"/>
      <c r="AL295" s="27"/>
      <c r="AM295" s="27"/>
      <c r="AN295" s="27"/>
      <c r="AO295" s="27"/>
      <c r="AP295" s="27"/>
      <c r="AQ295" s="27"/>
      <c r="AR295" s="27"/>
      <c r="AS295" s="27"/>
      <c r="AT295" s="27"/>
      <c r="AU295" s="27"/>
      <c r="AV295" s="27"/>
      <c r="AW295" s="27"/>
      <c r="AX295" s="27"/>
      <c r="AY295" s="27"/>
      <c r="AZ295" s="27"/>
      <c r="BA295" s="27"/>
      <c r="BB295" s="27"/>
      <c r="BC295" s="27"/>
      <c r="BD295" s="27"/>
      <c r="BE295" s="27"/>
      <c r="BF295" s="27"/>
      <c r="BG295" s="27"/>
      <c r="BH295" s="27"/>
      <c r="BI295" s="27"/>
      <c r="BJ295" s="27"/>
      <c r="BK295" s="27"/>
      <c r="BL295" s="27"/>
      <c r="BM295" s="27"/>
      <c r="BN295" s="27"/>
      <c r="BO295" s="27"/>
      <c r="BP295" s="27"/>
      <c r="BQ295" s="27"/>
      <c r="BR295" s="27"/>
      <c r="BS295" s="27"/>
      <c r="BT295" s="27"/>
      <c r="BU295" s="27"/>
      <c r="BV295" s="27"/>
      <c r="BW295" s="27"/>
      <c r="BX295" s="27"/>
      <c r="BY295" s="27"/>
      <c r="BZ295" s="27"/>
      <c r="CA295" s="27"/>
      <c r="CB295" s="27"/>
      <c r="CC295" s="27"/>
      <c r="CD295" s="27"/>
      <c r="CE295" s="27"/>
      <c r="CF295" s="27"/>
      <c r="CG295" s="27"/>
      <c r="CH295" s="27"/>
      <c r="CI295" s="27"/>
      <c r="CJ295" s="27"/>
      <c r="CK295" s="27"/>
      <c r="CL295" s="27"/>
      <c r="CM295" s="27"/>
      <c r="CN295" s="27"/>
      <c r="CO295" s="27"/>
      <c r="CP295" s="27"/>
      <c r="CQ295" s="27"/>
      <c r="CR295" s="27"/>
      <c r="CS295" s="27"/>
      <c r="CT295" s="27"/>
      <c r="CU295" s="27"/>
      <c r="CV295" s="27"/>
      <c r="CW295" s="27"/>
      <c r="CX295" s="27"/>
      <c r="CY295" s="27"/>
      <c r="CZ295" s="27"/>
      <c r="DA295" s="27"/>
      <c r="DB295" s="27"/>
      <c r="DC295" s="27"/>
      <c r="DD295" s="27"/>
      <c r="DE295" s="27"/>
      <c r="DF295" s="27"/>
      <c r="DG295" s="27"/>
      <c r="DH295" s="27"/>
      <c r="DI295" s="27"/>
      <c r="DJ295" s="27"/>
      <c r="DK295" s="27"/>
      <c r="DL295" s="27"/>
      <c r="DM295" s="27"/>
      <c r="DN295" s="27"/>
      <c r="DO295" s="27"/>
      <c r="DP295" s="27"/>
      <c r="DQ295" s="27"/>
      <c r="DR295" s="27"/>
      <c r="DS295" s="27"/>
      <c r="DT295" s="27"/>
    </row>
    <row r="296" spans="2:124" x14ac:dyDescent="0.2">
      <c r="B296" s="27"/>
      <c r="C296" s="27"/>
      <c r="D296" s="27"/>
      <c r="E296" s="27"/>
      <c r="F296" s="27"/>
      <c r="G296" s="27"/>
      <c r="H296" s="27"/>
      <c r="I296" s="27"/>
      <c r="J296" s="27"/>
      <c r="K296" s="27"/>
      <c r="L296" s="27"/>
      <c r="M296" s="27"/>
      <c r="N296" s="27"/>
      <c r="O296" s="27"/>
      <c r="P296" s="27"/>
      <c r="Q296" s="27"/>
      <c r="R296" s="27"/>
      <c r="S296" s="27"/>
      <c r="T296" s="27"/>
      <c r="U296" s="27"/>
      <c r="V296" s="27"/>
      <c r="W296" s="27"/>
      <c r="X296" s="27"/>
      <c r="Y296" s="27"/>
      <c r="Z296" s="27"/>
      <c r="AA296" s="27"/>
      <c r="AB296" s="27"/>
      <c r="AC296" s="27"/>
      <c r="AD296" s="27"/>
      <c r="AE296" s="27"/>
      <c r="AF296" s="27"/>
      <c r="AG296" s="27"/>
      <c r="AH296" s="27"/>
      <c r="AI296" s="27"/>
      <c r="AJ296" s="27"/>
      <c r="AK296" s="27"/>
      <c r="AL296" s="27"/>
      <c r="AM296" s="27"/>
      <c r="AN296" s="27"/>
      <c r="AO296" s="27"/>
      <c r="AP296" s="27"/>
      <c r="AQ296" s="27"/>
      <c r="AR296" s="27"/>
      <c r="AS296" s="27"/>
      <c r="AT296" s="27"/>
      <c r="AU296" s="27"/>
      <c r="AV296" s="27"/>
      <c r="AW296" s="27"/>
      <c r="AX296" s="27"/>
      <c r="AY296" s="27"/>
      <c r="AZ296" s="27"/>
      <c r="BA296" s="27"/>
      <c r="BB296" s="27"/>
      <c r="BC296" s="27"/>
      <c r="BD296" s="27"/>
      <c r="BE296" s="27"/>
      <c r="BF296" s="27"/>
      <c r="BG296" s="27"/>
      <c r="BH296" s="27"/>
      <c r="BI296" s="27"/>
      <c r="BJ296" s="27"/>
      <c r="BK296" s="27"/>
      <c r="BL296" s="27"/>
      <c r="BM296" s="27"/>
      <c r="BN296" s="27"/>
      <c r="BO296" s="27"/>
      <c r="BP296" s="27"/>
      <c r="BQ296" s="27"/>
      <c r="BR296" s="27"/>
      <c r="BS296" s="27"/>
      <c r="BT296" s="27"/>
      <c r="BU296" s="27"/>
      <c r="BV296" s="27"/>
      <c r="BW296" s="27"/>
      <c r="BX296" s="27"/>
      <c r="BY296" s="27"/>
      <c r="BZ296" s="27"/>
      <c r="CA296" s="27"/>
      <c r="CB296" s="27"/>
      <c r="CC296" s="27"/>
      <c r="CD296" s="27"/>
      <c r="CE296" s="27"/>
      <c r="CF296" s="27"/>
      <c r="CG296" s="27"/>
      <c r="CH296" s="27"/>
      <c r="CI296" s="27"/>
      <c r="CJ296" s="27"/>
      <c r="CK296" s="27"/>
      <c r="CL296" s="27"/>
      <c r="CM296" s="27"/>
      <c r="CN296" s="27"/>
      <c r="CO296" s="27"/>
      <c r="CP296" s="27"/>
      <c r="CQ296" s="27"/>
      <c r="CR296" s="27"/>
      <c r="CS296" s="27"/>
      <c r="CT296" s="27"/>
      <c r="CU296" s="27"/>
      <c r="CV296" s="27"/>
      <c r="CW296" s="27"/>
      <c r="CX296" s="27"/>
      <c r="CY296" s="27"/>
      <c r="CZ296" s="27"/>
      <c r="DA296" s="27"/>
      <c r="DB296" s="27"/>
      <c r="DC296" s="27"/>
      <c r="DD296" s="27"/>
      <c r="DE296" s="27"/>
      <c r="DF296" s="27"/>
      <c r="DG296" s="27"/>
      <c r="DH296" s="27"/>
      <c r="DI296" s="27"/>
      <c r="DJ296" s="27"/>
      <c r="DK296" s="27"/>
      <c r="DL296" s="27"/>
      <c r="DM296" s="27"/>
      <c r="DN296" s="27"/>
      <c r="DO296" s="27"/>
      <c r="DP296" s="27"/>
      <c r="DQ296" s="27"/>
      <c r="DR296" s="27"/>
      <c r="DS296" s="27"/>
      <c r="DT296" s="27"/>
    </row>
    <row r="297" spans="2:124" x14ac:dyDescent="0.2">
      <c r="B297" s="27"/>
      <c r="C297" s="27"/>
      <c r="D297" s="27"/>
      <c r="E297" s="27"/>
      <c r="F297" s="27"/>
      <c r="G297" s="27"/>
      <c r="H297" s="27"/>
      <c r="I297" s="27"/>
      <c r="J297" s="27"/>
      <c r="K297" s="27"/>
      <c r="L297" s="27"/>
      <c r="M297" s="27"/>
      <c r="N297" s="27"/>
      <c r="O297" s="27"/>
      <c r="P297" s="27"/>
      <c r="Q297" s="27"/>
      <c r="R297" s="27"/>
      <c r="S297" s="27"/>
      <c r="T297" s="27"/>
      <c r="U297" s="27"/>
      <c r="V297" s="27"/>
      <c r="W297" s="27"/>
      <c r="X297" s="27"/>
      <c r="Y297" s="27"/>
      <c r="Z297" s="27"/>
      <c r="AA297" s="27"/>
      <c r="AB297" s="27"/>
      <c r="AC297" s="27"/>
      <c r="AD297" s="27"/>
      <c r="AE297" s="27"/>
      <c r="AF297" s="27"/>
      <c r="AG297" s="27"/>
      <c r="AH297" s="27"/>
      <c r="AI297" s="27"/>
      <c r="AJ297" s="27"/>
      <c r="AK297" s="27"/>
      <c r="AL297" s="27"/>
      <c r="AM297" s="27"/>
      <c r="AN297" s="27"/>
      <c r="AO297" s="27"/>
      <c r="AP297" s="27"/>
      <c r="AQ297" s="27"/>
      <c r="AR297" s="27"/>
      <c r="AS297" s="27"/>
      <c r="AT297" s="27"/>
      <c r="AU297" s="27"/>
      <c r="AV297" s="27"/>
      <c r="AW297" s="27"/>
      <c r="AX297" s="27"/>
      <c r="AY297" s="27"/>
      <c r="AZ297" s="27"/>
      <c r="BA297" s="27"/>
      <c r="BB297" s="27"/>
      <c r="BC297" s="27"/>
      <c r="BD297" s="27"/>
      <c r="BE297" s="27"/>
      <c r="BF297" s="27"/>
      <c r="BG297" s="27"/>
      <c r="BH297" s="27"/>
      <c r="BI297" s="27"/>
      <c r="BJ297" s="27"/>
      <c r="BK297" s="27"/>
      <c r="BL297" s="27"/>
      <c r="BM297" s="27"/>
      <c r="BN297" s="27"/>
      <c r="BO297" s="27"/>
      <c r="BP297" s="27"/>
      <c r="BQ297" s="27"/>
      <c r="BR297" s="27"/>
      <c r="BS297" s="27"/>
      <c r="BT297" s="27"/>
      <c r="BU297" s="27"/>
      <c r="BV297" s="27"/>
      <c r="BW297" s="27"/>
      <c r="BX297" s="27"/>
      <c r="BY297" s="27"/>
      <c r="BZ297" s="27"/>
      <c r="CA297" s="27"/>
      <c r="CB297" s="27"/>
      <c r="CC297" s="27"/>
      <c r="CD297" s="27"/>
      <c r="CE297" s="27"/>
      <c r="CF297" s="27"/>
      <c r="CG297" s="27"/>
      <c r="CH297" s="27"/>
      <c r="CI297" s="27"/>
      <c r="CJ297" s="27"/>
      <c r="CK297" s="27"/>
      <c r="CL297" s="27"/>
      <c r="CM297" s="27"/>
      <c r="CN297" s="27"/>
      <c r="CO297" s="27"/>
      <c r="CP297" s="27"/>
      <c r="CQ297" s="27"/>
      <c r="CR297" s="27"/>
      <c r="CS297" s="27"/>
      <c r="CT297" s="27"/>
      <c r="CU297" s="27"/>
      <c r="CV297" s="27"/>
      <c r="CW297" s="27"/>
      <c r="CX297" s="27"/>
      <c r="CY297" s="27"/>
      <c r="CZ297" s="27"/>
      <c r="DA297" s="27"/>
      <c r="DB297" s="27"/>
      <c r="DC297" s="27"/>
      <c r="DD297" s="27"/>
      <c r="DE297" s="27"/>
      <c r="DF297" s="27"/>
      <c r="DG297" s="27"/>
      <c r="DH297" s="27"/>
      <c r="DI297" s="27"/>
      <c r="DJ297" s="27"/>
      <c r="DK297" s="27"/>
      <c r="DL297" s="27"/>
      <c r="DM297" s="27"/>
      <c r="DN297" s="27"/>
      <c r="DO297" s="27"/>
      <c r="DP297" s="27"/>
      <c r="DQ297" s="27"/>
      <c r="DR297" s="27"/>
      <c r="DS297" s="27"/>
      <c r="DT297" s="27"/>
    </row>
    <row r="298" spans="2:124" x14ac:dyDescent="0.2">
      <c r="B298" s="27"/>
      <c r="C298" s="27"/>
      <c r="D298" s="27"/>
      <c r="E298" s="27"/>
      <c r="F298" s="27"/>
      <c r="G298" s="27"/>
      <c r="H298" s="27"/>
      <c r="I298" s="27"/>
      <c r="J298" s="27"/>
      <c r="K298" s="27"/>
      <c r="L298" s="27"/>
      <c r="M298" s="27"/>
      <c r="N298" s="27"/>
      <c r="O298" s="27"/>
      <c r="P298" s="27"/>
      <c r="Q298" s="27"/>
      <c r="R298" s="27"/>
      <c r="S298" s="27"/>
      <c r="T298" s="27"/>
      <c r="U298" s="27"/>
      <c r="V298" s="27"/>
      <c r="W298" s="27"/>
      <c r="X298" s="27"/>
      <c r="Y298" s="27"/>
      <c r="Z298" s="27"/>
      <c r="AA298" s="27"/>
      <c r="AB298" s="27"/>
      <c r="AC298" s="27"/>
      <c r="AD298" s="27"/>
      <c r="AE298" s="27"/>
      <c r="AF298" s="27"/>
      <c r="AG298" s="27"/>
      <c r="AH298" s="27"/>
      <c r="AI298" s="27"/>
      <c r="AJ298" s="27"/>
      <c r="AK298" s="27"/>
      <c r="AL298" s="27"/>
      <c r="AM298" s="27"/>
      <c r="AN298" s="27"/>
      <c r="AO298" s="27"/>
      <c r="AP298" s="27"/>
      <c r="AQ298" s="27"/>
      <c r="AR298" s="27"/>
      <c r="AS298" s="27"/>
      <c r="AT298" s="27"/>
      <c r="AU298" s="27"/>
      <c r="AV298" s="27"/>
      <c r="AW298" s="27"/>
      <c r="AX298" s="27"/>
      <c r="AY298" s="27"/>
      <c r="AZ298" s="27"/>
      <c r="BA298" s="27"/>
      <c r="BB298" s="27"/>
      <c r="BC298" s="27"/>
      <c r="BD298" s="27"/>
      <c r="BE298" s="27"/>
      <c r="BF298" s="27"/>
      <c r="BG298" s="27"/>
      <c r="BH298" s="27"/>
      <c r="BI298" s="27"/>
      <c r="BJ298" s="27"/>
      <c r="BK298" s="27"/>
      <c r="BL298" s="27"/>
      <c r="BM298" s="27"/>
      <c r="BN298" s="27"/>
      <c r="BO298" s="27"/>
      <c r="BP298" s="27"/>
      <c r="BQ298" s="27"/>
      <c r="BR298" s="27"/>
      <c r="BS298" s="27"/>
      <c r="BT298" s="27"/>
      <c r="BU298" s="27"/>
      <c r="BV298" s="27"/>
      <c r="BW298" s="27"/>
      <c r="BX298" s="27"/>
      <c r="BY298" s="27"/>
      <c r="BZ298" s="27"/>
      <c r="CA298" s="27"/>
      <c r="CB298" s="27"/>
      <c r="CC298" s="27"/>
      <c r="CD298" s="27"/>
      <c r="CE298" s="27"/>
      <c r="CF298" s="27"/>
      <c r="CG298" s="27"/>
      <c r="CH298" s="27"/>
      <c r="CI298" s="27"/>
      <c r="CJ298" s="27"/>
      <c r="CK298" s="27"/>
      <c r="CL298" s="27"/>
      <c r="CM298" s="27"/>
      <c r="CN298" s="27"/>
      <c r="CO298" s="27"/>
      <c r="CP298" s="27"/>
      <c r="CQ298" s="27"/>
      <c r="CR298" s="27"/>
      <c r="CS298" s="27"/>
      <c r="CT298" s="27"/>
      <c r="CU298" s="27"/>
      <c r="CV298" s="27"/>
      <c r="CW298" s="27"/>
      <c r="CX298" s="27"/>
      <c r="CY298" s="27"/>
      <c r="CZ298" s="27"/>
      <c r="DA298" s="27"/>
      <c r="DB298" s="27"/>
      <c r="DC298" s="27"/>
      <c r="DD298" s="27"/>
      <c r="DE298" s="27"/>
      <c r="DF298" s="27"/>
      <c r="DG298" s="27"/>
      <c r="DH298" s="27"/>
      <c r="DI298" s="27"/>
      <c r="DJ298" s="27"/>
      <c r="DK298" s="27"/>
      <c r="DL298" s="27"/>
      <c r="DM298" s="27"/>
      <c r="DN298" s="27"/>
      <c r="DO298" s="27"/>
      <c r="DP298" s="27"/>
      <c r="DQ298" s="27"/>
      <c r="DR298" s="27"/>
      <c r="DS298" s="27"/>
      <c r="DT298" s="27"/>
    </row>
    <row r="299" spans="2:124" x14ac:dyDescent="0.2">
      <c r="B299" s="27"/>
      <c r="C299" s="27"/>
      <c r="D299" s="27"/>
      <c r="E299" s="27"/>
      <c r="F299" s="27"/>
      <c r="G299" s="27"/>
      <c r="H299" s="27"/>
      <c r="I299" s="27"/>
      <c r="J299" s="27"/>
      <c r="K299" s="27"/>
      <c r="L299" s="27"/>
      <c r="M299" s="27"/>
      <c r="N299" s="27"/>
      <c r="O299" s="27"/>
      <c r="P299" s="27"/>
      <c r="Q299" s="27"/>
      <c r="R299" s="27"/>
      <c r="S299" s="27"/>
      <c r="T299" s="27"/>
      <c r="U299" s="27"/>
      <c r="V299" s="27"/>
      <c r="W299" s="27"/>
      <c r="X299" s="27"/>
      <c r="Y299" s="27"/>
      <c r="Z299" s="27"/>
      <c r="AA299" s="27"/>
      <c r="AB299" s="27"/>
      <c r="AC299" s="27"/>
      <c r="AD299" s="27"/>
      <c r="AE299" s="27"/>
      <c r="AF299" s="27"/>
      <c r="AG299" s="27"/>
      <c r="AH299" s="27"/>
      <c r="AI299" s="27"/>
      <c r="AJ299" s="27"/>
      <c r="AK299" s="27"/>
      <c r="AL299" s="27"/>
      <c r="AM299" s="27"/>
      <c r="AN299" s="27"/>
      <c r="AO299" s="27"/>
      <c r="AP299" s="27"/>
      <c r="AQ299" s="27"/>
      <c r="AR299" s="27"/>
      <c r="AS299" s="27"/>
      <c r="AT299" s="27"/>
      <c r="AU299" s="27"/>
      <c r="AV299" s="27"/>
      <c r="AW299" s="27"/>
      <c r="AX299" s="27"/>
      <c r="AY299" s="27"/>
      <c r="AZ299" s="27"/>
      <c r="BA299" s="27"/>
      <c r="BB299" s="27"/>
      <c r="BC299" s="27"/>
      <c r="BD299" s="27"/>
      <c r="BE299" s="27"/>
      <c r="BF299" s="27"/>
      <c r="BG299" s="27"/>
      <c r="BH299" s="27"/>
      <c r="BI299" s="27"/>
      <c r="BJ299" s="27"/>
      <c r="BK299" s="27"/>
      <c r="BL299" s="27"/>
      <c r="BM299" s="27"/>
      <c r="BN299" s="27"/>
      <c r="BO299" s="27"/>
      <c r="BP299" s="27"/>
      <c r="BQ299" s="27"/>
      <c r="BR299" s="27"/>
      <c r="BS299" s="27"/>
      <c r="BT299" s="27"/>
      <c r="BU299" s="27"/>
      <c r="BV299" s="27"/>
      <c r="BW299" s="27"/>
      <c r="BX299" s="27"/>
      <c r="BY299" s="27"/>
      <c r="BZ299" s="27"/>
      <c r="CA299" s="27"/>
      <c r="CB299" s="27"/>
      <c r="CC299" s="27"/>
      <c r="CD299" s="27"/>
      <c r="CE299" s="27"/>
      <c r="CF299" s="27"/>
      <c r="CG299" s="27"/>
      <c r="CH299" s="27"/>
      <c r="CI299" s="27"/>
      <c r="CJ299" s="27"/>
      <c r="CK299" s="27"/>
      <c r="CL299" s="27"/>
      <c r="CM299" s="27"/>
      <c r="CN299" s="27"/>
      <c r="CO299" s="27"/>
      <c r="CP299" s="27"/>
      <c r="CQ299" s="27"/>
      <c r="CR299" s="27"/>
      <c r="CS299" s="27"/>
      <c r="CT299" s="27"/>
      <c r="CU299" s="27"/>
      <c r="CV299" s="27"/>
      <c r="CW299" s="27"/>
      <c r="CX299" s="27"/>
      <c r="CY299" s="27"/>
      <c r="CZ299" s="27"/>
      <c r="DA299" s="27"/>
      <c r="DB299" s="27"/>
      <c r="DC299" s="27"/>
      <c r="DD299" s="27"/>
      <c r="DE299" s="27"/>
      <c r="DF299" s="27"/>
      <c r="DG299" s="27"/>
      <c r="DH299" s="27"/>
      <c r="DI299" s="27"/>
      <c r="DJ299" s="27"/>
      <c r="DK299" s="27"/>
      <c r="DL299" s="27"/>
      <c r="DM299" s="27"/>
      <c r="DN299" s="27"/>
      <c r="DO299" s="27"/>
      <c r="DP299" s="27"/>
      <c r="DQ299" s="27"/>
      <c r="DR299" s="27"/>
      <c r="DS299" s="27"/>
      <c r="DT299" s="27"/>
    </row>
    <row r="300" spans="2:124" x14ac:dyDescent="0.2">
      <c r="B300" s="27"/>
      <c r="C300" s="27"/>
      <c r="D300" s="27"/>
      <c r="E300" s="27"/>
      <c r="F300" s="27"/>
      <c r="G300" s="27"/>
      <c r="H300" s="27"/>
      <c r="I300" s="27"/>
      <c r="J300" s="27"/>
      <c r="K300" s="27"/>
      <c r="L300" s="27"/>
      <c r="M300" s="27"/>
      <c r="N300" s="27"/>
      <c r="O300" s="27"/>
      <c r="P300" s="27"/>
      <c r="Q300" s="27"/>
      <c r="R300" s="27"/>
      <c r="S300" s="27"/>
      <c r="T300" s="27"/>
      <c r="U300" s="27"/>
      <c r="V300" s="27"/>
      <c r="W300" s="27"/>
      <c r="X300" s="27"/>
      <c r="Y300" s="27"/>
      <c r="Z300" s="27"/>
      <c r="AA300" s="27"/>
      <c r="AB300" s="27"/>
      <c r="AC300" s="27"/>
      <c r="AD300" s="27"/>
      <c r="AE300" s="27"/>
      <c r="AF300" s="27"/>
      <c r="AG300" s="27"/>
      <c r="AH300" s="27"/>
      <c r="AI300" s="27"/>
      <c r="AJ300" s="27"/>
      <c r="AK300" s="27"/>
      <c r="AL300" s="27"/>
      <c r="AM300" s="27"/>
      <c r="AN300" s="27"/>
      <c r="AO300" s="27"/>
      <c r="AP300" s="27"/>
      <c r="AQ300" s="27"/>
      <c r="AR300" s="27"/>
      <c r="AS300" s="27"/>
      <c r="AT300" s="27"/>
      <c r="AU300" s="27"/>
      <c r="AV300" s="27"/>
      <c r="AW300" s="27"/>
      <c r="AX300" s="27"/>
      <c r="AY300" s="27"/>
      <c r="AZ300" s="27"/>
      <c r="BA300" s="27"/>
      <c r="BB300" s="27"/>
      <c r="BC300" s="27"/>
      <c r="BD300" s="27"/>
      <c r="BE300" s="27"/>
      <c r="BF300" s="27"/>
      <c r="BG300" s="27"/>
      <c r="BH300" s="27"/>
      <c r="BI300" s="27"/>
      <c r="BJ300" s="27"/>
      <c r="BK300" s="27"/>
      <c r="BL300" s="27"/>
      <c r="BM300" s="27"/>
      <c r="BN300" s="27"/>
      <c r="BO300" s="27"/>
      <c r="BP300" s="27"/>
      <c r="BQ300" s="27"/>
      <c r="BR300" s="27"/>
      <c r="BS300" s="27"/>
      <c r="BT300" s="27"/>
      <c r="BU300" s="27"/>
      <c r="BV300" s="27"/>
      <c r="BW300" s="27"/>
      <c r="BX300" s="27"/>
      <c r="BY300" s="27"/>
      <c r="BZ300" s="27"/>
      <c r="CA300" s="27"/>
      <c r="CB300" s="27"/>
      <c r="CC300" s="27"/>
      <c r="CD300" s="27"/>
      <c r="CE300" s="27"/>
      <c r="CF300" s="27"/>
      <c r="CG300" s="27"/>
      <c r="CH300" s="27"/>
      <c r="CI300" s="27"/>
      <c r="CJ300" s="27"/>
      <c r="CK300" s="27"/>
      <c r="CL300" s="27"/>
      <c r="CM300" s="27"/>
      <c r="CN300" s="27"/>
      <c r="CO300" s="27"/>
      <c r="CP300" s="27"/>
      <c r="CQ300" s="27"/>
      <c r="CR300" s="27"/>
      <c r="CS300" s="27"/>
      <c r="CT300" s="27"/>
      <c r="CU300" s="27"/>
      <c r="CV300" s="27"/>
      <c r="CW300" s="27"/>
      <c r="CX300" s="27"/>
      <c r="CY300" s="27"/>
      <c r="CZ300" s="27"/>
      <c r="DA300" s="27"/>
      <c r="DB300" s="27"/>
      <c r="DC300" s="27"/>
      <c r="DD300" s="27"/>
      <c r="DE300" s="27"/>
      <c r="DF300" s="27"/>
      <c r="DG300" s="27"/>
      <c r="DH300" s="27"/>
      <c r="DI300" s="27"/>
      <c r="DJ300" s="27"/>
      <c r="DK300" s="27"/>
      <c r="DL300" s="27"/>
      <c r="DM300" s="27"/>
      <c r="DN300" s="27"/>
      <c r="DO300" s="27"/>
      <c r="DP300" s="27"/>
      <c r="DQ300" s="27"/>
      <c r="DR300" s="27"/>
      <c r="DS300" s="27"/>
      <c r="DT300" s="27"/>
    </row>
    <row r="301" spans="2:124" x14ac:dyDescent="0.2">
      <c r="B301" s="27"/>
      <c r="C301" s="27"/>
      <c r="D301" s="27"/>
      <c r="E301" s="27"/>
      <c r="F301" s="27"/>
      <c r="G301" s="27"/>
      <c r="H301" s="27"/>
      <c r="I301" s="27"/>
      <c r="J301" s="27"/>
      <c r="K301" s="27"/>
      <c r="L301" s="27"/>
      <c r="M301" s="27"/>
      <c r="N301" s="27"/>
      <c r="O301" s="27"/>
      <c r="P301" s="27"/>
      <c r="Q301" s="27"/>
      <c r="R301" s="27"/>
      <c r="S301" s="27"/>
      <c r="T301" s="27"/>
      <c r="U301" s="27"/>
      <c r="V301" s="27"/>
      <c r="W301" s="27"/>
      <c r="X301" s="27"/>
      <c r="Y301" s="27"/>
      <c r="Z301" s="27"/>
      <c r="AA301" s="27"/>
      <c r="AB301" s="27"/>
      <c r="AC301" s="27"/>
      <c r="AD301" s="27"/>
      <c r="AE301" s="27"/>
      <c r="AF301" s="27"/>
      <c r="AG301" s="27"/>
      <c r="AH301" s="27"/>
      <c r="AI301" s="27"/>
      <c r="AJ301" s="27"/>
      <c r="AK301" s="27"/>
      <c r="AL301" s="27"/>
      <c r="AM301" s="27"/>
      <c r="AN301" s="27"/>
      <c r="AO301" s="27"/>
      <c r="AP301" s="27"/>
      <c r="AQ301" s="27"/>
      <c r="AR301" s="27"/>
      <c r="AS301" s="27"/>
      <c r="AT301" s="27"/>
      <c r="AU301" s="27"/>
      <c r="AV301" s="27"/>
      <c r="AW301" s="27"/>
      <c r="AX301" s="27"/>
      <c r="AY301" s="27"/>
      <c r="AZ301" s="27"/>
      <c r="BA301" s="27"/>
      <c r="BB301" s="27"/>
      <c r="BC301" s="27"/>
      <c r="BD301" s="27"/>
      <c r="BE301" s="27"/>
      <c r="BF301" s="27"/>
      <c r="BG301" s="27"/>
      <c r="BH301" s="27"/>
      <c r="BI301" s="27"/>
      <c r="BJ301" s="27"/>
      <c r="BK301" s="27"/>
      <c r="BL301" s="27"/>
      <c r="BM301" s="27"/>
      <c r="BN301" s="27"/>
      <c r="BO301" s="27"/>
      <c r="BP301" s="27"/>
      <c r="BQ301" s="27"/>
      <c r="BR301" s="27"/>
      <c r="BS301" s="27"/>
      <c r="BT301" s="27"/>
      <c r="BU301" s="27"/>
      <c r="BV301" s="27"/>
      <c r="BW301" s="27"/>
      <c r="BX301" s="27"/>
      <c r="BY301" s="27"/>
      <c r="BZ301" s="27"/>
      <c r="CA301" s="27"/>
      <c r="CB301" s="27"/>
      <c r="CC301" s="27"/>
      <c r="CD301" s="27"/>
      <c r="CE301" s="27"/>
      <c r="CF301" s="27"/>
      <c r="CG301" s="27"/>
      <c r="CH301" s="27"/>
      <c r="CI301" s="27"/>
      <c r="CJ301" s="27"/>
      <c r="CK301" s="27"/>
      <c r="CL301" s="27"/>
      <c r="CM301" s="27"/>
      <c r="CN301" s="27"/>
      <c r="CO301" s="27"/>
      <c r="CP301" s="27"/>
      <c r="CQ301" s="27"/>
      <c r="CR301" s="27"/>
      <c r="CS301" s="27"/>
      <c r="CT301" s="27"/>
      <c r="CU301" s="27"/>
      <c r="CV301" s="27"/>
      <c r="CW301" s="27"/>
      <c r="CX301" s="27"/>
      <c r="CY301" s="27"/>
      <c r="CZ301" s="27"/>
      <c r="DA301" s="27"/>
      <c r="DB301" s="27"/>
      <c r="DC301" s="27"/>
      <c r="DD301" s="27"/>
      <c r="DE301" s="27"/>
      <c r="DF301" s="27"/>
      <c r="DG301" s="27"/>
      <c r="DH301" s="27"/>
      <c r="DI301" s="27"/>
      <c r="DJ301" s="27"/>
      <c r="DK301" s="27"/>
      <c r="DL301" s="27"/>
      <c r="DM301" s="27"/>
      <c r="DN301" s="27"/>
      <c r="DO301" s="27"/>
      <c r="DP301" s="27"/>
      <c r="DQ301" s="27"/>
      <c r="DR301" s="27"/>
      <c r="DS301" s="27"/>
      <c r="DT301" s="27"/>
    </row>
    <row r="302" spans="2:124" x14ac:dyDescent="0.2">
      <c r="B302" s="27"/>
      <c r="C302" s="27"/>
      <c r="D302" s="27"/>
      <c r="E302" s="27"/>
      <c r="F302" s="27"/>
      <c r="G302" s="27"/>
      <c r="H302" s="27"/>
      <c r="I302" s="27"/>
      <c r="J302" s="27"/>
      <c r="K302" s="27"/>
      <c r="L302" s="27"/>
      <c r="M302" s="27"/>
      <c r="N302" s="27"/>
      <c r="O302" s="27"/>
      <c r="P302" s="27"/>
      <c r="Q302" s="27"/>
      <c r="R302" s="27"/>
      <c r="S302" s="27"/>
      <c r="T302" s="27"/>
      <c r="U302" s="27"/>
      <c r="V302" s="27"/>
      <c r="W302" s="27"/>
      <c r="X302" s="27"/>
      <c r="Y302" s="27"/>
      <c r="Z302" s="27"/>
      <c r="AA302" s="27"/>
      <c r="AB302" s="27"/>
      <c r="AC302" s="27"/>
      <c r="AD302" s="27"/>
      <c r="AE302" s="27"/>
      <c r="AF302" s="27"/>
      <c r="AG302" s="27"/>
      <c r="AH302" s="27"/>
      <c r="AI302" s="27"/>
      <c r="AJ302" s="27"/>
      <c r="AK302" s="27"/>
      <c r="AL302" s="27"/>
      <c r="AM302" s="27"/>
      <c r="AN302" s="27"/>
      <c r="AO302" s="27"/>
      <c r="AP302" s="27"/>
      <c r="AQ302" s="27"/>
      <c r="AR302" s="27"/>
      <c r="AS302" s="27"/>
      <c r="AT302" s="27"/>
      <c r="AU302" s="27"/>
      <c r="AV302" s="27"/>
      <c r="AW302" s="27"/>
      <c r="AX302" s="27"/>
      <c r="AY302" s="27"/>
      <c r="AZ302" s="27"/>
      <c r="BA302" s="27"/>
      <c r="BB302" s="27"/>
      <c r="BC302" s="27"/>
      <c r="BD302" s="27"/>
      <c r="BE302" s="27"/>
      <c r="BF302" s="27"/>
      <c r="BG302" s="27"/>
      <c r="BH302" s="27"/>
      <c r="BI302" s="27"/>
      <c r="BJ302" s="27"/>
      <c r="BK302" s="27"/>
      <c r="BL302" s="27"/>
      <c r="BM302" s="27"/>
      <c r="BN302" s="27"/>
      <c r="BO302" s="27"/>
      <c r="BP302" s="27"/>
      <c r="BQ302" s="27"/>
      <c r="BR302" s="27"/>
      <c r="BS302" s="27"/>
      <c r="BT302" s="27"/>
      <c r="BU302" s="27"/>
      <c r="BV302" s="27"/>
      <c r="BW302" s="27"/>
      <c r="BX302" s="27"/>
      <c r="BY302" s="27"/>
      <c r="BZ302" s="27"/>
      <c r="CA302" s="27"/>
      <c r="CB302" s="27"/>
      <c r="CC302" s="27"/>
      <c r="CD302" s="27"/>
      <c r="CE302" s="27"/>
      <c r="CF302" s="27"/>
      <c r="CG302" s="27"/>
      <c r="CH302" s="27"/>
      <c r="CI302" s="27"/>
      <c r="CJ302" s="27"/>
      <c r="CK302" s="27"/>
      <c r="CL302" s="27"/>
      <c r="CM302" s="27"/>
      <c r="CN302" s="27"/>
      <c r="CO302" s="27"/>
      <c r="CP302" s="27"/>
      <c r="CQ302" s="27"/>
      <c r="CR302" s="27"/>
      <c r="CS302" s="27"/>
      <c r="CT302" s="27"/>
      <c r="CU302" s="27"/>
      <c r="CV302" s="27"/>
      <c r="CW302" s="27"/>
      <c r="CX302" s="27"/>
      <c r="CY302" s="27"/>
      <c r="CZ302" s="27"/>
      <c r="DA302" s="27"/>
      <c r="DB302" s="27"/>
      <c r="DC302" s="27"/>
      <c r="DD302" s="27"/>
      <c r="DE302" s="27"/>
      <c r="DF302" s="27"/>
      <c r="DG302" s="27"/>
      <c r="DH302" s="27"/>
      <c r="DI302" s="27"/>
      <c r="DJ302" s="27"/>
      <c r="DK302" s="27"/>
      <c r="DL302" s="27"/>
      <c r="DM302" s="27"/>
      <c r="DN302" s="27"/>
      <c r="DO302" s="27"/>
      <c r="DP302" s="27"/>
      <c r="DQ302" s="27"/>
      <c r="DR302" s="27"/>
      <c r="DS302" s="27"/>
      <c r="DT302" s="27"/>
    </row>
    <row r="303" spans="2:124" x14ac:dyDescent="0.2">
      <c r="B303" s="27"/>
      <c r="C303" s="27"/>
      <c r="D303" s="27"/>
      <c r="E303" s="27"/>
      <c r="F303" s="27"/>
      <c r="G303" s="27"/>
      <c r="H303" s="27"/>
      <c r="I303" s="27"/>
      <c r="J303" s="27"/>
      <c r="K303" s="27"/>
      <c r="L303" s="27"/>
      <c r="M303" s="27"/>
      <c r="N303" s="27"/>
      <c r="O303" s="27"/>
      <c r="P303" s="27"/>
      <c r="Q303" s="27"/>
      <c r="R303" s="27"/>
      <c r="S303" s="27"/>
      <c r="T303" s="27"/>
      <c r="U303" s="27"/>
      <c r="V303" s="27"/>
      <c r="W303" s="27"/>
      <c r="X303" s="27"/>
      <c r="Y303" s="27"/>
      <c r="Z303" s="27"/>
      <c r="AA303" s="27"/>
      <c r="AB303" s="27"/>
      <c r="AC303" s="27"/>
      <c r="AD303" s="27"/>
      <c r="AE303" s="27"/>
      <c r="AF303" s="27"/>
      <c r="AG303" s="27"/>
      <c r="AH303" s="27"/>
      <c r="AI303" s="27"/>
      <c r="AJ303" s="27"/>
      <c r="AK303" s="27"/>
      <c r="AL303" s="27"/>
      <c r="AM303" s="27"/>
      <c r="AN303" s="27"/>
      <c r="AO303" s="27"/>
      <c r="AP303" s="27"/>
      <c r="AQ303" s="27"/>
      <c r="AR303" s="27"/>
      <c r="AS303" s="27"/>
      <c r="AT303" s="27"/>
      <c r="AU303" s="27"/>
      <c r="AV303" s="27"/>
      <c r="AW303" s="27"/>
      <c r="AX303" s="27"/>
      <c r="AY303" s="27"/>
      <c r="AZ303" s="27"/>
      <c r="BA303" s="27"/>
      <c r="BB303" s="27"/>
      <c r="BC303" s="27"/>
      <c r="BD303" s="27"/>
      <c r="BE303" s="27"/>
      <c r="BF303" s="27"/>
      <c r="BG303" s="27"/>
      <c r="BH303" s="27"/>
      <c r="BI303" s="27"/>
      <c r="BJ303" s="27"/>
      <c r="BK303" s="27"/>
      <c r="BL303" s="27"/>
      <c r="BM303" s="27"/>
      <c r="BN303" s="27"/>
      <c r="BO303" s="27"/>
      <c r="BP303" s="27"/>
      <c r="BQ303" s="27"/>
      <c r="BR303" s="27"/>
      <c r="BS303" s="27"/>
      <c r="BT303" s="27"/>
      <c r="BU303" s="27"/>
      <c r="BV303" s="27"/>
      <c r="BW303" s="27"/>
      <c r="BX303" s="27"/>
      <c r="BY303" s="27"/>
      <c r="BZ303" s="27"/>
      <c r="CA303" s="27"/>
      <c r="CB303" s="27"/>
      <c r="CC303" s="27"/>
      <c r="CD303" s="27"/>
      <c r="CE303" s="27"/>
      <c r="CF303" s="27"/>
      <c r="CG303" s="27"/>
      <c r="CH303" s="27"/>
      <c r="CI303" s="27"/>
      <c r="CJ303" s="27"/>
      <c r="CK303" s="27"/>
      <c r="CL303" s="27"/>
      <c r="CM303" s="27"/>
      <c r="CN303" s="27"/>
      <c r="CO303" s="27"/>
      <c r="CP303" s="27"/>
      <c r="CQ303" s="27"/>
      <c r="CR303" s="27"/>
      <c r="CS303" s="27"/>
      <c r="CT303" s="27"/>
      <c r="CU303" s="27"/>
      <c r="CV303" s="27"/>
      <c r="CW303" s="27"/>
      <c r="CX303" s="27"/>
      <c r="CY303" s="27"/>
      <c r="CZ303" s="27"/>
      <c r="DA303" s="27"/>
      <c r="DB303" s="27"/>
      <c r="DC303" s="27"/>
      <c r="DD303" s="27"/>
      <c r="DE303" s="27"/>
      <c r="DF303" s="27"/>
      <c r="DG303" s="27"/>
      <c r="DH303" s="27"/>
      <c r="DI303" s="27"/>
      <c r="DJ303" s="27"/>
      <c r="DK303" s="27"/>
      <c r="DL303" s="27"/>
      <c r="DM303" s="27"/>
      <c r="DN303" s="27"/>
      <c r="DO303" s="27"/>
      <c r="DP303" s="27"/>
      <c r="DQ303" s="27"/>
      <c r="DR303" s="27"/>
      <c r="DS303" s="27"/>
      <c r="DT303" s="27"/>
    </row>
    <row r="304" spans="2:124" x14ac:dyDescent="0.2">
      <c r="B304" s="27"/>
      <c r="C304" s="27"/>
      <c r="D304" s="27"/>
      <c r="E304" s="27"/>
      <c r="F304" s="27"/>
      <c r="G304" s="27"/>
      <c r="H304" s="27"/>
      <c r="I304" s="27"/>
      <c r="J304" s="27"/>
      <c r="K304" s="27"/>
      <c r="L304" s="27"/>
      <c r="M304" s="27"/>
      <c r="N304" s="27"/>
      <c r="O304" s="27"/>
      <c r="P304" s="27"/>
      <c r="Q304" s="27"/>
      <c r="R304" s="27"/>
      <c r="S304" s="27"/>
      <c r="T304" s="27"/>
      <c r="U304" s="27"/>
      <c r="V304" s="27"/>
      <c r="W304" s="27"/>
      <c r="X304" s="27"/>
      <c r="Y304" s="27"/>
      <c r="Z304" s="27"/>
      <c r="AA304" s="27"/>
      <c r="AB304" s="27"/>
      <c r="AC304" s="27"/>
      <c r="AD304" s="27"/>
      <c r="AE304" s="27"/>
      <c r="AF304" s="27"/>
      <c r="AG304" s="27"/>
      <c r="AH304" s="27"/>
      <c r="AI304" s="27"/>
      <c r="AJ304" s="27"/>
      <c r="AK304" s="27"/>
      <c r="AL304" s="27"/>
      <c r="AM304" s="27"/>
      <c r="AN304" s="27"/>
      <c r="AO304" s="27"/>
      <c r="AP304" s="27"/>
      <c r="AQ304" s="27"/>
      <c r="AR304" s="27"/>
      <c r="AS304" s="27"/>
      <c r="AT304" s="27"/>
      <c r="AU304" s="27"/>
      <c r="AV304" s="27"/>
      <c r="AW304" s="27"/>
      <c r="AX304" s="27"/>
      <c r="AY304" s="27"/>
      <c r="AZ304" s="27"/>
      <c r="BA304" s="27"/>
      <c r="BB304" s="27"/>
      <c r="BC304" s="27"/>
      <c r="BD304" s="27"/>
      <c r="BE304" s="27"/>
      <c r="BF304" s="27"/>
      <c r="BG304" s="27"/>
      <c r="BH304" s="27"/>
      <c r="BI304" s="27"/>
      <c r="BJ304" s="27"/>
      <c r="BK304" s="27"/>
      <c r="BL304" s="27"/>
      <c r="BM304" s="27"/>
      <c r="BN304" s="27"/>
      <c r="BO304" s="27"/>
      <c r="BP304" s="27"/>
      <c r="BQ304" s="27"/>
      <c r="BR304" s="27"/>
      <c r="BS304" s="27"/>
      <c r="BT304" s="27"/>
      <c r="BU304" s="27"/>
      <c r="BV304" s="27"/>
      <c r="BW304" s="27"/>
      <c r="BX304" s="27"/>
      <c r="BY304" s="27"/>
      <c r="BZ304" s="27"/>
      <c r="CA304" s="27"/>
      <c r="CB304" s="27"/>
      <c r="CC304" s="27"/>
      <c r="CD304" s="27"/>
      <c r="CE304" s="27"/>
      <c r="CF304" s="27"/>
      <c r="CG304" s="27"/>
      <c r="CH304" s="27"/>
      <c r="CI304" s="27"/>
      <c r="CJ304" s="27"/>
      <c r="CK304" s="27"/>
      <c r="CL304" s="27"/>
      <c r="CM304" s="27"/>
      <c r="CN304" s="27"/>
      <c r="CO304" s="27"/>
      <c r="CP304" s="27"/>
      <c r="CQ304" s="27"/>
      <c r="CR304" s="27"/>
      <c r="CS304" s="27"/>
      <c r="CT304" s="27"/>
      <c r="CU304" s="27"/>
      <c r="CV304" s="27"/>
      <c r="CW304" s="27"/>
      <c r="CX304" s="27"/>
      <c r="CY304" s="27"/>
      <c r="CZ304" s="27"/>
      <c r="DA304" s="27"/>
      <c r="DB304" s="27"/>
      <c r="DC304" s="27"/>
      <c r="DD304" s="27"/>
      <c r="DE304" s="27"/>
      <c r="DF304" s="27"/>
      <c r="DG304" s="27"/>
      <c r="DH304" s="27"/>
      <c r="DI304" s="27"/>
      <c r="DJ304" s="27"/>
      <c r="DK304" s="27"/>
      <c r="DL304" s="27"/>
      <c r="DM304" s="27"/>
      <c r="DN304" s="27"/>
      <c r="DO304" s="27"/>
      <c r="DP304" s="27"/>
      <c r="DQ304" s="27"/>
      <c r="DR304" s="27"/>
      <c r="DS304" s="27"/>
      <c r="DT304" s="27"/>
    </row>
    <row r="305" spans="2:124" x14ac:dyDescent="0.2">
      <c r="B305" s="27"/>
      <c r="C305" s="27"/>
      <c r="D305" s="27"/>
      <c r="E305" s="27"/>
      <c r="F305" s="27"/>
      <c r="G305" s="27"/>
      <c r="H305" s="27"/>
      <c r="I305" s="27"/>
      <c r="J305" s="27"/>
      <c r="K305" s="27"/>
      <c r="L305" s="27"/>
      <c r="M305" s="27"/>
      <c r="N305" s="27"/>
      <c r="O305" s="27"/>
      <c r="P305" s="27"/>
      <c r="Q305" s="27"/>
      <c r="R305" s="27"/>
      <c r="S305" s="27"/>
      <c r="T305" s="27"/>
      <c r="U305" s="27"/>
      <c r="V305" s="27"/>
      <c r="W305" s="27"/>
      <c r="X305" s="27"/>
      <c r="Y305" s="27"/>
      <c r="Z305" s="27"/>
      <c r="AA305" s="27"/>
      <c r="AB305" s="27"/>
      <c r="AC305" s="27"/>
      <c r="AD305" s="27"/>
      <c r="AE305" s="27"/>
      <c r="AF305" s="27"/>
      <c r="AG305" s="27"/>
      <c r="AH305" s="27"/>
      <c r="AI305" s="27"/>
      <c r="AJ305" s="27"/>
      <c r="AK305" s="27"/>
      <c r="AL305" s="27"/>
      <c r="AM305" s="27"/>
      <c r="AN305" s="27"/>
      <c r="AO305" s="27"/>
      <c r="AP305" s="27"/>
      <c r="AQ305" s="27"/>
      <c r="AR305" s="27"/>
      <c r="AS305" s="27"/>
      <c r="AT305" s="27"/>
      <c r="AU305" s="27"/>
      <c r="AV305" s="27"/>
      <c r="AW305" s="27"/>
      <c r="AX305" s="27"/>
      <c r="AY305" s="27"/>
      <c r="AZ305" s="27"/>
      <c r="BA305" s="27"/>
      <c r="BB305" s="27"/>
      <c r="BC305" s="27"/>
      <c r="BD305" s="27"/>
      <c r="BE305" s="27"/>
      <c r="BF305" s="27"/>
      <c r="BG305" s="27"/>
      <c r="BH305" s="27"/>
      <c r="BI305" s="27"/>
      <c r="BJ305" s="27"/>
      <c r="BK305" s="27"/>
      <c r="BL305" s="27"/>
      <c r="BM305" s="27"/>
      <c r="BN305" s="27"/>
      <c r="BO305" s="27"/>
      <c r="BP305" s="27"/>
      <c r="BQ305" s="27"/>
      <c r="BR305" s="27"/>
      <c r="BS305" s="27"/>
      <c r="BT305" s="27"/>
      <c r="BU305" s="27"/>
      <c r="BV305" s="27"/>
      <c r="BW305" s="27"/>
      <c r="BX305" s="27"/>
      <c r="BY305" s="27"/>
      <c r="BZ305" s="27"/>
      <c r="CA305" s="27"/>
      <c r="CB305" s="27"/>
      <c r="CC305" s="27"/>
      <c r="CD305" s="27"/>
      <c r="CE305" s="27"/>
      <c r="CF305" s="27"/>
      <c r="CG305" s="27"/>
      <c r="CH305" s="27"/>
      <c r="CI305" s="27"/>
      <c r="CJ305" s="27"/>
      <c r="CK305" s="27"/>
      <c r="CL305" s="27"/>
      <c r="CM305" s="27"/>
      <c r="CN305" s="27"/>
      <c r="CO305" s="27"/>
      <c r="CP305" s="27"/>
      <c r="CQ305" s="27"/>
      <c r="CR305" s="27"/>
      <c r="CS305" s="27"/>
      <c r="CT305" s="27"/>
      <c r="CU305" s="27"/>
      <c r="CV305" s="27"/>
      <c r="CW305" s="27"/>
      <c r="CX305" s="27"/>
      <c r="CY305" s="27"/>
      <c r="CZ305" s="27"/>
      <c r="DA305" s="27"/>
      <c r="DB305" s="27"/>
      <c r="DC305" s="27"/>
      <c r="DD305" s="27"/>
      <c r="DE305" s="27"/>
      <c r="DF305" s="27"/>
      <c r="DG305" s="27"/>
      <c r="DH305" s="27"/>
      <c r="DI305" s="27"/>
      <c r="DJ305" s="27"/>
      <c r="DK305" s="27"/>
      <c r="DL305" s="27"/>
      <c r="DM305" s="27"/>
      <c r="DN305" s="27"/>
      <c r="DO305" s="27"/>
      <c r="DP305" s="27"/>
      <c r="DQ305" s="27"/>
      <c r="DR305" s="27"/>
      <c r="DS305" s="27"/>
      <c r="DT305" s="27"/>
    </row>
    <row r="306" spans="2:124" x14ac:dyDescent="0.2">
      <c r="B306" s="27"/>
      <c r="C306" s="27"/>
      <c r="D306" s="27"/>
      <c r="E306" s="27"/>
      <c r="F306" s="27"/>
      <c r="G306" s="27"/>
      <c r="H306" s="27"/>
      <c r="I306" s="27"/>
      <c r="J306" s="27"/>
      <c r="K306" s="27"/>
      <c r="L306" s="27"/>
      <c r="M306" s="27"/>
      <c r="N306" s="27"/>
      <c r="O306" s="27"/>
      <c r="P306" s="27"/>
      <c r="Q306" s="27"/>
      <c r="R306" s="27"/>
      <c r="S306" s="27"/>
      <c r="T306" s="27"/>
      <c r="U306" s="27"/>
      <c r="V306" s="27"/>
      <c r="W306" s="27"/>
      <c r="X306" s="27"/>
      <c r="Y306" s="27"/>
      <c r="Z306" s="27"/>
      <c r="AA306" s="27"/>
      <c r="AB306" s="27"/>
      <c r="AC306" s="27"/>
      <c r="AD306" s="27"/>
      <c r="AE306" s="27"/>
      <c r="AF306" s="27"/>
      <c r="AG306" s="27"/>
      <c r="AH306" s="27"/>
      <c r="AI306" s="27"/>
      <c r="AJ306" s="27"/>
      <c r="AK306" s="27"/>
      <c r="AL306" s="27"/>
      <c r="AM306" s="27"/>
      <c r="AN306" s="27"/>
      <c r="AO306" s="27"/>
      <c r="AP306" s="27"/>
      <c r="AQ306" s="27"/>
      <c r="AR306" s="27"/>
      <c r="AS306" s="27"/>
      <c r="AT306" s="27"/>
      <c r="AU306" s="27"/>
      <c r="AV306" s="27"/>
      <c r="AW306" s="27"/>
      <c r="AX306" s="27"/>
      <c r="AY306" s="27"/>
      <c r="AZ306" s="27"/>
      <c r="BA306" s="27"/>
      <c r="BB306" s="27"/>
      <c r="BC306" s="27"/>
      <c r="BD306" s="27"/>
      <c r="BE306" s="27"/>
      <c r="BF306" s="27"/>
      <c r="BG306" s="27"/>
      <c r="BH306" s="27"/>
      <c r="BI306" s="27"/>
      <c r="BJ306" s="27"/>
      <c r="BK306" s="27"/>
      <c r="BL306" s="27"/>
      <c r="BM306" s="27"/>
      <c r="BN306" s="27"/>
      <c r="BO306" s="27"/>
      <c r="BP306" s="27"/>
      <c r="BQ306" s="27"/>
      <c r="BR306" s="27"/>
      <c r="BS306" s="27"/>
      <c r="BT306" s="27"/>
      <c r="BU306" s="27"/>
      <c r="BV306" s="27"/>
      <c r="BW306" s="27"/>
      <c r="BX306" s="27"/>
      <c r="BY306" s="27"/>
      <c r="BZ306" s="27"/>
      <c r="CA306" s="27"/>
      <c r="CB306" s="27"/>
      <c r="CC306" s="27"/>
      <c r="CD306" s="27"/>
      <c r="CE306" s="27"/>
      <c r="CF306" s="27"/>
      <c r="CG306" s="27"/>
      <c r="CH306" s="27"/>
      <c r="CI306" s="27"/>
      <c r="CJ306" s="27"/>
      <c r="CK306" s="27"/>
      <c r="CL306" s="27"/>
      <c r="CM306" s="27"/>
      <c r="CN306" s="27"/>
      <c r="CO306" s="27"/>
      <c r="CP306" s="27"/>
      <c r="CQ306" s="27"/>
      <c r="CR306" s="27"/>
      <c r="CS306" s="27"/>
      <c r="CT306" s="27"/>
      <c r="CU306" s="27"/>
      <c r="CV306" s="27"/>
      <c r="CW306" s="27"/>
      <c r="CX306" s="27"/>
      <c r="CY306" s="27"/>
      <c r="CZ306" s="27"/>
      <c r="DA306" s="27"/>
      <c r="DB306" s="27"/>
      <c r="DC306" s="27"/>
      <c r="DD306" s="27"/>
      <c r="DE306" s="27"/>
      <c r="DF306" s="27"/>
      <c r="DG306" s="27"/>
      <c r="DH306" s="27"/>
      <c r="DI306" s="27"/>
      <c r="DJ306" s="27"/>
      <c r="DK306" s="27"/>
      <c r="DL306" s="27"/>
      <c r="DM306" s="27"/>
      <c r="DN306" s="27"/>
      <c r="DO306" s="27"/>
      <c r="DP306" s="27"/>
      <c r="DQ306" s="27"/>
      <c r="DR306" s="27"/>
      <c r="DS306" s="27"/>
      <c r="DT306" s="27"/>
    </row>
    <row r="307" spans="2:124" x14ac:dyDescent="0.2">
      <c r="B307" s="27"/>
      <c r="C307" s="27"/>
      <c r="D307" s="27"/>
      <c r="E307" s="27"/>
      <c r="F307" s="27"/>
      <c r="G307" s="27"/>
      <c r="H307" s="27"/>
      <c r="I307" s="27"/>
      <c r="J307" s="27"/>
      <c r="K307" s="27"/>
      <c r="L307" s="27"/>
      <c r="M307" s="27"/>
      <c r="N307" s="27"/>
      <c r="O307" s="27"/>
      <c r="P307" s="27"/>
      <c r="Q307" s="27"/>
      <c r="R307" s="27"/>
      <c r="S307" s="27"/>
      <c r="T307" s="27"/>
      <c r="U307" s="27"/>
      <c r="V307" s="27"/>
      <c r="W307" s="27"/>
      <c r="X307" s="27"/>
      <c r="Y307" s="27"/>
      <c r="Z307" s="27"/>
      <c r="AA307" s="27"/>
      <c r="AB307" s="27"/>
      <c r="AC307" s="27"/>
      <c r="AD307" s="27"/>
      <c r="AE307" s="27"/>
      <c r="AF307" s="27"/>
      <c r="AG307" s="27"/>
      <c r="AH307" s="27"/>
      <c r="AI307" s="27"/>
      <c r="AJ307" s="27"/>
      <c r="AK307" s="27"/>
      <c r="AL307" s="27"/>
      <c r="AM307" s="27"/>
      <c r="AN307" s="27"/>
      <c r="AO307" s="27"/>
      <c r="AP307" s="27"/>
      <c r="AQ307" s="27"/>
      <c r="AR307" s="27"/>
      <c r="AS307" s="27"/>
      <c r="AT307" s="27"/>
      <c r="AU307" s="27"/>
      <c r="AV307" s="27"/>
      <c r="AW307" s="27"/>
      <c r="AX307" s="27"/>
      <c r="AY307" s="27"/>
      <c r="AZ307" s="27"/>
      <c r="BA307" s="27"/>
      <c r="BB307" s="27"/>
      <c r="BC307" s="27"/>
      <c r="BD307" s="27"/>
      <c r="BE307" s="27"/>
      <c r="BF307" s="27"/>
      <c r="BG307" s="27"/>
      <c r="BH307" s="27"/>
      <c r="BI307" s="27"/>
      <c r="BJ307" s="27"/>
      <c r="BK307" s="27"/>
      <c r="BL307" s="27"/>
      <c r="BM307" s="27"/>
      <c r="BN307" s="27"/>
      <c r="BO307" s="27"/>
      <c r="BP307" s="27"/>
      <c r="BQ307" s="27"/>
      <c r="BR307" s="27"/>
      <c r="BS307" s="27"/>
      <c r="BT307" s="27"/>
      <c r="BU307" s="27"/>
      <c r="BV307" s="27"/>
      <c r="BW307" s="27"/>
      <c r="BX307" s="27"/>
      <c r="BY307" s="27"/>
      <c r="BZ307" s="27"/>
      <c r="CA307" s="27"/>
      <c r="CB307" s="27"/>
      <c r="CC307" s="27"/>
      <c r="CD307" s="27"/>
      <c r="CE307" s="27"/>
      <c r="CF307" s="27"/>
      <c r="CG307" s="27"/>
      <c r="CH307" s="27"/>
      <c r="CI307" s="27"/>
      <c r="CJ307" s="27"/>
      <c r="CK307" s="27"/>
      <c r="CL307" s="27"/>
      <c r="CM307" s="27"/>
      <c r="CN307" s="27"/>
      <c r="CO307" s="27"/>
      <c r="CP307" s="27"/>
      <c r="CQ307" s="27"/>
      <c r="CR307" s="27"/>
      <c r="CS307" s="27"/>
      <c r="CT307" s="27"/>
      <c r="CU307" s="27"/>
      <c r="CV307" s="27"/>
      <c r="CW307" s="27"/>
      <c r="CX307" s="27"/>
      <c r="CY307" s="27"/>
      <c r="CZ307" s="27"/>
      <c r="DA307" s="27"/>
      <c r="DB307" s="27"/>
      <c r="DC307" s="27"/>
      <c r="DD307" s="27"/>
      <c r="DE307" s="27"/>
      <c r="DF307" s="27"/>
      <c r="DG307" s="27"/>
      <c r="DH307" s="27"/>
      <c r="DI307" s="27"/>
      <c r="DJ307" s="27"/>
      <c r="DK307" s="27"/>
      <c r="DL307" s="27"/>
      <c r="DM307" s="27"/>
      <c r="DN307" s="27"/>
      <c r="DO307" s="27"/>
      <c r="DP307" s="27"/>
      <c r="DQ307" s="27"/>
      <c r="DR307" s="27"/>
      <c r="DS307" s="27"/>
      <c r="DT307" s="27"/>
    </row>
    <row r="308" spans="2:124" x14ac:dyDescent="0.2">
      <c r="B308" s="27"/>
      <c r="C308" s="27"/>
      <c r="D308" s="27"/>
      <c r="E308" s="27"/>
      <c r="F308" s="27"/>
      <c r="G308" s="27"/>
      <c r="H308" s="27"/>
      <c r="I308" s="27"/>
      <c r="J308" s="27"/>
      <c r="K308" s="27"/>
      <c r="L308" s="27"/>
      <c r="M308" s="27"/>
      <c r="N308" s="27"/>
      <c r="O308" s="27"/>
      <c r="P308" s="27"/>
      <c r="Q308" s="27"/>
      <c r="R308" s="27"/>
      <c r="S308" s="27"/>
      <c r="T308" s="27"/>
      <c r="U308" s="27"/>
      <c r="V308" s="27"/>
      <c r="W308" s="27"/>
      <c r="X308" s="27"/>
      <c r="Y308" s="27"/>
      <c r="Z308" s="27"/>
      <c r="AA308" s="27"/>
      <c r="AB308" s="27"/>
      <c r="AC308" s="27"/>
      <c r="AD308" s="27"/>
      <c r="AE308" s="27"/>
      <c r="AF308" s="27"/>
      <c r="AG308" s="27"/>
      <c r="AH308" s="27"/>
      <c r="AI308" s="27"/>
      <c r="AJ308" s="27"/>
      <c r="AK308" s="27"/>
      <c r="AL308" s="27"/>
      <c r="AM308" s="27"/>
      <c r="AN308" s="27"/>
      <c r="AO308" s="27"/>
      <c r="AP308" s="27"/>
      <c r="AQ308" s="27"/>
      <c r="AR308" s="27"/>
      <c r="AS308" s="27"/>
      <c r="AT308" s="27"/>
      <c r="AU308" s="27"/>
      <c r="AV308" s="27"/>
      <c r="AW308" s="27"/>
      <c r="AX308" s="27"/>
      <c r="AY308" s="27"/>
      <c r="AZ308" s="27"/>
      <c r="BA308" s="27"/>
      <c r="BB308" s="27"/>
      <c r="BC308" s="27"/>
      <c r="BD308" s="27"/>
      <c r="BE308" s="27"/>
      <c r="BF308" s="27"/>
      <c r="BG308" s="27"/>
      <c r="BH308" s="27"/>
      <c r="BI308" s="27"/>
      <c r="BJ308" s="27"/>
      <c r="BK308" s="27"/>
      <c r="BL308" s="27"/>
      <c r="BM308" s="27"/>
      <c r="BN308" s="27"/>
      <c r="BO308" s="27"/>
      <c r="BP308" s="27"/>
      <c r="BQ308" s="27"/>
      <c r="BR308" s="27"/>
      <c r="BS308" s="27"/>
      <c r="BT308" s="27"/>
      <c r="BU308" s="27"/>
      <c r="BV308" s="27"/>
      <c r="BW308" s="27"/>
      <c r="BX308" s="27"/>
      <c r="BY308" s="27"/>
      <c r="BZ308" s="27"/>
      <c r="CA308" s="27"/>
      <c r="CB308" s="27"/>
      <c r="CC308" s="27"/>
      <c r="CD308" s="27"/>
      <c r="CE308" s="27"/>
      <c r="CF308" s="27"/>
      <c r="CG308" s="27"/>
      <c r="CH308" s="27"/>
      <c r="CI308" s="27"/>
      <c r="CJ308" s="27"/>
      <c r="CK308" s="27"/>
      <c r="CL308" s="27"/>
      <c r="CM308" s="27"/>
      <c r="CN308" s="27"/>
      <c r="CO308" s="27"/>
      <c r="CP308" s="27"/>
      <c r="CQ308" s="27"/>
      <c r="CR308" s="27"/>
      <c r="CS308" s="27"/>
      <c r="CT308" s="27"/>
      <c r="CU308" s="27"/>
      <c r="CV308" s="27"/>
      <c r="CW308" s="27"/>
      <c r="CX308" s="27"/>
      <c r="CY308" s="27"/>
      <c r="CZ308" s="27"/>
      <c r="DA308" s="27"/>
      <c r="DB308" s="27"/>
      <c r="DC308" s="27"/>
      <c r="DD308" s="27"/>
      <c r="DE308" s="27"/>
      <c r="DF308" s="27"/>
      <c r="DG308" s="27"/>
      <c r="DH308" s="27"/>
      <c r="DI308" s="27"/>
      <c r="DJ308" s="27"/>
      <c r="DK308" s="27"/>
      <c r="DL308" s="27"/>
      <c r="DM308" s="27"/>
      <c r="DN308" s="27"/>
      <c r="DO308" s="27"/>
      <c r="DP308" s="27"/>
      <c r="DQ308" s="27"/>
      <c r="DR308" s="27"/>
      <c r="DS308" s="27"/>
      <c r="DT308" s="27"/>
    </row>
    <row r="309" spans="2:124" x14ac:dyDescent="0.2">
      <c r="B309" s="27"/>
      <c r="C309" s="27"/>
      <c r="D309" s="27"/>
      <c r="E309" s="27"/>
      <c r="F309" s="27"/>
      <c r="G309" s="27"/>
      <c r="H309" s="27"/>
      <c r="I309" s="27"/>
      <c r="J309" s="27"/>
      <c r="K309" s="27"/>
      <c r="L309" s="27"/>
      <c r="M309" s="27"/>
      <c r="N309" s="27"/>
      <c r="O309" s="27"/>
      <c r="P309" s="27"/>
      <c r="Q309" s="27"/>
      <c r="R309" s="27"/>
      <c r="S309" s="27"/>
      <c r="T309" s="27"/>
      <c r="U309" s="27"/>
      <c r="V309" s="27"/>
      <c r="W309" s="27"/>
      <c r="X309" s="27"/>
      <c r="Y309" s="27"/>
      <c r="Z309" s="27"/>
      <c r="AA309" s="27"/>
      <c r="AB309" s="27"/>
      <c r="AC309" s="27"/>
      <c r="AD309" s="27"/>
      <c r="AE309" s="27"/>
      <c r="AF309" s="27"/>
      <c r="AG309" s="27"/>
      <c r="AH309" s="27"/>
      <c r="AI309" s="27"/>
      <c r="AJ309" s="27"/>
      <c r="AK309" s="27"/>
      <c r="AL309" s="27"/>
      <c r="AM309" s="27"/>
      <c r="AN309" s="27"/>
      <c r="AO309" s="27"/>
      <c r="AP309" s="27"/>
      <c r="AQ309" s="27"/>
      <c r="AR309" s="27"/>
      <c r="AS309" s="27"/>
      <c r="AT309" s="27"/>
      <c r="AU309" s="27"/>
      <c r="AV309" s="27"/>
      <c r="AW309" s="27"/>
      <c r="AX309" s="27"/>
      <c r="AY309" s="27"/>
      <c r="AZ309" s="27"/>
      <c r="BA309" s="27"/>
      <c r="BB309" s="27"/>
      <c r="BC309" s="27"/>
      <c r="BD309" s="27"/>
      <c r="BE309" s="27"/>
      <c r="BF309" s="27"/>
      <c r="BG309" s="27"/>
      <c r="BH309" s="27"/>
      <c r="BI309" s="27"/>
      <c r="BJ309" s="27"/>
      <c r="BK309" s="27"/>
      <c r="BL309" s="27"/>
      <c r="BM309" s="27"/>
      <c r="BN309" s="27"/>
      <c r="BO309" s="27"/>
      <c r="BP309" s="27"/>
      <c r="BQ309" s="27"/>
      <c r="BR309" s="27"/>
      <c r="BS309" s="27"/>
      <c r="BT309" s="27"/>
      <c r="BU309" s="27"/>
      <c r="BV309" s="27"/>
      <c r="BW309" s="27"/>
      <c r="BX309" s="27"/>
      <c r="BY309" s="27"/>
      <c r="BZ309" s="27"/>
      <c r="CA309" s="27"/>
      <c r="CB309" s="27"/>
      <c r="CC309" s="27"/>
      <c r="CD309" s="27"/>
      <c r="CE309" s="27"/>
      <c r="CF309" s="27"/>
      <c r="CG309" s="27"/>
      <c r="CH309" s="27"/>
      <c r="CI309" s="27"/>
      <c r="CJ309" s="27"/>
      <c r="CK309" s="27"/>
      <c r="CL309" s="27"/>
      <c r="CM309" s="27"/>
      <c r="CN309" s="27"/>
      <c r="CO309" s="27"/>
      <c r="CP309" s="27"/>
      <c r="CQ309" s="27"/>
      <c r="CR309" s="27"/>
      <c r="CS309" s="27"/>
      <c r="CT309" s="27"/>
      <c r="CU309" s="27"/>
      <c r="CV309" s="27"/>
      <c r="CW309" s="27"/>
      <c r="CX309" s="27"/>
      <c r="CY309" s="27"/>
      <c r="CZ309" s="27"/>
      <c r="DA309" s="27"/>
      <c r="DB309" s="27"/>
      <c r="DC309" s="27"/>
      <c r="DD309" s="27"/>
      <c r="DE309" s="27"/>
      <c r="DF309" s="27"/>
      <c r="DG309" s="27"/>
      <c r="DH309" s="27"/>
      <c r="DI309" s="27"/>
      <c r="DJ309" s="27"/>
      <c r="DK309" s="27"/>
      <c r="DL309" s="27"/>
      <c r="DM309" s="27"/>
      <c r="DN309" s="27"/>
      <c r="DO309" s="27"/>
      <c r="DP309" s="27"/>
      <c r="DQ309" s="27"/>
      <c r="DR309" s="27"/>
      <c r="DS309" s="27"/>
      <c r="DT309" s="27"/>
    </row>
    <row r="310" spans="2:124" x14ac:dyDescent="0.2">
      <c r="B310" s="27"/>
      <c r="C310" s="27"/>
      <c r="D310" s="27"/>
      <c r="E310" s="27"/>
      <c r="F310" s="27"/>
      <c r="G310" s="27"/>
      <c r="H310" s="27"/>
      <c r="I310" s="27"/>
      <c r="J310" s="27"/>
      <c r="K310" s="27"/>
      <c r="L310" s="27"/>
      <c r="M310" s="27"/>
      <c r="N310" s="27"/>
      <c r="O310" s="27"/>
      <c r="P310" s="27"/>
      <c r="Q310" s="27"/>
      <c r="R310" s="27"/>
      <c r="S310" s="27"/>
      <c r="T310" s="27"/>
      <c r="U310" s="27"/>
      <c r="V310" s="27"/>
      <c r="W310" s="27"/>
      <c r="X310" s="27"/>
      <c r="Y310" s="27"/>
      <c r="Z310" s="27"/>
      <c r="AA310" s="27"/>
      <c r="AB310" s="27"/>
      <c r="AC310" s="27"/>
      <c r="AD310" s="27"/>
      <c r="AE310" s="27"/>
      <c r="AF310" s="27"/>
      <c r="AG310" s="27"/>
      <c r="AH310" s="27"/>
      <c r="AI310" s="27"/>
      <c r="AJ310" s="27"/>
      <c r="AK310" s="27"/>
      <c r="AL310" s="27"/>
      <c r="AM310" s="27"/>
      <c r="AN310" s="27"/>
      <c r="AO310" s="27"/>
      <c r="AP310" s="27"/>
      <c r="AQ310" s="27"/>
      <c r="AR310" s="27"/>
      <c r="AS310" s="27"/>
      <c r="AT310" s="27"/>
      <c r="AU310" s="27"/>
      <c r="AV310" s="27"/>
      <c r="AW310" s="27"/>
      <c r="AX310" s="27"/>
      <c r="AY310" s="27"/>
      <c r="AZ310" s="27"/>
      <c r="BA310" s="27"/>
      <c r="BB310" s="27"/>
      <c r="BC310" s="27"/>
      <c r="BD310" s="27"/>
      <c r="BE310" s="27"/>
      <c r="BF310" s="27"/>
      <c r="BG310" s="27"/>
      <c r="BH310" s="27"/>
      <c r="BI310" s="27"/>
      <c r="BJ310" s="27"/>
      <c r="BK310" s="27"/>
      <c r="BL310" s="27"/>
      <c r="BM310" s="27"/>
      <c r="BN310" s="27"/>
      <c r="BO310" s="27"/>
      <c r="BP310" s="27"/>
      <c r="BQ310" s="27"/>
      <c r="BR310" s="27"/>
      <c r="BS310" s="27"/>
      <c r="BT310" s="27"/>
      <c r="BU310" s="27"/>
      <c r="BV310" s="27"/>
      <c r="BW310" s="27"/>
      <c r="BX310" s="27"/>
      <c r="BY310" s="27"/>
      <c r="BZ310" s="27"/>
      <c r="CA310" s="27"/>
      <c r="CB310" s="27"/>
      <c r="CC310" s="27"/>
      <c r="CD310" s="27"/>
      <c r="CE310" s="27"/>
      <c r="CF310" s="27"/>
      <c r="CG310" s="27"/>
      <c r="CH310" s="27"/>
      <c r="CI310" s="27"/>
      <c r="CJ310" s="27"/>
      <c r="CK310" s="27"/>
      <c r="CL310" s="27"/>
      <c r="CM310" s="27"/>
      <c r="CN310" s="27"/>
      <c r="CO310" s="27"/>
      <c r="CP310" s="27"/>
      <c r="CQ310" s="27"/>
      <c r="CR310" s="27"/>
      <c r="CS310" s="27"/>
      <c r="CT310" s="27"/>
      <c r="CU310" s="27"/>
      <c r="CV310" s="27"/>
      <c r="CW310" s="27"/>
      <c r="CX310" s="27"/>
      <c r="CY310" s="27"/>
      <c r="CZ310" s="27"/>
      <c r="DA310" s="27"/>
      <c r="DB310" s="27"/>
      <c r="DC310" s="27"/>
      <c r="DD310" s="27"/>
      <c r="DE310" s="27"/>
      <c r="DF310" s="27"/>
      <c r="DG310" s="27"/>
      <c r="DH310" s="27"/>
      <c r="DI310" s="27"/>
      <c r="DJ310" s="27"/>
      <c r="DK310" s="27"/>
      <c r="DL310" s="27"/>
      <c r="DM310" s="27"/>
      <c r="DN310" s="27"/>
      <c r="DO310" s="27"/>
      <c r="DP310" s="27"/>
      <c r="DQ310" s="27"/>
      <c r="DR310" s="27"/>
      <c r="DS310" s="27"/>
      <c r="DT310" s="27"/>
    </row>
    <row r="311" spans="2:124" x14ac:dyDescent="0.2">
      <c r="B311" s="27"/>
      <c r="C311" s="27"/>
      <c r="D311" s="27"/>
      <c r="E311" s="27"/>
      <c r="F311" s="27"/>
      <c r="G311" s="27"/>
      <c r="H311" s="27"/>
      <c r="I311" s="27"/>
      <c r="J311" s="27"/>
      <c r="K311" s="27"/>
      <c r="L311" s="27"/>
      <c r="M311" s="27"/>
      <c r="N311" s="27"/>
      <c r="O311" s="27"/>
      <c r="P311" s="27"/>
      <c r="Q311" s="27"/>
      <c r="R311" s="27"/>
      <c r="S311" s="27"/>
      <c r="T311" s="27"/>
      <c r="U311" s="27"/>
      <c r="V311" s="27"/>
      <c r="W311" s="27"/>
      <c r="X311" s="27"/>
      <c r="Y311" s="27"/>
      <c r="Z311" s="27"/>
      <c r="AA311" s="27"/>
      <c r="AB311" s="27"/>
      <c r="AC311" s="27"/>
      <c r="AD311" s="27"/>
      <c r="AE311" s="27"/>
      <c r="AF311" s="27"/>
      <c r="AG311" s="27"/>
      <c r="AH311" s="27"/>
      <c r="AI311" s="27"/>
      <c r="AJ311" s="27"/>
      <c r="AK311" s="27"/>
      <c r="AL311" s="27"/>
      <c r="AM311" s="27"/>
      <c r="AN311" s="27"/>
      <c r="AO311" s="27"/>
      <c r="AP311" s="27"/>
      <c r="AQ311" s="27"/>
      <c r="AR311" s="27"/>
      <c r="AS311" s="27"/>
      <c r="AT311" s="27"/>
      <c r="AU311" s="27"/>
      <c r="AV311" s="27"/>
      <c r="AW311" s="27"/>
      <c r="AX311" s="27"/>
      <c r="AY311" s="27"/>
      <c r="AZ311" s="27"/>
      <c r="BA311" s="27"/>
      <c r="BB311" s="27"/>
      <c r="BC311" s="27"/>
      <c r="BD311" s="27"/>
      <c r="BE311" s="27"/>
      <c r="BF311" s="27"/>
      <c r="BG311" s="27"/>
      <c r="BH311" s="27"/>
      <c r="BI311" s="27"/>
      <c r="BJ311" s="27"/>
      <c r="BK311" s="27"/>
      <c r="BL311" s="27"/>
      <c r="BM311" s="27"/>
      <c r="BN311" s="27"/>
      <c r="BO311" s="27"/>
      <c r="BP311" s="27"/>
      <c r="BQ311" s="27"/>
      <c r="BR311" s="27"/>
      <c r="BS311" s="27"/>
      <c r="BT311" s="27"/>
      <c r="BU311" s="27"/>
      <c r="BV311" s="27"/>
      <c r="BW311" s="27"/>
      <c r="BX311" s="27"/>
      <c r="BY311" s="27"/>
      <c r="BZ311" s="27"/>
      <c r="CA311" s="27"/>
      <c r="CB311" s="27"/>
      <c r="CC311" s="27"/>
      <c r="CD311" s="27"/>
      <c r="CE311" s="27"/>
      <c r="CF311" s="27"/>
      <c r="CG311" s="27"/>
      <c r="CH311" s="27"/>
      <c r="CI311" s="27"/>
      <c r="CJ311" s="27"/>
      <c r="CK311" s="27"/>
      <c r="CL311" s="27"/>
      <c r="CM311" s="27"/>
      <c r="CN311" s="27"/>
      <c r="CO311" s="27"/>
      <c r="CP311" s="27"/>
      <c r="CQ311" s="27"/>
      <c r="CR311" s="27"/>
      <c r="CS311" s="27"/>
      <c r="CT311" s="27"/>
      <c r="CU311" s="27"/>
      <c r="CV311" s="27"/>
      <c r="CW311" s="27"/>
      <c r="CX311" s="27"/>
      <c r="CY311" s="27"/>
      <c r="CZ311" s="27"/>
      <c r="DA311" s="27"/>
      <c r="DB311" s="27"/>
      <c r="DC311" s="27"/>
      <c r="DD311" s="27"/>
      <c r="DE311" s="27"/>
      <c r="DF311" s="27"/>
      <c r="DG311" s="27"/>
      <c r="DH311" s="27"/>
      <c r="DI311" s="27"/>
      <c r="DJ311" s="27"/>
      <c r="DK311" s="27"/>
      <c r="DL311" s="27"/>
      <c r="DM311" s="27"/>
      <c r="DN311" s="27"/>
      <c r="DO311" s="27"/>
      <c r="DP311" s="27"/>
      <c r="DQ311" s="27"/>
      <c r="DR311" s="27"/>
      <c r="DS311" s="27"/>
      <c r="DT311" s="27"/>
    </row>
    <row r="312" spans="2:124" x14ac:dyDescent="0.2">
      <c r="B312" s="27"/>
      <c r="C312" s="27"/>
      <c r="D312" s="27"/>
      <c r="E312" s="27"/>
      <c r="F312" s="27"/>
      <c r="G312" s="27"/>
      <c r="H312" s="27"/>
      <c r="I312" s="27"/>
      <c r="J312" s="27"/>
      <c r="K312" s="27"/>
      <c r="L312" s="27"/>
      <c r="M312" s="27"/>
      <c r="N312" s="27"/>
      <c r="O312" s="27"/>
      <c r="P312" s="27"/>
      <c r="Q312" s="27"/>
      <c r="R312" s="27"/>
      <c r="S312" s="27"/>
      <c r="T312" s="27"/>
      <c r="U312" s="27"/>
      <c r="V312" s="27"/>
      <c r="W312" s="27"/>
      <c r="X312" s="27"/>
      <c r="Y312" s="27"/>
      <c r="Z312" s="27"/>
      <c r="AA312" s="27"/>
      <c r="AB312" s="27"/>
      <c r="AC312" s="27"/>
      <c r="AD312" s="27"/>
      <c r="AE312" s="27"/>
      <c r="AF312" s="27"/>
      <c r="AG312" s="27"/>
      <c r="AH312" s="27"/>
      <c r="AI312" s="27"/>
      <c r="AJ312" s="27"/>
      <c r="AK312" s="27"/>
      <c r="AL312" s="27"/>
      <c r="AM312" s="27"/>
      <c r="AN312" s="27"/>
      <c r="AO312" s="27"/>
      <c r="AP312" s="27"/>
      <c r="AQ312" s="27"/>
      <c r="AR312" s="27"/>
      <c r="AS312" s="27"/>
      <c r="AT312" s="27"/>
      <c r="AU312" s="27"/>
      <c r="AV312" s="27"/>
      <c r="AW312" s="27"/>
      <c r="AX312" s="27"/>
      <c r="AY312" s="27"/>
      <c r="AZ312" s="27"/>
      <c r="BA312" s="27"/>
      <c r="BB312" s="27"/>
      <c r="BC312" s="27"/>
      <c r="BD312" s="27"/>
      <c r="BE312" s="27"/>
      <c r="BF312" s="27"/>
      <c r="BG312" s="27"/>
      <c r="BH312" s="27"/>
      <c r="BI312" s="27"/>
      <c r="BJ312" s="27"/>
      <c r="BK312" s="27"/>
      <c r="BL312" s="27"/>
      <c r="BM312" s="27"/>
      <c r="BN312" s="27"/>
      <c r="BO312" s="27"/>
      <c r="BP312" s="27"/>
      <c r="BQ312" s="27"/>
      <c r="BR312" s="27"/>
      <c r="BS312" s="27"/>
      <c r="BT312" s="27"/>
      <c r="BU312" s="27"/>
      <c r="BV312" s="27"/>
      <c r="BW312" s="27"/>
      <c r="BX312" s="27"/>
      <c r="BY312" s="27"/>
      <c r="BZ312" s="27"/>
      <c r="CA312" s="27"/>
      <c r="CB312" s="27"/>
      <c r="CC312" s="27"/>
      <c r="CD312" s="27"/>
      <c r="CE312" s="27"/>
      <c r="CF312" s="27"/>
      <c r="CG312" s="27"/>
      <c r="CH312" s="27"/>
      <c r="CI312" s="27"/>
      <c r="CJ312" s="27"/>
      <c r="CK312" s="27"/>
      <c r="CL312" s="27"/>
      <c r="CM312" s="27"/>
      <c r="CN312" s="27"/>
      <c r="CO312" s="27"/>
      <c r="CP312" s="27"/>
      <c r="CQ312" s="27"/>
      <c r="CR312" s="27"/>
      <c r="CS312" s="27"/>
      <c r="CT312" s="27"/>
      <c r="CU312" s="27"/>
      <c r="CV312" s="27"/>
      <c r="CW312" s="27"/>
      <c r="CX312" s="27"/>
      <c r="CY312" s="27"/>
      <c r="CZ312" s="27"/>
      <c r="DA312" s="27"/>
      <c r="DB312" s="27"/>
      <c r="DC312" s="27"/>
      <c r="DD312" s="27"/>
      <c r="DE312" s="27"/>
      <c r="DF312" s="27"/>
      <c r="DG312" s="27"/>
      <c r="DH312" s="27"/>
      <c r="DI312" s="27"/>
      <c r="DJ312" s="27"/>
      <c r="DK312" s="27"/>
      <c r="DL312" s="27"/>
      <c r="DM312" s="27"/>
      <c r="DN312" s="27"/>
      <c r="DO312" s="27"/>
      <c r="DP312" s="27"/>
      <c r="DQ312" s="27"/>
      <c r="DR312" s="27"/>
      <c r="DS312" s="27"/>
      <c r="DT312" s="27"/>
    </row>
    <row r="313" spans="2:124" x14ac:dyDescent="0.2">
      <c r="B313" s="27"/>
      <c r="C313" s="27"/>
      <c r="D313" s="27"/>
      <c r="E313" s="27"/>
      <c r="F313" s="27"/>
      <c r="G313" s="27"/>
      <c r="H313" s="27"/>
      <c r="I313" s="27"/>
      <c r="J313" s="27"/>
      <c r="K313" s="27"/>
      <c r="L313" s="27"/>
      <c r="M313" s="27"/>
      <c r="N313" s="27"/>
      <c r="O313" s="27"/>
      <c r="P313" s="27"/>
      <c r="Q313" s="27"/>
      <c r="R313" s="27"/>
      <c r="S313" s="27"/>
      <c r="T313" s="27"/>
      <c r="U313" s="27"/>
      <c r="V313" s="27"/>
      <c r="W313" s="27"/>
      <c r="X313" s="27"/>
      <c r="Y313" s="27"/>
      <c r="Z313" s="27"/>
      <c r="AA313" s="27"/>
      <c r="AB313" s="27"/>
      <c r="AC313" s="27"/>
      <c r="AD313" s="27"/>
      <c r="AE313" s="27"/>
      <c r="AF313" s="27"/>
      <c r="AG313" s="27"/>
      <c r="AH313" s="27"/>
      <c r="AI313" s="27"/>
      <c r="AJ313" s="27"/>
      <c r="AK313" s="27"/>
      <c r="AL313" s="27"/>
      <c r="AM313" s="27"/>
      <c r="AN313" s="27"/>
      <c r="AO313" s="27"/>
      <c r="AP313" s="27"/>
      <c r="AQ313" s="27"/>
      <c r="AR313" s="27"/>
      <c r="AS313" s="27"/>
      <c r="AT313" s="27"/>
      <c r="AU313" s="27"/>
      <c r="AV313" s="27"/>
      <c r="AW313" s="27"/>
      <c r="AX313" s="27"/>
      <c r="AY313" s="27"/>
      <c r="AZ313" s="27"/>
      <c r="BA313" s="27"/>
      <c r="BB313" s="27"/>
      <c r="BC313" s="27"/>
      <c r="BD313" s="27"/>
      <c r="BE313" s="27"/>
      <c r="BF313" s="27"/>
      <c r="BG313" s="27"/>
      <c r="BH313" s="27"/>
      <c r="BI313" s="27"/>
      <c r="BJ313" s="27"/>
      <c r="BK313" s="27"/>
      <c r="BL313" s="27"/>
      <c r="BM313" s="27"/>
      <c r="BN313" s="27"/>
      <c r="BO313" s="27"/>
      <c r="BP313" s="27"/>
      <c r="BQ313" s="27"/>
      <c r="BR313" s="27"/>
      <c r="BS313" s="27"/>
      <c r="BT313" s="27"/>
      <c r="BU313" s="27"/>
      <c r="BV313" s="27"/>
      <c r="BW313" s="27"/>
      <c r="BX313" s="27"/>
      <c r="BY313" s="27"/>
      <c r="BZ313" s="27"/>
      <c r="CA313" s="27"/>
      <c r="CB313" s="27"/>
      <c r="CC313" s="27"/>
      <c r="CD313" s="27"/>
      <c r="CE313" s="27"/>
      <c r="CF313" s="27"/>
      <c r="CG313" s="27"/>
      <c r="CH313" s="27"/>
      <c r="CI313" s="27"/>
      <c r="CJ313" s="27"/>
      <c r="CK313" s="27"/>
      <c r="CL313" s="27"/>
      <c r="CM313" s="27"/>
      <c r="CN313" s="27"/>
      <c r="CO313" s="27"/>
      <c r="CP313" s="27"/>
      <c r="CQ313" s="27"/>
      <c r="CR313" s="27"/>
      <c r="CS313" s="27"/>
      <c r="CT313" s="27"/>
      <c r="CU313" s="27"/>
      <c r="CV313" s="27"/>
      <c r="CW313" s="27"/>
      <c r="CX313" s="27"/>
      <c r="CY313" s="27"/>
      <c r="CZ313" s="27"/>
      <c r="DA313" s="27"/>
      <c r="DB313" s="27"/>
      <c r="DC313" s="27"/>
      <c r="DD313" s="27"/>
      <c r="DE313" s="27"/>
      <c r="DF313" s="27"/>
      <c r="DG313" s="27"/>
      <c r="DH313" s="27"/>
      <c r="DI313" s="27"/>
      <c r="DJ313" s="27"/>
      <c r="DK313" s="27"/>
      <c r="DL313" s="27"/>
      <c r="DM313" s="27"/>
      <c r="DN313" s="27"/>
      <c r="DO313" s="27"/>
      <c r="DP313" s="27"/>
      <c r="DQ313" s="27"/>
      <c r="DR313" s="27"/>
      <c r="DS313" s="27"/>
      <c r="DT313" s="27"/>
    </row>
    <row r="314" spans="2:124" x14ac:dyDescent="0.2">
      <c r="B314" s="27"/>
      <c r="C314" s="27"/>
      <c r="D314" s="27"/>
      <c r="E314" s="27"/>
      <c r="F314" s="27"/>
      <c r="G314" s="27"/>
      <c r="H314" s="27"/>
      <c r="I314" s="27"/>
      <c r="J314" s="27"/>
      <c r="K314" s="27"/>
      <c r="L314" s="27"/>
      <c r="M314" s="27"/>
      <c r="N314" s="27"/>
      <c r="O314" s="27"/>
      <c r="P314" s="27"/>
      <c r="Q314" s="27"/>
      <c r="R314" s="27"/>
      <c r="S314" s="27"/>
      <c r="T314" s="27"/>
      <c r="U314" s="27"/>
      <c r="V314" s="27"/>
      <c r="W314" s="27"/>
      <c r="X314" s="27"/>
      <c r="Y314" s="27"/>
      <c r="Z314" s="27"/>
      <c r="AA314" s="27"/>
      <c r="AB314" s="27"/>
      <c r="AC314" s="27"/>
      <c r="AD314" s="27"/>
      <c r="AE314" s="27"/>
      <c r="AF314" s="27"/>
      <c r="AG314" s="27"/>
      <c r="AH314" s="27"/>
      <c r="AI314" s="27"/>
      <c r="AJ314" s="27"/>
      <c r="AK314" s="27"/>
      <c r="AL314" s="27"/>
      <c r="AM314" s="27"/>
      <c r="AN314" s="27"/>
      <c r="AO314" s="27"/>
      <c r="AP314" s="27"/>
      <c r="AQ314" s="27"/>
      <c r="AR314" s="27"/>
      <c r="AS314" s="27"/>
      <c r="AT314" s="27"/>
      <c r="AU314" s="27"/>
      <c r="AV314" s="27"/>
      <c r="AW314" s="27"/>
      <c r="AX314" s="27"/>
      <c r="AY314" s="27"/>
      <c r="AZ314" s="27"/>
      <c r="BA314" s="27"/>
      <c r="BB314" s="27"/>
      <c r="BC314" s="27"/>
      <c r="BD314" s="27"/>
      <c r="BE314" s="27"/>
      <c r="BF314" s="27"/>
      <c r="BG314" s="27"/>
      <c r="BH314" s="27"/>
      <c r="BI314" s="27"/>
      <c r="BJ314" s="27"/>
      <c r="BK314" s="27"/>
      <c r="BL314" s="27"/>
      <c r="BM314" s="27"/>
      <c r="BN314" s="27"/>
      <c r="BO314" s="27"/>
      <c r="BP314" s="27"/>
      <c r="BQ314" s="27"/>
      <c r="BR314" s="27"/>
      <c r="BS314" s="27"/>
      <c r="BT314" s="27"/>
      <c r="BU314" s="27"/>
      <c r="BV314" s="27"/>
      <c r="BW314" s="27"/>
      <c r="BX314" s="27"/>
      <c r="BY314" s="27"/>
      <c r="BZ314" s="27"/>
      <c r="CA314" s="27"/>
      <c r="CB314" s="27"/>
      <c r="CC314" s="27"/>
      <c r="CD314" s="27"/>
      <c r="CE314" s="27"/>
      <c r="CF314" s="27"/>
      <c r="CG314" s="27"/>
      <c r="CH314" s="27"/>
      <c r="CI314" s="27"/>
      <c r="CJ314" s="27"/>
      <c r="CK314" s="27"/>
      <c r="CL314" s="27"/>
      <c r="CM314" s="27"/>
      <c r="CN314" s="27"/>
      <c r="CO314" s="27"/>
      <c r="CP314" s="27"/>
      <c r="CQ314" s="27"/>
      <c r="CR314" s="27"/>
      <c r="CS314" s="27"/>
      <c r="CT314" s="27"/>
      <c r="CU314" s="27"/>
      <c r="CV314" s="27"/>
      <c r="CW314" s="27"/>
      <c r="CX314" s="27"/>
      <c r="CY314" s="27"/>
      <c r="CZ314" s="27"/>
      <c r="DA314" s="27"/>
      <c r="DB314" s="27"/>
      <c r="DC314" s="27"/>
      <c r="DD314" s="27"/>
      <c r="DE314" s="27"/>
      <c r="DF314" s="27"/>
      <c r="DG314" s="27"/>
      <c r="DH314" s="27"/>
      <c r="DI314" s="27"/>
      <c r="DJ314" s="27"/>
      <c r="DK314" s="27"/>
      <c r="DL314" s="27"/>
      <c r="DM314" s="27"/>
      <c r="DN314" s="27"/>
      <c r="DO314" s="27"/>
      <c r="DP314" s="27"/>
      <c r="DQ314" s="27"/>
      <c r="DR314" s="27"/>
      <c r="DS314" s="27"/>
      <c r="DT314" s="27"/>
    </row>
    <row r="315" spans="2:124" x14ac:dyDescent="0.2">
      <c r="B315" s="27"/>
      <c r="C315" s="27"/>
      <c r="D315" s="27"/>
      <c r="E315" s="27"/>
      <c r="F315" s="27"/>
      <c r="G315" s="27"/>
      <c r="H315" s="27"/>
      <c r="I315" s="27"/>
      <c r="J315" s="27"/>
      <c r="K315" s="27"/>
      <c r="L315" s="27"/>
      <c r="M315" s="27"/>
      <c r="N315" s="27"/>
      <c r="O315" s="27"/>
      <c r="P315" s="27"/>
      <c r="Q315" s="27"/>
      <c r="R315" s="27"/>
      <c r="S315" s="27"/>
      <c r="T315" s="27"/>
      <c r="U315" s="27"/>
      <c r="V315" s="27"/>
      <c r="W315" s="27"/>
      <c r="X315" s="27"/>
      <c r="Y315" s="27"/>
      <c r="Z315" s="27"/>
      <c r="AA315" s="27"/>
      <c r="AB315" s="27"/>
      <c r="AC315" s="27"/>
      <c r="AD315" s="27"/>
      <c r="AE315" s="27"/>
      <c r="AF315" s="27"/>
      <c r="AG315" s="27"/>
      <c r="AH315" s="27"/>
      <c r="AI315" s="27"/>
      <c r="AJ315" s="27"/>
      <c r="AK315" s="27"/>
      <c r="AL315" s="27"/>
      <c r="AM315" s="27"/>
      <c r="AN315" s="27"/>
      <c r="AO315" s="27"/>
      <c r="AP315" s="27"/>
      <c r="AQ315" s="27"/>
      <c r="AR315" s="27"/>
      <c r="AS315" s="27"/>
      <c r="AT315" s="27"/>
      <c r="AU315" s="27"/>
      <c r="AV315" s="27"/>
      <c r="AW315" s="27"/>
      <c r="AX315" s="27"/>
      <c r="AY315" s="27"/>
      <c r="AZ315" s="27"/>
      <c r="BA315" s="27"/>
      <c r="BB315" s="27"/>
      <c r="BC315" s="27"/>
      <c r="BD315" s="27"/>
      <c r="BE315" s="27"/>
      <c r="BF315" s="27"/>
      <c r="BG315" s="27"/>
      <c r="BH315" s="27"/>
      <c r="BI315" s="27"/>
      <c r="BJ315" s="27"/>
      <c r="BK315" s="27"/>
      <c r="BL315" s="27"/>
      <c r="BM315" s="27"/>
      <c r="BN315" s="27"/>
      <c r="BO315" s="27"/>
      <c r="BP315" s="27"/>
      <c r="BQ315" s="27"/>
      <c r="BR315" s="27"/>
      <c r="BS315" s="27"/>
      <c r="BT315" s="27"/>
      <c r="BU315" s="27"/>
      <c r="BV315" s="27"/>
      <c r="BW315" s="27"/>
      <c r="BX315" s="27"/>
      <c r="BY315" s="27"/>
      <c r="BZ315" s="27"/>
      <c r="CA315" s="27"/>
      <c r="CB315" s="27"/>
      <c r="CC315" s="27"/>
      <c r="CD315" s="27"/>
      <c r="CE315" s="27"/>
      <c r="CF315" s="27"/>
      <c r="CG315" s="27"/>
      <c r="CH315" s="27"/>
      <c r="CI315" s="27"/>
      <c r="CJ315" s="27"/>
      <c r="CK315" s="27"/>
      <c r="CL315" s="27"/>
      <c r="CM315" s="27"/>
      <c r="CN315" s="27"/>
      <c r="CO315" s="27"/>
      <c r="CP315" s="27"/>
      <c r="CQ315" s="27"/>
      <c r="CR315" s="27"/>
      <c r="CS315" s="27"/>
      <c r="CT315" s="27"/>
      <c r="CU315" s="27"/>
      <c r="CV315" s="27"/>
      <c r="CW315" s="27"/>
      <c r="CX315" s="27"/>
      <c r="CY315" s="27"/>
      <c r="CZ315" s="27"/>
      <c r="DA315" s="27"/>
      <c r="DB315" s="27"/>
      <c r="DC315" s="27"/>
      <c r="DD315" s="27"/>
      <c r="DE315" s="27"/>
      <c r="DF315" s="27"/>
      <c r="DG315" s="27"/>
      <c r="DH315" s="27"/>
      <c r="DI315" s="27"/>
      <c r="DJ315" s="27"/>
      <c r="DK315" s="27"/>
      <c r="DL315" s="27"/>
      <c r="DM315" s="27"/>
      <c r="DN315" s="27"/>
      <c r="DO315" s="27"/>
      <c r="DP315" s="27"/>
      <c r="DQ315" s="27"/>
      <c r="DR315" s="27"/>
      <c r="DS315" s="27"/>
      <c r="DT315" s="27"/>
    </row>
    <row r="316" spans="2:124" x14ac:dyDescent="0.2">
      <c r="B316" s="27"/>
      <c r="C316" s="27"/>
      <c r="D316" s="27"/>
      <c r="E316" s="27"/>
      <c r="F316" s="27"/>
      <c r="G316" s="27"/>
      <c r="H316" s="27"/>
      <c r="I316" s="27"/>
      <c r="J316" s="27"/>
      <c r="K316" s="27"/>
      <c r="L316" s="27"/>
      <c r="M316" s="27"/>
      <c r="N316" s="27"/>
      <c r="O316" s="27"/>
      <c r="P316" s="27"/>
      <c r="Q316" s="27"/>
      <c r="R316" s="27"/>
      <c r="S316" s="27"/>
      <c r="T316" s="27"/>
      <c r="U316" s="27"/>
      <c r="V316" s="27"/>
      <c r="W316" s="27"/>
      <c r="X316" s="27"/>
      <c r="Y316" s="27"/>
      <c r="Z316" s="27"/>
      <c r="AA316" s="27"/>
      <c r="AB316" s="27"/>
      <c r="AC316" s="27"/>
      <c r="AD316" s="27"/>
      <c r="AE316" s="27"/>
      <c r="AF316" s="27"/>
      <c r="AG316" s="27"/>
      <c r="AH316" s="27"/>
      <c r="AI316" s="27"/>
      <c r="AJ316" s="27"/>
      <c r="AK316" s="27"/>
      <c r="AL316" s="27"/>
      <c r="AM316" s="27"/>
      <c r="AN316" s="27"/>
      <c r="AO316" s="27"/>
      <c r="AP316" s="27"/>
      <c r="AQ316" s="27"/>
      <c r="AR316" s="27"/>
      <c r="AS316" s="27"/>
      <c r="AT316" s="27"/>
      <c r="AU316" s="27"/>
      <c r="AV316" s="27"/>
      <c r="AW316" s="27"/>
      <c r="AX316" s="27"/>
      <c r="AY316" s="27"/>
      <c r="AZ316" s="27"/>
      <c r="BA316" s="27"/>
      <c r="BB316" s="27"/>
      <c r="BC316" s="27"/>
      <c r="BD316" s="27"/>
      <c r="BE316" s="27"/>
      <c r="BF316" s="27"/>
      <c r="BG316" s="27"/>
      <c r="BH316" s="27"/>
      <c r="BI316" s="27"/>
      <c r="BJ316" s="27"/>
      <c r="BK316" s="27"/>
      <c r="BL316" s="27"/>
      <c r="BM316" s="27"/>
      <c r="BN316" s="27"/>
      <c r="BO316" s="27"/>
      <c r="BP316" s="27"/>
      <c r="BQ316" s="27"/>
      <c r="BR316" s="27"/>
      <c r="BS316" s="27"/>
      <c r="BT316" s="27"/>
      <c r="BU316" s="27"/>
      <c r="BV316" s="27"/>
      <c r="BW316" s="27"/>
      <c r="BX316" s="27"/>
      <c r="BY316" s="27"/>
      <c r="BZ316" s="27"/>
      <c r="CA316" s="27"/>
      <c r="CB316" s="27"/>
      <c r="CC316" s="27"/>
      <c r="CD316" s="27"/>
      <c r="CE316" s="27"/>
      <c r="CF316" s="27"/>
      <c r="CG316" s="27"/>
      <c r="CH316" s="27"/>
      <c r="CI316" s="27"/>
      <c r="CJ316" s="27"/>
      <c r="CK316" s="27"/>
      <c r="CL316" s="27"/>
      <c r="CM316" s="27"/>
      <c r="CN316" s="27"/>
      <c r="CO316" s="27"/>
      <c r="CP316" s="27"/>
      <c r="CQ316" s="27"/>
      <c r="CR316" s="27"/>
      <c r="CS316" s="27"/>
      <c r="CT316" s="27"/>
      <c r="CU316" s="27"/>
      <c r="CV316" s="27"/>
      <c r="CW316" s="27"/>
      <c r="CX316" s="27"/>
      <c r="CY316" s="27"/>
      <c r="CZ316" s="27"/>
      <c r="DA316" s="27"/>
      <c r="DB316" s="27"/>
      <c r="DC316" s="27"/>
      <c r="DD316" s="27"/>
      <c r="DE316" s="27"/>
      <c r="DF316" s="27"/>
      <c r="DG316" s="27"/>
      <c r="DH316" s="27"/>
      <c r="DI316" s="27"/>
      <c r="DJ316" s="27"/>
      <c r="DK316" s="27"/>
      <c r="DL316" s="27"/>
      <c r="DM316" s="27"/>
      <c r="DN316" s="27"/>
      <c r="DO316" s="27"/>
      <c r="DP316" s="27"/>
      <c r="DQ316" s="27"/>
      <c r="DR316" s="27"/>
      <c r="DS316" s="27"/>
      <c r="DT316" s="27"/>
    </row>
    <row r="317" spans="2:124" x14ac:dyDescent="0.2">
      <c r="B317" s="27"/>
      <c r="C317" s="27"/>
      <c r="D317" s="27"/>
      <c r="E317" s="27"/>
      <c r="F317" s="27"/>
      <c r="G317" s="27"/>
      <c r="H317" s="27"/>
      <c r="I317" s="27"/>
      <c r="J317" s="27"/>
      <c r="K317" s="27"/>
      <c r="L317" s="27"/>
      <c r="M317" s="27"/>
      <c r="N317" s="27"/>
      <c r="O317" s="27"/>
      <c r="P317" s="27"/>
      <c r="Q317" s="27"/>
      <c r="R317" s="27"/>
      <c r="S317" s="27"/>
      <c r="T317" s="27"/>
      <c r="U317" s="27"/>
      <c r="V317" s="27"/>
      <c r="W317" s="27"/>
      <c r="X317" s="27"/>
      <c r="Y317" s="27"/>
      <c r="Z317" s="27"/>
      <c r="AA317" s="27"/>
      <c r="AB317" s="27"/>
      <c r="AC317" s="27"/>
      <c r="AD317" s="27"/>
      <c r="AE317" s="27"/>
      <c r="AF317" s="27"/>
      <c r="AG317" s="27"/>
      <c r="AH317" s="27"/>
      <c r="AI317" s="27"/>
      <c r="AJ317" s="27"/>
      <c r="AK317" s="27"/>
      <c r="AL317" s="27"/>
      <c r="AM317" s="27"/>
      <c r="AN317" s="27"/>
      <c r="AO317" s="27"/>
      <c r="AP317" s="27"/>
      <c r="AQ317" s="27"/>
      <c r="AR317" s="27"/>
      <c r="AS317" s="27"/>
      <c r="AT317" s="27"/>
      <c r="AU317" s="27"/>
      <c r="AV317" s="27"/>
      <c r="AW317" s="27"/>
      <c r="AX317" s="27"/>
      <c r="AY317" s="27"/>
      <c r="AZ317" s="27"/>
      <c r="BA317" s="27"/>
      <c r="BB317" s="27"/>
      <c r="BC317" s="27"/>
      <c r="BD317" s="27"/>
      <c r="BE317" s="27"/>
      <c r="BF317" s="27"/>
      <c r="BG317" s="27"/>
      <c r="BH317" s="27"/>
      <c r="BI317" s="27"/>
      <c r="BJ317" s="27"/>
      <c r="BK317" s="27"/>
      <c r="BL317" s="27"/>
      <c r="BM317" s="27"/>
      <c r="BN317" s="27"/>
      <c r="BO317" s="27"/>
      <c r="BP317" s="27"/>
      <c r="BQ317" s="27"/>
      <c r="BR317" s="27"/>
      <c r="BS317" s="27"/>
      <c r="BT317" s="27"/>
      <c r="BU317" s="27"/>
      <c r="BV317" s="27"/>
      <c r="BW317" s="27"/>
      <c r="BX317" s="27"/>
      <c r="BY317" s="27"/>
      <c r="BZ317" s="27"/>
      <c r="CA317" s="27"/>
      <c r="CB317" s="27"/>
      <c r="CC317" s="27"/>
      <c r="CD317" s="27"/>
      <c r="CE317" s="27"/>
      <c r="CF317" s="27"/>
      <c r="CG317" s="27"/>
      <c r="CH317" s="27"/>
      <c r="CI317" s="27"/>
      <c r="CJ317" s="27"/>
      <c r="CK317" s="27"/>
      <c r="CL317" s="27"/>
      <c r="CM317" s="27"/>
      <c r="CN317" s="27"/>
      <c r="CO317" s="27"/>
      <c r="CP317" s="27"/>
      <c r="CQ317" s="27"/>
      <c r="CR317" s="27"/>
      <c r="CS317" s="27"/>
      <c r="CT317" s="27"/>
      <c r="CU317" s="27"/>
      <c r="CV317" s="27"/>
      <c r="CW317" s="27"/>
      <c r="CX317" s="27"/>
      <c r="CY317" s="27"/>
      <c r="CZ317" s="27"/>
      <c r="DA317" s="27"/>
      <c r="DB317" s="27"/>
      <c r="DC317" s="27"/>
      <c r="DD317" s="27"/>
      <c r="DE317" s="27"/>
      <c r="DF317" s="27"/>
      <c r="DG317" s="27"/>
      <c r="DH317" s="27"/>
      <c r="DI317" s="27"/>
      <c r="DJ317" s="27"/>
      <c r="DK317" s="27"/>
      <c r="DL317" s="27"/>
      <c r="DM317" s="27"/>
      <c r="DN317" s="27"/>
      <c r="DO317" s="27"/>
      <c r="DP317" s="27"/>
      <c r="DQ317" s="27"/>
      <c r="DR317" s="27"/>
      <c r="DS317" s="27"/>
      <c r="DT317" s="27"/>
    </row>
    <row r="318" spans="2:124" x14ac:dyDescent="0.2">
      <c r="B318" s="27"/>
      <c r="C318" s="27"/>
      <c r="D318" s="27"/>
      <c r="E318" s="27"/>
      <c r="F318" s="27"/>
      <c r="G318" s="27"/>
      <c r="H318" s="27"/>
      <c r="I318" s="27"/>
      <c r="J318" s="27"/>
      <c r="K318" s="27"/>
      <c r="L318" s="27"/>
      <c r="M318" s="27"/>
      <c r="N318" s="27"/>
      <c r="O318" s="27"/>
      <c r="P318" s="27"/>
      <c r="Q318" s="27"/>
      <c r="R318" s="27"/>
      <c r="S318" s="27"/>
      <c r="T318" s="27"/>
      <c r="U318" s="27"/>
      <c r="V318" s="27"/>
      <c r="W318" s="27"/>
      <c r="X318" s="27"/>
      <c r="Y318" s="27"/>
      <c r="Z318" s="27"/>
      <c r="AA318" s="27"/>
      <c r="AB318" s="27"/>
      <c r="AC318" s="27"/>
      <c r="AD318" s="27"/>
      <c r="AE318" s="27"/>
      <c r="AF318" s="27"/>
      <c r="AG318" s="27"/>
      <c r="AH318" s="27"/>
      <c r="AI318" s="27"/>
      <c r="AJ318" s="27"/>
      <c r="AK318" s="27"/>
      <c r="AL318" s="27"/>
      <c r="AM318" s="27"/>
      <c r="AN318" s="27"/>
      <c r="AO318" s="27"/>
      <c r="AP318" s="27"/>
      <c r="AQ318" s="27"/>
      <c r="AR318" s="27"/>
      <c r="AS318" s="27"/>
      <c r="AT318" s="27"/>
      <c r="AU318" s="27"/>
      <c r="AV318" s="27"/>
      <c r="AW318" s="27"/>
      <c r="AX318" s="27"/>
      <c r="AY318" s="27"/>
      <c r="AZ318" s="27"/>
      <c r="BA318" s="27"/>
      <c r="BB318" s="27"/>
      <c r="BC318" s="27"/>
      <c r="BD318" s="27"/>
      <c r="BE318" s="27"/>
      <c r="BF318" s="27"/>
      <c r="BG318" s="27"/>
      <c r="BH318" s="27"/>
      <c r="BI318" s="27"/>
      <c r="BJ318" s="27"/>
      <c r="BK318" s="27"/>
      <c r="BL318" s="27"/>
      <c r="BM318" s="27"/>
      <c r="BN318" s="27"/>
      <c r="BO318" s="27"/>
      <c r="BP318" s="27"/>
      <c r="BQ318" s="27"/>
      <c r="BR318" s="27"/>
      <c r="BS318" s="27"/>
      <c r="BT318" s="27"/>
      <c r="BU318" s="27"/>
      <c r="BV318" s="27"/>
      <c r="BW318" s="27"/>
      <c r="BX318" s="27"/>
      <c r="BY318" s="27"/>
      <c r="BZ318" s="27"/>
      <c r="CA318" s="27"/>
      <c r="CB318" s="27"/>
      <c r="CC318" s="27"/>
      <c r="CD318" s="27"/>
      <c r="CE318" s="27"/>
      <c r="CF318" s="27"/>
      <c r="CG318" s="27"/>
      <c r="CH318" s="27"/>
      <c r="CI318" s="27"/>
      <c r="CJ318" s="27"/>
      <c r="CK318" s="27"/>
      <c r="CL318" s="27"/>
      <c r="CM318" s="27"/>
      <c r="CN318" s="27"/>
      <c r="CO318" s="27"/>
      <c r="CP318" s="27"/>
      <c r="CQ318" s="27"/>
      <c r="CR318" s="27"/>
      <c r="CS318" s="27"/>
      <c r="CT318" s="27"/>
      <c r="CU318" s="27"/>
      <c r="CV318" s="27"/>
      <c r="CW318" s="27"/>
      <c r="CX318" s="27"/>
      <c r="CY318" s="27"/>
      <c r="CZ318" s="27"/>
      <c r="DA318" s="27"/>
      <c r="DB318" s="27"/>
      <c r="DC318" s="27"/>
      <c r="DD318" s="27"/>
      <c r="DE318" s="27"/>
      <c r="DF318" s="27"/>
      <c r="DG318" s="27"/>
      <c r="DH318" s="27"/>
      <c r="DI318" s="27"/>
      <c r="DJ318" s="27"/>
      <c r="DK318" s="27"/>
      <c r="DL318" s="27"/>
      <c r="DM318" s="27"/>
      <c r="DN318" s="27"/>
      <c r="DO318" s="27"/>
      <c r="DP318" s="27"/>
      <c r="DQ318" s="27"/>
      <c r="DR318" s="27"/>
      <c r="DS318" s="27"/>
      <c r="DT318" s="27"/>
    </row>
    <row r="319" spans="2:124" x14ac:dyDescent="0.2">
      <c r="B319" s="27"/>
      <c r="C319" s="27"/>
      <c r="D319" s="27"/>
      <c r="E319" s="27"/>
      <c r="F319" s="27"/>
      <c r="G319" s="27"/>
      <c r="H319" s="27"/>
      <c r="I319" s="27"/>
      <c r="J319" s="27"/>
      <c r="K319" s="27"/>
      <c r="L319" s="27"/>
      <c r="M319" s="27"/>
      <c r="N319" s="27"/>
      <c r="O319" s="27"/>
      <c r="P319" s="27"/>
      <c r="Q319" s="27"/>
      <c r="R319" s="27"/>
      <c r="S319" s="27"/>
      <c r="T319" s="27"/>
      <c r="U319" s="27"/>
      <c r="V319" s="27"/>
      <c r="W319" s="27"/>
      <c r="X319" s="27"/>
      <c r="Y319" s="27"/>
      <c r="Z319" s="27"/>
      <c r="AA319" s="27"/>
      <c r="AB319" s="27"/>
      <c r="AC319" s="27"/>
      <c r="AD319" s="27"/>
      <c r="AE319" s="27"/>
      <c r="AF319" s="27"/>
      <c r="AG319" s="27"/>
      <c r="AH319" s="27"/>
      <c r="AI319" s="27"/>
      <c r="AJ319" s="27"/>
      <c r="AK319" s="27"/>
      <c r="AL319" s="27"/>
      <c r="AM319" s="27"/>
      <c r="AN319" s="27"/>
      <c r="AO319" s="27"/>
      <c r="AP319" s="27"/>
      <c r="AQ319" s="27"/>
      <c r="AR319" s="27"/>
      <c r="AS319" s="27"/>
      <c r="AT319" s="27"/>
      <c r="AU319" s="27"/>
      <c r="AV319" s="27"/>
      <c r="AW319" s="27"/>
      <c r="AX319" s="27"/>
      <c r="AY319" s="27"/>
      <c r="AZ319" s="27"/>
      <c r="BA319" s="27"/>
      <c r="BB319" s="27"/>
      <c r="BC319" s="27"/>
      <c r="BD319" s="27"/>
      <c r="BE319" s="27"/>
      <c r="BF319" s="27"/>
      <c r="BG319" s="27"/>
      <c r="BH319" s="27"/>
      <c r="BI319" s="27"/>
      <c r="BJ319" s="27"/>
      <c r="BK319" s="27"/>
      <c r="BL319" s="27"/>
      <c r="BM319" s="27"/>
      <c r="BN319" s="27"/>
      <c r="BO319" s="27"/>
      <c r="BP319" s="27"/>
      <c r="BQ319" s="27"/>
      <c r="BR319" s="27"/>
      <c r="BS319" s="27"/>
      <c r="BT319" s="27"/>
      <c r="BU319" s="27"/>
      <c r="BV319" s="27"/>
      <c r="BW319" s="27"/>
      <c r="BX319" s="27"/>
      <c r="BY319" s="27"/>
      <c r="BZ319" s="27"/>
      <c r="CA319" s="27"/>
      <c r="CB319" s="27"/>
      <c r="CC319" s="27"/>
      <c r="CD319" s="27"/>
      <c r="CE319" s="27"/>
      <c r="CF319" s="27"/>
      <c r="CG319" s="27"/>
      <c r="CH319" s="27"/>
      <c r="CI319" s="27"/>
      <c r="CJ319" s="27"/>
      <c r="CK319" s="27"/>
      <c r="CL319" s="27"/>
      <c r="CM319" s="27"/>
      <c r="CN319" s="27"/>
      <c r="CO319" s="27"/>
      <c r="CP319" s="27"/>
      <c r="CQ319" s="27"/>
      <c r="CR319" s="27"/>
      <c r="CS319" s="27"/>
      <c r="CT319" s="27"/>
      <c r="CU319" s="27"/>
      <c r="CV319" s="27"/>
      <c r="CW319" s="27"/>
      <c r="CX319" s="27"/>
      <c r="CY319" s="27"/>
      <c r="CZ319" s="27"/>
      <c r="DA319" s="27"/>
      <c r="DB319" s="27"/>
      <c r="DC319" s="27"/>
      <c r="DD319" s="27"/>
      <c r="DE319" s="27"/>
      <c r="DF319" s="27"/>
      <c r="DG319" s="27"/>
      <c r="DH319" s="27"/>
      <c r="DI319" s="27"/>
      <c r="DJ319" s="27"/>
      <c r="DK319" s="27"/>
      <c r="DL319" s="27"/>
      <c r="DM319" s="27"/>
      <c r="DN319" s="27"/>
      <c r="DO319" s="27"/>
      <c r="DP319" s="27"/>
      <c r="DQ319" s="27"/>
      <c r="DR319" s="27"/>
      <c r="DS319" s="27"/>
      <c r="DT319" s="27"/>
    </row>
    <row r="320" spans="2:124" x14ac:dyDescent="0.2">
      <c r="B320" s="27"/>
      <c r="C320" s="27"/>
      <c r="D320" s="27"/>
      <c r="E320" s="27"/>
      <c r="F320" s="27"/>
      <c r="G320" s="27"/>
      <c r="H320" s="27"/>
      <c r="I320" s="27"/>
      <c r="J320" s="27"/>
      <c r="K320" s="27"/>
      <c r="L320" s="27"/>
      <c r="M320" s="27"/>
      <c r="N320" s="27"/>
      <c r="O320" s="27"/>
      <c r="P320" s="27"/>
      <c r="Q320" s="27"/>
      <c r="R320" s="27"/>
      <c r="S320" s="27"/>
      <c r="T320" s="27"/>
      <c r="U320" s="27"/>
      <c r="V320" s="27"/>
      <c r="W320" s="27"/>
      <c r="X320" s="27"/>
      <c r="Y320" s="27"/>
      <c r="Z320" s="27"/>
      <c r="AA320" s="27"/>
      <c r="AB320" s="27"/>
      <c r="AC320" s="27"/>
      <c r="AD320" s="27"/>
      <c r="AE320" s="27"/>
      <c r="AF320" s="27"/>
      <c r="AG320" s="27"/>
      <c r="AH320" s="27"/>
      <c r="AI320" s="27"/>
      <c r="AJ320" s="27"/>
      <c r="AK320" s="27"/>
      <c r="AL320" s="27"/>
      <c r="AM320" s="27"/>
      <c r="AN320" s="27"/>
      <c r="AO320" s="27"/>
      <c r="AP320" s="27"/>
      <c r="AQ320" s="27"/>
      <c r="AR320" s="27"/>
      <c r="AS320" s="27"/>
      <c r="AT320" s="27"/>
      <c r="AU320" s="27"/>
      <c r="AV320" s="27"/>
      <c r="AW320" s="27"/>
      <c r="AX320" s="27"/>
      <c r="AY320" s="27"/>
      <c r="AZ320" s="27"/>
      <c r="BA320" s="27"/>
      <c r="BB320" s="27"/>
      <c r="BC320" s="27"/>
      <c r="BD320" s="27"/>
      <c r="BE320" s="27"/>
      <c r="BF320" s="27"/>
      <c r="BG320" s="27"/>
      <c r="BH320" s="27"/>
      <c r="BI320" s="27"/>
      <c r="BJ320" s="27"/>
      <c r="BK320" s="27"/>
      <c r="BL320" s="27"/>
      <c r="BM320" s="27"/>
      <c r="BN320" s="27"/>
      <c r="BO320" s="27"/>
      <c r="BP320" s="27"/>
      <c r="BQ320" s="27"/>
      <c r="BR320" s="27"/>
      <c r="BS320" s="27"/>
      <c r="BT320" s="27"/>
      <c r="BU320" s="27"/>
      <c r="BV320" s="27"/>
      <c r="BW320" s="27"/>
      <c r="BX320" s="27"/>
      <c r="BY320" s="27"/>
      <c r="BZ320" s="27"/>
      <c r="CA320" s="27"/>
      <c r="CB320" s="27"/>
      <c r="CC320" s="27"/>
      <c r="CD320" s="27"/>
      <c r="CE320" s="27"/>
      <c r="CF320" s="27"/>
      <c r="CG320" s="27"/>
      <c r="CH320" s="27"/>
      <c r="CI320" s="27"/>
      <c r="CJ320" s="27"/>
      <c r="CK320" s="27"/>
      <c r="CL320" s="27"/>
      <c r="CM320" s="27"/>
      <c r="CN320" s="27"/>
      <c r="CO320" s="27"/>
      <c r="CP320" s="27"/>
      <c r="CQ320" s="27"/>
      <c r="CR320" s="27"/>
      <c r="CS320" s="27"/>
      <c r="CT320" s="27"/>
      <c r="CU320" s="27"/>
      <c r="CV320" s="27"/>
      <c r="CW320" s="27"/>
      <c r="CX320" s="27"/>
      <c r="CY320" s="27"/>
      <c r="CZ320" s="27"/>
      <c r="DA320" s="27"/>
      <c r="DB320" s="27"/>
      <c r="DC320" s="27"/>
      <c r="DD320" s="27"/>
      <c r="DE320" s="27"/>
      <c r="DF320" s="27"/>
      <c r="DG320" s="27"/>
      <c r="DH320" s="27"/>
      <c r="DI320" s="27"/>
      <c r="DJ320" s="27"/>
      <c r="DK320" s="27"/>
      <c r="DL320" s="27"/>
      <c r="DM320" s="27"/>
      <c r="DN320" s="27"/>
      <c r="DO320" s="27"/>
      <c r="DP320" s="27"/>
      <c r="DQ320" s="27"/>
      <c r="DR320" s="27"/>
      <c r="DS320" s="27"/>
      <c r="DT320" s="27"/>
    </row>
    <row r="321" spans="2:124" x14ac:dyDescent="0.2">
      <c r="B321" s="27"/>
      <c r="C321" s="27"/>
      <c r="D321" s="27"/>
      <c r="E321" s="27"/>
      <c r="F321" s="27"/>
      <c r="G321" s="27"/>
      <c r="H321" s="27"/>
      <c r="I321" s="27"/>
      <c r="J321" s="27"/>
      <c r="K321" s="27"/>
      <c r="L321" s="27"/>
      <c r="M321" s="27"/>
      <c r="N321" s="27"/>
      <c r="O321" s="27"/>
      <c r="P321" s="27"/>
      <c r="Q321" s="27"/>
      <c r="R321" s="27"/>
      <c r="S321" s="27"/>
      <c r="T321" s="27"/>
      <c r="U321" s="27"/>
      <c r="V321" s="27"/>
      <c r="W321" s="27"/>
      <c r="X321" s="27"/>
      <c r="Y321" s="27"/>
      <c r="Z321" s="27"/>
      <c r="AA321" s="27"/>
      <c r="AB321" s="27"/>
      <c r="AC321" s="27"/>
      <c r="AD321" s="27"/>
      <c r="AE321" s="27"/>
      <c r="AF321" s="27"/>
      <c r="AG321" s="27"/>
      <c r="AH321" s="27"/>
      <c r="AI321" s="27"/>
      <c r="AJ321" s="27"/>
      <c r="AK321" s="27"/>
      <c r="AL321" s="27"/>
      <c r="AM321" s="27"/>
      <c r="AN321" s="27"/>
      <c r="AO321" s="27"/>
      <c r="AP321" s="27"/>
      <c r="AQ321" s="27"/>
      <c r="AR321" s="27"/>
      <c r="AS321" s="27"/>
      <c r="AT321" s="27"/>
      <c r="AU321" s="27"/>
      <c r="AV321" s="27"/>
      <c r="AW321" s="27"/>
      <c r="AX321" s="27"/>
      <c r="AY321" s="27"/>
      <c r="AZ321" s="27"/>
      <c r="BA321" s="27"/>
      <c r="BB321" s="27"/>
      <c r="BC321" s="27"/>
      <c r="BD321" s="27"/>
      <c r="BE321" s="27"/>
      <c r="BF321" s="27"/>
      <c r="BG321" s="27"/>
      <c r="BH321" s="27"/>
      <c r="BI321" s="27"/>
      <c r="BJ321" s="27"/>
      <c r="BK321" s="27"/>
      <c r="BL321" s="27"/>
      <c r="BM321" s="27"/>
      <c r="BN321" s="27"/>
      <c r="BO321" s="27"/>
      <c r="BP321" s="27"/>
      <c r="BQ321" s="27"/>
      <c r="BR321" s="27"/>
      <c r="BS321" s="27"/>
      <c r="BT321" s="27"/>
      <c r="BU321" s="27"/>
      <c r="BV321" s="27"/>
      <c r="BW321" s="27"/>
      <c r="BX321" s="27"/>
      <c r="BY321" s="27"/>
      <c r="BZ321" s="27"/>
      <c r="CA321" s="27"/>
      <c r="CB321" s="27"/>
      <c r="CC321" s="27"/>
      <c r="CD321" s="27"/>
      <c r="CE321" s="27"/>
      <c r="CF321" s="27"/>
      <c r="CG321" s="27"/>
      <c r="CH321" s="27"/>
      <c r="CI321" s="27"/>
      <c r="CJ321" s="27"/>
      <c r="CK321" s="27"/>
      <c r="CL321" s="27"/>
      <c r="CM321" s="27"/>
      <c r="CN321" s="27"/>
      <c r="CO321" s="27"/>
      <c r="CP321" s="27"/>
      <c r="CQ321" s="27"/>
      <c r="CR321" s="27"/>
      <c r="CS321" s="27"/>
      <c r="CT321" s="27"/>
      <c r="CU321" s="27"/>
      <c r="CV321" s="27"/>
      <c r="CW321" s="27"/>
      <c r="CX321" s="27"/>
      <c r="CY321" s="27"/>
      <c r="CZ321" s="27"/>
      <c r="DA321" s="27"/>
      <c r="DB321" s="27"/>
      <c r="DC321" s="27"/>
      <c r="DD321" s="27"/>
      <c r="DE321" s="27"/>
      <c r="DF321" s="27"/>
      <c r="DG321" s="27"/>
      <c r="DH321" s="27"/>
      <c r="DI321" s="27"/>
      <c r="DJ321" s="27"/>
      <c r="DK321" s="27"/>
      <c r="DL321" s="27"/>
      <c r="DM321" s="27"/>
      <c r="DN321" s="27"/>
      <c r="DO321" s="27"/>
      <c r="DP321" s="27"/>
      <c r="DQ321" s="27"/>
      <c r="DR321" s="27"/>
      <c r="DS321" s="27"/>
      <c r="DT321" s="27"/>
    </row>
    <row r="322" spans="2:124" x14ac:dyDescent="0.2">
      <c r="B322" s="27"/>
      <c r="C322" s="27"/>
      <c r="D322" s="27"/>
      <c r="E322" s="27"/>
      <c r="F322" s="27"/>
      <c r="G322" s="27"/>
      <c r="H322" s="27"/>
      <c r="I322" s="27"/>
      <c r="J322" s="27"/>
      <c r="K322" s="27"/>
      <c r="L322" s="27"/>
      <c r="M322" s="27"/>
      <c r="N322" s="27"/>
      <c r="O322" s="27"/>
      <c r="P322" s="27"/>
      <c r="Q322" s="27"/>
      <c r="R322" s="27"/>
      <c r="S322" s="27"/>
      <c r="T322" s="27"/>
      <c r="U322" s="27"/>
      <c r="V322" s="27"/>
      <c r="W322" s="27"/>
      <c r="X322" s="27"/>
      <c r="Y322" s="27"/>
      <c r="Z322" s="27"/>
      <c r="AA322" s="27"/>
      <c r="AB322" s="27"/>
      <c r="AC322" s="27"/>
      <c r="AD322" s="27"/>
      <c r="AE322" s="27"/>
      <c r="AF322" s="27"/>
      <c r="AG322" s="27"/>
      <c r="AH322" s="27"/>
      <c r="AI322" s="27"/>
      <c r="AJ322" s="27"/>
      <c r="AK322" s="27"/>
      <c r="AL322" s="27"/>
      <c r="AM322" s="27"/>
      <c r="AN322" s="27"/>
      <c r="AO322" s="27"/>
      <c r="AP322" s="27"/>
      <c r="AQ322" s="27"/>
      <c r="AR322" s="27"/>
      <c r="AS322" s="27"/>
      <c r="AT322" s="27"/>
      <c r="AU322" s="27"/>
      <c r="AV322" s="27"/>
      <c r="AW322" s="27"/>
      <c r="AX322" s="27"/>
      <c r="AY322" s="27"/>
      <c r="AZ322" s="27"/>
      <c r="BA322" s="27"/>
      <c r="BB322" s="27"/>
      <c r="BC322" s="27"/>
      <c r="BD322" s="27"/>
      <c r="BE322" s="27"/>
      <c r="BF322" s="27"/>
      <c r="BG322" s="27"/>
      <c r="BH322" s="27"/>
      <c r="BI322" s="27"/>
      <c r="BJ322" s="27"/>
      <c r="BK322" s="27"/>
      <c r="BL322" s="27"/>
      <c r="BM322" s="27"/>
      <c r="BN322" s="27"/>
      <c r="BO322" s="27"/>
      <c r="BP322" s="27"/>
      <c r="BQ322" s="27"/>
      <c r="BR322" s="27"/>
      <c r="BS322" s="27"/>
      <c r="BT322" s="27"/>
      <c r="BU322" s="27"/>
      <c r="BV322" s="27"/>
      <c r="BW322" s="27"/>
      <c r="BX322" s="27"/>
      <c r="BY322" s="27"/>
      <c r="BZ322" s="27"/>
      <c r="CA322" s="27"/>
      <c r="CB322" s="27"/>
      <c r="CC322" s="27"/>
      <c r="CD322" s="27"/>
      <c r="CE322" s="27"/>
      <c r="CF322" s="27"/>
      <c r="CG322" s="27"/>
      <c r="CH322" s="27"/>
      <c r="CI322" s="27"/>
      <c r="CJ322" s="27"/>
      <c r="CK322" s="27"/>
      <c r="CL322" s="27"/>
      <c r="CM322" s="27"/>
      <c r="CN322" s="27"/>
      <c r="CO322" s="27"/>
      <c r="CP322" s="27"/>
      <c r="CQ322" s="27"/>
      <c r="CR322" s="27"/>
      <c r="CS322" s="27"/>
      <c r="CT322" s="27"/>
      <c r="CU322" s="27"/>
      <c r="CV322" s="27"/>
      <c r="CW322" s="27"/>
      <c r="CX322" s="27"/>
      <c r="CY322" s="27"/>
      <c r="CZ322" s="27"/>
      <c r="DA322" s="27"/>
      <c r="DB322" s="27"/>
      <c r="DC322" s="27"/>
      <c r="DD322" s="27"/>
      <c r="DE322" s="27"/>
      <c r="DF322" s="27"/>
      <c r="DG322" s="27"/>
      <c r="DH322" s="27"/>
      <c r="DI322" s="27"/>
      <c r="DJ322" s="27"/>
      <c r="DK322" s="27"/>
      <c r="DL322" s="27"/>
      <c r="DM322" s="27"/>
      <c r="DN322" s="27"/>
      <c r="DO322" s="27"/>
      <c r="DP322" s="27"/>
      <c r="DQ322" s="27"/>
      <c r="DR322" s="27"/>
      <c r="DS322" s="27"/>
      <c r="DT322" s="27"/>
    </row>
    <row r="323" spans="2:124" x14ac:dyDescent="0.2">
      <c r="B323" s="27"/>
      <c r="C323" s="27"/>
      <c r="D323" s="27"/>
      <c r="E323" s="27"/>
      <c r="F323" s="27"/>
      <c r="G323" s="27"/>
      <c r="H323" s="27"/>
      <c r="I323" s="27"/>
      <c r="J323" s="27"/>
      <c r="K323" s="27"/>
      <c r="L323" s="27"/>
      <c r="M323" s="27"/>
      <c r="N323" s="27"/>
      <c r="O323" s="27"/>
      <c r="P323" s="27"/>
      <c r="Q323" s="27"/>
      <c r="R323" s="27"/>
      <c r="S323" s="27"/>
      <c r="T323" s="27"/>
      <c r="U323" s="27"/>
      <c r="V323" s="27"/>
      <c r="W323" s="27"/>
      <c r="X323" s="27"/>
      <c r="Y323" s="27"/>
      <c r="Z323" s="27"/>
      <c r="AA323" s="27"/>
      <c r="AB323" s="27"/>
      <c r="AC323" s="27"/>
      <c r="AD323" s="27"/>
      <c r="AE323" s="27"/>
      <c r="AF323" s="27"/>
      <c r="AG323" s="27"/>
      <c r="AH323" s="27"/>
      <c r="AI323" s="27"/>
      <c r="AJ323" s="27"/>
      <c r="AK323" s="27"/>
      <c r="AL323" s="27"/>
      <c r="AM323" s="27"/>
      <c r="AN323" s="27"/>
      <c r="AO323" s="27"/>
      <c r="AP323" s="27"/>
      <c r="AQ323" s="27"/>
      <c r="AR323" s="27"/>
      <c r="AS323" s="27"/>
      <c r="AT323" s="27"/>
      <c r="AU323" s="27"/>
      <c r="AV323" s="27"/>
      <c r="AW323" s="27"/>
      <c r="AX323" s="27"/>
      <c r="AY323" s="27"/>
      <c r="AZ323" s="27"/>
      <c r="BA323" s="27"/>
      <c r="BB323" s="27"/>
      <c r="BC323" s="27"/>
      <c r="BD323" s="27"/>
      <c r="BE323" s="27"/>
      <c r="BF323" s="27"/>
      <c r="BG323" s="27"/>
      <c r="BH323" s="27"/>
      <c r="BI323" s="27"/>
      <c r="BJ323" s="27"/>
      <c r="BK323" s="27"/>
      <c r="BL323" s="27"/>
      <c r="BM323" s="27"/>
      <c r="BN323" s="27"/>
      <c r="BO323" s="27"/>
      <c r="BP323" s="27"/>
      <c r="BQ323" s="27"/>
      <c r="BR323" s="27"/>
      <c r="BS323" s="27"/>
      <c r="BT323" s="27"/>
      <c r="BU323" s="27"/>
      <c r="BV323" s="27"/>
      <c r="BW323" s="27"/>
      <c r="BX323" s="27"/>
      <c r="BY323" s="27"/>
      <c r="BZ323" s="27"/>
      <c r="CA323" s="27"/>
      <c r="CB323" s="27"/>
      <c r="CC323" s="27"/>
      <c r="CD323" s="27"/>
      <c r="CE323" s="27"/>
      <c r="CF323" s="27"/>
      <c r="CG323" s="27"/>
      <c r="CH323" s="27"/>
      <c r="CI323" s="27"/>
      <c r="CJ323" s="27"/>
      <c r="CK323" s="27"/>
      <c r="CL323" s="27"/>
      <c r="CM323" s="27"/>
      <c r="CN323" s="27"/>
      <c r="CO323" s="27"/>
      <c r="CP323" s="27"/>
      <c r="CQ323" s="27"/>
      <c r="CR323" s="27"/>
      <c r="CS323" s="27"/>
      <c r="CT323" s="27"/>
      <c r="CU323" s="27"/>
      <c r="CV323" s="27"/>
      <c r="CW323" s="27"/>
      <c r="CX323" s="27"/>
      <c r="CY323" s="27"/>
      <c r="CZ323" s="27"/>
      <c r="DA323" s="27"/>
      <c r="DB323" s="27"/>
      <c r="DC323" s="27"/>
      <c r="DD323" s="27"/>
      <c r="DE323" s="27"/>
      <c r="DF323" s="27"/>
      <c r="DG323" s="27"/>
      <c r="DH323" s="27"/>
      <c r="DI323" s="27"/>
      <c r="DJ323" s="27"/>
      <c r="DK323" s="27"/>
      <c r="DL323" s="27"/>
      <c r="DM323" s="27"/>
      <c r="DN323" s="27"/>
      <c r="DO323" s="27"/>
      <c r="DP323" s="27"/>
      <c r="DQ323" s="27"/>
      <c r="DR323" s="27"/>
      <c r="DS323" s="27"/>
      <c r="DT323" s="27"/>
    </row>
    <row r="324" spans="2:124" x14ac:dyDescent="0.2">
      <c r="B324" s="27"/>
      <c r="C324" s="27"/>
      <c r="D324" s="27"/>
      <c r="E324" s="27"/>
      <c r="F324" s="27"/>
      <c r="G324" s="27"/>
      <c r="H324" s="27"/>
      <c r="I324" s="27"/>
      <c r="J324" s="27"/>
      <c r="K324" s="27"/>
      <c r="L324" s="27"/>
      <c r="M324" s="27"/>
      <c r="N324" s="27"/>
      <c r="O324" s="27"/>
      <c r="P324" s="27"/>
      <c r="Q324" s="27"/>
      <c r="R324" s="27"/>
      <c r="S324" s="27"/>
      <c r="T324" s="27"/>
      <c r="U324" s="27"/>
      <c r="V324" s="27"/>
      <c r="W324" s="27"/>
      <c r="X324" s="27"/>
      <c r="Y324" s="27"/>
      <c r="Z324" s="27"/>
      <c r="AA324" s="27"/>
      <c r="AB324" s="27"/>
      <c r="AC324" s="27"/>
      <c r="AD324" s="27"/>
      <c r="AE324" s="27"/>
      <c r="AF324" s="27"/>
      <c r="AG324" s="27"/>
      <c r="AH324" s="27"/>
      <c r="AI324" s="27"/>
      <c r="AJ324" s="27"/>
      <c r="AK324" s="27"/>
      <c r="AL324" s="27"/>
      <c r="AM324" s="27"/>
      <c r="AN324" s="27"/>
      <c r="AO324" s="27"/>
      <c r="AP324" s="27"/>
      <c r="AQ324" s="27"/>
      <c r="AR324" s="27"/>
      <c r="AS324" s="27"/>
      <c r="AT324" s="27"/>
      <c r="AU324" s="27"/>
      <c r="AV324" s="27"/>
      <c r="AW324" s="27"/>
      <c r="AX324" s="27"/>
      <c r="AY324" s="27"/>
      <c r="AZ324" s="27"/>
      <c r="BA324" s="27"/>
      <c r="BB324" s="27"/>
      <c r="BC324" s="27"/>
      <c r="BD324" s="27"/>
      <c r="BE324" s="27"/>
      <c r="BF324" s="27"/>
      <c r="BG324" s="27"/>
      <c r="BH324" s="27"/>
      <c r="BI324" s="27"/>
      <c r="BJ324" s="27"/>
      <c r="BK324" s="27"/>
      <c r="BL324" s="27"/>
      <c r="BM324" s="27"/>
      <c r="BN324" s="27"/>
      <c r="BO324" s="27"/>
      <c r="BP324" s="27"/>
      <c r="BQ324" s="27"/>
      <c r="BR324" s="27"/>
      <c r="BS324" s="27"/>
      <c r="BT324" s="27"/>
      <c r="BU324" s="27"/>
      <c r="BV324" s="27"/>
      <c r="BW324" s="27"/>
      <c r="BX324" s="27"/>
      <c r="BY324" s="27"/>
      <c r="BZ324" s="27"/>
      <c r="CA324" s="27"/>
      <c r="CB324" s="27"/>
      <c r="CC324" s="27"/>
      <c r="CD324" s="27"/>
      <c r="CE324" s="27"/>
      <c r="CF324" s="27"/>
      <c r="CG324" s="27"/>
      <c r="CH324" s="27"/>
      <c r="CI324" s="27"/>
      <c r="CJ324" s="27"/>
      <c r="CK324" s="27"/>
      <c r="CL324" s="27"/>
      <c r="CM324" s="27"/>
      <c r="CN324" s="27"/>
      <c r="CO324" s="27"/>
      <c r="CP324" s="27"/>
      <c r="CQ324" s="27"/>
      <c r="CR324" s="27"/>
      <c r="CS324" s="27"/>
      <c r="CT324" s="27"/>
      <c r="CU324" s="27"/>
      <c r="CV324" s="27"/>
      <c r="CW324" s="27"/>
      <c r="CX324" s="27"/>
      <c r="CY324" s="27"/>
      <c r="CZ324" s="27"/>
      <c r="DA324" s="27"/>
      <c r="DB324" s="27"/>
      <c r="DC324" s="27"/>
      <c r="DD324" s="27"/>
      <c r="DE324" s="27"/>
      <c r="DF324" s="27"/>
      <c r="DG324" s="27"/>
      <c r="DH324" s="27"/>
      <c r="DI324" s="27"/>
      <c r="DJ324" s="27"/>
      <c r="DK324" s="27"/>
      <c r="DL324" s="27"/>
      <c r="DM324" s="27"/>
      <c r="DN324" s="27"/>
      <c r="DO324" s="27"/>
      <c r="DP324" s="27"/>
      <c r="DQ324" s="27"/>
      <c r="DR324" s="27"/>
      <c r="DS324" s="27"/>
      <c r="DT324" s="27"/>
    </row>
    <row r="325" spans="2:124" x14ac:dyDescent="0.2">
      <c r="B325" s="27"/>
      <c r="C325" s="27"/>
      <c r="D325" s="27"/>
      <c r="E325" s="27"/>
      <c r="F325" s="27"/>
      <c r="G325" s="27"/>
      <c r="H325" s="27"/>
      <c r="I325" s="27"/>
      <c r="J325" s="27"/>
      <c r="K325" s="27"/>
      <c r="L325" s="27"/>
      <c r="M325" s="27"/>
      <c r="N325" s="27"/>
      <c r="O325" s="27"/>
      <c r="P325" s="27"/>
      <c r="Q325" s="27"/>
      <c r="R325" s="27"/>
      <c r="S325" s="27"/>
      <c r="T325" s="27"/>
      <c r="U325" s="27"/>
      <c r="V325" s="27"/>
      <c r="W325" s="27"/>
      <c r="X325" s="27"/>
      <c r="Y325" s="27"/>
      <c r="Z325" s="27"/>
      <c r="AA325" s="27"/>
      <c r="AB325" s="27"/>
      <c r="AC325" s="27"/>
      <c r="AD325" s="27"/>
      <c r="AE325" s="27"/>
      <c r="AF325" s="27"/>
      <c r="AG325" s="27"/>
      <c r="AH325" s="27"/>
      <c r="AI325" s="27"/>
      <c r="AJ325" s="27"/>
      <c r="AK325" s="27"/>
      <c r="AL325" s="27"/>
      <c r="AM325" s="27"/>
      <c r="AN325" s="27"/>
      <c r="AO325" s="27"/>
      <c r="AP325" s="27"/>
      <c r="AQ325" s="27"/>
      <c r="AR325" s="27"/>
      <c r="AS325" s="27"/>
      <c r="AT325" s="27"/>
      <c r="AU325" s="27"/>
      <c r="AV325" s="27"/>
      <c r="AW325" s="27"/>
      <c r="AX325" s="27"/>
      <c r="AY325" s="27"/>
      <c r="AZ325" s="27"/>
      <c r="BA325" s="27"/>
      <c r="BB325" s="27"/>
      <c r="BC325" s="27"/>
      <c r="BD325" s="27"/>
      <c r="BE325" s="27"/>
      <c r="BF325" s="27"/>
      <c r="BG325" s="27"/>
      <c r="BH325" s="27"/>
      <c r="BI325" s="27"/>
      <c r="BJ325" s="27"/>
      <c r="BK325" s="27"/>
      <c r="BL325" s="27"/>
      <c r="BM325" s="27"/>
      <c r="BN325" s="27"/>
      <c r="BO325" s="27"/>
      <c r="BP325" s="27"/>
      <c r="BQ325" s="27"/>
      <c r="BR325" s="27"/>
      <c r="BS325" s="27"/>
      <c r="BT325" s="27"/>
      <c r="BU325" s="27"/>
      <c r="BV325" s="27"/>
      <c r="BW325" s="27"/>
      <c r="BX325" s="27"/>
      <c r="BY325" s="27"/>
      <c r="BZ325" s="27"/>
      <c r="CA325" s="27"/>
      <c r="CB325" s="27"/>
      <c r="CC325" s="27"/>
      <c r="CD325" s="27"/>
      <c r="CE325" s="27"/>
      <c r="CF325" s="27"/>
      <c r="CG325" s="27"/>
      <c r="CH325" s="27"/>
      <c r="CI325" s="27"/>
      <c r="CJ325" s="27"/>
      <c r="CK325" s="27"/>
      <c r="CL325" s="27"/>
      <c r="CM325" s="27"/>
      <c r="CN325" s="27"/>
      <c r="CO325" s="27"/>
      <c r="CP325" s="27"/>
      <c r="CQ325" s="27"/>
      <c r="CR325" s="27"/>
      <c r="CS325" s="27"/>
      <c r="CT325" s="27"/>
      <c r="CU325" s="27"/>
      <c r="CV325" s="27"/>
      <c r="CW325" s="27"/>
      <c r="CX325" s="27"/>
      <c r="CY325" s="27"/>
      <c r="CZ325" s="27"/>
      <c r="DA325" s="27"/>
      <c r="DB325" s="27"/>
      <c r="DC325" s="27"/>
      <c r="DD325" s="27"/>
      <c r="DE325" s="27"/>
      <c r="DF325" s="27"/>
      <c r="DG325" s="27"/>
      <c r="DH325" s="27"/>
      <c r="DI325" s="27"/>
      <c r="DJ325" s="27"/>
      <c r="DK325" s="27"/>
      <c r="DL325" s="27"/>
      <c r="DM325" s="27"/>
      <c r="DN325" s="27"/>
      <c r="DO325" s="27"/>
      <c r="DP325" s="27"/>
      <c r="DQ325" s="27"/>
      <c r="DR325" s="27"/>
      <c r="DS325" s="27"/>
      <c r="DT325" s="27"/>
    </row>
    <row r="326" spans="2:124" x14ac:dyDescent="0.2">
      <c r="B326" s="27"/>
      <c r="C326" s="27"/>
      <c r="D326" s="27"/>
      <c r="E326" s="27"/>
      <c r="F326" s="27"/>
      <c r="G326" s="27"/>
      <c r="H326" s="27"/>
      <c r="I326" s="27"/>
      <c r="J326" s="27"/>
      <c r="K326" s="27"/>
      <c r="L326" s="27"/>
      <c r="M326" s="27"/>
      <c r="N326" s="27"/>
      <c r="O326" s="27"/>
      <c r="P326" s="27"/>
      <c r="Q326" s="27"/>
      <c r="R326" s="27"/>
      <c r="S326" s="27"/>
      <c r="T326" s="27"/>
      <c r="U326" s="27"/>
      <c r="V326" s="27"/>
      <c r="W326" s="27"/>
      <c r="X326" s="27"/>
      <c r="Y326" s="27"/>
      <c r="Z326" s="27"/>
      <c r="AA326" s="27"/>
      <c r="AB326" s="27"/>
      <c r="AC326" s="27"/>
      <c r="AD326" s="27"/>
      <c r="AE326" s="27"/>
      <c r="AF326" s="27"/>
      <c r="AG326" s="27"/>
      <c r="AH326" s="27"/>
      <c r="AI326" s="27"/>
      <c r="AJ326" s="27"/>
      <c r="AK326" s="27"/>
      <c r="AL326" s="27"/>
      <c r="AM326" s="27"/>
      <c r="AN326" s="27"/>
      <c r="AO326" s="27"/>
      <c r="AP326" s="27"/>
      <c r="AQ326" s="27"/>
      <c r="AR326" s="27"/>
      <c r="AS326" s="27"/>
      <c r="AT326" s="27"/>
      <c r="AU326" s="27"/>
      <c r="AV326" s="27"/>
      <c r="AW326" s="27"/>
      <c r="AX326" s="27"/>
      <c r="AY326" s="27"/>
      <c r="AZ326" s="27"/>
      <c r="BA326" s="27"/>
      <c r="BB326" s="27"/>
      <c r="BC326" s="27"/>
      <c r="BD326" s="27"/>
      <c r="BE326" s="27"/>
      <c r="BF326" s="27"/>
      <c r="BG326" s="27"/>
      <c r="BH326" s="27"/>
      <c r="BI326" s="27"/>
      <c r="BJ326" s="27"/>
      <c r="BK326" s="27"/>
      <c r="BL326" s="27"/>
      <c r="BM326" s="27"/>
      <c r="BN326" s="27"/>
      <c r="BO326" s="27"/>
      <c r="BP326" s="27"/>
      <c r="BQ326" s="27"/>
      <c r="BR326" s="27"/>
      <c r="BS326" s="27"/>
      <c r="BT326" s="27"/>
      <c r="BU326" s="27"/>
      <c r="BV326" s="27"/>
      <c r="BW326" s="27"/>
      <c r="BX326" s="27"/>
      <c r="BY326" s="27"/>
      <c r="BZ326" s="27"/>
      <c r="CA326" s="27"/>
      <c r="CB326" s="27"/>
      <c r="CC326" s="27"/>
      <c r="CD326" s="27"/>
      <c r="CE326" s="27"/>
      <c r="CF326" s="27"/>
      <c r="CG326" s="27"/>
      <c r="CH326" s="27"/>
      <c r="CI326" s="27"/>
      <c r="CJ326" s="27"/>
      <c r="CK326" s="27"/>
      <c r="CL326" s="27"/>
      <c r="CM326" s="27"/>
      <c r="CN326" s="27"/>
      <c r="CO326" s="27"/>
      <c r="CP326" s="27"/>
      <c r="CQ326" s="27"/>
      <c r="CR326" s="27"/>
      <c r="CS326" s="27"/>
      <c r="CT326" s="27"/>
      <c r="CU326" s="27"/>
      <c r="CV326" s="27"/>
      <c r="CW326" s="27"/>
      <c r="CX326" s="27"/>
      <c r="CY326" s="27"/>
      <c r="CZ326" s="27"/>
      <c r="DA326" s="27"/>
      <c r="DB326" s="27"/>
      <c r="DC326" s="27"/>
      <c r="DD326" s="27"/>
      <c r="DE326" s="27"/>
      <c r="DF326" s="27"/>
      <c r="DG326" s="27"/>
      <c r="DH326" s="27"/>
      <c r="DI326" s="27"/>
      <c r="DJ326" s="27"/>
      <c r="DK326" s="27"/>
      <c r="DL326" s="27"/>
      <c r="DM326" s="27"/>
      <c r="DN326" s="27"/>
      <c r="DO326" s="27"/>
      <c r="DP326" s="27"/>
      <c r="DQ326" s="27"/>
      <c r="DR326" s="27"/>
      <c r="DS326" s="27"/>
      <c r="DT326" s="27"/>
    </row>
    <row r="327" spans="2:124" x14ac:dyDescent="0.2">
      <c r="B327" s="27"/>
      <c r="C327" s="27"/>
      <c r="D327" s="27"/>
      <c r="E327" s="27"/>
      <c r="F327" s="27"/>
      <c r="G327" s="27"/>
      <c r="H327" s="27"/>
      <c r="I327" s="27"/>
      <c r="J327" s="27"/>
      <c r="K327" s="27"/>
      <c r="L327" s="27"/>
      <c r="M327" s="27"/>
      <c r="N327" s="27"/>
      <c r="O327" s="27"/>
      <c r="P327" s="27"/>
      <c r="Q327" s="27"/>
      <c r="R327" s="27"/>
      <c r="S327" s="27"/>
      <c r="T327" s="27"/>
      <c r="U327" s="27"/>
      <c r="V327" s="27"/>
      <c r="W327" s="27"/>
      <c r="X327" s="27"/>
      <c r="Y327" s="27"/>
      <c r="Z327" s="27"/>
      <c r="AA327" s="27"/>
      <c r="AB327" s="27"/>
      <c r="AC327" s="27"/>
      <c r="AD327" s="27"/>
      <c r="AE327" s="27"/>
      <c r="AF327" s="27"/>
      <c r="AG327" s="27"/>
      <c r="AH327" s="27"/>
      <c r="AI327" s="27"/>
      <c r="AJ327" s="27"/>
      <c r="AK327" s="27"/>
      <c r="AL327" s="27"/>
      <c r="AM327" s="27"/>
      <c r="AN327" s="27"/>
      <c r="AO327" s="27"/>
      <c r="AP327" s="27"/>
      <c r="AQ327" s="27"/>
      <c r="AR327" s="27"/>
      <c r="AS327" s="27"/>
      <c r="AT327" s="27"/>
      <c r="AU327" s="27"/>
      <c r="AV327" s="27"/>
      <c r="AW327" s="27"/>
      <c r="AX327" s="27"/>
      <c r="AY327" s="27"/>
      <c r="AZ327" s="27"/>
      <c r="BA327" s="27"/>
      <c r="BB327" s="27"/>
      <c r="BC327" s="27"/>
      <c r="BD327" s="27"/>
      <c r="BE327" s="27"/>
      <c r="BF327" s="27"/>
      <c r="BG327" s="27"/>
      <c r="BH327" s="27"/>
      <c r="BI327" s="27"/>
      <c r="BJ327" s="27"/>
      <c r="BK327" s="27"/>
      <c r="BL327" s="27"/>
      <c r="BM327" s="27"/>
      <c r="BN327" s="27"/>
      <c r="BO327" s="27"/>
      <c r="BP327" s="27"/>
      <c r="BQ327" s="27"/>
      <c r="BR327" s="27"/>
      <c r="BS327" s="27"/>
      <c r="BT327" s="27"/>
      <c r="BU327" s="27"/>
      <c r="BV327" s="27"/>
      <c r="BW327" s="27"/>
      <c r="BX327" s="27"/>
      <c r="BY327" s="27"/>
      <c r="BZ327" s="27"/>
      <c r="CA327" s="27"/>
      <c r="CB327" s="27"/>
      <c r="CC327" s="27"/>
      <c r="CD327" s="27"/>
      <c r="CE327" s="27"/>
      <c r="CF327" s="27"/>
      <c r="CG327" s="27"/>
      <c r="CH327" s="27"/>
      <c r="CI327" s="27"/>
      <c r="CJ327" s="27"/>
      <c r="CK327" s="27"/>
      <c r="CL327" s="27"/>
      <c r="CM327" s="27"/>
      <c r="CN327" s="27"/>
      <c r="CO327" s="27"/>
      <c r="CP327" s="27"/>
      <c r="CQ327" s="27"/>
      <c r="CR327" s="27"/>
      <c r="CS327" s="27"/>
      <c r="CT327" s="27"/>
      <c r="CU327" s="27"/>
      <c r="CV327" s="27"/>
      <c r="CW327" s="27"/>
      <c r="CX327" s="27"/>
      <c r="CY327" s="27"/>
      <c r="CZ327" s="27"/>
      <c r="DA327" s="27"/>
      <c r="DB327" s="27"/>
      <c r="DC327" s="27"/>
      <c r="DD327" s="27"/>
      <c r="DE327" s="27"/>
      <c r="DF327" s="27"/>
      <c r="DG327" s="27"/>
      <c r="DH327" s="27"/>
      <c r="DI327" s="27"/>
      <c r="DJ327" s="27"/>
      <c r="DK327" s="27"/>
      <c r="DL327" s="27"/>
      <c r="DM327" s="27"/>
      <c r="DN327" s="27"/>
      <c r="DO327" s="27"/>
      <c r="DP327" s="27"/>
      <c r="DQ327" s="27"/>
      <c r="DR327" s="27"/>
      <c r="DS327" s="27"/>
      <c r="DT327" s="27"/>
    </row>
    <row r="328" spans="2:124" x14ac:dyDescent="0.2">
      <c r="B328" s="27"/>
      <c r="C328" s="27"/>
      <c r="D328" s="27"/>
      <c r="E328" s="27"/>
      <c r="F328" s="27"/>
      <c r="G328" s="27"/>
      <c r="H328" s="27"/>
      <c r="I328" s="27"/>
      <c r="J328" s="27"/>
      <c r="K328" s="27"/>
      <c r="L328" s="27"/>
      <c r="M328" s="27"/>
      <c r="N328" s="27"/>
      <c r="O328" s="27"/>
      <c r="P328" s="27"/>
      <c r="Q328" s="27"/>
      <c r="R328" s="27"/>
      <c r="S328" s="27"/>
      <c r="T328" s="27"/>
      <c r="U328" s="27"/>
      <c r="V328" s="27"/>
      <c r="W328" s="27"/>
      <c r="X328" s="27"/>
      <c r="Y328" s="27"/>
      <c r="Z328" s="27"/>
      <c r="AA328" s="27"/>
      <c r="AB328" s="27"/>
      <c r="AC328" s="27"/>
      <c r="AD328" s="27"/>
      <c r="AE328" s="27"/>
      <c r="AF328" s="27"/>
      <c r="AG328" s="27"/>
      <c r="AH328" s="27"/>
      <c r="AI328" s="27"/>
      <c r="AJ328" s="27"/>
      <c r="AK328" s="27"/>
      <c r="AL328" s="27"/>
      <c r="AM328" s="27"/>
      <c r="AN328" s="27"/>
      <c r="AO328" s="27"/>
      <c r="AP328" s="27"/>
      <c r="AQ328" s="27"/>
      <c r="AR328" s="27"/>
      <c r="AS328" s="27"/>
      <c r="AT328" s="27"/>
      <c r="AU328" s="27"/>
      <c r="AV328" s="27"/>
      <c r="AW328" s="27"/>
      <c r="AX328" s="27"/>
      <c r="AY328" s="27"/>
      <c r="AZ328" s="27"/>
      <c r="BA328" s="27"/>
      <c r="BB328" s="27"/>
      <c r="BC328" s="27"/>
      <c r="BD328" s="27"/>
      <c r="BE328" s="27"/>
      <c r="BF328" s="27"/>
      <c r="BG328" s="27"/>
      <c r="BH328" s="27"/>
      <c r="BI328" s="27"/>
      <c r="BJ328" s="27"/>
      <c r="BK328" s="27"/>
      <c r="BL328" s="27"/>
      <c r="BM328" s="27"/>
      <c r="BN328" s="27"/>
      <c r="BO328" s="27"/>
      <c r="BP328" s="27"/>
      <c r="BQ328" s="27"/>
      <c r="BR328" s="27"/>
      <c r="BS328" s="27"/>
      <c r="BT328" s="27"/>
      <c r="BU328" s="27"/>
      <c r="BV328" s="27"/>
      <c r="BW328" s="27"/>
      <c r="BX328" s="27"/>
      <c r="BY328" s="27"/>
      <c r="BZ328" s="27"/>
      <c r="CA328" s="27"/>
      <c r="CB328" s="27"/>
      <c r="CC328" s="27"/>
      <c r="CD328" s="27"/>
      <c r="CE328" s="27"/>
      <c r="CF328" s="27"/>
      <c r="CG328" s="27"/>
      <c r="CH328" s="27"/>
      <c r="CI328" s="27"/>
      <c r="CJ328" s="27"/>
      <c r="CK328" s="27"/>
      <c r="CL328" s="27"/>
      <c r="CM328" s="27"/>
      <c r="CN328" s="27"/>
      <c r="CO328" s="27"/>
      <c r="CP328" s="27"/>
      <c r="CQ328" s="27"/>
      <c r="CR328" s="27"/>
      <c r="CS328" s="27"/>
      <c r="CT328" s="27"/>
      <c r="CU328" s="27"/>
      <c r="CV328" s="27"/>
      <c r="CW328" s="27"/>
      <c r="CX328" s="27"/>
      <c r="CY328" s="27"/>
      <c r="CZ328" s="27"/>
      <c r="DA328" s="27"/>
      <c r="DB328" s="27"/>
      <c r="DC328" s="27"/>
      <c r="DD328" s="27"/>
      <c r="DE328" s="27"/>
      <c r="DF328" s="27"/>
      <c r="DG328" s="27"/>
      <c r="DH328" s="27"/>
      <c r="DI328" s="27"/>
      <c r="DJ328" s="27"/>
      <c r="DK328" s="27"/>
      <c r="DL328" s="27"/>
      <c r="DM328" s="27"/>
      <c r="DN328" s="27"/>
      <c r="DO328" s="27"/>
      <c r="DP328" s="27"/>
      <c r="DQ328" s="27"/>
      <c r="DR328" s="27"/>
      <c r="DS328" s="27"/>
      <c r="DT328" s="27"/>
    </row>
    <row r="329" spans="2:124" x14ac:dyDescent="0.2">
      <c r="B329" s="27"/>
      <c r="C329" s="27"/>
      <c r="D329" s="27"/>
      <c r="E329" s="27"/>
      <c r="F329" s="27"/>
      <c r="G329" s="27"/>
      <c r="H329" s="27"/>
      <c r="I329" s="27"/>
      <c r="J329" s="27"/>
      <c r="K329" s="27"/>
      <c r="L329" s="27"/>
      <c r="M329" s="27"/>
      <c r="N329" s="27"/>
      <c r="O329" s="27"/>
      <c r="P329" s="27"/>
      <c r="Q329" s="27"/>
      <c r="R329" s="27"/>
      <c r="S329" s="27"/>
      <c r="T329" s="27"/>
      <c r="U329" s="27"/>
      <c r="V329" s="27"/>
      <c r="W329" s="27"/>
      <c r="X329" s="27"/>
      <c r="Y329" s="27"/>
      <c r="Z329" s="27"/>
      <c r="AA329" s="27"/>
      <c r="AB329" s="27"/>
      <c r="AC329" s="27"/>
      <c r="AD329" s="27"/>
      <c r="AE329" s="27"/>
      <c r="AF329" s="27"/>
      <c r="AG329" s="27"/>
      <c r="AH329" s="27"/>
      <c r="AI329" s="27"/>
      <c r="AJ329" s="27"/>
      <c r="AK329" s="27"/>
      <c r="AL329" s="27"/>
      <c r="AM329" s="27"/>
      <c r="AN329" s="27"/>
      <c r="AO329" s="27"/>
      <c r="AP329" s="27"/>
      <c r="AQ329" s="27"/>
      <c r="AR329" s="27"/>
      <c r="AS329" s="27"/>
      <c r="AT329" s="27"/>
      <c r="AU329" s="27"/>
      <c r="AV329" s="27"/>
      <c r="AW329" s="27"/>
      <c r="AX329" s="27"/>
      <c r="AY329" s="27"/>
      <c r="AZ329" s="27"/>
      <c r="BA329" s="27"/>
      <c r="BB329" s="27"/>
      <c r="BC329" s="27"/>
      <c r="BD329" s="27"/>
      <c r="BE329" s="27"/>
      <c r="BF329" s="27"/>
      <c r="BG329" s="27"/>
      <c r="BH329" s="27"/>
      <c r="BI329" s="27"/>
      <c r="BJ329" s="27"/>
      <c r="BK329" s="27"/>
      <c r="BL329" s="27"/>
      <c r="BM329" s="27"/>
      <c r="BN329" s="27"/>
      <c r="BO329" s="27"/>
      <c r="BP329" s="27"/>
      <c r="BQ329" s="27"/>
      <c r="BR329" s="27"/>
      <c r="BS329" s="27"/>
      <c r="BT329" s="27"/>
      <c r="BU329" s="27"/>
      <c r="BV329" s="27"/>
      <c r="BW329" s="27"/>
      <c r="BX329" s="27"/>
      <c r="BY329" s="27"/>
      <c r="BZ329" s="27"/>
      <c r="CA329" s="27"/>
      <c r="CB329" s="27"/>
      <c r="CC329" s="27"/>
      <c r="CD329" s="27"/>
      <c r="CE329" s="27"/>
      <c r="CF329" s="27"/>
      <c r="CG329" s="27"/>
      <c r="CH329" s="27"/>
      <c r="CI329" s="27"/>
      <c r="CJ329" s="27"/>
      <c r="CK329" s="27"/>
      <c r="CL329" s="27"/>
      <c r="CM329" s="27"/>
      <c r="CN329" s="27"/>
      <c r="CO329" s="27"/>
      <c r="CP329" s="27"/>
      <c r="CQ329" s="27"/>
      <c r="CR329" s="27"/>
      <c r="CS329" s="27"/>
      <c r="CT329" s="27"/>
      <c r="CU329" s="27"/>
      <c r="CV329" s="27"/>
      <c r="CW329" s="27"/>
      <c r="CX329" s="27"/>
      <c r="CY329" s="27"/>
      <c r="CZ329" s="27"/>
      <c r="DA329" s="27"/>
      <c r="DB329" s="27"/>
      <c r="DC329" s="27"/>
      <c r="DD329" s="27"/>
      <c r="DE329" s="27"/>
      <c r="DF329" s="27"/>
      <c r="DG329" s="27"/>
      <c r="DH329" s="27"/>
      <c r="DI329" s="27"/>
      <c r="DJ329" s="27"/>
      <c r="DK329" s="27"/>
      <c r="DL329" s="27"/>
      <c r="DM329" s="27"/>
      <c r="DN329" s="27"/>
      <c r="DO329" s="27"/>
      <c r="DP329" s="27"/>
      <c r="DQ329" s="27"/>
      <c r="DR329" s="27"/>
      <c r="DS329" s="27"/>
      <c r="DT329" s="27"/>
    </row>
    <row r="330" spans="2:124" x14ac:dyDescent="0.2">
      <c r="B330" s="27"/>
      <c r="C330" s="27"/>
      <c r="D330" s="27"/>
      <c r="E330" s="27"/>
      <c r="F330" s="27"/>
      <c r="G330" s="27"/>
      <c r="H330" s="27"/>
      <c r="I330" s="27"/>
      <c r="J330" s="27"/>
      <c r="K330" s="27"/>
      <c r="L330" s="27"/>
      <c r="M330" s="27"/>
      <c r="N330" s="27"/>
      <c r="O330" s="27"/>
      <c r="P330" s="27"/>
      <c r="Q330" s="27"/>
      <c r="R330" s="27"/>
      <c r="S330" s="27"/>
      <c r="T330" s="27"/>
      <c r="U330" s="27"/>
      <c r="V330" s="27"/>
      <c r="W330" s="27"/>
      <c r="X330" s="27"/>
      <c r="Y330" s="27"/>
      <c r="Z330" s="27"/>
      <c r="AA330" s="27"/>
      <c r="AB330" s="27"/>
      <c r="AC330" s="27"/>
      <c r="AD330" s="27"/>
      <c r="AE330" s="27"/>
      <c r="AF330" s="27"/>
      <c r="AG330" s="27"/>
      <c r="AH330" s="27"/>
      <c r="AI330" s="27"/>
      <c r="AJ330" s="27"/>
      <c r="AK330" s="27"/>
      <c r="AL330" s="27"/>
      <c r="AM330" s="27"/>
      <c r="AN330" s="27"/>
      <c r="AO330" s="27"/>
      <c r="AP330" s="27"/>
      <c r="AQ330" s="27"/>
      <c r="AR330" s="27"/>
      <c r="AS330" s="27"/>
      <c r="AT330" s="27"/>
      <c r="AU330" s="27"/>
      <c r="AV330" s="27"/>
      <c r="AW330" s="27"/>
      <c r="AX330" s="27"/>
      <c r="AY330" s="27"/>
      <c r="AZ330" s="27"/>
      <c r="BA330" s="27"/>
      <c r="BB330" s="27"/>
      <c r="BC330" s="27"/>
      <c r="BD330" s="27"/>
      <c r="BE330" s="27"/>
      <c r="BF330" s="27"/>
      <c r="BG330" s="27"/>
      <c r="BH330" s="27"/>
      <c r="BI330" s="27"/>
      <c r="BJ330" s="27"/>
      <c r="BK330" s="27"/>
      <c r="BL330" s="27"/>
      <c r="BM330" s="27"/>
      <c r="BN330" s="27"/>
      <c r="BO330" s="27"/>
      <c r="BP330" s="27"/>
      <c r="BQ330" s="27"/>
      <c r="BR330" s="27"/>
      <c r="BS330" s="27"/>
      <c r="BT330" s="27"/>
      <c r="BU330" s="27"/>
      <c r="BV330" s="27"/>
      <c r="BW330" s="27"/>
      <c r="BX330" s="27"/>
      <c r="BY330" s="27"/>
      <c r="BZ330" s="27"/>
      <c r="CA330" s="27"/>
      <c r="CB330" s="27"/>
      <c r="CC330" s="27"/>
      <c r="CD330" s="27"/>
      <c r="CE330" s="27"/>
      <c r="CF330" s="27"/>
      <c r="CG330" s="27"/>
      <c r="CH330" s="27"/>
      <c r="CI330" s="27"/>
      <c r="CJ330" s="27"/>
      <c r="CK330" s="27"/>
      <c r="CL330" s="27"/>
      <c r="CM330" s="27"/>
      <c r="CN330" s="27"/>
      <c r="CO330" s="27"/>
      <c r="CP330" s="27"/>
      <c r="CQ330" s="27"/>
      <c r="CR330" s="27"/>
      <c r="CS330" s="27"/>
      <c r="CT330" s="27"/>
      <c r="CU330" s="27"/>
      <c r="CV330" s="27"/>
      <c r="CW330" s="27"/>
      <c r="CX330" s="27"/>
      <c r="CY330" s="27"/>
      <c r="CZ330" s="27"/>
      <c r="DA330" s="27"/>
      <c r="DB330" s="27"/>
      <c r="DC330" s="27"/>
      <c r="DD330" s="27"/>
      <c r="DE330" s="27"/>
      <c r="DF330" s="27"/>
      <c r="DG330" s="27"/>
      <c r="DH330" s="27"/>
      <c r="DI330" s="27"/>
      <c r="DJ330" s="27"/>
      <c r="DK330" s="27"/>
      <c r="DL330" s="27"/>
      <c r="DM330" s="27"/>
      <c r="DN330" s="27"/>
      <c r="DO330" s="27"/>
      <c r="DP330" s="27"/>
      <c r="DQ330" s="27"/>
      <c r="DR330" s="27"/>
      <c r="DS330" s="27"/>
      <c r="DT330" s="27"/>
    </row>
    <row r="331" spans="2:124" x14ac:dyDescent="0.2">
      <c r="B331" s="27"/>
      <c r="C331" s="27"/>
      <c r="D331" s="27"/>
      <c r="E331" s="27"/>
      <c r="F331" s="27"/>
      <c r="G331" s="27"/>
      <c r="H331" s="27"/>
      <c r="I331" s="27"/>
      <c r="J331" s="27"/>
      <c r="K331" s="27"/>
      <c r="L331" s="27"/>
      <c r="M331" s="27"/>
      <c r="N331" s="27"/>
      <c r="O331" s="27"/>
      <c r="P331" s="27"/>
      <c r="Q331" s="27"/>
      <c r="R331" s="27"/>
      <c r="S331" s="27"/>
      <c r="T331" s="27"/>
      <c r="U331" s="27"/>
      <c r="V331" s="27"/>
      <c r="W331" s="27"/>
      <c r="X331" s="27"/>
      <c r="Y331" s="27"/>
      <c r="Z331" s="27"/>
      <c r="AA331" s="27"/>
      <c r="AB331" s="27"/>
      <c r="AC331" s="27"/>
      <c r="AD331" s="27"/>
      <c r="AE331" s="27"/>
      <c r="AF331" s="27"/>
      <c r="AG331" s="27"/>
      <c r="AH331" s="27"/>
      <c r="AI331" s="27"/>
      <c r="AJ331" s="27"/>
      <c r="AK331" s="27"/>
      <c r="AL331" s="27"/>
      <c r="AM331" s="27"/>
      <c r="AN331" s="27"/>
      <c r="AO331" s="27"/>
      <c r="AP331" s="27"/>
      <c r="AQ331" s="27"/>
      <c r="AR331" s="27"/>
      <c r="AS331" s="27"/>
      <c r="AT331" s="27"/>
      <c r="AU331" s="27"/>
      <c r="AV331" s="27"/>
      <c r="AW331" s="27"/>
      <c r="AX331" s="27"/>
      <c r="AY331" s="27"/>
      <c r="AZ331" s="27"/>
      <c r="BA331" s="27"/>
      <c r="BB331" s="27"/>
      <c r="BC331" s="27"/>
      <c r="BD331" s="27"/>
      <c r="BE331" s="27"/>
      <c r="BF331" s="27"/>
      <c r="BG331" s="27"/>
      <c r="BH331" s="27"/>
      <c r="BI331" s="27"/>
      <c r="BJ331" s="27"/>
      <c r="BK331" s="27"/>
      <c r="BL331" s="27"/>
      <c r="BM331" s="27"/>
      <c r="BN331" s="27"/>
      <c r="BO331" s="27"/>
      <c r="BP331" s="27"/>
      <c r="BQ331" s="27"/>
      <c r="BR331" s="27"/>
      <c r="BS331" s="27"/>
      <c r="BT331" s="27"/>
      <c r="BU331" s="27"/>
      <c r="BV331" s="27"/>
      <c r="BW331" s="27"/>
      <c r="BX331" s="27"/>
      <c r="BY331" s="27"/>
      <c r="BZ331" s="27"/>
      <c r="CA331" s="27"/>
      <c r="CB331" s="27"/>
      <c r="CC331" s="27"/>
      <c r="CD331" s="27"/>
      <c r="CE331" s="27"/>
      <c r="CF331" s="27"/>
      <c r="CG331" s="27"/>
      <c r="CH331" s="27"/>
      <c r="CI331" s="27"/>
      <c r="CJ331" s="27"/>
      <c r="CK331" s="27"/>
      <c r="CL331" s="27"/>
      <c r="CM331" s="27"/>
      <c r="CN331" s="27"/>
      <c r="CO331" s="27"/>
      <c r="CP331" s="27"/>
      <c r="CQ331" s="27"/>
      <c r="CR331" s="27"/>
      <c r="CS331" s="27"/>
      <c r="CT331" s="27"/>
      <c r="CU331" s="27"/>
      <c r="CV331" s="27"/>
      <c r="CW331" s="27"/>
      <c r="CX331" s="27"/>
      <c r="CY331" s="27"/>
      <c r="CZ331" s="27"/>
      <c r="DA331" s="27"/>
      <c r="DB331" s="27"/>
      <c r="DC331" s="27"/>
      <c r="DD331" s="27"/>
      <c r="DE331" s="27"/>
      <c r="DF331" s="27"/>
      <c r="DG331" s="27"/>
      <c r="DH331" s="27"/>
      <c r="DI331" s="27"/>
      <c r="DJ331" s="27"/>
      <c r="DK331" s="27"/>
      <c r="DL331" s="27"/>
      <c r="DM331" s="27"/>
      <c r="DN331" s="27"/>
      <c r="DO331" s="27"/>
      <c r="DP331" s="27"/>
      <c r="DQ331" s="27"/>
      <c r="DR331" s="27"/>
      <c r="DS331" s="27"/>
      <c r="DT331" s="27"/>
    </row>
    <row r="332" spans="2:124" x14ac:dyDescent="0.2">
      <c r="B332" s="27"/>
      <c r="C332" s="27"/>
      <c r="D332" s="27"/>
      <c r="E332" s="27"/>
      <c r="F332" s="27"/>
      <c r="G332" s="27"/>
      <c r="H332" s="27"/>
      <c r="I332" s="27"/>
      <c r="J332" s="27"/>
      <c r="K332" s="27"/>
      <c r="L332" s="27"/>
      <c r="M332" s="27"/>
      <c r="N332" s="27"/>
      <c r="O332" s="27"/>
      <c r="P332" s="27"/>
      <c r="Q332" s="27"/>
      <c r="R332" s="27"/>
      <c r="S332" s="27"/>
      <c r="T332" s="27"/>
      <c r="U332" s="27"/>
      <c r="V332" s="27"/>
      <c r="W332" s="27"/>
      <c r="X332" s="27"/>
      <c r="Y332" s="27"/>
      <c r="Z332" s="27"/>
      <c r="AA332" s="27"/>
      <c r="AB332" s="27"/>
      <c r="AC332" s="27"/>
      <c r="AD332" s="27"/>
      <c r="AE332" s="27"/>
      <c r="AF332" s="27"/>
      <c r="AG332" s="27"/>
      <c r="AH332" s="27"/>
      <c r="AI332" s="27"/>
      <c r="AJ332" s="27"/>
      <c r="AK332" s="27"/>
      <c r="AL332" s="27"/>
      <c r="AM332" s="27"/>
      <c r="AN332" s="27"/>
      <c r="AO332" s="27"/>
      <c r="AP332" s="27"/>
      <c r="AQ332" s="27"/>
      <c r="AR332" s="27"/>
      <c r="AS332" s="27"/>
      <c r="AT332" s="27"/>
      <c r="AU332" s="27"/>
      <c r="AV332" s="27"/>
      <c r="AW332" s="27"/>
      <c r="AX332" s="27"/>
      <c r="AY332" s="27"/>
      <c r="AZ332" s="27"/>
      <c r="BA332" s="27"/>
      <c r="BB332" s="27"/>
      <c r="BC332" s="27"/>
      <c r="BD332" s="27"/>
      <c r="BE332" s="27"/>
      <c r="BF332" s="27"/>
      <c r="BG332" s="27"/>
      <c r="BH332" s="27"/>
      <c r="BI332" s="27"/>
      <c r="BJ332" s="27"/>
      <c r="BK332" s="27"/>
      <c r="BL332" s="27"/>
      <c r="BM332" s="27"/>
      <c r="BN332" s="27"/>
      <c r="BO332" s="27"/>
      <c r="BP332" s="27"/>
      <c r="BQ332" s="27"/>
      <c r="BR332" s="27"/>
      <c r="BS332" s="27"/>
      <c r="BT332" s="27"/>
      <c r="BU332" s="27"/>
      <c r="BV332" s="27"/>
      <c r="BW332" s="27"/>
      <c r="BX332" s="27"/>
      <c r="BY332" s="27"/>
      <c r="BZ332" s="27"/>
      <c r="CA332" s="27"/>
      <c r="CB332" s="27"/>
      <c r="CC332" s="27"/>
      <c r="CD332" s="27"/>
      <c r="CE332" s="27"/>
      <c r="CF332" s="27"/>
      <c r="CG332" s="27"/>
      <c r="CH332" s="27"/>
      <c r="CI332" s="27"/>
      <c r="CJ332" s="27"/>
      <c r="CK332" s="27"/>
      <c r="CL332" s="27"/>
      <c r="CM332" s="27"/>
      <c r="CN332" s="27"/>
      <c r="CO332" s="27"/>
      <c r="CP332" s="27"/>
      <c r="CQ332" s="27"/>
      <c r="CR332" s="27"/>
      <c r="CS332" s="27"/>
      <c r="CT332" s="27"/>
      <c r="CU332" s="27"/>
      <c r="CV332" s="27"/>
      <c r="CW332" s="27"/>
      <c r="CX332" s="27"/>
      <c r="CY332" s="27"/>
      <c r="CZ332" s="27"/>
      <c r="DA332" s="27"/>
      <c r="DB332" s="27"/>
      <c r="DC332" s="27"/>
      <c r="DD332" s="27"/>
      <c r="DE332" s="27"/>
      <c r="DF332" s="27"/>
      <c r="DG332" s="27"/>
      <c r="DH332" s="27"/>
      <c r="DI332" s="27"/>
      <c r="DJ332" s="27"/>
      <c r="DK332" s="27"/>
      <c r="DL332" s="27"/>
      <c r="DM332" s="27"/>
      <c r="DN332" s="27"/>
      <c r="DO332" s="27"/>
      <c r="DP332" s="27"/>
      <c r="DQ332" s="27"/>
      <c r="DR332" s="27"/>
      <c r="DS332" s="27"/>
      <c r="DT332" s="27"/>
    </row>
    <row r="333" spans="2:124" x14ac:dyDescent="0.2">
      <c r="B333" s="27"/>
      <c r="C333" s="27"/>
      <c r="D333" s="27"/>
      <c r="E333" s="27"/>
      <c r="F333" s="27"/>
      <c r="G333" s="27"/>
      <c r="H333" s="27"/>
      <c r="I333" s="27"/>
      <c r="J333" s="27"/>
      <c r="K333" s="27"/>
      <c r="L333" s="27"/>
      <c r="M333" s="27"/>
      <c r="N333" s="27"/>
      <c r="O333" s="27"/>
      <c r="P333" s="27"/>
      <c r="Q333" s="27"/>
      <c r="R333" s="27"/>
      <c r="S333" s="27"/>
      <c r="T333" s="27"/>
      <c r="U333" s="27"/>
      <c r="V333" s="27"/>
      <c r="W333" s="27"/>
      <c r="X333" s="27"/>
      <c r="Y333" s="27"/>
      <c r="Z333" s="27"/>
      <c r="AA333" s="27"/>
      <c r="AB333" s="27"/>
      <c r="AC333" s="27"/>
      <c r="AD333" s="27"/>
      <c r="AE333" s="27"/>
      <c r="AF333" s="27"/>
      <c r="AG333" s="27"/>
      <c r="AH333" s="27"/>
      <c r="AI333" s="27"/>
      <c r="AJ333" s="27"/>
      <c r="AK333" s="27"/>
      <c r="AL333" s="27"/>
      <c r="AM333" s="27"/>
      <c r="AN333" s="27"/>
      <c r="AO333" s="27"/>
      <c r="AP333" s="27"/>
      <c r="AQ333" s="27"/>
      <c r="AR333" s="27"/>
      <c r="AS333" s="27"/>
      <c r="AT333" s="27"/>
      <c r="AU333" s="27"/>
      <c r="AV333" s="27"/>
      <c r="AW333" s="27"/>
      <c r="AX333" s="27"/>
      <c r="AY333" s="27"/>
      <c r="AZ333" s="27"/>
      <c r="BA333" s="27"/>
      <c r="BB333" s="27"/>
      <c r="BC333" s="27"/>
      <c r="BD333" s="27"/>
      <c r="BE333" s="27"/>
      <c r="BF333" s="27"/>
      <c r="BG333" s="27"/>
      <c r="BH333" s="27"/>
      <c r="BI333" s="27"/>
      <c r="BJ333" s="27"/>
      <c r="BK333" s="27"/>
      <c r="BL333" s="27"/>
      <c r="BM333" s="27"/>
      <c r="BN333" s="27"/>
      <c r="BO333" s="27"/>
      <c r="BP333" s="27"/>
      <c r="BQ333" s="27"/>
      <c r="BR333" s="27"/>
      <c r="BS333" s="27"/>
      <c r="BT333" s="27"/>
      <c r="BU333" s="27"/>
      <c r="BV333" s="27"/>
      <c r="BW333" s="27"/>
      <c r="BX333" s="27"/>
      <c r="BY333" s="27"/>
      <c r="BZ333" s="27"/>
      <c r="CA333" s="27"/>
      <c r="CB333" s="27"/>
      <c r="CC333" s="27"/>
      <c r="CD333" s="27"/>
      <c r="CE333" s="27"/>
      <c r="CF333" s="27"/>
      <c r="CG333" s="27"/>
      <c r="CH333" s="27"/>
      <c r="CI333" s="27"/>
      <c r="CJ333" s="27"/>
      <c r="CK333" s="27"/>
      <c r="CL333" s="27"/>
      <c r="CM333" s="27"/>
      <c r="CN333" s="27"/>
      <c r="CO333" s="27"/>
      <c r="CP333" s="27"/>
      <c r="CQ333" s="27"/>
      <c r="CR333" s="27"/>
      <c r="CS333" s="27"/>
      <c r="CT333" s="27"/>
      <c r="CU333" s="27"/>
      <c r="CV333" s="27"/>
      <c r="CW333" s="27"/>
      <c r="CX333" s="27"/>
      <c r="CY333" s="27"/>
      <c r="CZ333" s="27"/>
      <c r="DA333" s="27"/>
      <c r="DB333" s="27"/>
      <c r="DC333" s="27"/>
      <c r="DD333" s="27"/>
      <c r="DE333" s="27"/>
      <c r="DF333" s="27"/>
      <c r="DG333" s="27"/>
      <c r="DH333" s="27"/>
      <c r="DI333" s="27"/>
      <c r="DJ333" s="27"/>
      <c r="DK333" s="27"/>
      <c r="DL333" s="27"/>
      <c r="DM333" s="27"/>
      <c r="DN333" s="27"/>
      <c r="DO333" s="27"/>
      <c r="DP333" s="27"/>
      <c r="DQ333" s="27"/>
      <c r="DR333" s="27"/>
      <c r="DS333" s="27"/>
      <c r="DT333" s="27"/>
    </row>
    <row r="334" spans="2:124" x14ac:dyDescent="0.2">
      <c r="B334" s="27"/>
      <c r="C334" s="27"/>
      <c r="D334" s="27"/>
      <c r="E334" s="27"/>
      <c r="F334" s="27"/>
      <c r="G334" s="27"/>
      <c r="H334" s="27"/>
      <c r="I334" s="27"/>
      <c r="J334" s="27"/>
      <c r="K334" s="27"/>
      <c r="L334" s="27"/>
      <c r="M334" s="27"/>
      <c r="N334" s="27"/>
      <c r="O334" s="27"/>
      <c r="P334" s="27"/>
      <c r="Q334" s="27"/>
      <c r="R334" s="27"/>
      <c r="S334" s="27"/>
      <c r="T334" s="27"/>
      <c r="U334" s="27"/>
      <c r="V334" s="27"/>
      <c r="W334" s="27"/>
      <c r="X334" s="27"/>
      <c r="Y334" s="27"/>
      <c r="Z334" s="27"/>
      <c r="AA334" s="27"/>
      <c r="AB334" s="27"/>
      <c r="AC334" s="27"/>
      <c r="AD334" s="27"/>
      <c r="AE334" s="27"/>
      <c r="AF334" s="27"/>
      <c r="AG334" s="27"/>
      <c r="AH334" s="27"/>
      <c r="AI334" s="27"/>
      <c r="AJ334" s="27"/>
      <c r="AK334" s="27"/>
      <c r="AL334" s="27"/>
      <c r="AM334" s="27"/>
      <c r="AN334" s="27"/>
      <c r="AO334" s="27"/>
      <c r="AP334" s="27"/>
      <c r="AQ334" s="27"/>
      <c r="AR334" s="27"/>
      <c r="AS334" s="27"/>
      <c r="AT334" s="27"/>
      <c r="AU334" s="27"/>
      <c r="AV334" s="27"/>
      <c r="AW334" s="27"/>
      <c r="AX334" s="27"/>
      <c r="AY334" s="27"/>
      <c r="AZ334" s="27"/>
      <c r="BA334" s="27"/>
      <c r="BB334" s="27"/>
      <c r="BC334" s="27"/>
      <c r="BD334" s="27"/>
      <c r="BE334" s="27"/>
      <c r="BF334" s="27"/>
      <c r="BG334" s="27"/>
      <c r="BH334" s="27"/>
      <c r="BI334" s="27"/>
      <c r="BJ334" s="27"/>
      <c r="BK334" s="27"/>
      <c r="BL334" s="27"/>
      <c r="BM334" s="27"/>
      <c r="BN334" s="27"/>
      <c r="BO334" s="27"/>
      <c r="BP334" s="27"/>
      <c r="BQ334" s="27"/>
      <c r="BR334" s="27"/>
      <c r="BS334" s="27"/>
      <c r="BT334" s="27"/>
      <c r="BU334" s="27"/>
      <c r="BV334" s="27"/>
      <c r="BW334" s="27"/>
      <c r="BX334" s="27"/>
      <c r="BY334" s="27"/>
      <c r="BZ334" s="27"/>
      <c r="CA334" s="27"/>
      <c r="CB334" s="27"/>
      <c r="CC334" s="27"/>
      <c r="CD334" s="27"/>
      <c r="CE334" s="27"/>
      <c r="CF334" s="27"/>
      <c r="CG334" s="27"/>
      <c r="CH334" s="27"/>
      <c r="CI334" s="27"/>
      <c r="CJ334" s="27"/>
      <c r="CK334" s="27"/>
      <c r="CL334" s="27"/>
      <c r="CM334" s="27"/>
      <c r="CN334" s="27"/>
      <c r="CO334" s="27"/>
      <c r="CP334" s="27"/>
      <c r="CQ334" s="27"/>
      <c r="CR334" s="27"/>
      <c r="CS334" s="27"/>
      <c r="CT334" s="27"/>
      <c r="CU334" s="27"/>
      <c r="CV334" s="27"/>
      <c r="CW334" s="27"/>
      <c r="CX334" s="27"/>
      <c r="CY334" s="27"/>
      <c r="CZ334" s="27"/>
      <c r="DA334" s="27"/>
      <c r="DB334" s="27"/>
      <c r="DC334" s="27"/>
      <c r="DD334" s="27"/>
      <c r="DE334" s="27"/>
      <c r="DF334" s="27"/>
      <c r="DG334" s="27"/>
      <c r="DH334" s="27"/>
      <c r="DI334" s="27"/>
      <c r="DJ334" s="27"/>
      <c r="DK334" s="27"/>
      <c r="DL334" s="27"/>
      <c r="DM334" s="27"/>
      <c r="DN334" s="27"/>
      <c r="DO334" s="27"/>
      <c r="DP334" s="27"/>
      <c r="DQ334" s="27"/>
      <c r="DR334" s="27"/>
      <c r="DS334" s="27"/>
      <c r="DT334" s="27"/>
    </row>
    <row r="335" spans="2:124" x14ac:dyDescent="0.2">
      <c r="B335" s="27"/>
      <c r="C335" s="27"/>
      <c r="D335" s="27"/>
      <c r="E335" s="27"/>
      <c r="F335" s="27"/>
      <c r="G335" s="27"/>
      <c r="H335" s="27"/>
      <c r="I335" s="27"/>
      <c r="J335" s="27"/>
      <c r="K335" s="27"/>
      <c r="L335" s="27"/>
      <c r="M335" s="27"/>
      <c r="N335" s="27"/>
      <c r="O335" s="27"/>
      <c r="P335" s="27"/>
      <c r="Q335" s="27"/>
      <c r="R335" s="27"/>
      <c r="S335" s="27"/>
      <c r="T335" s="27"/>
      <c r="U335" s="27"/>
      <c r="V335" s="27"/>
      <c r="W335" s="27"/>
      <c r="X335" s="27"/>
      <c r="Y335" s="27"/>
      <c r="Z335" s="27"/>
      <c r="AA335" s="27"/>
      <c r="AB335" s="27"/>
      <c r="AC335" s="27"/>
      <c r="AD335" s="27"/>
      <c r="AE335" s="27"/>
      <c r="AF335" s="27"/>
      <c r="AG335" s="27"/>
      <c r="AH335" s="27"/>
      <c r="AI335" s="27"/>
      <c r="AJ335" s="27"/>
      <c r="AK335" s="27"/>
      <c r="AL335" s="27"/>
      <c r="AM335" s="27"/>
      <c r="AN335" s="27"/>
      <c r="AO335" s="27"/>
      <c r="AP335" s="27"/>
      <c r="AQ335" s="27"/>
      <c r="AR335" s="27"/>
      <c r="AS335" s="27"/>
      <c r="AT335" s="27"/>
      <c r="AU335" s="27"/>
      <c r="AV335" s="27"/>
      <c r="AW335" s="27"/>
      <c r="AX335" s="27"/>
      <c r="AY335" s="27"/>
      <c r="AZ335" s="27"/>
      <c r="BA335" s="27"/>
      <c r="BB335" s="27"/>
      <c r="BC335" s="27"/>
      <c r="BD335" s="27"/>
      <c r="BE335" s="27"/>
      <c r="BF335" s="27"/>
      <c r="BG335" s="27"/>
      <c r="BH335" s="27"/>
      <c r="BI335" s="27"/>
      <c r="BJ335" s="27"/>
      <c r="BK335" s="27"/>
      <c r="BL335" s="27"/>
      <c r="BM335" s="27"/>
      <c r="BN335" s="27"/>
      <c r="BO335" s="27"/>
      <c r="BP335" s="27"/>
      <c r="BQ335" s="27"/>
      <c r="BR335" s="27"/>
      <c r="BS335" s="27"/>
      <c r="BT335" s="27"/>
      <c r="BU335" s="27"/>
      <c r="BV335" s="27"/>
      <c r="BW335" s="27"/>
      <c r="BX335" s="27"/>
      <c r="BY335" s="27"/>
      <c r="BZ335" s="27"/>
      <c r="CA335" s="27"/>
      <c r="CB335" s="27"/>
      <c r="CC335" s="27"/>
      <c r="CD335" s="27"/>
      <c r="CE335" s="27"/>
      <c r="CF335" s="27"/>
      <c r="CG335" s="27"/>
      <c r="CH335" s="27"/>
      <c r="CI335" s="27"/>
      <c r="CJ335" s="27"/>
      <c r="CK335" s="27"/>
      <c r="CL335" s="27"/>
      <c r="CM335" s="27"/>
      <c r="CN335" s="27"/>
      <c r="CO335" s="27"/>
      <c r="CP335" s="27"/>
      <c r="CQ335" s="27"/>
      <c r="CR335" s="27"/>
      <c r="CS335" s="27"/>
      <c r="CT335" s="27"/>
      <c r="CU335" s="27"/>
      <c r="CV335" s="27"/>
      <c r="CW335" s="27"/>
      <c r="CX335" s="27"/>
      <c r="CY335" s="27"/>
      <c r="CZ335" s="27"/>
      <c r="DA335" s="27"/>
      <c r="DB335" s="27"/>
      <c r="DC335" s="27"/>
      <c r="DD335" s="27"/>
      <c r="DE335" s="27"/>
      <c r="DF335" s="27"/>
      <c r="DG335" s="27"/>
      <c r="DH335" s="27"/>
      <c r="DI335" s="27"/>
      <c r="DJ335" s="27"/>
      <c r="DK335" s="27"/>
      <c r="DL335" s="27"/>
      <c r="DM335" s="27"/>
      <c r="DN335" s="27"/>
      <c r="DO335" s="27"/>
      <c r="DP335" s="27"/>
      <c r="DQ335" s="27"/>
      <c r="DR335" s="27"/>
      <c r="DS335" s="27"/>
      <c r="DT335" s="27"/>
    </row>
    <row r="336" spans="2:124" x14ac:dyDescent="0.2">
      <c r="B336" s="27"/>
      <c r="C336" s="27"/>
      <c r="D336" s="27"/>
      <c r="E336" s="27"/>
      <c r="F336" s="27"/>
      <c r="G336" s="27"/>
      <c r="H336" s="27"/>
      <c r="I336" s="27"/>
      <c r="J336" s="27"/>
      <c r="K336" s="27"/>
      <c r="L336" s="27"/>
      <c r="M336" s="27"/>
      <c r="N336" s="27"/>
      <c r="O336" s="27"/>
      <c r="P336" s="27"/>
      <c r="Q336" s="27"/>
      <c r="R336" s="27"/>
      <c r="S336" s="27"/>
      <c r="T336" s="27"/>
      <c r="U336" s="27"/>
      <c r="V336" s="27"/>
      <c r="W336" s="27"/>
      <c r="X336" s="27"/>
      <c r="Y336" s="27"/>
      <c r="Z336" s="27"/>
      <c r="AA336" s="27"/>
      <c r="AB336" s="27"/>
      <c r="AC336" s="27"/>
      <c r="AD336" s="27"/>
      <c r="AE336" s="27"/>
      <c r="AF336" s="27"/>
      <c r="AG336" s="27"/>
      <c r="AH336" s="27"/>
      <c r="AI336" s="27"/>
      <c r="AJ336" s="27"/>
      <c r="AK336" s="27"/>
      <c r="AL336" s="27"/>
      <c r="AM336" s="27"/>
      <c r="AN336" s="27"/>
      <c r="AO336" s="27"/>
      <c r="AP336" s="27"/>
      <c r="AQ336" s="27"/>
      <c r="AR336" s="27"/>
      <c r="AS336" s="27"/>
      <c r="AT336" s="27"/>
      <c r="AU336" s="27"/>
      <c r="AV336" s="27"/>
      <c r="AW336" s="27"/>
      <c r="AX336" s="27"/>
      <c r="AY336" s="27"/>
      <c r="AZ336" s="27"/>
      <c r="BA336" s="27"/>
      <c r="BB336" s="27"/>
      <c r="BC336" s="27"/>
      <c r="BD336" s="27"/>
      <c r="BE336" s="27"/>
      <c r="BF336" s="27"/>
      <c r="BG336" s="27"/>
      <c r="BH336" s="27"/>
      <c r="BI336" s="27"/>
      <c r="BJ336" s="27"/>
      <c r="BK336" s="27"/>
      <c r="BL336" s="27"/>
      <c r="BM336" s="27"/>
      <c r="BN336" s="27"/>
      <c r="BO336" s="27"/>
      <c r="BP336" s="27"/>
      <c r="BQ336" s="27"/>
      <c r="BR336" s="27"/>
      <c r="BS336" s="27"/>
      <c r="BT336" s="27"/>
      <c r="BU336" s="27"/>
      <c r="BV336" s="27"/>
      <c r="BW336" s="27"/>
      <c r="BX336" s="27"/>
      <c r="BY336" s="27"/>
      <c r="BZ336" s="27"/>
      <c r="CA336" s="27"/>
      <c r="CB336" s="27"/>
      <c r="CC336" s="27"/>
      <c r="CD336" s="27"/>
      <c r="CE336" s="27"/>
      <c r="CF336" s="27"/>
      <c r="CG336" s="27"/>
      <c r="CH336" s="27"/>
      <c r="CI336" s="27"/>
      <c r="CJ336" s="27"/>
      <c r="CK336" s="27"/>
      <c r="CL336" s="27"/>
      <c r="CM336" s="27"/>
      <c r="CN336" s="27"/>
      <c r="CO336" s="27"/>
      <c r="CP336" s="27"/>
      <c r="CQ336" s="27"/>
      <c r="CR336" s="27"/>
      <c r="CS336" s="27"/>
      <c r="CT336" s="27"/>
      <c r="CU336" s="27"/>
      <c r="CV336" s="27"/>
      <c r="CW336" s="27"/>
      <c r="CX336" s="27"/>
      <c r="CY336" s="27"/>
      <c r="CZ336" s="27"/>
      <c r="DA336" s="27"/>
      <c r="DB336" s="27"/>
      <c r="DC336" s="27"/>
      <c r="DD336" s="27"/>
      <c r="DE336" s="27"/>
      <c r="DF336" s="27"/>
      <c r="DG336" s="27"/>
      <c r="DH336" s="27"/>
      <c r="DI336" s="27"/>
      <c r="DJ336" s="27"/>
      <c r="DK336" s="27"/>
      <c r="DL336" s="27"/>
      <c r="DM336" s="27"/>
      <c r="DN336" s="27"/>
      <c r="DO336" s="27"/>
      <c r="DP336" s="27"/>
      <c r="DQ336" s="27"/>
      <c r="DR336" s="27"/>
      <c r="DS336" s="27"/>
      <c r="DT336" s="27"/>
    </row>
    <row r="337" spans="2:124" x14ac:dyDescent="0.2">
      <c r="B337" s="27"/>
      <c r="C337" s="27"/>
      <c r="D337" s="27"/>
      <c r="E337" s="27"/>
      <c r="F337" s="27"/>
      <c r="G337" s="27"/>
      <c r="H337" s="27"/>
      <c r="I337" s="27"/>
      <c r="J337" s="27"/>
      <c r="K337" s="27"/>
      <c r="L337" s="27"/>
      <c r="M337" s="27"/>
      <c r="N337" s="27"/>
      <c r="O337" s="27"/>
      <c r="P337" s="27"/>
      <c r="Q337" s="27"/>
      <c r="R337" s="27"/>
      <c r="S337" s="27"/>
      <c r="T337" s="27"/>
      <c r="U337" s="27"/>
      <c r="V337" s="27"/>
      <c r="W337" s="27"/>
      <c r="X337" s="27"/>
      <c r="Y337" s="27"/>
      <c r="Z337" s="27"/>
      <c r="AA337" s="27"/>
      <c r="AB337" s="27"/>
      <c r="AC337" s="27"/>
      <c r="AD337" s="27"/>
      <c r="AE337" s="27"/>
      <c r="AF337" s="27"/>
      <c r="AG337" s="27"/>
      <c r="AH337" s="27"/>
      <c r="AI337" s="27"/>
      <c r="AJ337" s="27"/>
      <c r="AK337" s="27"/>
      <c r="AL337" s="27"/>
      <c r="AM337" s="27"/>
      <c r="AN337" s="27"/>
      <c r="AO337" s="27"/>
      <c r="AP337" s="27"/>
      <c r="AQ337" s="27"/>
      <c r="AR337" s="27"/>
      <c r="AS337" s="27"/>
      <c r="AT337" s="27"/>
      <c r="AU337" s="27"/>
      <c r="AV337" s="27"/>
      <c r="AW337" s="27"/>
      <c r="AX337" s="27"/>
      <c r="AY337" s="27"/>
      <c r="AZ337" s="27"/>
      <c r="BA337" s="27"/>
      <c r="BB337" s="27"/>
      <c r="BC337" s="27"/>
      <c r="BD337" s="27"/>
      <c r="BE337" s="27"/>
      <c r="BF337" s="27"/>
      <c r="BG337" s="27"/>
      <c r="BH337" s="27"/>
      <c r="BI337" s="27"/>
      <c r="BJ337" s="27"/>
      <c r="BK337" s="27"/>
      <c r="BL337" s="27"/>
      <c r="BM337" s="27"/>
      <c r="BN337" s="27"/>
      <c r="BO337" s="27"/>
      <c r="BP337" s="27"/>
      <c r="BQ337" s="27"/>
      <c r="BR337" s="27"/>
      <c r="BS337" s="27"/>
      <c r="BT337" s="27"/>
      <c r="BU337" s="27"/>
      <c r="BV337" s="27"/>
      <c r="BW337" s="27"/>
      <c r="BX337" s="27"/>
      <c r="BY337" s="27"/>
      <c r="BZ337" s="27"/>
      <c r="CA337" s="27"/>
      <c r="CB337" s="27"/>
      <c r="CC337" s="27"/>
      <c r="CD337" s="27"/>
      <c r="CE337" s="27"/>
      <c r="CF337" s="27"/>
      <c r="CG337" s="27"/>
      <c r="CH337" s="27"/>
      <c r="CI337" s="27"/>
      <c r="CJ337" s="27"/>
      <c r="CK337" s="27"/>
      <c r="CL337" s="27"/>
      <c r="CM337" s="27"/>
      <c r="CN337" s="27"/>
      <c r="CO337" s="27"/>
      <c r="CP337" s="27"/>
      <c r="CQ337" s="27"/>
      <c r="CR337" s="27"/>
      <c r="CS337" s="27"/>
      <c r="CT337" s="27"/>
      <c r="CU337" s="27"/>
      <c r="CV337" s="27"/>
      <c r="CW337" s="27"/>
      <c r="CX337" s="27"/>
      <c r="CY337" s="27"/>
      <c r="CZ337" s="27"/>
      <c r="DA337" s="27"/>
      <c r="DB337" s="27"/>
      <c r="DC337" s="27"/>
      <c r="DD337" s="27"/>
      <c r="DE337" s="27"/>
      <c r="DF337" s="27"/>
      <c r="DG337" s="27"/>
      <c r="DH337" s="27"/>
      <c r="DI337" s="27"/>
      <c r="DJ337" s="27"/>
      <c r="DK337" s="27"/>
      <c r="DL337" s="27"/>
      <c r="DM337" s="27"/>
      <c r="DN337" s="27"/>
      <c r="DO337" s="27"/>
      <c r="DP337" s="27"/>
      <c r="DQ337" s="27"/>
      <c r="DR337" s="27"/>
      <c r="DS337" s="27"/>
      <c r="DT337" s="27"/>
    </row>
    <row r="338" spans="2:124" x14ac:dyDescent="0.2">
      <c r="B338" s="27"/>
      <c r="C338" s="27"/>
      <c r="D338" s="27"/>
      <c r="E338" s="27"/>
      <c r="F338" s="27"/>
      <c r="G338" s="27"/>
      <c r="H338" s="27"/>
      <c r="I338" s="27"/>
      <c r="J338" s="27"/>
      <c r="K338" s="27"/>
      <c r="L338" s="27"/>
      <c r="M338" s="27"/>
      <c r="N338" s="27"/>
      <c r="O338" s="27"/>
      <c r="P338" s="27"/>
      <c r="Q338" s="27"/>
      <c r="R338" s="27"/>
      <c r="S338" s="27"/>
      <c r="T338" s="27"/>
      <c r="U338" s="27"/>
      <c r="V338" s="27"/>
      <c r="W338" s="27"/>
      <c r="X338" s="27"/>
      <c r="Y338" s="27"/>
      <c r="Z338" s="27"/>
      <c r="AA338" s="27"/>
      <c r="AB338" s="27"/>
      <c r="AC338" s="27"/>
      <c r="AD338" s="27"/>
      <c r="AE338" s="27"/>
      <c r="AF338" s="27"/>
      <c r="AG338" s="27"/>
      <c r="AH338" s="27"/>
      <c r="AI338" s="27"/>
      <c r="AJ338" s="27"/>
      <c r="AK338" s="27"/>
      <c r="AL338" s="27"/>
      <c r="AM338" s="27"/>
      <c r="AN338" s="27"/>
      <c r="AO338" s="27"/>
      <c r="AP338" s="27"/>
      <c r="AQ338" s="27"/>
      <c r="AR338" s="27"/>
      <c r="AS338" s="27"/>
      <c r="AT338" s="27"/>
      <c r="AU338" s="27"/>
      <c r="AV338" s="27"/>
      <c r="AW338" s="27"/>
      <c r="AX338" s="27"/>
      <c r="AY338" s="27"/>
      <c r="AZ338" s="27"/>
      <c r="BA338" s="27"/>
      <c r="BB338" s="27"/>
      <c r="BC338" s="27"/>
      <c r="BD338" s="27"/>
      <c r="BE338" s="27"/>
      <c r="BF338" s="27"/>
      <c r="BG338" s="27"/>
      <c r="BH338" s="27"/>
      <c r="BI338" s="27"/>
      <c r="BJ338" s="27"/>
      <c r="BK338" s="27"/>
      <c r="BL338" s="27"/>
      <c r="BM338" s="27"/>
      <c r="BN338" s="27"/>
      <c r="BO338" s="27"/>
      <c r="BP338" s="27"/>
      <c r="BQ338" s="27"/>
      <c r="BR338" s="27"/>
      <c r="BS338" s="27"/>
      <c r="BT338" s="27"/>
      <c r="BU338" s="27"/>
      <c r="BV338" s="27"/>
      <c r="BW338" s="27"/>
      <c r="BX338" s="27"/>
      <c r="BY338" s="27"/>
      <c r="BZ338" s="27"/>
      <c r="CA338" s="27"/>
      <c r="CB338" s="27"/>
      <c r="CC338" s="27"/>
      <c r="CD338" s="27"/>
      <c r="CE338" s="27"/>
      <c r="CF338" s="27"/>
      <c r="CG338" s="27"/>
      <c r="CH338" s="27"/>
      <c r="CI338" s="27"/>
      <c r="CJ338" s="27"/>
      <c r="CK338" s="27"/>
      <c r="CL338" s="27"/>
      <c r="CM338" s="27"/>
      <c r="CN338" s="27"/>
      <c r="CO338" s="27"/>
      <c r="CP338" s="27"/>
      <c r="CQ338" s="27"/>
      <c r="CR338" s="27"/>
      <c r="CS338" s="27"/>
      <c r="CT338" s="27"/>
      <c r="CU338" s="27"/>
      <c r="CV338" s="27"/>
      <c r="CW338" s="27"/>
      <c r="CX338" s="27"/>
      <c r="CY338" s="27"/>
      <c r="CZ338" s="27"/>
      <c r="DA338" s="27"/>
      <c r="DB338" s="27"/>
      <c r="DC338" s="27"/>
      <c r="DD338" s="27"/>
      <c r="DE338" s="27"/>
      <c r="DF338" s="27"/>
      <c r="DG338" s="27"/>
      <c r="DH338" s="27"/>
      <c r="DI338" s="27"/>
      <c r="DJ338" s="27"/>
      <c r="DK338" s="27"/>
      <c r="DL338" s="27"/>
      <c r="DM338" s="27"/>
      <c r="DN338" s="27"/>
      <c r="DO338" s="27"/>
      <c r="DP338" s="27"/>
      <c r="DQ338" s="27"/>
      <c r="DR338" s="27"/>
      <c r="DS338" s="27"/>
      <c r="DT338" s="27"/>
    </row>
    <row r="339" spans="2:124" x14ac:dyDescent="0.2">
      <c r="B339" s="27"/>
      <c r="C339" s="27"/>
      <c r="D339" s="27"/>
      <c r="E339" s="27"/>
      <c r="F339" s="27"/>
      <c r="G339" s="27"/>
      <c r="H339" s="27"/>
      <c r="I339" s="27"/>
      <c r="J339" s="27"/>
      <c r="K339" s="27"/>
      <c r="L339" s="27"/>
      <c r="M339" s="27"/>
      <c r="N339" s="27"/>
      <c r="O339" s="27"/>
      <c r="P339" s="27"/>
      <c r="Q339" s="27"/>
      <c r="R339" s="27"/>
      <c r="S339" s="27"/>
      <c r="T339" s="27"/>
      <c r="U339" s="27"/>
      <c r="V339" s="27"/>
      <c r="W339" s="27"/>
      <c r="X339" s="27"/>
      <c r="Y339" s="27"/>
      <c r="Z339" s="27"/>
      <c r="AA339" s="27"/>
      <c r="AB339" s="27"/>
      <c r="AC339" s="27"/>
      <c r="AD339" s="27"/>
      <c r="AE339" s="27"/>
      <c r="AF339" s="27"/>
      <c r="AG339" s="27"/>
      <c r="AH339" s="27"/>
      <c r="AI339" s="27"/>
      <c r="AJ339" s="27"/>
      <c r="AK339" s="27"/>
      <c r="AL339" s="27"/>
      <c r="AM339" s="27"/>
      <c r="AN339" s="27"/>
      <c r="AO339" s="27"/>
      <c r="AP339" s="27"/>
      <c r="AQ339" s="27"/>
      <c r="AR339" s="27"/>
      <c r="AS339" s="27"/>
      <c r="AT339" s="27"/>
      <c r="AU339" s="27"/>
      <c r="AV339" s="27"/>
      <c r="AW339" s="27"/>
      <c r="AX339" s="27"/>
      <c r="AY339" s="27"/>
      <c r="AZ339" s="27"/>
      <c r="BA339" s="27"/>
      <c r="BB339" s="27"/>
      <c r="BC339" s="27"/>
      <c r="BD339" s="27"/>
      <c r="BE339" s="27"/>
      <c r="BF339" s="27"/>
      <c r="BG339" s="27"/>
      <c r="BH339" s="27"/>
      <c r="BI339" s="27"/>
      <c r="BJ339" s="27"/>
      <c r="BK339" s="27"/>
      <c r="BL339" s="27"/>
      <c r="BM339" s="27"/>
      <c r="BN339" s="27"/>
      <c r="BO339" s="27"/>
      <c r="BP339" s="27"/>
      <c r="BQ339" s="27"/>
      <c r="BR339" s="27"/>
      <c r="BS339" s="27"/>
      <c r="BT339" s="27"/>
      <c r="BU339" s="27"/>
      <c r="BV339" s="27"/>
      <c r="BW339" s="27"/>
      <c r="BX339" s="27"/>
      <c r="BY339" s="27"/>
      <c r="BZ339" s="27"/>
      <c r="CA339" s="27"/>
      <c r="CB339" s="27"/>
      <c r="CC339" s="27"/>
      <c r="CD339" s="27"/>
      <c r="CE339" s="27"/>
      <c r="CF339" s="27"/>
      <c r="CG339" s="27"/>
      <c r="CH339" s="27"/>
      <c r="CI339" s="27"/>
      <c r="CJ339" s="27"/>
      <c r="CK339" s="27"/>
      <c r="CL339" s="27"/>
      <c r="CM339" s="27"/>
      <c r="CN339" s="27"/>
      <c r="CO339" s="27"/>
      <c r="CP339" s="27"/>
      <c r="CQ339" s="27"/>
      <c r="CR339" s="27"/>
      <c r="CS339" s="27"/>
      <c r="CT339" s="27"/>
      <c r="CU339" s="27"/>
      <c r="CV339" s="27"/>
      <c r="CW339" s="27"/>
      <c r="CX339" s="27"/>
      <c r="CY339" s="27"/>
      <c r="CZ339" s="27"/>
      <c r="DA339" s="27"/>
      <c r="DB339" s="27"/>
      <c r="DC339" s="27"/>
      <c r="DD339" s="27"/>
      <c r="DE339" s="27"/>
      <c r="DF339" s="27"/>
      <c r="DG339" s="27"/>
      <c r="DH339" s="27"/>
      <c r="DI339" s="27"/>
      <c r="DJ339" s="27"/>
      <c r="DK339" s="27"/>
      <c r="DL339" s="27"/>
      <c r="DM339" s="27"/>
      <c r="DN339" s="27"/>
      <c r="DO339" s="27"/>
      <c r="DP339" s="27"/>
      <c r="DQ339" s="27"/>
      <c r="DR339" s="27"/>
      <c r="DS339" s="27"/>
      <c r="DT339" s="27"/>
    </row>
    <row r="340" spans="2:124" x14ac:dyDescent="0.2">
      <c r="B340" s="27"/>
      <c r="C340" s="27"/>
      <c r="D340" s="27"/>
      <c r="E340" s="27"/>
      <c r="F340" s="27"/>
      <c r="G340" s="27"/>
      <c r="H340" s="27"/>
      <c r="I340" s="27"/>
      <c r="J340" s="27"/>
      <c r="K340" s="27"/>
      <c r="L340" s="27"/>
      <c r="M340" s="27"/>
      <c r="N340" s="27"/>
      <c r="O340" s="27"/>
      <c r="P340" s="27"/>
      <c r="Q340" s="27"/>
      <c r="R340" s="27"/>
      <c r="S340" s="27"/>
      <c r="T340" s="27"/>
      <c r="U340" s="27"/>
      <c r="V340" s="27"/>
      <c r="W340" s="27"/>
      <c r="X340" s="27"/>
      <c r="Y340" s="27"/>
      <c r="Z340" s="27"/>
      <c r="AA340" s="27"/>
      <c r="AB340" s="27"/>
      <c r="AC340" s="27"/>
      <c r="AD340" s="27"/>
      <c r="AE340" s="27"/>
      <c r="AF340" s="27"/>
      <c r="AG340" s="27"/>
      <c r="AH340" s="27"/>
      <c r="AI340" s="27"/>
      <c r="AJ340" s="27"/>
      <c r="AK340" s="27"/>
      <c r="AL340" s="27"/>
      <c r="AM340" s="27"/>
      <c r="AN340" s="27"/>
      <c r="AO340" s="27"/>
      <c r="AP340" s="27"/>
      <c r="AQ340" s="27"/>
      <c r="AR340" s="27"/>
      <c r="AS340" s="27"/>
      <c r="AT340" s="27"/>
      <c r="AU340" s="27"/>
      <c r="AV340" s="27"/>
      <c r="AW340" s="27"/>
      <c r="AX340" s="27"/>
      <c r="AY340" s="27"/>
      <c r="AZ340" s="27"/>
      <c r="BA340" s="27"/>
      <c r="BB340" s="27"/>
      <c r="BC340" s="27"/>
      <c r="BD340" s="27"/>
      <c r="BE340" s="27"/>
      <c r="BF340" s="27"/>
      <c r="BG340" s="27"/>
      <c r="BH340" s="27"/>
      <c r="BI340" s="27"/>
      <c r="BJ340" s="27"/>
      <c r="BK340" s="27"/>
      <c r="BL340" s="27"/>
      <c r="BM340" s="27"/>
      <c r="BN340" s="27"/>
      <c r="BO340" s="27"/>
      <c r="BP340" s="27"/>
      <c r="BQ340" s="27"/>
      <c r="BR340" s="27"/>
      <c r="BS340" s="27"/>
      <c r="BT340" s="27"/>
      <c r="BU340" s="27"/>
      <c r="BV340" s="27"/>
      <c r="BW340" s="27"/>
      <c r="BX340" s="27"/>
      <c r="BY340" s="27"/>
      <c r="BZ340" s="27"/>
      <c r="CA340" s="27"/>
      <c r="CB340" s="27"/>
      <c r="CC340" s="27"/>
      <c r="CD340" s="27"/>
      <c r="CE340" s="27"/>
      <c r="CF340" s="27"/>
      <c r="CG340" s="27"/>
      <c r="CH340" s="27"/>
      <c r="CI340" s="27"/>
      <c r="CJ340" s="27"/>
      <c r="CK340" s="27"/>
      <c r="CL340" s="27"/>
      <c r="CM340" s="27"/>
      <c r="CN340" s="27"/>
      <c r="CO340" s="27"/>
      <c r="CP340" s="27"/>
      <c r="CQ340" s="27"/>
      <c r="CR340" s="27"/>
      <c r="CS340" s="27"/>
      <c r="CT340" s="27"/>
      <c r="CU340" s="27"/>
      <c r="CV340" s="27"/>
      <c r="CW340" s="27"/>
      <c r="CX340" s="27"/>
      <c r="CY340" s="27"/>
      <c r="CZ340" s="27"/>
      <c r="DA340" s="27"/>
      <c r="DB340" s="27"/>
      <c r="DC340" s="27"/>
      <c r="DD340" s="27"/>
      <c r="DE340" s="27"/>
      <c r="DF340" s="27"/>
      <c r="DG340" s="27"/>
      <c r="DH340" s="27"/>
      <c r="DI340" s="27"/>
      <c r="DJ340" s="27"/>
      <c r="DK340" s="27"/>
      <c r="DL340" s="27"/>
      <c r="DM340" s="27"/>
      <c r="DN340" s="27"/>
      <c r="DO340" s="27"/>
      <c r="DP340" s="27"/>
      <c r="DQ340" s="27"/>
      <c r="DR340" s="27"/>
      <c r="DS340" s="27"/>
      <c r="DT340" s="27"/>
    </row>
    <row r="341" spans="2:124" x14ac:dyDescent="0.2">
      <c r="B341" s="27"/>
      <c r="C341" s="27"/>
      <c r="D341" s="27"/>
      <c r="E341" s="27"/>
      <c r="F341" s="27"/>
      <c r="G341" s="27"/>
      <c r="H341" s="27"/>
      <c r="I341" s="27"/>
      <c r="J341" s="27"/>
      <c r="K341" s="27"/>
      <c r="L341" s="27"/>
      <c r="M341" s="27"/>
      <c r="N341" s="27"/>
      <c r="O341" s="27"/>
      <c r="P341" s="27"/>
      <c r="Q341" s="27"/>
      <c r="R341" s="27"/>
      <c r="S341" s="27"/>
      <c r="T341" s="27"/>
      <c r="U341" s="27"/>
      <c r="V341" s="27"/>
      <c r="W341" s="27"/>
      <c r="X341" s="27"/>
      <c r="Y341" s="27"/>
      <c r="Z341" s="27"/>
      <c r="AA341" s="27"/>
      <c r="AB341" s="27"/>
      <c r="AC341" s="27"/>
      <c r="AD341" s="27"/>
      <c r="AE341" s="27"/>
      <c r="AF341" s="27"/>
      <c r="AG341" s="27"/>
      <c r="AH341" s="27"/>
      <c r="AI341" s="27"/>
      <c r="AJ341" s="27"/>
      <c r="AK341" s="27"/>
      <c r="AL341" s="27"/>
      <c r="AM341" s="27"/>
      <c r="AN341" s="27"/>
      <c r="AO341" s="27"/>
      <c r="AP341" s="27"/>
      <c r="AQ341" s="27"/>
      <c r="AR341" s="27"/>
      <c r="AS341" s="27"/>
      <c r="AT341" s="27"/>
      <c r="AU341" s="27"/>
      <c r="AV341" s="27"/>
      <c r="AW341" s="27"/>
      <c r="AX341" s="27"/>
      <c r="AY341" s="27"/>
      <c r="AZ341" s="27"/>
      <c r="BA341" s="27"/>
      <c r="BB341" s="27"/>
      <c r="BC341" s="27"/>
      <c r="BD341" s="27"/>
      <c r="BE341" s="27"/>
      <c r="BF341" s="27"/>
      <c r="BG341" s="27"/>
      <c r="BH341" s="27"/>
      <c r="BI341" s="27"/>
      <c r="BJ341" s="27"/>
      <c r="BK341" s="27"/>
      <c r="BL341" s="27"/>
      <c r="BM341" s="27"/>
      <c r="BN341" s="27"/>
      <c r="BO341" s="27"/>
      <c r="BP341" s="27"/>
      <c r="BQ341" s="27"/>
      <c r="BR341" s="27"/>
      <c r="BS341" s="27"/>
      <c r="BT341" s="27"/>
      <c r="BU341" s="27"/>
      <c r="BV341" s="27"/>
      <c r="BW341" s="27"/>
      <c r="BX341" s="27"/>
      <c r="BY341" s="27"/>
      <c r="BZ341" s="27"/>
      <c r="CA341" s="27"/>
      <c r="CB341" s="27"/>
      <c r="CC341" s="27"/>
      <c r="CD341" s="27"/>
      <c r="CE341" s="27"/>
      <c r="CF341" s="27"/>
      <c r="CG341" s="27"/>
      <c r="CH341" s="27"/>
      <c r="CI341" s="27"/>
      <c r="CJ341" s="27"/>
      <c r="CK341" s="27"/>
      <c r="CL341" s="27"/>
      <c r="CM341" s="27"/>
      <c r="CN341" s="27"/>
      <c r="CO341" s="27"/>
      <c r="CP341" s="27"/>
      <c r="CQ341" s="27"/>
      <c r="CR341" s="27"/>
      <c r="CS341" s="27"/>
      <c r="CT341" s="27"/>
      <c r="CU341" s="27"/>
      <c r="CV341" s="27"/>
      <c r="CW341" s="27"/>
      <c r="CX341" s="27"/>
      <c r="CY341" s="27"/>
      <c r="CZ341" s="27"/>
      <c r="DA341" s="27"/>
      <c r="DB341" s="27"/>
      <c r="DC341" s="27"/>
      <c r="DD341" s="27"/>
      <c r="DE341" s="27"/>
      <c r="DF341" s="27"/>
      <c r="DG341" s="27"/>
      <c r="DH341" s="27"/>
      <c r="DI341" s="27"/>
      <c r="DJ341" s="27"/>
      <c r="DK341" s="27"/>
      <c r="DL341" s="27"/>
      <c r="DM341" s="27"/>
      <c r="DN341" s="27"/>
      <c r="DO341" s="27"/>
      <c r="DP341" s="27"/>
      <c r="DQ341" s="27"/>
      <c r="DR341" s="27"/>
      <c r="DS341" s="27"/>
      <c r="DT341" s="27"/>
    </row>
    <row r="342" spans="2:124" x14ac:dyDescent="0.2">
      <c r="B342" s="27"/>
      <c r="C342" s="27"/>
      <c r="D342" s="27"/>
      <c r="E342" s="27"/>
      <c r="F342" s="27"/>
      <c r="G342" s="27"/>
      <c r="H342" s="27"/>
      <c r="I342" s="27"/>
      <c r="J342" s="27"/>
      <c r="K342" s="27"/>
      <c r="L342" s="27"/>
      <c r="M342" s="27"/>
      <c r="N342" s="27"/>
      <c r="O342" s="27"/>
      <c r="P342" s="27"/>
      <c r="Q342" s="27"/>
      <c r="R342" s="27"/>
      <c r="S342" s="27"/>
      <c r="T342" s="27"/>
      <c r="U342" s="27"/>
      <c r="V342" s="27"/>
      <c r="W342" s="27"/>
      <c r="X342" s="27"/>
      <c r="Y342" s="27"/>
      <c r="Z342" s="27"/>
      <c r="AA342" s="27"/>
      <c r="AB342" s="27"/>
      <c r="AC342" s="27"/>
      <c r="AD342" s="27"/>
      <c r="AE342" s="27"/>
      <c r="AF342" s="27"/>
      <c r="AG342" s="27"/>
      <c r="AH342" s="27"/>
      <c r="AI342" s="27"/>
      <c r="AJ342" s="27"/>
      <c r="AK342" s="27"/>
      <c r="AL342" s="27"/>
      <c r="AM342" s="27"/>
      <c r="AN342" s="27"/>
      <c r="AO342" s="27"/>
      <c r="AP342" s="27"/>
      <c r="AQ342" s="27"/>
      <c r="AR342" s="27"/>
      <c r="AS342" s="27"/>
      <c r="AT342" s="27"/>
      <c r="AU342" s="27"/>
      <c r="AV342" s="27"/>
      <c r="AW342" s="27"/>
      <c r="AX342" s="27"/>
      <c r="AY342" s="27"/>
      <c r="AZ342" s="27"/>
      <c r="BA342" s="27"/>
      <c r="BB342" s="27"/>
      <c r="BC342" s="27"/>
      <c r="BD342" s="27"/>
      <c r="BE342" s="27"/>
      <c r="BF342" s="27"/>
      <c r="BG342" s="27"/>
      <c r="BH342" s="27"/>
      <c r="BI342" s="27"/>
      <c r="BJ342" s="27"/>
      <c r="BK342" s="27"/>
      <c r="BL342" s="27"/>
      <c r="BM342" s="27"/>
      <c r="BN342" s="27"/>
      <c r="BO342" s="27"/>
      <c r="BP342" s="27"/>
      <c r="BQ342" s="27"/>
      <c r="BR342" s="27"/>
      <c r="BS342" s="27"/>
      <c r="BT342" s="27"/>
      <c r="BU342" s="27"/>
      <c r="BV342" s="27"/>
      <c r="BW342" s="27"/>
      <c r="BX342" s="27"/>
      <c r="BY342" s="27"/>
      <c r="BZ342" s="27"/>
      <c r="CA342" s="27"/>
      <c r="CB342" s="27"/>
      <c r="CC342" s="27"/>
      <c r="CD342" s="27"/>
      <c r="CE342" s="27"/>
      <c r="CF342" s="27"/>
      <c r="CG342" s="27"/>
      <c r="CH342" s="27"/>
      <c r="CI342" s="27"/>
      <c r="CJ342" s="27"/>
      <c r="CK342" s="27"/>
      <c r="CL342" s="27"/>
      <c r="CM342" s="27"/>
      <c r="CN342" s="27"/>
      <c r="CO342" s="27"/>
      <c r="CP342" s="27"/>
      <c r="CQ342" s="27"/>
      <c r="CR342" s="27"/>
      <c r="CS342" s="27"/>
      <c r="CT342" s="27"/>
      <c r="CU342" s="27"/>
      <c r="CV342" s="27"/>
      <c r="CW342" s="27"/>
      <c r="CX342" s="27"/>
      <c r="CY342" s="27"/>
      <c r="CZ342" s="27"/>
      <c r="DA342" s="27"/>
      <c r="DB342" s="27"/>
      <c r="DC342" s="27"/>
      <c r="DD342" s="27"/>
      <c r="DE342" s="27"/>
      <c r="DF342" s="27"/>
      <c r="DG342" s="27"/>
      <c r="DH342" s="27"/>
      <c r="DI342" s="27"/>
      <c r="DJ342" s="27"/>
      <c r="DK342" s="27"/>
      <c r="DL342" s="27"/>
      <c r="DM342" s="27"/>
      <c r="DN342" s="27"/>
      <c r="DO342" s="27"/>
      <c r="DP342" s="27"/>
      <c r="DQ342" s="27"/>
      <c r="DR342" s="27"/>
      <c r="DS342" s="27"/>
      <c r="DT342" s="27"/>
    </row>
    <row r="343" spans="2:124" x14ac:dyDescent="0.2">
      <c r="B343" s="27"/>
      <c r="C343" s="27"/>
      <c r="D343" s="27"/>
      <c r="E343" s="27"/>
      <c r="F343" s="27"/>
      <c r="G343" s="27"/>
      <c r="H343" s="27"/>
      <c r="I343" s="27"/>
      <c r="J343" s="27"/>
      <c r="K343" s="27"/>
      <c r="L343" s="27"/>
      <c r="M343" s="27"/>
      <c r="N343" s="27"/>
      <c r="O343" s="27"/>
      <c r="P343" s="27"/>
      <c r="Q343" s="27"/>
      <c r="R343" s="27"/>
      <c r="S343" s="27"/>
      <c r="T343" s="27"/>
      <c r="U343" s="27"/>
      <c r="V343" s="27"/>
      <c r="W343" s="27"/>
      <c r="X343" s="27"/>
      <c r="Y343" s="27"/>
      <c r="Z343" s="27"/>
      <c r="AA343" s="27"/>
      <c r="AB343" s="27"/>
      <c r="AC343" s="27"/>
      <c r="AD343" s="27"/>
      <c r="AE343" s="27"/>
      <c r="AF343" s="27"/>
      <c r="AG343" s="27"/>
      <c r="AH343" s="27"/>
      <c r="AI343" s="27"/>
      <c r="AJ343" s="27"/>
      <c r="AK343" s="27"/>
      <c r="AL343" s="27"/>
      <c r="AM343" s="27"/>
      <c r="AN343" s="27"/>
      <c r="AO343" s="27"/>
      <c r="AP343" s="27"/>
      <c r="AQ343" s="27"/>
      <c r="AR343" s="27"/>
      <c r="AS343" s="27"/>
      <c r="AT343" s="27"/>
      <c r="AU343" s="27"/>
      <c r="AV343" s="27"/>
      <c r="AW343" s="27"/>
      <c r="AX343" s="27"/>
      <c r="AY343" s="27"/>
      <c r="AZ343" s="27"/>
      <c r="BA343" s="27"/>
      <c r="BB343" s="27"/>
      <c r="BC343" s="27"/>
      <c r="BD343" s="27"/>
      <c r="BE343" s="27"/>
      <c r="BF343" s="27"/>
      <c r="BG343" s="27"/>
      <c r="BH343" s="27"/>
      <c r="BI343" s="27"/>
      <c r="BJ343" s="27"/>
      <c r="BK343" s="27"/>
      <c r="BL343" s="27"/>
      <c r="BM343" s="27"/>
      <c r="BN343" s="27"/>
      <c r="BO343" s="27"/>
      <c r="BP343" s="27"/>
      <c r="BQ343" s="27"/>
      <c r="BR343" s="27"/>
      <c r="BS343" s="27"/>
      <c r="BT343" s="27"/>
      <c r="BU343" s="27"/>
      <c r="BV343" s="27"/>
      <c r="BW343" s="27"/>
      <c r="BX343" s="27"/>
      <c r="BY343" s="27"/>
      <c r="BZ343" s="27"/>
      <c r="CA343" s="27"/>
      <c r="CB343" s="27"/>
      <c r="CC343" s="27"/>
      <c r="CD343" s="27"/>
      <c r="CE343" s="27"/>
      <c r="CF343" s="27"/>
      <c r="CG343" s="27"/>
      <c r="CH343" s="27"/>
      <c r="CI343" s="27"/>
      <c r="CJ343" s="27"/>
      <c r="CK343" s="27"/>
      <c r="CL343" s="27"/>
      <c r="CM343" s="27"/>
      <c r="CN343" s="27"/>
      <c r="CO343" s="27"/>
      <c r="CP343" s="27"/>
      <c r="CQ343" s="27"/>
      <c r="CR343" s="27"/>
      <c r="CS343" s="27"/>
      <c r="CT343" s="27"/>
      <c r="CU343" s="27"/>
      <c r="CV343" s="27"/>
      <c r="CW343" s="27"/>
      <c r="CX343" s="27"/>
      <c r="CY343" s="27"/>
      <c r="CZ343" s="27"/>
      <c r="DA343" s="27"/>
      <c r="DB343" s="27"/>
      <c r="DC343" s="27"/>
      <c r="DD343" s="27"/>
      <c r="DE343" s="27"/>
      <c r="DF343" s="27"/>
      <c r="DG343" s="27"/>
      <c r="DH343" s="27"/>
      <c r="DI343" s="27"/>
      <c r="DJ343" s="27"/>
      <c r="DK343" s="27"/>
      <c r="DL343" s="27"/>
      <c r="DM343" s="27"/>
      <c r="DN343" s="27"/>
      <c r="DO343" s="27"/>
      <c r="DP343" s="27"/>
      <c r="DQ343" s="27"/>
      <c r="DR343" s="27"/>
      <c r="DS343" s="27"/>
      <c r="DT343" s="27"/>
    </row>
    <row r="344" spans="2:124" x14ac:dyDescent="0.2">
      <c r="B344" s="27"/>
      <c r="C344" s="27"/>
      <c r="D344" s="27"/>
      <c r="E344" s="27"/>
      <c r="F344" s="27"/>
      <c r="G344" s="27"/>
      <c r="H344" s="27"/>
      <c r="I344" s="27"/>
      <c r="J344" s="27"/>
      <c r="K344" s="27"/>
      <c r="L344" s="27"/>
      <c r="M344" s="27"/>
      <c r="N344" s="27"/>
      <c r="O344" s="27"/>
      <c r="P344" s="27"/>
      <c r="Q344" s="27"/>
      <c r="R344" s="27"/>
      <c r="S344" s="27"/>
      <c r="T344" s="27"/>
      <c r="U344" s="27"/>
      <c r="V344" s="27"/>
      <c r="W344" s="27"/>
      <c r="X344" s="27"/>
      <c r="Y344" s="27"/>
      <c r="Z344" s="27"/>
      <c r="AA344" s="27"/>
      <c r="AB344" s="27"/>
      <c r="AC344" s="27"/>
      <c r="AD344" s="27"/>
      <c r="AE344" s="27"/>
      <c r="AF344" s="27"/>
      <c r="AG344" s="27"/>
      <c r="AH344" s="27"/>
      <c r="AI344" s="27"/>
      <c r="AJ344" s="27"/>
      <c r="AK344" s="27"/>
      <c r="AL344" s="27"/>
      <c r="AM344" s="27"/>
      <c r="AN344" s="27"/>
      <c r="AO344" s="27"/>
      <c r="AP344" s="27"/>
      <c r="AQ344" s="27"/>
      <c r="AR344" s="27"/>
      <c r="AS344" s="27"/>
      <c r="AT344" s="27"/>
      <c r="AU344" s="27"/>
      <c r="AV344" s="27"/>
      <c r="AW344" s="27"/>
      <c r="AX344" s="27"/>
      <c r="AY344" s="27"/>
      <c r="AZ344" s="27"/>
      <c r="BA344" s="27"/>
      <c r="BB344" s="27"/>
      <c r="BC344" s="27"/>
      <c r="BD344" s="27"/>
      <c r="BE344" s="27"/>
      <c r="BF344" s="27"/>
      <c r="BG344" s="27"/>
      <c r="BH344" s="27"/>
      <c r="BI344" s="27"/>
      <c r="BJ344" s="27"/>
      <c r="BK344" s="27"/>
      <c r="BL344" s="27"/>
      <c r="BM344" s="27"/>
      <c r="BN344" s="27"/>
      <c r="BO344" s="27"/>
      <c r="BP344" s="27"/>
      <c r="BQ344" s="27"/>
      <c r="BR344" s="27"/>
      <c r="BS344" s="27"/>
      <c r="BT344" s="27"/>
      <c r="BU344" s="27"/>
      <c r="BV344" s="27"/>
      <c r="BW344" s="27"/>
      <c r="BX344" s="27"/>
      <c r="BY344" s="27"/>
      <c r="BZ344" s="27"/>
      <c r="CA344" s="27"/>
      <c r="CB344" s="27"/>
      <c r="CC344" s="27"/>
      <c r="CD344" s="27"/>
      <c r="CE344" s="27"/>
      <c r="CF344" s="27"/>
      <c r="CG344" s="27"/>
      <c r="CH344" s="27"/>
      <c r="CI344" s="27"/>
      <c r="CJ344" s="27"/>
      <c r="CK344" s="27"/>
      <c r="CL344" s="27"/>
      <c r="CM344" s="27"/>
      <c r="CN344" s="27"/>
      <c r="CO344" s="27"/>
      <c r="CP344" s="27"/>
      <c r="CQ344" s="27"/>
      <c r="CR344" s="27"/>
      <c r="CS344" s="27"/>
      <c r="CT344" s="27"/>
      <c r="CU344" s="27"/>
      <c r="CV344" s="27"/>
      <c r="CW344" s="27"/>
      <c r="CX344" s="27"/>
      <c r="CY344" s="27"/>
      <c r="CZ344" s="27"/>
      <c r="DA344" s="27"/>
      <c r="DB344" s="27"/>
      <c r="DC344" s="27"/>
      <c r="DD344" s="27"/>
      <c r="DE344" s="27"/>
      <c r="DF344" s="27"/>
      <c r="DG344" s="27"/>
      <c r="DH344" s="27"/>
      <c r="DI344" s="27"/>
      <c r="DJ344" s="27"/>
      <c r="DK344" s="27"/>
      <c r="DL344" s="27"/>
      <c r="DM344" s="27"/>
      <c r="DN344" s="27"/>
      <c r="DO344" s="27"/>
      <c r="DP344" s="27"/>
      <c r="DQ344" s="27"/>
      <c r="DR344" s="27"/>
      <c r="DS344" s="27"/>
      <c r="DT344" s="27"/>
    </row>
    <row r="345" spans="2:124" x14ac:dyDescent="0.2">
      <c r="B345" s="27"/>
      <c r="C345" s="27"/>
      <c r="D345" s="27"/>
      <c r="E345" s="27"/>
      <c r="F345" s="27"/>
      <c r="G345" s="27"/>
      <c r="H345" s="27"/>
      <c r="I345" s="27"/>
      <c r="J345" s="27"/>
      <c r="K345" s="27"/>
      <c r="L345" s="27"/>
      <c r="M345" s="27"/>
      <c r="N345" s="27"/>
      <c r="O345" s="27"/>
      <c r="P345" s="27"/>
      <c r="Q345" s="27"/>
      <c r="R345" s="27"/>
      <c r="S345" s="27"/>
      <c r="T345" s="27"/>
      <c r="U345" s="27"/>
      <c r="V345" s="27"/>
      <c r="W345" s="27"/>
      <c r="X345" s="27"/>
      <c r="Y345" s="27"/>
      <c r="Z345" s="27"/>
      <c r="AA345" s="27"/>
      <c r="AB345" s="27"/>
      <c r="AC345" s="27"/>
      <c r="AD345" s="27"/>
      <c r="AE345" s="27"/>
      <c r="AF345" s="27"/>
      <c r="AG345" s="27"/>
      <c r="AH345" s="27"/>
      <c r="AI345" s="27"/>
      <c r="AJ345" s="27"/>
      <c r="AK345" s="27"/>
      <c r="AL345" s="27"/>
      <c r="AM345" s="27"/>
      <c r="AN345" s="27"/>
      <c r="AO345" s="27"/>
      <c r="AP345" s="27"/>
      <c r="AQ345" s="27"/>
      <c r="AR345" s="27"/>
      <c r="AS345" s="27"/>
      <c r="AT345" s="27"/>
      <c r="AU345" s="27"/>
      <c r="AV345" s="27"/>
      <c r="AW345" s="27"/>
      <c r="AX345" s="27"/>
      <c r="AY345" s="27"/>
      <c r="AZ345" s="27"/>
      <c r="BA345" s="27"/>
      <c r="BB345" s="27"/>
      <c r="BC345" s="27"/>
      <c r="BD345" s="27"/>
      <c r="BE345" s="27"/>
      <c r="BF345" s="27"/>
      <c r="BG345" s="27"/>
      <c r="BH345" s="27"/>
      <c r="BI345" s="27"/>
      <c r="BJ345" s="27"/>
      <c r="BK345" s="27"/>
      <c r="BL345" s="27"/>
      <c r="BM345" s="27"/>
      <c r="BN345" s="27"/>
      <c r="BO345" s="27"/>
      <c r="BP345" s="27"/>
      <c r="BQ345" s="27"/>
      <c r="BR345" s="27"/>
      <c r="BS345" s="27"/>
      <c r="BT345" s="27"/>
      <c r="BU345" s="27"/>
      <c r="BV345" s="27"/>
      <c r="BW345" s="27"/>
      <c r="BX345" s="27"/>
      <c r="BY345" s="27"/>
      <c r="BZ345" s="27"/>
      <c r="CA345" s="27"/>
      <c r="CB345" s="27"/>
      <c r="CC345" s="27"/>
      <c r="CD345" s="27"/>
      <c r="CE345" s="27"/>
      <c r="CF345" s="27"/>
      <c r="CG345" s="27"/>
      <c r="CH345" s="27"/>
      <c r="CI345" s="27"/>
      <c r="CJ345" s="27"/>
      <c r="CK345" s="27"/>
      <c r="CL345" s="27"/>
      <c r="CM345" s="27"/>
      <c r="CN345" s="27"/>
      <c r="CO345" s="27"/>
      <c r="CP345" s="27"/>
      <c r="CQ345" s="27"/>
      <c r="CR345" s="27"/>
      <c r="CS345" s="27"/>
      <c r="CT345" s="27"/>
      <c r="CU345" s="27"/>
      <c r="CV345" s="27"/>
      <c r="CW345" s="27"/>
      <c r="CX345" s="27"/>
      <c r="CY345" s="27"/>
      <c r="CZ345" s="27"/>
      <c r="DA345" s="27"/>
      <c r="DB345" s="27"/>
      <c r="DC345" s="27"/>
      <c r="DD345" s="27"/>
      <c r="DE345" s="27"/>
      <c r="DF345" s="27"/>
      <c r="DG345" s="27"/>
      <c r="DH345" s="27"/>
      <c r="DI345" s="27"/>
      <c r="DJ345" s="27"/>
      <c r="DK345" s="27"/>
      <c r="DL345" s="27"/>
      <c r="DM345" s="27"/>
      <c r="DN345" s="27"/>
      <c r="DO345" s="27"/>
      <c r="DP345" s="27"/>
      <c r="DQ345" s="27"/>
      <c r="DR345" s="27"/>
      <c r="DS345" s="27"/>
      <c r="DT345" s="27"/>
    </row>
    <row r="346" spans="2:124" x14ac:dyDescent="0.2">
      <c r="B346" s="27"/>
      <c r="C346" s="27"/>
      <c r="D346" s="27"/>
      <c r="E346" s="27"/>
      <c r="F346" s="27"/>
      <c r="G346" s="27"/>
      <c r="H346" s="27"/>
      <c r="I346" s="27"/>
      <c r="J346" s="27"/>
      <c r="K346" s="27"/>
      <c r="L346" s="27"/>
      <c r="M346" s="27"/>
      <c r="N346" s="27"/>
      <c r="O346" s="27"/>
      <c r="P346" s="27"/>
      <c r="Q346" s="27"/>
      <c r="R346" s="27"/>
      <c r="S346" s="27"/>
      <c r="T346" s="27"/>
      <c r="U346" s="27"/>
      <c r="V346" s="27"/>
      <c r="W346" s="27"/>
      <c r="X346" s="27"/>
      <c r="Y346" s="27"/>
      <c r="Z346" s="27"/>
      <c r="AA346" s="27"/>
      <c r="AB346" s="27"/>
      <c r="AC346" s="27"/>
      <c r="AD346" s="27"/>
      <c r="AE346" s="27"/>
      <c r="AF346" s="27"/>
      <c r="AG346" s="27"/>
      <c r="AH346" s="27"/>
      <c r="AI346" s="27"/>
      <c r="AJ346" s="27"/>
      <c r="AK346" s="27"/>
      <c r="AL346" s="27"/>
      <c r="AM346" s="27"/>
      <c r="AN346" s="27"/>
      <c r="AO346" s="27"/>
      <c r="AP346" s="27"/>
      <c r="AQ346" s="27"/>
      <c r="AR346" s="27"/>
      <c r="AS346" s="27"/>
      <c r="AT346" s="27"/>
      <c r="AU346" s="27"/>
      <c r="AV346" s="27"/>
      <c r="AW346" s="27"/>
      <c r="AX346" s="27"/>
      <c r="AY346" s="27"/>
      <c r="AZ346" s="27"/>
      <c r="BA346" s="27"/>
      <c r="BB346" s="27"/>
      <c r="BC346" s="27"/>
      <c r="BD346" s="27"/>
      <c r="BE346" s="27"/>
      <c r="BF346" s="27"/>
      <c r="BG346" s="27"/>
      <c r="BH346" s="27"/>
      <c r="BI346" s="27"/>
      <c r="BJ346" s="27"/>
      <c r="BK346" s="27"/>
      <c r="BL346" s="27"/>
      <c r="BM346" s="27"/>
      <c r="BN346" s="27"/>
      <c r="BO346" s="27"/>
      <c r="BP346" s="27"/>
      <c r="BQ346" s="27"/>
      <c r="BR346" s="27"/>
      <c r="BS346" s="27"/>
      <c r="BT346" s="27"/>
      <c r="BU346" s="27"/>
      <c r="BV346" s="27"/>
      <c r="BW346" s="27"/>
      <c r="BX346" s="27"/>
      <c r="BY346" s="27"/>
      <c r="BZ346" s="27"/>
      <c r="CA346" s="27"/>
      <c r="CB346" s="27"/>
      <c r="CC346" s="27"/>
      <c r="CD346" s="27"/>
      <c r="CE346" s="27"/>
      <c r="CF346" s="27"/>
      <c r="CG346" s="27"/>
      <c r="CH346" s="27"/>
      <c r="CI346" s="27"/>
      <c r="CJ346" s="27"/>
      <c r="CK346" s="27"/>
      <c r="CL346" s="27"/>
      <c r="CM346" s="27"/>
      <c r="CN346" s="27"/>
      <c r="CO346" s="27"/>
      <c r="CP346" s="27"/>
      <c r="CQ346" s="27"/>
      <c r="CR346" s="27"/>
      <c r="CS346" s="27"/>
      <c r="CT346" s="27"/>
      <c r="CU346" s="27"/>
      <c r="CV346" s="27"/>
      <c r="CW346" s="27"/>
      <c r="CX346" s="27"/>
      <c r="CY346" s="27"/>
      <c r="CZ346" s="27"/>
      <c r="DA346" s="27"/>
      <c r="DB346" s="27"/>
      <c r="DC346" s="27"/>
      <c r="DD346" s="27"/>
      <c r="DE346" s="27"/>
      <c r="DF346" s="27"/>
      <c r="DG346" s="27"/>
      <c r="DH346" s="27"/>
      <c r="DI346" s="27"/>
      <c r="DJ346" s="27"/>
      <c r="DK346" s="27"/>
      <c r="DL346" s="27"/>
      <c r="DM346" s="27"/>
      <c r="DN346" s="27"/>
      <c r="DO346" s="27"/>
      <c r="DP346" s="27"/>
      <c r="DQ346" s="27"/>
      <c r="DR346" s="27"/>
      <c r="DS346" s="27"/>
      <c r="DT346" s="27"/>
    </row>
    <row r="347" spans="2:124" x14ac:dyDescent="0.2">
      <c r="B347" s="27"/>
      <c r="C347" s="27"/>
      <c r="D347" s="27"/>
      <c r="E347" s="27"/>
      <c r="F347" s="27"/>
      <c r="G347" s="27"/>
      <c r="H347" s="27"/>
      <c r="I347" s="27"/>
      <c r="J347" s="27"/>
      <c r="K347" s="27"/>
      <c r="L347" s="27"/>
      <c r="M347" s="27"/>
      <c r="N347" s="27"/>
      <c r="O347" s="27"/>
      <c r="P347" s="27"/>
      <c r="Q347" s="27"/>
      <c r="R347" s="27"/>
      <c r="S347" s="27"/>
      <c r="T347" s="27"/>
      <c r="U347" s="27"/>
      <c r="V347" s="27"/>
      <c r="W347" s="27"/>
      <c r="X347" s="27"/>
      <c r="Y347" s="27"/>
      <c r="Z347" s="27"/>
      <c r="AA347" s="27"/>
      <c r="AB347" s="27"/>
      <c r="AC347" s="27"/>
      <c r="AD347" s="27"/>
      <c r="AE347" s="27"/>
      <c r="AF347" s="27"/>
      <c r="AG347" s="27"/>
      <c r="AH347" s="27"/>
      <c r="AI347" s="27"/>
      <c r="AJ347" s="27"/>
      <c r="AK347" s="27"/>
      <c r="AL347" s="27"/>
      <c r="AM347" s="27"/>
      <c r="AN347" s="27"/>
      <c r="AO347" s="27"/>
      <c r="AP347" s="27"/>
      <c r="AQ347" s="27"/>
      <c r="AR347" s="27"/>
      <c r="AS347" s="27"/>
      <c r="AT347" s="27"/>
      <c r="AU347" s="27"/>
      <c r="AV347" s="27"/>
      <c r="AW347" s="27"/>
      <c r="AX347" s="27"/>
      <c r="AY347" s="27"/>
      <c r="AZ347" s="27"/>
      <c r="BA347" s="27"/>
      <c r="BB347" s="27"/>
      <c r="BC347" s="27"/>
      <c r="BD347" s="27"/>
      <c r="BE347" s="27"/>
      <c r="BF347" s="27"/>
      <c r="BG347" s="27"/>
      <c r="BH347" s="27"/>
      <c r="BI347" s="27"/>
      <c r="BJ347" s="27"/>
      <c r="BK347" s="27"/>
      <c r="BL347" s="27"/>
      <c r="BM347" s="27"/>
      <c r="BN347" s="27"/>
      <c r="BO347" s="27"/>
      <c r="BP347" s="27"/>
      <c r="BQ347" s="27"/>
      <c r="BR347" s="27"/>
      <c r="BS347" s="27"/>
      <c r="BT347" s="27"/>
      <c r="BU347" s="27"/>
      <c r="BV347" s="27"/>
      <c r="BW347" s="27"/>
      <c r="BX347" s="27"/>
      <c r="BY347" s="27"/>
      <c r="BZ347" s="27"/>
      <c r="CA347" s="27"/>
      <c r="CB347" s="27"/>
      <c r="CC347" s="27"/>
      <c r="CD347" s="27"/>
      <c r="CE347" s="27"/>
      <c r="CF347" s="27"/>
      <c r="CG347" s="27"/>
      <c r="CH347" s="27"/>
      <c r="CI347" s="27"/>
      <c r="CJ347" s="27"/>
      <c r="CK347" s="27"/>
      <c r="CL347" s="27"/>
      <c r="CM347" s="27"/>
      <c r="CN347" s="27"/>
      <c r="CO347" s="27"/>
      <c r="CP347" s="27"/>
      <c r="CQ347" s="27"/>
      <c r="CR347" s="27"/>
      <c r="CS347" s="27"/>
      <c r="CT347" s="27"/>
      <c r="CU347" s="27"/>
      <c r="CV347" s="27"/>
      <c r="CW347" s="27"/>
      <c r="CX347" s="27"/>
      <c r="CY347" s="27"/>
      <c r="CZ347" s="27"/>
      <c r="DA347" s="27"/>
      <c r="DB347" s="27"/>
      <c r="DC347" s="27"/>
      <c r="DD347" s="27"/>
      <c r="DE347" s="27"/>
      <c r="DF347" s="27"/>
      <c r="DG347" s="27"/>
      <c r="DH347" s="27"/>
      <c r="DI347" s="27"/>
      <c r="DJ347" s="27"/>
      <c r="DK347" s="27"/>
      <c r="DL347" s="27"/>
      <c r="DM347" s="27"/>
      <c r="DN347" s="27"/>
      <c r="DO347" s="27"/>
      <c r="DP347" s="27"/>
      <c r="DQ347" s="27"/>
      <c r="DR347" s="27"/>
      <c r="DS347" s="27"/>
      <c r="DT347" s="27"/>
    </row>
    <row r="348" spans="2:124" x14ac:dyDescent="0.2">
      <c r="B348" s="27"/>
      <c r="C348" s="27"/>
      <c r="D348" s="27"/>
      <c r="E348" s="27"/>
      <c r="F348" s="27"/>
      <c r="G348" s="27"/>
      <c r="H348" s="27"/>
      <c r="I348" s="27"/>
      <c r="J348" s="27"/>
      <c r="K348" s="27"/>
      <c r="L348" s="27"/>
      <c r="M348" s="27"/>
      <c r="N348" s="27"/>
      <c r="O348" s="27"/>
      <c r="P348" s="27"/>
      <c r="Q348" s="27"/>
      <c r="R348" s="27"/>
      <c r="S348" s="27"/>
      <c r="T348" s="27"/>
      <c r="U348" s="27"/>
      <c r="V348" s="27"/>
      <c r="W348" s="27"/>
      <c r="X348" s="27"/>
      <c r="Y348" s="27"/>
      <c r="Z348" s="27"/>
      <c r="AA348" s="27"/>
      <c r="AB348" s="27"/>
      <c r="AC348" s="27"/>
      <c r="AD348" s="27"/>
      <c r="AE348" s="27"/>
      <c r="AF348" s="27"/>
      <c r="AG348" s="27"/>
      <c r="AH348" s="27"/>
      <c r="AI348" s="27"/>
      <c r="AJ348" s="27"/>
      <c r="AK348" s="27"/>
      <c r="AL348" s="27"/>
      <c r="AM348" s="27"/>
      <c r="AN348" s="27"/>
      <c r="AO348" s="27"/>
      <c r="AP348" s="27"/>
      <c r="AQ348" s="27"/>
      <c r="AR348" s="27"/>
      <c r="AS348" s="27"/>
      <c r="AT348" s="27"/>
      <c r="AU348" s="27"/>
      <c r="AV348" s="27"/>
      <c r="AW348" s="27"/>
      <c r="AX348" s="27"/>
      <c r="AY348" s="27"/>
      <c r="AZ348" s="27"/>
      <c r="BA348" s="27"/>
      <c r="BB348" s="27"/>
      <c r="BC348" s="27"/>
      <c r="BD348" s="27"/>
      <c r="BE348" s="27"/>
      <c r="BF348" s="27"/>
      <c r="BG348" s="27"/>
      <c r="BH348" s="27"/>
      <c r="BI348" s="27"/>
      <c r="BJ348" s="27"/>
      <c r="BK348" s="27"/>
      <c r="BL348" s="27"/>
      <c r="BM348" s="27"/>
      <c r="BN348" s="27"/>
      <c r="BO348" s="27"/>
      <c r="BP348" s="27"/>
      <c r="BQ348" s="27"/>
      <c r="BR348" s="27"/>
      <c r="BS348" s="27"/>
      <c r="BT348" s="27"/>
      <c r="BU348" s="27"/>
      <c r="BV348" s="27"/>
      <c r="BW348" s="27"/>
      <c r="BX348" s="27"/>
      <c r="BY348" s="27"/>
      <c r="BZ348" s="27"/>
      <c r="CA348" s="27"/>
      <c r="CB348" s="27"/>
      <c r="CC348" s="27"/>
      <c r="CD348" s="27"/>
      <c r="CE348" s="27"/>
      <c r="CF348" s="27"/>
      <c r="CG348" s="27"/>
      <c r="CH348" s="27"/>
      <c r="CI348" s="27"/>
      <c r="CJ348" s="27"/>
      <c r="CK348" s="27"/>
      <c r="CL348" s="27"/>
      <c r="CM348" s="27"/>
      <c r="CN348" s="27"/>
      <c r="CO348" s="27"/>
      <c r="CP348" s="27"/>
      <c r="CQ348" s="27"/>
      <c r="CR348" s="27"/>
      <c r="CS348" s="27"/>
      <c r="CT348" s="27"/>
      <c r="CU348" s="27"/>
      <c r="CV348" s="27"/>
      <c r="CW348" s="27"/>
      <c r="CX348" s="27"/>
      <c r="CY348" s="27"/>
      <c r="CZ348" s="27"/>
      <c r="DA348" s="27"/>
      <c r="DB348" s="27"/>
      <c r="DC348" s="27"/>
      <c r="DD348" s="27"/>
      <c r="DE348" s="27"/>
      <c r="DF348" s="27"/>
      <c r="DG348" s="27"/>
      <c r="DH348" s="27"/>
      <c r="DI348" s="27"/>
      <c r="DJ348" s="27"/>
      <c r="DK348" s="27"/>
      <c r="DL348" s="27"/>
      <c r="DM348" s="27"/>
      <c r="DN348" s="27"/>
      <c r="DO348" s="27"/>
      <c r="DP348" s="27"/>
      <c r="DQ348" s="27"/>
      <c r="DR348" s="27"/>
      <c r="DS348" s="27"/>
      <c r="DT348" s="27"/>
    </row>
    <row r="349" spans="2:124" x14ac:dyDescent="0.2">
      <c r="B349" s="27"/>
      <c r="C349" s="27"/>
      <c r="D349" s="27"/>
      <c r="E349" s="27"/>
      <c r="F349" s="27"/>
      <c r="G349" s="27"/>
      <c r="H349" s="27"/>
      <c r="I349" s="27"/>
      <c r="J349" s="27"/>
      <c r="K349" s="27"/>
      <c r="L349" s="27"/>
      <c r="M349" s="27"/>
      <c r="N349" s="27"/>
      <c r="O349" s="27"/>
      <c r="P349" s="27"/>
      <c r="Q349" s="27"/>
      <c r="R349" s="27"/>
      <c r="S349" s="27"/>
      <c r="T349" s="27"/>
      <c r="U349" s="27"/>
      <c r="V349" s="27"/>
      <c r="W349" s="27"/>
      <c r="X349" s="27"/>
      <c r="Y349" s="27"/>
      <c r="Z349" s="27"/>
      <c r="AA349" s="27"/>
      <c r="AB349" s="27"/>
      <c r="AC349" s="27"/>
      <c r="AD349" s="27"/>
      <c r="AE349" s="27"/>
      <c r="AF349" s="27"/>
      <c r="AG349" s="27"/>
      <c r="AH349" s="27"/>
      <c r="AI349" s="27"/>
      <c r="AJ349" s="27"/>
      <c r="AK349" s="27"/>
      <c r="AL349" s="27"/>
      <c r="AM349" s="27"/>
      <c r="AN349" s="27"/>
      <c r="AO349" s="27"/>
      <c r="AP349" s="27"/>
      <c r="AQ349" s="27"/>
      <c r="AR349" s="27"/>
      <c r="AS349" s="27"/>
      <c r="AT349" s="27"/>
      <c r="AU349" s="27"/>
      <c r="AV349" s="27"/>
      <c r="AW349" s="27"/>
      <c r="AX349" s="27"/>
      <c r="AY349" s="27"/>
      <c r="AZ349" s="27"/>
      <c r="BA349" s="27"/>
      <c r="BB349" s="27"/>
      <c r="BC349" s="27"/>
      <c r="BD349" s="27"/>
      <c r="BE349" s="27"/>
      <c r="BF349" s="27"/>
      <c r="BG349" s="27"/>
      <c r="BH349" s="27"/>
      <c r="BI349" s="27"/>
      <c r="BJ349" s="27"/>
      <c r="BK349" s="27"/>
      <c r="BL349" s="27"/>
      <c r="BM349" s="27"/>
      <c r="BN349" s="27"/>
      <c r="BO349" s="27"/>
      <c r="BP349" s="27"/>
      <c r="BQ349" s="27"/>
      <c r="BR349" s="27"/>
      <c r="BS349" s="27"/>
      <c r="BT349" s="27"/>
      <c r="BU349" s="27"/>
      <c r="BV349" s="27"/>
      <c r="BW349" s="27"/>
      <c r="BX349" s="27"/>
      <c r="BY349" s="27"/>
      <c r="BZ349" s="27"/>
      <c r="CA349" s="27"/>
      <c r="CB349" s="27"/>
      <c r="CC349" s="27"/>
      <c r="CD349" s="27"/>
      <c r="CE349" s="27"/>
      <c r="CF349" s="27"/>
      <c r="CG349" s="27"/>
      <c r="CH349" s="27"/>
      <c r="CI349" s="27"/>
      <c r="CJ349" s="27"/>
      <c r="CK349" s="27"/>
      <c r="CL349" s="27"/>
      <c r="CM349" s="27"/>
      <c r="CN349" s="27"/>
      <c r="CO349" s="27"/>
      <c r="CP349" s="27"/>
      <c r="CQ349" s="27"/>
      <c r="CR349" s="27"/>
      <c r="CS349" s="27"/>
      <c r="CT349" s="27"/>
      <c r="CU349" s="27"/>
      <c r="CV349" s="27"/>
      <c r="CW349" s="27"/>
      <c r="CX349" s="27"/>
      <c r="CY349" s="27"/>
      <c r="CZ349" s="27"/>
      <c r="DA349" s="27"/>
      <c r="DB349" s="27"/>
      <c r="DC349" s="27"/>
      <c r="DD349" s="27"/>
      <c r="DE349" s="27"/>
      <c r="DF349" s="27"/>
      <c r="DG349" s="27"/>
      <c r="DH349" s="27"/>
      <c r="DI349" s="27"/>
      <c r="DJ349" s="27"/>
      <c r="DK349" s="27"/>
      <c r="DL349" s="27"/>
      <c r="DM349" s="27"/>
      <c r="DN349" s="27"/>
      <c r="DO349" s="27"/>
      <c r="DP349" s="27"/>
      <c r="DQ349" s="27"/>
      <c r="DR349" s="27"/>
      <c r="DS349" s="27"/>
      <c r="DT349" s="27"/>
    </row>
    <row r="350" spans="2:124" x14ac:dyDescent="0.2">
      <c r="B350" s="27"/>
      <c r="C350" s="27"/>
      <c r="D350" s="27"/>
      <c r="E350" s="27"/>
      <c r="F350" s="27"/>
      <c r="G350" s="27"/>
      <c r="H350" s="27"/>
      <c r="I350" s="27"/>
      <c r="J350" s="27"/>
      <c r="K350" s="27"/>
      <c r="L350" s="27"/>
      <c r="M350" s="27"/>
      <c r="N350" s="27"/>
      <c r="O350" s="27"/>
      <c r="P350" s="27"/>
      <c r="Q350" s="27"/>
      <c r="R350" s="27"/>
      <c r="S350" s="27"/>
      <c r="T350" s="27"/>
      <c r="U350" s="27"/>
      <c r="V350" s="27"/>
      <c r="W350" s="27"/>
      <c r="X350" s="27"/>
      <c r="Y350" s="27"/>
      <c r="Z350" s="27"/>
      <c r="AA350" s="27"/>
      <c r="AB350" s="27"/>
      <c r="AC350" s="27"/>
      <c r="AD350" s="27"/>
      <c r="AE350" s="27"/>
      <c r="AF350" s="27"/>
      <c r="AG350" s="27"/>
      <c r="AH350" s="27"/>
      <c r="AI350" s="27"/>
      <c r="AJ350" s="27"/>
      <c r="AK350" s="27"/>
      <c r="AL350" s="27"/>
      <c r="AM350" s="27"/>
      <c r="AN350" s="27"/>
      <c r="AO350" s="27"/>
      <c r="AP350" s="27"/>
      <c r="AQ350" s="27"/>
      <c r="AR350" s="27"/>
      <c r="AS350" s="27"/>
      <c r="AT350" s="27"/>
      <c r="AU350" s="27"/>
      <c r="AV350" s="27"/>
      <c r="AW350" s="27"/>
      <c r="AX350" s="27"/>
      <c r="AY350" s="27"/>
      <c r="AZ350" s="27"/>
      <c r="BA350" s="27"/>
      <c r="BB350" s="27"/>
      <c r="BC350" s="27"/>
      <c r="BD350" s="27"/>
      <c r="BE350" s="27"/>
      <c r="BF350" s="27"/>
      <c r="BG350" s="27"/>
      <c r="BH350" s="27"/>
      <c r="BI350" s="27"/>
      <c r="BJ350" s="27"/>
      <c r="BK350" s="27"/>
      <c r="BL350" s="27"/>
      <c r="BM350" s="27"/>
      <c r="BN350" s="27"/>
      <c r="BO350" s="27"/>
      <c r="BP350" s="27"/>
      <c r="BQ350" s="27"/>
      <c r="BR350" s="27"/>
      <c r="BS350" s="27"/>
      <c r="BT350" s="27"/>
      <c r="BU350" s="27"/>
      <c r="BV350" s="27"/>
      <c r="BW350" s="27"/>
      <c r="BX350" s="27"/>
      <c r="BY350" s="27"/>
      <c r="BZ350" s="27"/>
      <c r="CA350" s="27"/>
      <c r="CB350" s="27"/>
      <c r="CC350" s="27"/>
      <c r="CD350" s="27"/>
      <c r="CE350" s="27"/>
      <c r="CF350" s="27"/>
      <c r="CG350" s="27"/>
      <c r="CH350" s="27"/>
      <c r="CI350" s="27"/>
      <c r="CJ350" s="27"/>
      <c r="CK350" s="27"/>
      <c r="CL350" s="27"/>
      <c r="CM350" s="27"/>
      <c r="CN350" s="27"/>
      <c r="CO350" s="27"/>
      <c r="CP350" s="27"/>
      <c r="CQ350" s="27"/>
      <c r="CR350" s="27"/>
      <c r="CS350" s="27"/>
      <c r="CT350" s="27"/>
      <c r="CU350" s="27"/>
      <c r="CV350" s="27"/>
      <c r="CW350" s="27"/>
      <c r="CX350" s="27"/>
      <c r="CY350" s="27"/>
      <c r="CZ350" s="27"/>
      <c r="DA350" s="27"/>
      <c r="DB350" s="27"/>
      <c r="DC350" s="27"/>
      <c r="DD350" s="27"/>
      <c r="DE350" s="27"/>
      <c r="DF350" s="27"/>
      <c r="DG350" s="27"/>
      <c r="DH350" s="27"/>
      <c r="DI350" s="27"/>
      <c r="DJ350" s="27"/>
      <c r="DK350" s="27"/>
      <c r="DL350" s="27"/>
      <c r="DM350" s="27"/>
      <c r="DN350" s="27"/>
      <c r="DO350" s="27"/>
      <c r="DP350" s="27"/>
      <c r="DQ350" s="27"/>
      <c r="DR350" s="27"/>
      <c r="DS350" s="27"/>
      <c r="DT350" s="27"/>
    </row>
    <row r="351" spans="2:124" x14ac:dyDescent="0.2">
      <c r="B351" s="27"/>
      <c r="C351" s="27"/>
      <c r="D351" s="27"/>
      <c r="E351" s="27"/>
      <c r="F351" s="27"/>
      <c r="G351" s="27"/>
      <c r="H351" s="27"/>
      <c r="I351" s="27"/>
      <c r="J351" s="27"/>
      <c r="K351" s="27"/>
      <c r="L351" s="27"/>
      <c r="M351" s="27"/>
      <c r="N351" s="27"/>
      <c r="O351" s="27"/>
      <c r="P351" s="27"/>
      <c r="Q351" s="27"/>
      <c r="R351" s="27"/>
      <c r="S351" s="27"/>
      <c r="T351" s="27"/>
      <c r="U351" s="27"/>
      <c r="V351" s="27"/>
      <c r="W351" s="27"/>
      <c r="X351" s="27"/>
      <c r="Y351" s="27"/>
      <c r="Z351" s="27"/>
      <c r="AA351" s="27"/>
      <c r="AB351" s="27"/>
      <c r="AC351" s="27"/>
      <c r="AD351" s="27"/>
      <c r="AE351" s="27"/>
      <c r="AF351" s="27"/>
      <c r="AG351" s="27"/>
      <c r="AH351" s="27"/>
      <c r="AI351" s="27"/>
      <c r="AJ351" s="27"/>
      <c r="AK351" s="27"/>
      <c r="AL351" s="27"/>
      <c r="AM351" s="27"/>
      <c r="AN351" s="27"/>
      <c r="AO351" s="27"/>
      <c r="AP351" s="27"/>
      <c r="AQ351" s="27"/>
      <c r="AR351" s="27"/>
      <c r="AS351" s="27"/>
      <c r="AT351" s="27"/>
      <c r="AU351" s="27"/>
      <c r="AV351" s="27"/>
      <c r="AW351" s="27"/>
      <c r="AX351" s="27"/>
      <c r="AY351" s="27"/>
      <c r="AZ351" s="27"/>
      <c r="BA351" s="27"/>
      <c r="BB351" s="27"/>
      <c r="BC351" s="27"/>
      <c r="BD351" s="27"/>
      <c r="BE351" s="27"/>
      <c r="BF351" s="27"/>
      <c r="BG351" s="27"/>
      <c r="BH351" s="27"/>
      <c r="BI351" s="27"/>
      <c r="BJ351" s="27"/>
      <c r="BK351" s="27"/>
      <c r="BL351" s="27"/>
      <c r="BM351" s="27"/>
      <c r="BN351" s="27"/>
      <c r="BO351" s="27"/>
      <c r="BP351" s="27"/>
      <c r="BQ351" s="27"/>
      <c r="BR351" s="27"/>
      <c r="BS351" s="27"/>
      <c r="BT351" s="27"/>
      <c r="BU351" s="27"/>
      <c r="BV351" s="27"/>
      <c r="BW351" s="27"/>
      <c r="BX351" s="27"/>
      <c r="BY351" s="27"/>
      <c r="BZ351" s="27"/>
      <c r="CA351" s="27"/>
      <c r="CB351" s="27"/>
      <c r="CC351" s="27"/>
      <c r="CD351" s="27"/>
      <c r="CE351" s="27"/>
      <c r="CF351" s="27"/>
      <c r="CG351" s="27"/>
      <c r="CH351" s="27"/>
      <c r="CI351" s="27"/>
      <c r="CJ351" s="27"/>
      <c r="CK351" s="27"/>
      <c r="CL351" s="27"/>
      <c r="CM351" s="27"/>
      <c r="CN351" s="27"/>
      <c r="CO351" s="27"/>
      <c r="CP351" s="27"/>
      <c r="CQ351" s="27"/>
      <c r="CR351" s="27"/>
      <c r="CS351" s="27"/>
      <c r="CT351" s="27"/>
      <c r="CU351" s="27"/>
      <c r="CV351" s="27"/>
      <c r="CW351" s="27"/>
      <c r="CX351" s="27"/>
      <c r="CY351" s="27"/>
      <c r="CZ351" s="27"/>
      <c r="DA351" s="27"/>
      <c r="DB351" s="27"/>
      <c r="DC351" s="27"/>
      <c r="DD351" s="27"/>
      <c r="DE351" s="27"/>
      <c r="DF351" s="27"/>
      <c r="DG351" s="27"/>
      <c r="DH351" s="27"/>
      <c r="DI351" s="27"/>
      <c r="DJ351" s="27"/>
      <c r="DK351" s="27"/>
      <c r="DL351" s="27"/>
      <c r="DM351" s="27"/>
      <c r="DN351" s="27"/>
      <c r="DO351" s="27"/>
      <c r="DP351" s="27"/>
      <c r="DQ351" s="27"/>
      <c r="DR351" s="27"/>
      <c r="DS351" s="27"/>
      <c r="DT351" s="27"/>
    </row>
    <row r="352" spans="2:124" x14ac:dyDescent="0.2">
      <c r="B352" s="27"/>
      <c r="C352" s="27"/>
      <c r="D352" s="27"/>
      <c r="E352" s="27"/>
      <c r="F352" s="27"/>
      <c r="G352" s="27"/>
      <c r="H352" s="27"/>
      <c r="I352" s="27"/>
      <c r="J352" s="27"/>
      <c r="K352" s="27"/>
      <c r="L352" s="27"/>
      <c r="M352" s="27"/>
      <c r="N352" s="27"/>
      <c r="O352" s="27"/>
      <c r="P352" s="27"/>
      <c r="Q352" s="27"/>
      <c r="R352" s="27"/>
      <c r="S352" s="27"/>
      <c r="T352" s="27"/>
      <c r="U352" s="27"/>
      <c r="V352" s="27"/>
      <c r="W352" s="27"/>
      <c r="X352" s="27"/>
      <c r="Y352" s="27"/>
      <c r="Z352" s="27"/>
      <c r="AA352" s="27"/>
      <c r="AB352" s="27"/>
      <c r="AC352" s="27"/>
      <c r="AD352" s="27"/>
      <c r="AE352" s="27"/>
      <c r="AF352" s="27"/>
      <c r="AG352" s="27"/>
      <c r="AH352" s="27"/>
      <c r="AI352" s="27"/>
      <c r="AJ352" s="27"/>
      <c r="AK352" s="27"/>
      <c r="AL352" s="27"/>
      <c r="AM352" s="27"/>
      <c r="AN352" s="27"/>
      <c r="AO352" s="27"/>
      <c r="AP352" s="27"/>
      <c r="AQ352" s="27"/>
      <c r="AR352" s="27"/>
      <c r="AS352" s="27"/>
      <c r="AT352" s="27"/>
      <c r="AU352" s="27"/>
      <c r="AV352" s="27"/>
      <c r="AW352" s="27"/>
      <c r="AX352" s="27"/>
      <c r="AY352" s="27"/>
      <c r="AZ352" s="27"/>
      <c r="BA352" s="27"/>
      <c r="BB352" s="27"/>
      <c r="BC352" s="27"/>
      <c r="BD352" s="27"/>
      <c r="BE352" s="27"/>
      <c r="BF352" s="27"/>
      <c r="BG352" s="27"/>
      <c r="BH352" s="27"/>
      <c r="BI352" s="27"/>
      <c r="BJ352" s="27"/>
      <c r="BK352" s="27"/>
      <c r="BL352" s="27"/>
      <c r="BM352" s="27"/>
      <c r="BN352" s="27"/>
      <c r="BO352" s="27"/>
      <c r="BP352" s="27"/>
      <c r="BQ352" s="27"/>
      <c r="BR352" s="27"/>
      <c r="BS352" s="27"/>
      <c r="BT352" s="27"/>
      <c r="BU352" s="27"/>
      <c r="BV352" s="27"/>
      <c r="BW352" s="27"/>
      <c r="BX352" s="27"/>
      <c r="BY352" s="27"/>
      <c r="BZ352" s="27"/>
      <c r="CA352" s="27"/>
      <c r="CB352" s="27"/>
      <c r="CC352" s="27"/>
      <c r="CD352" s="27"/>
      <c r="CE352" s="27"/>
      <c r="CF352" s="27"/>
      <c r="CG352" s="27"/>
      <c r="CH352" s="27"/>
      <c r="CI352" s="27"/>
      <c r="CJ352" s="27"/>
      <c r="CK352" s="27"/>
      <c r="CL352" s="27"/>
      <c r="CM352" s="27"/>
      <c r="CN352" s="27"/>
      <c r="CO352" s="27"/>
      <c r="CP352" s="27"/>
      <c r="CQ352" s="27"/>
      <c r="CR352" s="27"/>
      <c r="CS352" s="27"/>
      <c r="CT352" s="27"/>
      <c r="CU352" s="27"/>
      <c r="CV352" s="27"/>
      <c r="CW352" s="27"/>
      <c r="CX352" s="27"/>
      <c r="CY352" s="27"/>
      <c r="CZ352" s="27"/>
      <c r="DA352" s="27"/>
      <c r="DB352" s="27"/>
      <c r="DC352" s="27"/>
      <c r="DD352" s="27"/>
      <c r="DE352" s="27"/>
      <c r="DF352" s="27"/>
      <c r="DG352" s="27"/>
      <c r="DH352" s="27"/>
      <c r="DI352" s="27"/>
      <c r="DJ352" s="27"/>
      <c r="DK352" s="27"/>
      <c r="DL352" s="27"/>
      <c r="DM352" s="27"/>
      <c r="DN352" s="27"/>
      <c r="DO352" s="27"/>
      <c r="DP352" s="27"/>
      <c r="DQ352" s="27"/>
      <c r="DR352" s="27"/>
      <c r="DS352" s="27"/>
      <c r="DT352" s="27"/>
    </row>
    <row r="353" spans="2:124" x14ac:dyDescent="0.2">
      <c r="B353" s="27"/>
      <c r="C353" s="27"/>
      <c r="D353" s="27"/>
      <c r="E353" s="27"/>
      <c r="F353" s="27"/>
      <c r="G353" s="27"/>
      <c r="H353" s="27"/>
      <c r="I353" s="27"/>
      <c r="J353" s="27"/>
      <c r="K353" s="27"/>
      <c r="L353" s="27"/>
      <c r="M353" s="27"/>
      <c r="N353" s="27"/>
      <c r="O353" s="27"/>
      <c r="P353" s="27"/>
      <c r="Q353" s="27"/>
      <c r="R353" s="27"/>
      <c r="S353" s="27"/>
      <c r="T353" s="27"/>
      <c r="U353" s="27"/>
      <c r="V353" s="27"/>
      <c r="W353" s="27"/>
      <c r="X353" s="27"/>
      <c r="Y353" s="27"/>
      <c r="Z353" s="27"/>
      <c r="AA353" s="27"/>
      <c r="AB353" s="27"/>
      <c r="AC353" s="27"/>
      <c r="AD353" s="27"/>
      <c r="AE353" s="27"/>
      <c r="AF353" s="27"/>
      <c r="AG353" s="27"/>
      <c r="AH353" s="27"/>
      <c r="AI353" s="27"/>
      <c r="AJ353" s="27"/>
      <c r="AK353" s="27"/>
      <c r="AL353" s="27"/>
      <c r="AM353" s="27"/>
      <c r="AN353" s="27"/>
      <c r="AO353" s="27"/>
      <c r="AP353" s="27"/>
      <c r="AQ353" s="27"/>
      <c r="AR353" s="27"/>
      <c r="AS353" s="27"/>
      <c r="AT353" s="27"/>
      <c r="AU353" s="27"/>
      <c r="AV353" s="27"/>
      <c r="AW353" s="27"/>
      <c r="AX353" s="27"/>
      <c r="AY353" s="27"/>
      <c r="AZ353" s="27"/>
      <c r="BA353" s="27"/>
      <c r="BB353" s="27"/>
      <c r="BC353" s="27"/>
      <c r="BD353" s="27"/>
      <c r="BE353" s="27"/>
      <c r="BF353" s="27"/>
      <c r="BG353" s="27"/>
      <c r="BH353" s="27"/>
      <c r="BI353" s="27"/>
      <c r="BJ353" s="27"/>
      <c r="BK353" s="27"/>
      <c r="BL353" s="27"/>
      <c r="BM353" s="27"/>
      <c r="BN353" s="27"/>
      <c r="BO353" s="27"/>
      <c r="BP353" s="27"/>
      <c r="BQ353" s="27"/>
      <c r="BR353" s="27"/>
      <c r="BS353" s="27"/>
      <c r="BT353" s="27"/>
      <c r="BU353" s="27"/>
      <c r="BV353" s="27"/>
      <c r="BW353" s="27"/>
      <c r="BX353" s="27"/>
      <c r="BY353" s="27"/>
      <c r="BZ353" s="27"/>
      <c r="CA353" s="27"/>
      <c r="CB353" s="27"/>
      <c r="CC353" s="27"/>
      <c r="CD353" s="27"/>
      <c r="CE353" s="27"/>
      <c r="CF353" s="27"/>
      <c r="CG353" s="27"/>
      <c r="CH353" s="27"/>
      <c r="CI353" s="27"/>
      <c r="CJ353" s="27"/>
      <c r="CK353" s="27"/>
      <c r="CL353" s="27"/>
      <c r="CM353" s="27"/>
      <c r="CN353" s="27"/>
      <c r="CO353" s="27"/>
      <c r="CP353" s="27"/>
      <c r="CQ353" s="27"/>
      <c r="CR353" s="27"/>
      <c r="CS353" s="27"/>
      <c r="CT353" s="27"/>
      <c r="CU353" s="27"/>
      <c r="CV353" s="27"/>
      <c r="CW353" s="27"/>
      <c r="CX353" s="27"/>
      <c r="CY353" s="27"/>
      <c r="CZ353" s="27"/>
      <c r="DA353" s="27"/>
      <c r="DB353" s="27"/>
      <c r="DC353" s="27"/>
      <c r="DD353" s="27"/>
      <c r="DE353" s="27"/>
      <c r="DF353" s="27"/>
      <c r="DG353" s="27"/>
      <c r="DH353" s="27"/>
      <c r="DI353" s="27"/>
      <c r="DJ353" s="27"/>
      <c r="DK353" s="27"/>
      <c r="DL353" s="27"/>
      <c r="DM353" s="27"/>
      <c r="DN353" s="27"/>
      <c r="DO353" s="27"/>
      <c r="DP353" s="27"/>
      <c r="DQ353" s="27"/>
      <c r="DR353" s="27"/>
      <c r="DS353" s="27"/>
      <c r="DT353" s="27"/>
    </row>
    <row r="354" spans="2:124" x14ac:dyDescent="0.2">
      <c r="B354" s="27"/>
      <c r="C354" s="27"/>
      <c r="D354" s="27"/>
      <c r="E354" s="27"/>
      <c r="F354" s="27"/>
      <c r="G354" s="27"/>
      <c r="H354" s="27"/>
      <c r="I354" s="27"/>
      <c r="J354" s="27"/>
      <c r="K354" s="27"/>
      <c r="L354" s="27"/>
      <c r="M354" s="27"/>
      <c r="N354" s="27"/>
      <c r="O354" s="27"/>
      <c r="P354" s="27"/>
      <c r="Q354" s="27"/>
      <c r="R354" s="27"/>
      <c r="S354" s="27"/>
      <c r="T354" s="27"/>
      <c r="U354" s="27"/>
      <c r="V354" s="27"/>
      <c r="W354" s="27"/>
      <c r="X354" s="27"/>
      <c r="Y354" s="27"/>
      <c r="Z354" s="27"/>
      <c r="AA354" s="27"/>
      <c r="AB354" s="27"/>
      <c r="AC354" s="27"/>
      <c r="AD354" s="27"/>
      <c r="AE354" s="27"/>
      <c r="AF354" s="27"/>
      <c r="AG354" s="27"/>
      <c r="AH354" s="27"/>
      <c r="AI354" s="27"/>
      <c r="AJ354" s="27"/>
      <c r="AK354" s="27"/>
      <c r="AL354" s="27"/>
      <c r="AM354" s="27"/>
      <c r="AN354" s="27"/>
      <c r="AO354" s="27"/>
      <c r="AP354" s="27"/>
      <c r="AQ354" s="27"/>
      <c r="AR354" s="27"/>
      <c r="AS354" s="27"/>
      <c r="AT354" s="27"/>
      <c r="AU354" s="27"/>
      <c r="AV354" s="27"/>
      <c r="AW354" s="27"/>
      <c r="AX354" s="27"/>
      <c r="AY354" s="27"/>
      <c r="AZ354" s="27"/>
      <c r="BA354" s="27"/>
      <c r="BB354" s="27"/>
      <c r="BC354" s="27"/>
      <c r="BD354" s="27"/>
      <c r="BE354" s="27"/>
      <c r="BF354" s="27"/>
      <c r="BG354" s="27"/>
      <c r="BH354" s="27"/>
      <c r="BI354" s="27"/>
      <c r="BJ354" s="27"/>
      <c r="BK354" s="27"/>
      <c r="BL354" s="27"/>
      <c r="BM354" s="27"/>
      <c r="BN354" s="27"/>
      <c r="BO354" s="27"/>
      <c r="BP354" s="27"/>
      <c r="BQ354" s="27"/>
      <c r="BR354" s="27"/>
      <c r="BS354" s="27"/>
      <c r="BT354" s="27"/>
      <c r="BU354" s="27"/>
      <c r="BV354" s="27"/>
      <c r="BW354" s="27"/>
      <c r="BX354" s="27"/>
      <c r="BY354" s="27"/>
      <c r="BZ354" s="27"/>
      <c r="CA354" s="27"/>
      <c r="CB354" s="27"/>
      <c r="CC354" s="27"/>
      <c r="CD354" s="27"/>
      <c r="CE354" s="27"/>
      <c r="CF354" s="27"/>
      <c r="CG354" s="27"/>
      <c r="CH354" s="27"/>
      <c r="CI354" s="27"/>
      <c r="CJ354" s="27"/>
      <c r="CK354" s="27"/>
      <c r="CL354" s="27"/>
      <c r="CM354" s="27"/>
      <c r="CN354" s="27"/>
      <c r="CO354" s="27"/>
      <c r="CP354" s="27"/>
      <c r="CQ354" s="27"/>
      <c r="CR354" s="27"/>
      <c r="CS354" s="27"/>
      <c r="CT354" s="27"/>
      <c r="CU354" s="27"/>
      <c r="CV354" s="27"/>
      <c r="CW354" s="27"/>
      <c r="CX354" s="27"/>
      <c r="CY354" s="27"/>
      <c r="CZ354" s="27"/>
      <c r="DA354" s="27"/>
      <c r="DB354" s="27"/>
      <c r="DC354" s="27"/>
      <c r="DD354" s="27"/>
      <c r="DE354" s="27"/>
      <c r="DF354" s="27"/>
      <c r="DG354" s="27"/>
      <c r="DH354" s="27"/>
      <c r="DI354" s="27"/>
      <c r="DJ354" s="27"/>
      <c r="DK354" s="27"/>
      <c r="DL354" s="27"/>
      <c r="DM354" s="27"/>
      <c r="DN354" s="27"/>
      <c r="DO354" s="27"/>
      <c r="DP354" s="27"/>
      <c r="DQ354" s="27"/>
      <c r="DR354" s="27"/>
      <c r="DS354" s="27"/>
      <c r="DT354" s="27"/>
    </row>
    <row r="355" spans="2:124" x14ac:dyDescent="0.2">
      <c r="B355" s="27"/>
      <c r="C355" s="27"/>
      <c r="D355" s="27"/>
      <c r="E355" s="27"/>
      <c r="F355" s="27"/>
      <c r="G355" s="27"/>
      <c r="H355" s="27"/>
      <c r="I355" s="27"/>
      <c r="J355" s="27"/>
      <c r="K355" s="27"/>
      <c r="L355" s="27"/>
      <c r="M355" s="27"/>
      <c r="N355" s="27"/>
      <c r="O355" s="27"/>
      <c r="P355" s="27"/>
      <c r="Q355" s="27"/>
      <c r="R355" s="27"/>
      <c r="S355" s="27"/>
      <c r="T355" s="27"/>
      <c r="U355" s="27"/>
      <c r="V355" s="27"/>
      <c r="W355" s="27"/>
      <c r="X355" s="27"/>
      <c r="Y355" s="27"/>
      <c r="Z355" s="27"/>
      <c r="AA355" s="27"/>
      <c r="AB355" s="27"/>
      <c r="AC355" s="27"/>
      <c r="AD355" s="27"/>
      <c r="AE355" s="27"/>
      <c r="AF355" s="27"/>
      <c r="AG355" s="27"/>
      <c r="AH355" s="27"/>
      <c r="AI355" s="27"/>
      <c r="AJ355" s="27"/>
      <c r="AK355" s="27"/>
      <c r="AL355" s="27"/>
      <c r="AM355" s="27"/>
      <c r="AN355" s="27"/>
      <c r="AO355" s="27"/>
      <c r="AP355" s="27"/>
      <c r="AQ355" s="27"/>
      <c r="AR355" s="27"/>
      <c r="AS355" s="27"/>
      <c r="AT355" s="27"/>
      <c r="AU355" s="27"/>
      <c r="AV355" s="27"/>
      <c r="AW355" s="27"/>
      <c r="AX355" s="27"/>
      <c r="AY355" s="27"/>
      <c r="AZ355" s="27"/>
      <c r="BA355" s="27"/>
      <c r="BB355" s="27"/>
      <c r="BC355" s="27"/>
      <c r="BD355" s="27"/>
      <c r="BE355" s="27"/>
      <c r="BF355" s="27"/>
      <c r="BG355" s="27"/>
      <c r="BH355" s="27"/>
      <c r="BI355" s="27"/>
      <c r="BJ355" s="27"/>
      <c r="BK355" s="27"/>
      <c r="BL355" s="27"/>
      <c r="BM355" s="27"/>
      <c r="BN355" s="27"/>
      <c r="BO355" s="27"/>
      <c r="BP355" s="27"/>
      <c r="BQ355" s="27"/>
      <c r="BR355" s="27"/>
      <c r="BS355" s="27"/>
      <c r="BT355" s="27"/>
      <c r="BU355" s="27"/>
      <c r="BV355" s="27"/>
      <c r="BW355" s="27"/>
      <c r="BX355" s="27"/>
      <c r="BY355" s="27"/>
      <c r="BZ355" s="27"/>
      <c r="CA355" s="27"/>
      <c r="CB355" s="27"/>
      <c r="CC355" s="27"/>
      <c r="CD355" s="27"/>
      <c r="CE355" s="27"/>
      <c r="CF355" s="27"/>
      <c r="CG355" s="27"/>
      <c r="CH355" s="27"/>
      <c r="CI355" s="27"/>
      <c r="CJ355" s="27"/>
      <c r="CK355" s="27"/>
      <c r="CL355" s="27"/>
      <c r="CM355" s="27"/>
      <c r="CN355" s="27"/>
      <c r="CO355" s="27"/>
      <c r="CP355" s="27"/>
      <c r="CQ355" s="27"/>
      <c r="CR355" s="27"/>
      <c r="CS355" s="27"/>
      <c r="CT355" s="27"/>
      <c r="CU355" s="27"/>
      <c r="CV355" s="27"/>
      <c r="CW355" s="27"/>
      <c r="CX355" s="27"/>
      <c r="CY355" s="27"/>
      <c r="CZ355" s="27"/>
      <c r="DA355" s="27"/>
      <c r="DB355" s="27"/>
      <c r="DC355" s="27"/>
      <c r="DD355" s="27"/>
      <c r="DE355" s="27"/>
      <c r="DF355" s="27"/>
      <c r="DG355" s="27"/>
      <c r="DH355" s="27"/>
      <c r="DI355" s="27"/>
      <c r="DJ355" s="27"/>
      <c r="DK355" s="27"/>
      <c r="DL355" s="27"/>
      <c r="DM355" s="27"/>
      <c r="DN355" s="27"/>
      <c r="DO355" s="27"/>
      <c r="DP355" s="27"/>
      <c r="DQ355" s="27"/>
      <c r="DR355" s="27"/>
      <c r="DS355" s="27"/>
      <c r="DT355" s="27"/>
    </row>
    <row r="356" spans="2:124" x14ac:dyDescent="0.2">
      <c r="B356" s="27"/>
      <c r="C356" s="27"/>
      <c r="D356" s="27"/>
      <c r="E356" s="27"/>
      <c r="F356" s="27"/>
      <c r="G356" s="27"/>
      <c r="H356" s="27"/>
      <c r="I356" s="27"/>
      <c r="J356" s="27"/>
      <c r="K356" s="27"/>
      <c r="L356" s="27"/>
      <c r="M356" s="27"/>
      <c r="N356" s="27"/>
      <c r="O356" s="27"/>
      <c r="P356" s="27"/>
      <c r="Q356" s="27"/>
      <c r="R356" s="27"/>
      <c r="S356" s="27"/>
      <c r="T356" s="27"/>
      <c r="U356" s="27"/>
      <c r="V356" s="27"/>
      <c r="W356" s="27"/>
      <c r="X356" s="27"/>
      <c r="Y356" s="27"/>
      <c r="Z356" s="27"/>
      <c r="AA356" s="27"/>
      <c r="AB356" s="27"/>
      <c r="AC356" s="27"/>
      <c r="AD356" s="27"/>
      <c r="AE356" s="27"/>
      <c r="AF356" s="27"/>
      <c r="AG356" s="27"/>
      <c r="AH356" s="27"/>
      <c r="AI356" s="27"/>
      <c r="AJ356" s="27"/>
      <c r="AK356" s="27"/>
      <c r="AL356" s="27"/>
      <c r="AM356" s="27"/>
      <c r="AN356" s="27"/>
      <c r="AO356" s="27"/>
      <c r="AP356" s="27"/>
      <c r="AQ356" s="27"/>
      <c r="AR356" s="27"/>
      <c r="AS356" s="27"/>
      <c r="AT356" s="27"/>
      <c r="AU356" s="27"/>
      <c r="AV356" s="27"/>
      <c r="AW356" s="27"/>
      <c r="AX356" s="27"/>
      <c r="AY356" s="27"/>
      <c r="AZ356" s="27"/>
      <c r="BA356" s="27"/>
      <c r="BB356" s="27"/>
      <c r="BC356" s="27"/>
      <c r="BD356" s="27"/>
      <c r="BE356" s="27"/>
      <c r="BF356" s="27"/>
      <c r="BG356" s="27"/>
      <c r="BH356" s="27"/>
      <c r="BI356" s="27"/>
      <c r="BJ356" s="27"/>
      <c r="BK356" s="27"/>
      <c r="BL356" s="27"/>
      <c r="BM356" s="27"/>
      <c r="BN356" s="27"/>
      <c r="BO356" s="27"/>
      <c r="BP356" s="27"/>
      <c r="BQ356" s="27"/>
      <c r="BR356" s="27"/>
      <c r="BS356" s="27"/>
      <c r="BT356" s="27"/>
      <c r="BU356" s="27"/>
      <c r="BV356" s="27"/>
      <c r="BW356" s="27"/>
      <c r="BX356" s="27"/>
      <c r="BY356" s="27"/>
      <c r="BZ356" s="27"/>
      <c r="CA356" s="27"/>
      <c r="CB356" s="27"/>
      <c r="CC356" s="27"/>
      <c r="CD356" s="27"/>
      <c r="CE356" s="27"/>
      <c r="CF356" s="27"/>
      <c r="CG356" s="27"/>
      <c r="CH356" s="27"/>
      <c r="CI356" s="27"/>
      <c r="CJ356" s="27"/>
      <c r="CK356" s="27"/>
      <c r="CL356" s="27"/>
      <c r="CM356" s="27"/>
      <c r="CN356" s="27"/>
      <c r="CO356" s="27"/>
      <c r="CP356" s="27"/>
      <c r="CQ356" s="27"/>
      <c r="CR356" s="27"/>
      <c r="CS356" s="27"/>
      <c r="CT356" s="27"/>
      <c r="CU356" s="27"/>
      <c r="CV356" s="27"/>
      <c r="CW356" s="27"/>
      <c r="CX356" s="27"/>
      <c r="CY356" s="27"/>
      <c r="CZ356" s="27"/>
      <c r="DA356" s="27"/>
      <c r="DB356" s="27"/>
      <c r="DC356" s="27"/>
      <c r="DD356" s="27"/>
      <c r="DE356" s="27"/>
      <c r="DF356" s="27"/>
      <c r="DG356" s="27"/>
      <c r="DH356" s="27"/>
      <c r="DI356" s="27"/>
      <c r="DJ356" s="27"/>
      <c r="DK356" s="27"/>
      <c r="DL356" s="27"/>
      <c r="DM356" s="27"/>
      <c r="DN356" s="27"/>
      <c r="DO356" s="27"/>
      <c r="DP356" s="27"/>
      <c r="DQ356" s="27"/>
      <c r="DR356" s="27"/>
      <c r="DS356" s="27"/>
      <c r="DT356" s="27"/>
    </row>
    <row r="357" spans="2:124" x14ac:dyDescent="0.2">
      <c r="B357" s="27"/>
      <c r="C357" s="27"/>
      <c r="D357" s="27"/>
      <c r="E357" s="27"/>
      <c r="F357" s="27"/>
      <c r="G357" s="27"/>
      <c r="H357" s="27"/>
      <c r="I357" s="27"/>
      <c r="J357" s="27"/>
      <c r="K357" s="27"/>
      <c r="L357" s="27"/>
      <c r="M357" s="27"/>
      <c r="N357" s="27"/>
      <c r="O357" s="27"/>
      <c r="P357" s="27"/>
      <c r="Q357" s="27"/>
      <c r="R357" s="27"/>
      <c r="S357" s="27"/>
      <c r="T357" s="27"/>
      <c r="U357" s="27"/>
      <c r="V357" s="27"/>
      <c r="W357" s="27"/>
      <c r="X357" s="27"/>
      <c r="Y357" s="27"/>
      <c r="Z357" s="27"/>
      <c r="AA357" s="27"/>
      <c r="AB357" s="27"/>
      <c r="AC357" s="27"/>
      <c r="AD357" s="27"/>
      <c r="AE357" s="27"/>
      <c r="AF357" s="27"/>
      <c r="AG357" s="27"/>
      <c r="AH357" s="27"/>
      <c r="AI357" s="27"/>
      <c r="AJ357" s="27"/>
      <c r="AK357" s="27"/>
      <c r="AL357" s="27"/>
      <c r="AM357" s="27"/>
      <c r="AN357" s="27"/>
      <c r="AO357" s="27"/>
      <c r="AP357" s="27"/>
      <c r="AQ357" s="27"/>
      <c r="AR357" s="27"/>
      <c r="AS357" s="27"/>
      <c r="AT357" s="27"/>
      <c r="AU357" s="27"/>
      <c r="AV357" s="27"/>
      <c r="AW357" s="27"/>
      <c r="AX357" s="27"/>
      <c r="AY357" s="27"/>
      <c r="AZ357" s="27"/>
      <c r="BA357" s="27"/>
      <c r="BB357" s="27"/>
      <c r="BC357" s="27"/>
      <c r="BD357" s="27"/>
      <c r="BE357" s="27"/>
      <c r="BF357" s="27"/>
      <c r="BG357" s="27"/>
      <c r="BH357" s="27"/>
      <c r="BI357" s="27"/>
      <c r="BJ357" s="27"/>
      <c r="BK357" s="27"/>
      <c r="BL357" s="27"/>
      <c r="BM357" s="27"/>
      <c r="BN357" s="27"/>
      <c r="BO357" s="27"/>
      <c r="BP357" s="27"/>
      <c r="BQ357" s="27"/>
      <c r="BR357" s="27"/>
      <c r="BS357" s="27"/>
      <c r="BT357" s="27"/>
      <c r="BU357" s="27"/>
      <c r="BV357" s="27"/>
      <c r="BW357" s="27"/>
      <c r="BX357" s="27"/>
      <c r="BY357" s="27"/>
      <c r="BZ357" s="27"/>
      <c r="CA357" s="27"/>
      <c r="CB357" s="27"/>
      <c r="CC357" s="27"/>
      <c r="CD357" s="27"/>
      <c r="CE357" s="27"/>
      <c r="CF357" s="27"/>
      <c r="CG357" s="27"/>
      <c r="CH357" s="27"/>
      <c r="CI357" s="27"/>
      <c r="CJ357" s="27"/>
      <c r="CK357" s="27"/>
      <c r="CL357" s="27"/>
      <c r="CM357" s="27"/>
      <c r="CN357" s="27"/>
      <c r="CO357" s="27"/>
      <c r="CP357" s="27"/>
      <c r="CQ357" s="27"/>
      <c r="CR357" s="27"/>
      <c r="CS357" s="27"/>
      <c r="CT357" s="27"/>
      <c r="CU357" s="27"/>
      <c r="CV357" s="27"/>
      <c r="CW357" s="27"/>
      <c r="CX357" s="27"/>
      <c r="CY357" s="27"/>
      <c r="CZ357" s="27"/>
      <c r="DA357" s="27"/>
      <c r="DB357" s="27"/>
      <c r="DC357" s="27"/>
      <c r="DD357" s="27"/>
      <c r="DE357" s="27"/>
      <c r="DF357" s="27"/>
      <c r="DG357" s="27"/>
      <c r="DH357" s="27"/>
      <c r="DI357" s="27"/>
      <c r="DJ357" s="27"/>
      <c r="DK357" s="27"/>
      <c r="DL357" s="27"/>
      <c r="DM357" s="27"/>
      <c r="DN357" s="27"/>
      <c r="DO357" s="27"/>
      <c r="DP357" s="27"/>
      <c r="DQ357" s="27"/>
      <c r="DR357" s="27"/>
      <c r="DS357" s="27"/>
      <c r="DT357" s="27"/>
    </row>
    <row r="358" spans="2:124" x14ac:dyDescent="0.2">
      <c r="B358" s="27"/>
      <c r="C358" s="27"/>
      <c r="D358" s="27"/>
      <c r="E358" s="27"/>
      <c r="F358" s="27"/>
      <c r="G358" s="27"/>
      <c r="H358" s="27"/>
      <c r="I358" s="27"/>
      <c r="J358" s="27"/>
      <c r="K358" s="27"/>
      <c r="L358" s="27"/>
      <c r="M358" s="27"/>
      <c r="N358" s="27"/>
      <c r="O358" s="27"/>
      <c r="P358" s="27"/>
      <c r="Q358" s="27"/>
      <c r="R358" s="27"/>
      <c r="S358" s="27"/>
      <c r="T358" s="27"/>
      <c r="U358" s="27"/>
      <c r="V358" s="27"/>
      <c r="W358" s="27"/>
      <c r="X358" s="27"/>
      <c r="Y358" s="27"/>
      <c r="Z358" s="27"/>
      <c r="AA358" s="27"/>
      <c r="AB358" s="27"/>
      <c r="AC358" s="27"/>
      <c r="AD358" s="27"/>
      <c r="AE358" s="27"/>
      <c r="AF358" s="27"/>
      <c r="AG358" s="27"/>
      <c r="AH358" s="27"/>
      <c r="AI358" s="27"/>
      <c r="AJ358" s="27"/>
      <c r="AK358" s="27"/>
      <c r="AL358" s="27"/>
      <c r="AM358" s="27"/>
      <c r="AN358" s="27"/>
      <c r="AO358" s="27"/>
      <c r="AP358" s="27"/>
      <c r="AQ358" s="27"/>
      <c r="AR358" s="27"/>
      <c r="AS358" s="27"/>
      <c r="AT358" s="27"/>
      <c r="AU358" s="27"/>
      <c r="AV358" s="27"/>
      <c r="AW358" s="27"/>
      <c r="AX358" s="27"/>
      <c r="AY358" s="27"/>
      <c r="AZ358" s="27"/>
      <c r="BA358" s="27"/>
      <c r="BB358" s="27"/>
      <c r="BC358" s="27"/>
      <c r="BD358" s="27"/>
      <c r="BE358" s="27"/>
      <c r="BF358" s="27"/>
      <c r="BG358" s="27"/>
      <c r="BH358" s="27"/>
      <c r="BI358" s="27"/>
      <c r="BJ358" s="27"/>
      <c r="BK358" s="27"/>
      <c r="BL358" s="27"/>
      <c r="BM358" s="27"/>
      <c r="BN358" s="27"/>
      <c r="BO358" s="27"/>
      <c r="BP358" s="27"/>
      <c r="BQ358" s="27"/>
      <c r="BR358" s="27"/>
      <c r="BS358" s="27"/>
      <c r="BT358" s="27"/>
      <c r="BU358" s="27"/>
      <c r="BV358" s="27"/>
      <c r="BW358" s="27"/>
      <c r="BX358" s="27"/>
      <c r="BY358" s="27"/>
      <c r="BZ358" s="27"/>
      <c r="CA358" s="27"/>
      <c r="CB358" s="27"/>
      <c r="CC358" s="27"/>
      <c r="CD358" s="27"/>
      <c r="CE358" s="27"/>
      <c r="CF358" s="27"/>
      <c r="CG358" s="27"/>
      <c r="CH358" s="27"/>
      <c r="CI358" s="27"/>
      <c r="CJ358" s="27"/>
      <c r="CK358" s="27"/>
      <c r="CL358" s="27"/>
      <c r="CM358" s="27"/>
      <c r="CN358" s="27"/>
      <c r="CO358" s="27"/>
      <c r="CP358" s="27"/>
      <c r="CQ358" s="27"/>
      <c r="CR358" s="27"/>
      <c r="CS358" s="27"/>
      <c r="CT358" s="27"/>
      <c r="CU358" s="27"/>
      <c r="CV358" s="27"/>
      <c r="CW358" s="27"/>
      <c r="CX358" s="27"/>
      <c r="CY358" s="27"/>
      <c r="CZ358" s="27"/>
      <c r="DA358" s="27"/>
      <c r="DB358" s="27"/>
      <c r="DC358" s="27"/>
      <c r="DD358" s="27"/>
      <c r="DE358" s="27"/>
      <c r="DF358" s="27"/>
      <c r="DG358" s="27"/>
      <c r="DH358" s="27"/>
      <c r="DI358" s="27"/>
      <c r="DJ358" s="27"/>
      <c r="DK358" s="27"/>
      <c r="DL358" s="27"/>
      <c r="DM358" s="27"/>
      <c r="DN358" s="27"/>
      <c r="DO358" s="27"/>
      <c r="DP358" s="27"/>
      <c r="DQ358" s="27"/>
      <c r="DR358" s="27"/>
      <c r="DS358" s="27"/>
      <c r="DT358" s="27"/>
    </row>
    <row r="359" spans="2:124" x14ac:dyDescent="0.2">
      <c r="B359" s="27"/>
      <c r="C359" s="27"/>
      <c r="D359" s="27"/>
      <c r="E359" s="27"/>
      <c r="F359" s="27"/>
      <c r="G359" s="27"/>
      <c r="H359" s="27"/>
      <c r="I359" s="27"/>
      <c r="J359" s="27"/>
      <c r="K359" s="27"/>
      <c r="L359" s="27"/>
      <c r="M359" s="27"/>
      <c r="N359" s="27"/>
      <c r="O359" s="27"/>
      <c r="P359" s="27"/>
      <c r="Q359" s="27"/>
      <c r="R359" s="27"/>
      <c r="S359" s="27"/>
      <c r="T359" s="27"/>
      <c r="U359" s="27"/>
      <c r="V359" s="27"/>
      <c r="W359" s="27"/>
      <c r="X359" s="27"/>
      <c r="Y359" s="27"/>
      <c r="Z359" s="27"/>
      <c r="AA359" s="27"/>
      <c r="AB359" s="27"/>
      <c r="AC359" s="27"/>
      <c r="AD359" s="27"/>
      <c r="AE359" s="27"/>
      <c r="AF359" s="27"/>
      <c r="AG359" s="27"/>
      <c r="AH359" s="27"/>
      <c r="AI359" s="27"/>
      <c r="AJ359" s="27"/>
      <c r="AK359" s="27"/>
      <c r="AL359" s="27"/>
      <c r="AM359" s="27"/>
      <c r="AN359" s="27"/>
      <c r="AO359" s="27"/>
      <c r="AP359" s="27"/>
      <c r="AQ359" s="27"/>
      <c r="AR359" s="27"/>
      <c r="AS359" s="27"/>
      <c r="AT359" s="27"/>
      <c r="AU359" s="27"/>
      <c r="AV359" s="27"/>
      <c r="AW359" s="27"/>
      <c r="AX359" s="27"/>
      <c r="AY359" s="27"/>
      <c r="AZ359" s="27"/>
      <c r="BA359" s="27"/>
      <c r="BB359" s="27"/>
      <c r="BC359" s="27"/>
      <c r="BD359" s="27"/>
      <c r="BE359" s="27"/>
      <c r="BF359" s="27"/>
      <c r="BG359" s="27"/>
      <c r="BH359" s="27"/>
      <c r="BI359" s="27"/>
      <c r="BJ359" s="27"/>
      <c r="BK359" s="27"/>
      <c r="BL359" s="27"/>
      <c r="BM359" s="27"/>
      <c r="BN359" s="27"/>
      <c r="BO359" s="27"/>
      <c r="BP359" s="27"/>
      <c r="BQ359" s="27"/>
      <c r="BR359" s="27"/>
      <c r="BS359" s="27"/>
      <c r="BT359" s="27"/>
      <c r="BU359" s="27"/>
      <c r="BV359" s="27"/>
      <c r="BW359" s="27"/>
      <c r="BX359" s="27"/>
      <c r="BY359" s="27"/>
      <c r="BZ359" s="27"/>
      <c r="CA359" s="27"/>
      <c r="CB359" s="27"/>
      <c r="CC359" s="27"/>
      <c r="CD359" s="27"/>
      <c r="CE359" s="27"/>
      <c r="CF359" s="27"/>
      <c r="CG359" s="27"/>
      <c r="CH359" s="27"/>
      <c r="CI359" s="27"/>
      <c r="CJ359" s="27"/>
      <c r="CK359" s="27"/>
      <c r="CL359" s="27"/>
      <c r="CM359" s="27"/>
      <c r="CN359" s="27"/>
      <c r="CO359" s="27"/>
      <c r="CP359" s="27"/>
      <c r="CQ359" s="27"/>
      <c r="CR359" s="27"/>
      <c r="CS359" s="27"/>
      <c r="CT359" s="27"/>
      <c r="CU359" s="27"/>
      <c r="CV359" s="27"/>
      <c r="CW359" s="27"/>
      <c r="CX359" s="27"/>
      <c r="CY359" s="27"/>
      <c r="CZ359" s="27"/>
      <c r="DA359" s="27"/>
      <c r="DB359" s="27"/>
      <c r="DC359" s="27"/>
      <c r="DD359" s="27"/>
      <c r="DE359" s="27"/>
      <c r="DF359" s="27"/>
      <c r="DG359" s="27"/>
      <c r="DH359" s="27"/>
      <c r="DI359" s="27"/>
      <c r="DJ359" s="27"/>
      <c r="DK359" s="27"/>
      <c r="DL359" s="27"/>
      <c r="DM359" s="27"/>
      <c r="DN359" s="27"/>
      <c r="DO359" s="27"/>
      <c r="DP359" s="27"/>
      <c r="DQ359" s="27"/>
      <c r="DR359" s="27"/>
      <c r="DS359" s="27"/>
      <c r="DT359" s="27"/>
    </row>
    <row r="360" spans="2:124" x14ac:dyDescent="0.2">
      <c r="B360" s="27"/>
      <c r="C360" s="27"/>
      <c r="D360" s="27"/>
      <c r="E360" s="27"/>
      <c r="F360" s="27"/>
      <c r="G360" s="27"/>
      <c r="H360" s="27"/>
      <c r="I360" s="27"/>
      <c r="J360" s="27"/>
      <c r="K360" s="27"/>
      <c r="L360" s="27"/>
      <c r="M360" s="27"/>
      <c r="N360" s="27"/>
      <c r="O360" s="27"/>
      <c r="P360" s="27"/>
      <c r="Q360" s="27"/>
      <c r="R360" s="27"/>
      <c r="S360" s="27"/>
      <c r="T360" s="27"/>
      <c r="U360" s="27"/>
      <c r="V360" s="27"/>
      <c r="W360" s="27"/>
      <c r="X360" s="27"/>
      <c r="Y360" s="27"/>
      <c r="Z360" s="27"/>
      <c r="AA360" s="27"/>
      <c r="AB360" s="27"/>
      <c r="AC360" s="27"/>
      <c r="AD360" s="27"/>
      <c r="AE360" s="27"/>
      <c r="AF360" s="27"/>
      <c r="AG360" s="27"/>
      <c r="AH360" s="27"/>
      <c r="AI360" s="27"/>
      <c r="AJ360" s="27"/>
      <c r="AK360" s="27"/>
      <c r="AL360" s="27"/>
      <c r="AM360" s="27"/>
      <c r="AN360" s="27"/>
      <c r="AO360" s="27"/>
      <c r="AP360" s="27"/>
      <c r="AQ360" s="27"/>
      <c r="AR360" s="27"/>
      <c r="AS360" s="27"/>
      <c r="AT360" s="27"/>
      <c r="AU360" s="27"/>
      <c r="AV360" s="27"/>
      <c r="AW360" s="27"/>
      <c r="AX360" s="27"/>
      <c r="AY360" s="27"/>
      <c r="AZ360" s="27"/>
      <c r="BA360" s="27"/>
      <c r="BB360" s="27"/>
      <c r="BC360" s="27"/>
      <c r="BD360" s="27"/>
      <c r="BE360" s="27"/>
      <c r="BF360" s="27"/>
      <c r="BG360" s="27"/>
      <c r="BH360" s="27"/>
      <c r="BI360" s="27"/>
      <c r="BJ360" s="27"/>
      <c r="BK360" s="27"/>
      <c r="BL360" s="27"/>
      <c r="BM360" s="27"/>
      <c r="BN360" s="27"/>
      <c r="BO360" s="27"/>
      <c r="BP360" s="27"/>
      <c r="BQ360" s="27"/>
      <c r="BR360" s="27"/>
      <c r="BS360" s="27"/>
      <c r="BT360" s="27"/>
      <c r="BU360" s="27"/>
      <c r="BV360" s="27"/>
      <c r="BW360" s="27"/>
      <c r="BX360" s="27"/>
      <c r="BY360" s="27"/>
      <c r="BZ360" s="27"/>
      <c r="CA360" s="27"/>
      <c r="CB360" s="27"/>
      <c r="CC360" s="27"/>
      <c r="CD360" s="27"/>
      <c r="CE360" s="27"/>
      <c r="CF360" s="27"/>
      <c r="CG360" s="27"/>
      <c r="CH360" s="27"/>
      <c r="CI360" s="27"/>
      <c r="CJ360" s="27"/>
      <c r="CK360" s="27"/>
      <c r="CL360" s="27"/>
      <c r="CM360" s="27"/>
      <c r="CN360" s="27"/>
      <c r="CO360" s="27"/>
      <c r="CP360" s="27"/>
      <c r="CQ360" s="27"/>
      <c r="CR360" s="27"/>
      <c r="CS360" s="27"/>
      <c r="CT360" s="27"/>
      <c r="CU360" s="27"/>
      <c r="CV360" s="27"/>
      <c r="CW360" s="27"/>
      <c r="CX360" s="27"/>
      <c r="CY360" s="27"/>
      <c r="CZ360" s="27"/>
      <c r="DA360" s="27"/>
      <c r="DB360" s="27"/>
      <c r="DC360" s="27"/>
      <c r="DD360" s="27"/>
      <c r="DE360" s="27"/>
      <c r="DF360" s="27"/>
      <c r="DG360" s="27"/>
      <c r="DH360" s="27"/>
      <c r="DI360" s="27"/>
      <c r="DJ360" s="27"/>
      <c r="DK360" s="27"/>
      <c r="DL360" s="27"/>
      <c r="DM360" s="27"/>
      <c r="DN360" s="27"/>
      <c r="DO360" s="27"/>
      <c r="DP360" s="27"/>
      <c r="DQ360" s="27"/>
      <c r="DR360" s="27"/>
      <c r="DS360" s="27"/>
      <c r="DT360" s="27"/>
    </row>
    <row r="361" spans="2:124" x14ac:dyDescent="0.2">
      <c r="B361" s="27"/>
      <c r="C361" s="27"/>
      <c r="D361" s="27"/>
      <c r="E361" s="27"/>
      <c r="F361" s="27"/>
      <c r="G361" s="27"/>
      <c r="H361" s="27"/>
      <c r="I361" s="27"/>
      <c r="J361" s="27"/>
      <c r="K361" s="27"/>
      <c r="L361" s="27"/>
      <c r="M361" s="27"/>
      <c r="N361" s="27"/>
      <c r="O361" s="27"/>
      <c r="P361" s="27"/>
      <c r="Q361" s="27"/>
      <c r="R361" s="27"/>
      <c r="S361" s="27"/>
      <c r="T361" s="27"/>
      <c r="U361" s="27"/>
      <c r="V361" s="27"/>
      <c r="W361" s="27"/>
      <c r="X361" s="27"/>
      <c r="Y361" s="27"/>
      <c r="Z361" s="27"/>
      <c r="AA361" s="27"/>
      <c r="AB361" s="27"/>
      <c r="AC361" s="27"/>
      <c r="AD361" s="27"/>
      <c r="AE361" s="27"/>
      <c r="AF361" s="27"/>
      <c r="AG361" s="27"/>
      <c r="AH361" s="27"/>
      <c r="AI361" s="27"/>
      <c r="AJ361" s="27"/>
      <c r="AK361" s="27"/>
      <c r="AL361" s="27"/>
      <c r="AM361" s="27"/>
      <c r="AN361" s="27"/>
      <c r="AO361" s="27"/>
      <c r="AP361" s="27"/>
      <c r="AQ361" s="27"/>
      <c r="AR361" s="27"/>
      <c r="AS361" s="27"/>
      <c r="AT361" s="27"/>
      <c r="AU361" s="27"/>
      <c r="AV361" s="27"/>
      <c r="AW361" s="27"/>
      <c r="AX361" s="27"/>
      <c r="AY361" s="27"/>
      <c r="AZ361" s="27"/>
      <c r="BA361" s="27"/>
      <c r="BB361" s="27"/>
      <c r="BC361" s="27"/>
      <c r="BD361" s="27"/>
      <c r="BE361" s="27"/>
      <c r="BF361" s="27"/>
      <c r="BG361" s="27"/>
      <c r="BH361" s="27"/>
      <c r="BI361" s="27"/>
      <c r="BJ361" s="27"/>
      <c r="BK361" s="27"/>
      <c r="BL361" s="27"/>
      <c r="BM361" s="27"/>
      <c r="BN361" s="27"/>
      <c r="BO361" s="27"/>
      <c r="BP361" s="27"/>
      <c r="BQ361" s="27"/>
      <c r="BR361" s="27"/>
      <c r="BS361" s="27"/>
      <c r="BT361" s="27"/>
      <c r="BU361" s="27"/>
      <c r="BV361" s="27"/>
      <c r="BW361" s="27"/>
      <c r="BX361" s="27"/>
      <c r="BY361" s="27"/>
      <c r="BZ361" s="27"/>
      <c r="CA361" s="27"/>
      <c r="CB361" s="27"/>
      <c r="CC361" s="27"/>
      <c r="CD361" s="27"/>
      <c r="CE361" s="27"/>
      <c r="CF361" s="27"/>
      <c r="CG361" s="27"/>
      <c r="CH361" s="27"/>
      <c r="CI361" s="27"/>
      <c r="CJ361" s="27"/>
      <c r="CK361" s="27"/>
      <c r="CL361" s="27"/>
      <c r="CM361" s="27"/>
      <c r="CN361" s="27"/>
      <c r="CO361" s="27"/>
      <c r="CP361" s="27"/>
      <c r="CQ361" s="27"/>
      <c r="CR361" s="27"/>
      <c r="CS361" s="27"/>
      <c r="CT361" s="27"/>
      <c r="CU361" s="27"/>
      <c r="CV361" s="27"/>
      <c r="CW361" s="27"/>
      <c r="CX361" s="27"/>
      <c r="CY361" s="27"/>
      <c r="CZ361" s="27"/>
      <c r="DA361" s="27"/>
      <c r="DB361" s="27"/>
      <c r="DC361" s="27"/>
      <c r="DD361" s="27"/>
      <c r="DE361" s="27"/>
      <c r="DF361" s="27"/>
      <c r="DG361" s="27"/>
      <c r="DH361" s="27"/>
      <c r="DI361" s="27"/>
      <c r="DJ361" s="27"/>
      <c r="DK361" s="27"/>
      <c r="DL361" s="27"/>
      <c r="DM361" s="27"/>
      <c r="DN361" s="27"/>
      <c r="DO361" s="27"/>
      <c r="DP361" s="27"/>
      <c r="DQ361" s="27"/>
      <c r="DR361" s="27"/>
      <c r="DS361" s="27"/>
      <c r="DT361" s="27"/>
    </row>
    <row r="362" spans="2:124" x14ac:dyDescent="0.2">
      <c r="B362" s="27"/>
      <c r="C362" s="27"/>
      <c r="D362" s="27"/>
      <c r="E362" s="27"/>
      <c r="F362" s="27"/>
      <c r="G362" s="27"/>
      <c r="H362" s="27"/>
      <c r="I362" s="27"/>
      <c r="J362" s="27"/>
      <c r="K362" s="27"/>
      <c r="L362" s="27"/>
      <c r="M362" s="27"/>
      <c r="N362" s="27"/>
      <c r="O362" s="27"/>
      <c r="P362" s="27"/>
      <c r="Q362" s="27"/>
      <c r="R362" s="27"/>
      <c r="S362" s="27"/>
      <c r="T362" s="27"/>
      <c r="U362" s="27"/>
      <c r="V362" s="27"/>
      <c r="W362" s="27"/>
      <c r="X362" s="27"/>
      <c r="Y362" s="27"/>
      <c r="Z362" s="27"/>
      <c r="AA362" s="27"/>
      <c r="AB362" s="27"/>
      <c r="AC362" s="27"/>
      <c r="AD362" s="27"/>
      <c r="AE362" s="27"/>
      <c r="AF362" s="27"/>
      <c r="AG362" s="27"/>
      <c r="AH362" s="27"/>
      <c r="AI362" s="27"/>
      <c r="AJ362" s="27"/>
      <c r="AK362" s="27"/>
      <c r="AL362" s="27"/>
      <c r="AM362" s="27"/>
      <c r="AN362" s="27"/>
      <c r="AO362" s="27"/>
      <c r="AP362" s="27"/>
      <c r="AQ362" s="27"/>
      <c r="AR362" s="27"/>
      <c r="AS362" s="27"/>
      <c r="AT362" s="27"/>
      <c r="AU362" s="27"/>
      <c r="AV362" s="27"/>
      <c r="AW362" s="27"/>
      <c r="AX362" s="27"/>
      <c r="AY362" s="27"/>
      <c r="AZ362" s="27"/>
      <c r="BA362" s="27"/>
      <c r="BB362" s="27"/>
      <c r="BC362" s="27"/>
      <c r="BD362" s="27"/>
      <c r="BE362" s="27"/>
      <c r="BF362" s="27"/>
      <c r="BG362" s="27"/>
      <c r="BH362" s="27"/>
      <c r="BI362" s="27"/>
      <c r="BJ362" s="27"/>
      <c r="BK362" s="27"/>
      <c r="BL362" s="27"/>
      <c r="BM362" s="27"/>
      <c r="BN362" s="27"/>
      <c r="BO362" s="27"/>
      <c r="BP362" s="27"/>
      <c r="BQ362" s="27"/>
      <c r="BR362" s="27"/>
      <c r="BS362" s="27"/>
      <c r="BT362" s="27"/>
      <c r="BU362" s="27"/>
      <c r="BV362" s="27"/>
      <c r="BW362" s="27"/>
      <c r="BX362" s="27"/>
      <c r="BY362" s="27"/>
      <c r="BZ362" s="27"/>
      <c r="CA362" s="27"/>
      <c r="CB362" s="27"/>
      <c r="CC362" s="27"/>
      <c r="CD362" s="27"/>
      <c r="CE362" s="27"/>
      <c r="CF362" s="27"/>
      <c r="CG362" s="27"/>
      <c r="CH362" s="27"/>
      <c r="CI362" s="27"/>
      <c r="CJ362" s="27"/>
      <c r="CK362" s="27"/>
      <c r="CL362" s="27"/>
      <c r="CM362" s="27"/>
      <c r="CN362" s="27"/>
      <c r="CO362" s="27"/>
      <c r="CP362" s="27"/>
      <c r="CQ362" s="27"/>
      <c r="CR362" s="27"/>
      <c r="CS362" s="27"/>
      <c r="CT362" s="27"/>
      <c r="CU362" s="27"/>
      <c r="CV362" s="27"/>
      <c r="CW362" s="27"/>
      <c r="CX362" s="27"/>
      <c r="CY362" s="27"/>
      <c r="CZ362" s="27"/>
      <c r="DA362" s="27"/>
      <c r="DB362" s="27"/>
      <c r="DC362" s="27"/>
      <c r="DD362" s="27"/>
      <c r="DE362" s="27"/>
      <c r="DF362" s="27"/>
      <c r="DG362" s="27"/>
      <c r="DH362" s="27"/>
      <c r="DI362" s="27"/>
      <c r="DJ362" s="27"/>
      <c r="DK362" s="27"/>
      <c r="DL362" s="27"/>
      <c r="DM362" s="27"/>
      <c r="DN362" s="27"/>
      <c r="DO362" s="27"/>
      <c r="DP362" s="27"/>
      <c r="DQ362" s="27"/>
      <c r="DR362" s="27"/>
      <c r="DS362" s="27"/>
      <c r="DT362" s="27"/>
    </row>
    <row r="363" spans="2:124" x14ac:dyDescent="0.2">
      <c r="B363" s="27"/>
      <c r="C363" s="27"/>
      <c r="D363" s="27"/>
      <c r="E363" s="27"/>
      <c r="F363" s="27"/>
      <c r="G363" s="27"/>
      <c r="H363" s="27"/>
      <c r="I363" s="27"/>
      <c r="J363" s="27"/>
      <c r="K363" s="27"/>
      <c r="L363" s="27"/>
      <c r="M363" s="27"/>
      <c r="N363" s="27"/>
      <c r="O363" s="27"/>
      <c r="P363" s="27"/>
      <c r="Q363" s="27"/>
      <c r="R363" s="27"/>
      <c r="S363" s="27"/>
      <c r="T363" s="27"/>
      <c r="U363" s="27"/>
      <c r="V363" s="27"/>
      <c r="W363" s="27"/>
      <c r="X363" s="27"/>
      <c r="Y363" s="27"/>
      <c r="Z363" s="27"/>
      <c r="AA363" s="27"/>
      <c r="AB363" s="27"/>
      <c r="AC363" s="27"/>
      <c r="AD363" s="27"/>
      <c r="AE363" s="27"/>
      <c r="AF363" s="27"/>
      <c r="AG363" s="27"/>
      <c r="AH363" s="27"/>
      <c r="AI363" s="27"/>
      <c r="AJ363" s="27"/>
      <c r="AK363" s="27"/>
      <c r="AL363" s="27"/>
      <c r="AM363" s="27"/>
      <c r="AN363" s="27"/>
      <c r="AO363" s="27"/>
      <c r="AP363" s="27"/>
      <c r="AQ363" s="27"/>
      <c r="AR363" s="27"/>
      <c r="AS363" s="27"/>
      <c r="AT363" s="27"/>
      <c r="AU363" s="27"/>
      <c r="AV363" s="27"/>
      <c r="AW363" s="27"/>
      <c r="AX363" s="27"/>
      <c r="AY363" s="27"/>
      <c r="AZ363" s="27"/>
      <c r="BA363" s="27"/>
      <c r="BB363" s="27"/>
      <c r="BC363" s="27"/>
      <c r="BD363" s="27"/>
      <c r="BE363" s="27"/>
      <c r="BF363" s="27"/>
      <c r="BG363" s="27"/>
      <c r="BH363" s="27"/>
      <c r="BI363" s="27"/>
      <c r="BJ363" s="27"/>
      <c r="BK363" s="27"/>
      <c r="BL363" s="27"/>
      <c r="BM363" s="27"/>
      <c r="BN363" s="27"/>
      <c r="BO363" s="27"/>
      <c r="BP363" s="27"/>
      <c r="BQ363" s="27"/>
      <c r="BR363" s="27"/>
      <c r="BS363" s="27"/>
      <c r="BT363" s="27"/>
      <c r="BU363" s="27"/>
      <c r="BV363" s="27"/>
      <c r="BW363" s="27"/>
      <c r="BX363" s="27"/>
      <c r="BY363" s="27"/>
      <c r="BZ363" s="27"/>
      <c r="CA363" s="27"/>
      <c r="CB363" s="27"/>
      <c r="CC363" s="27"/>
      <c r="CD363" s="27"/>
      <c r="CE363" s="27"/>
      <c r="CF363" s="27"/>
      <c r="CG363" s="27"/>
      <c r="CH363" s="27"/>
      <c r="CI363" s="27"/>
      <c r="CJ363" s="27"/>
      <c r="CK363" s="27"/>
      <c r="CL363" s="27"/>
      <c r="CM363" s="27"/>
      <c r="CN363" s="27"/>
      <c r="CO363" s="27"/>
      <c r="CP363" s="27"/>
      <c r="CQ363" s="27"/>
      <c r="CR363" s="27"/>
      <c r="CS363" s="27"/>
      <c r="CT363" s="27"/>
      <c r="CU363" s="27"/>
      <c r="CV363" s="27"/>
      <c r="CW363" s="27"/>
      <c r="CX363" s="27"/>
      <c r="CY363" s="27"/>
      <c r="CZ363" s="27"/>
      <c r="DA363" s="27"/>
      <c r="DB363" s="27"/>
      <c r="DC363" s="27"/>
      <c r="DD363" s="27"/>
      <c r="DE363" s="27"/>
      <c r="DF363" s="27"/>
      <c r="DG363" s="27"/>
      <c r="DH363" s="27"/>
      <c r="DI363" s="27"/>
      <c r="DJ363" s="27"/>
      <c r="DK363" s="27"/>
      <c r="DL363" s="27"/>
      <c r="DM363" s="27"/>
      <c r="DN363" s="27"/>
      <c r="DO363" s="27"/>
      <c r="DP363" s="27"/>
      <c r="DQ363" s="27"/>
      <c r="DR363" s="27"/>
      <c r="DS363" s="27"/>
      <c r="DT363" s="27"/>
    </row>
    <row r="364" spans="2:124" x14ac:dyDescent="0.2">
      <c r="B364" s="27"/>
      <c r="C364" s="27"/>
      <c r="D364" s="27"/>
      <c r="E364" s="27"/>
      <c r="F364" s="27"/>
      <c r="G364" s="27"/>
      <c r="H364" s="27"/>
      <c r="I364" s="27"/>
      <c r="J364" s="27"/>
      <c r="K364" s="27"/>
      <c r="L364" s="27"/>
      <c r="M364" s="27"/>
      <c r="N364" s="27"/>
      <c r="O364" s="27"/>
      <c r="P364" s="27"/>
      <c r="Q364" s="27"/>
      <c r="R364" s="27"/>
      <c r="S364" s="27"/>
      <c r="T364" s="27"/>
      <c r="U364" s="27"/>
      <c r="V364" s="27"/>
      <c r="W364" s="27"/>
      <c r="X364" s="27"/>
      <c r="Y364" s="27"/>
      <c r="Z364" s="27"/>
      <c r="AA364" s="27"/>
      <c r="AB364" s="27"/>
      <c r="AC364" s="27"/>
      <c r="AD364" s="27"/>
      <c r="AE364" s="27"/>
      <c r="AF364" s="27"/>
      <c r="AG364" s="27"/>
      <c r="AH364" s="27"/>
      <c r="AI364" s="27"/>
      <c r="AJ364" s="27"/>
      <c r="AK364" s="27"/>
      <c r="AL364" s="27"/>
      <c r="AM364" s="27"/>
      <c r="AN364" s="27"/>
      <c r="AO364" s="27"/>
      <c r="AP364" s="27"/>
      <c r="AQ364" s="27"/>
      <c r="AR364" s="27"/>
      <c r="AS364" s="27"/>
      <c r="AT364" s="27"/>
      <c r="AU364" s="27"/>
      <c r="AV364" s="27"/>
      <c r="AW364" s="27"/>
      <c r="AX364" s="27"/>
      <c r="AY364" s="27"/>
      <c r="AZ364" s="27"/>
      <c r="BA364" s="27"/>
      <c r="BB364" s="27"/>
      <c r="BC364" s="27"/>
      <c r="BD364" s="27"/>
      <c r="BE364" s="27"/>
      <c r="BF364" s="27"/>
      <c r="BG364" s="27"/>
      <c r="BH364" s="27"/>
      <c r="BI364" s="27"/>
      <c r="BJ364" s="27"/>
      <c r="BK364" s="27"/>
      <c r="BL364" s="27"/>
      <c r="BM364" s="27"/>
      <c r="BN364" s="27"/>
      <c r="BO364" s="27"/>
      <c r="BP364" s="27"/>
      <c r="BQ364" s="27"/>
      <c r="BR364" s="27"/>
      <c r="BS364" s="27"/>
      <c r="BT364" s="27"/>
      <c r="BU364" s="27"/>
      <c r="BV364" s="27"/>
      <c r="BW364" s="27"/>
      <c r="BX364" s="27"/>
      <c r="BY364" s="27"/>
      <c r="BZ364" s="27"/>
      <c r="CA364" s="27"/>
      <c r="CB364" s="27"/>
      <c r="CC364" s="27"/>
      <c r="CD364" s="27"/>
      <c r="CE364" s="27"/>
      <c r="CF364" s="27"/>
      <c r="CG364" s="27"/>
      <c r="CH364" s="27"/>
      <c r="CI364" s="27"/>
      <c r="CJ364" s="27"/>
      <c r="CK364" s="27"/>
      <c r="CL364" s="27"/>
      <c r="CM364" s="27"/>
      <c r="CN364" s="27"/>
      <c r="CO364" s="27"/>
      <c r="CP364" s="27"/>
      <c r="CQ364" s="27"/>
      <c r="CR364" s="27"/>
      <c r="CS364" s="27"/>
      <c r="CT364" s="27"/>
      <c r="CU364" s="27"/>
      <c r="CV364" s="27"/>
      <c r="CW364" s="27"/>
      <c r="CX364" s="27"/>
      <c r="CY364" s="27"/>
      <c r="CZ364" s="27"/>
      <c r="DA364" s="27"/>
      <c r="DB364" s="27"/>
      <c r="DC364" s="27"/>
      <c r="DD364" s="27"/>
      <c r="DE364" s="27"/>
      <c r="DF364" s="27"/>
      <c r="DG364" s="27"/>
      <c r="DH364" s="27"/>
      <c r="DI364" s="27"/>
      <c r="DJ364" s="27"/>
      <c r="DK364" s="27"/>
      <c r="DL364" s="27"/>
      <c r="DM364" s="27"/>
      <c r="DN364" s="27"/>
      <c r="DO364" s="27"/>
      <c r="DP364" s="27"/>
      <c r="DQ364" s="27"/>
      <c r="DR364" s="27"/>
      <c r="DS364" s="27"/>
      <c r="DT364" s="27"/>
    </row>
    <row r="365" spans="2:124" x14ac:dyDescent="0.2">
      <c r="B365" s="27"/>
      <c r="C365" s="27"/>
      <c r="D365" s="27"/>
      <c r="E365" s="27"/>
      <c r="F365" s="27"/>
      <c r="G365" s="27"/>
      <c r="H365" s="27"/>
      <c r="I365" s="27"/>
      <c r="J365" s="27"/>
      <c r="K365" s="27"/>
      <c r="L365" s="27"/>
      <c r="M365" s="27"/>
      <c r="N365" s="27"/>
      <c r="O365" s="27"/>
      <c r="P365" s="27"/>
      <c r="Q365" s="27"/>
      <c r="R365" s="27"/>
      <c r="S365" s="27"/>
      <c r="T365" s="27"/>
      <c r="U365" s="27"/>
      <c r="V365" s="27"/>
      <c r="W365" s="27"/>
      <c r="X365" s="27"/>
      <c r="Y365" s="27"/>
      <c r="Z365" s="27"/>
      <c r="AA365" s="27"/>
      <c r="AB365" s="27"/>
      <c r="AC365" s="27"/>
      <c r="AD365" s="27"/>
      <c r="AE365" s="27"/>
      <c r="AF365" s="27"/>
      <c r="AG365" s="27"/>
      <c r="AH365" s="27"/>
      <c r="AI365" s="27"/>
      <c r="AJ365" s="27"/>
      <c r="AK365" s="27"/>
      <c r="AL365" s="27"/>
      <c r="AM365" s="27"/>
      <c r="AN365" s="27"/>
      <c r="AO365" s="27"/>
      <c r="AP365" s="27"/>
      <c r="AQ365" s="27"/>
      <c r="AR365" s="27"/>
      <c r="AS365" s="27"/>
      <c r="AT365" s="27"/>
      <c r="AU365" s="27"/>
      <c r="AV365" s="27"/>
      <c r="AW365" s="27"/>
      <c r="AX365" s="27"/>
      <c r="AY365" s="27"/>
      <c r="AZ365" s="27"/>
      <c r="BA365" s="27"/>
      <c r="BB365" s="27"/>
      <c r="BC365" s="27"/>
      <c r="BD365" s="27"/>
      <c r="BE365" s="27"/>
      <c r="BF365" s="27"/>
      <c r="BG365" s="27"/>
      <c r="BH365" s="27"/>
      <c r="BI365" s="27"/>
      <c r="BJ365" s="27"/>
      <c r="BK365" s="27"/>
      <c r="BL365" s="27"/>
      <c r="BM365" s="27"/>
      <c r="BN365" s="27"/>
      <c r="BO365" s="27"/>
      <c r="BP365" s="27"/>
      <c r="BQ365" s="27"/>
      <c r="BR365" s="27"/>
      <c r="BS365" s="27"/>
      <c r="BT365" s="27"/>
      <c r="BU365" s="27"/>
      <c r="BV365" s="27"/>
      <c r="BW365" s="27"/>
      <c r="BX365" s="27"/>
      <c r="BY365" s="27"/>
      <c r="BZ365" s="27"/>
      <c r="CA365" s="27"/>
      <c r="CB365" s="27"/>
      <c r="CC365" s="27"/>
      <c r="CD365" s="27"/>
      <c r="CE365" s="27"/>
      <c r="CF365" s="27"/>
      <c r="CG365" s="27"/>
      <c r="CH365" s="27"/>
      <c r="CI365" s="27"/>
      <c r="CJ365" s="27"/>
      <c r="CK365" s="27"/>
      <c r="CL365" s="27"/>
      <c r="CM365" s="27"/>
      <c r="CN365" s="27"/>
      <c r="CO365" s="27"/>
      <c r="CP365" s="27"/>
      <c r="CQ365" s="27"/>
      <c r="CR365" s="27"/>
      <c r="CS365" s="27"/>
      <c r="CT365" s="27"/>
      <c r="CU365" s="27"/>
      <c r="CV365" s="27"/>
      <c r="CW365" s="27"/>
      <c r="CX365" s="27"/>
      <c r="CY365" s="27"/>
      <c r="CZ365" s="27"/>
      <c r="DA365" s="27"/>
      <c r="DB365" s="27"/>
      <c r="DC365" s="27"/>
      <c r="DD365" s="27"/>
      <c r="DE365" s="27"/>
      <c r="DF365" s="27"/>
      <c r="DG365" s="27"/>
      <c r="DH365" s="27"/>
      <c r="DI365" s="27"/>
      <c r="DJ365" s="27"/>
      <c r="DK365" s="27"/>
      <c r="DL365" s="27"/>
      <c r="DM365" s="27"/>
      <c r="DN365" s="27"/>
      <c r="DO365" s="27"/>
      <c r="DP365" s="27"/>
      <c r="DQ365" s="27"/>
      <c r="DR365" s="27"/>
      <c r="DS365" s="27"/>
      <c r="DT365" s="27"/>
    </row>
    <row r="366" spans="2:124" x14ac:dyDescent="0.2">
      <c r="B366" s="27"/>
      <c r="C366" s="27"/>
      <c r="D366" s="27"/>
      <c r="E366" s="27"/>
      <c r="F366" s="27"/>
      <c r="G366" s="27"/>
      <c r="H366" s="27"/>
      <c r="I366" s="27"/>
      <c r="J366" s="27"/>
      <c r="K366" s="27"/>
      <c r="L366" s="27"/>
      <c r="M366" s="27"/>
      <c r="N366" s="27"/>
      <c r="O366" s="27"/>
      <c r="P366" s="27"/>
      <c r="Q366" s="27"/>
      <c r="R366" s="27"/>
      <c r="S366" s="27"/>
      <c r="T366" s="27"/>
      <c r="U366" s="27"/>
      <c r="V366" s="27"/>
      <c r="W366" s="27"/>
      <c r="X366" s="27"/>
      <c r="Y366" s="27"/>
      <c r="Z366" s="27"/>
      <c r="AA366" s="27"/>
      <c r="AB366" s="27"/>
      <c r="AC366" s="27"/>
      <c r="AD366" s="27"/>
      <c r="AE366" s="27"/>
      <c r="AF366" s="27"/>
      <c r="AG366" s="27"/>
      <c r="AH366" s="27"/>
      <c r="AI366" s="27"/>
      <c r="AJ366" s="27"/>
      <c r="AK366" s="27"/>
      <c r="AL366" s="27"/>
      <c r="AM366" s="27"/>
      <c r="AN366" s="27"/>
      <c r="AO366" s="27"/>
      <c r="AP366" s="27"/>
      <c r="AQ366" s="27"/>
      <c r="AR366" s="27"/>
      <c r="AS366" s="27"/>
      <c r="AT366" s="27"/>
      <c r="AU366" s="27"/>
      <c r="AV366" s="27"/>
      <c r="AW366" s="27"/>
      <c r="AX366" s="27"/>
      <c r="AY366" s="27"/>
      <c r="AZ366" s="27"/>
      <c r="BA366" s="27"/>
      <c r="BB366" s="27"/>
      <c r="BC366" s="27"/>
      <c r="BD366" s="27"/>
      <c r="BE366" s="27"/>
      <c r="BF366" s="27"/>
      <c r="BG366" s="27"/>
      <c r="BH366" s="27"/>
      <c r="BI366" s="27"/>
      <c r="BJ366" s="27"/>
      <c r="BK366" s="27"/>
      <c r="BL366" s="27"/>
      <c r="BM366" s="27"/>
      <c r="BN366" s="27"/>
      <c r="BO366" s="27"/>
      <c r="BP366" s="27"/>
      <c r="BQ366" s="27"/>
      <c r="BR366" s="27"/>
      <c r="BS366" s="27"/>
      <c r="BT366" s="27"/>
      <c r="BU366" s="27"/>
      <c r="BV366" s="27"/>
      <c r="BW366" s="27"/>
      <c r="BX366" s="27"/>
      <c r="BY366" s="27"/>
      <c r="BZ366" s="27"/>
      <c r="CA366" s="27"/>
      <c r="CB366" s="27"/>
      <c r="CC366" s="27"/>
      <c r="CD366" s="27"/>
      <c r="CE366" s="27"/>
      <c r="CF366" s="27"/>
      <c r="CG366" s="27"/>
      <c r="CH366" s="27"/>
      <c r="CI366" s="27"/>
      <c r="CJ366" s="27"/>
      <c r="CK366" s="27"/>
      <c r="CL366" s="27"/>
      <c r="CM366" s="27"/>
      <c r="CN366" s="27"/>
      <c r="CO366" s="27"/>
      <c r="CP366" s="27"/>
      <c r="CQ366" s="27"/>
      <c r="CR366" s="27"/>
      <c r="CS366" s="27"/>
      <c r="CT366" s="27"/>
      <c r="CU366" s="27"/>
      <c r="CV366" s="27"/>
      <c r="CW366" s="27"/>
      <c r="CX366" s="27"/>
      <c r="CY366" s="27"/>
      <c r="CZ366" s="27"/>
      <c r="DA366" s="27"/>
      <c r="DB366" s="27"/>
      <c r="DC366" s="27"/>
      <c r="DD366" s="27"/>
      <c r="DE366" s="27"/>
      <c r="DF366" s="27"/>
      <c r="DG366" s="27"/>
      <c r="DH366" s="27"/>
      <c r="DI366" s="27"/>
      <c r="DJ366" s="27"/>
      <c r="DK366" s="27"/>
      <c r="DL366" s="27"/>
      <c r="DM366" s="27"/>
      <c r="DN366" s="27"/>
      <c r="DO366" s="27"/>
      <c r="DP366" s="27"/>
      <c r="DQ366" s="27"/>
      <c r="DR366" s="27"/>
      <c r="DS366" s="27"/>
      <c r="DT366" s="27"/>
    </row>
    <row r="367" spans="2:124" x14ac:dyDescent="0.2">
      <c r="B367" s="27"/>
      <c r="C367" s="27"/>
      <c r="D367" s="27"/>
      <c r="E367" s="27"/>
      <c r="F367" s="27"/>
      <c r="G367" s="27"/>
      <c r="H367" s="27"/>
      <c r="I367" s="27"/>
      <c r="J367" s="27"/>
      <c r="K367" s="27"/>
      <c r="L367" s="27"/>
      <c r="M367" s="27"/>
      <c r="N367" s="27"/>
      <c r="O367" s="27"/>
      <c r="P367" s="27"/>
      <c r="Q367" s="27"/>
      <c r="R367" s="27"/>
      <c r="S367" s="27"/>
      <c r="T367" s="27"/>
      <c r="U367" s="27"/>
      <c r="V367" s="27"/>
      <c r="W367" s="27"/>
      <c r="X367" s="27"/>
      <c r="Y367" s="27"/>
      <c r="Z367" s="27"/>
      <c r="AA367" s="27"/>
      <c r="AB367" s="27"/>
      <c r="AC367" s="27"/>
      <c r="AD367" s="27"/>
      <c r="AE367" s="27"/>
      <c r="AF367" s="27"/>
      <c r="AG367" s="27"/>
      <c r="AH367" s="27"/>
      <c r="AI367" s="27"/>
      <c r="AJ367" s="27"/>
      <c r="AK367" s="27"/>
      <c r="AL367" s="27"/>
      <c r="AM367" s="27"/>
      <c r="AN367" s="27"/>
      <c r="AO367" s="27"/>
      <c r="AP367" s="27"/>
      <c r="AQ367" s="27"/>
      <c r="AR367" s="27"/>
      <c r="AS367" s="27"/>
      <c r="AT367" s="27"/>
      <c r="AU367" s="27"/>
      <c r="AV367" s="27"/>
      <c r="AW367" s="27"/>
      <c r="AX367" s="27"/>
      <c r="AY367" s="27"/>
      <c r="AZ367" s="27"/>
      <c r="BA367" s="27"/>
      <c r="BB367" s="27"/>
      <c r="BC367" s="27"/>
      <c r="BD367" s="27"/>
      <c r="BE367" s="27"/>
      <c r="BF367" s="27"/>
      <c r="BG367" s="27"/>
      <c r="BH367" s="27"/>
      <c r="BI367" s="27"/>
      <c r="BJ367" s="27"/>
      <c r="BK367" s="27"/>
      <c r="BL367" s="27"/>
      <c r="BM367" s="27"/>
      <c r="BN367" s="27"/>
      <c r="BO367" s="27"/>
      <c r="BP367" s="27"/>
      <c r="BQ367" s="27"/>
      <c r="BR367" s="27"/>
      <c r="BS367" s="27"/>
      <c r="BT367" s="27"/>
      <c r="BU367" s="27"/>
      <c r="BV367" s="27"/>
      <c r="BW367" s="27"/>
      <c r="BX367" s="27"/>
      <c r="BY367" s="27"/>
      <c r="BZ367" s="27"/>
      <c r="CA367" s="27"/>
      <c r="CB367" s="27"/>
      <c r="CC367" s="27"/>
      <c r="CD367" s="27"/>
      <c r="CE367" s="27"/>
      <c r="CF367" s="27"/>
      <c r="CG367" s="27"/>
      <c r="CH367" s="27"/>
      <c r="CI367" s="27"/>
      <c r="CJ367" s="27"/>
      <c r="CK367" s="27"/>
      <c r="CL367" s="27"/>
      <c r="CM367" s="27"/>
      <c r="CN367" s="27"/>
      <c r="CO367" s="27"/>
      <c r="CP367" s="27"/>
      <c r="CQ367" s="27"/>
      <c r="CR367" s="27"/>
      <c r="CS367" s="27"/>
      <c r="CT367" s="27"/>
      <c r="CU367" s="27"/>
      <c r="CV367" s="27"/>
      <c r="CW367" s="27"/>
      <c r="CX367" s="27"/>
      <c r="CY367" s="27"/>
      <c r="CZ367" s="27"/>
      <c r="DA367" s="27"/>
      <c r="DB367" s="27"/>
      <c r="DC367" s="27"/>
      <c r="DD367" s="27"/>
      <c r="DE367" s="27"/>
      <c r="DF367" s="27"/>
      <c r="DG367" s="27"/>
      <c r="DH367" s="27"/>
      <c r="DI367" s="27"/>
      <c r="DJ367" s="27"/>
      <c r="DK367" s="27"/>
      <c r="DL367" s="27"/>
      <c r="DM367" s="27"/>
      <c r="DN367" s="27"/>
      <c r="DO367" s="27"/>
      <c r="DP367" s="27"/>
      <c r="DQ367" s="27"/>
      <c r="DR367" s="27"/>
      <c r="DS367" s="27"/>
      <c r="DT367" s="27"/>
    </row>
    <row r="368" spans="2:124" x14ac:dyDescent="0.2">
      <c r="B368" s="27"/>
      <c r="C368" s="27"/>
      <c r="D368" s="27"/>
      <c r="E368" s="27"/>
      <c r="F368" s="27"/>
      <c r="G368" s="27"/>
      <c r="H368" s="27"/>
      <c r="I368" s="27"/>
      <c r="J368" s="27"/>
      <c r="K368" s="27"/>
      <c r="L368" s="27"/>
      <c r="M368" s="27"/>
      <c r="N368" s="27"/>
      <c r="O368" s="27"/>
      <c r="P368" s="27"/>
      <c r="Q368" s="27"/>
      <c r="R368" s="27"/>
      <c r="S368" s="27"/>
      <c r="T368" s="27"/>
      <c r="U368" s="27"/>
      <c r="V368" s="27"/>
      <c r="W368" s="27"/>
      <c r="X368" s="27"/>
      <c r="Y368" s="27"/>
      <c r="Z368" s="27"/>
      <c r="AA368" s="27"/>
      <c r="AB368" s="27"/>
      <c r="AC368" s="27"/>
      <c r="AD368" s="27"/>
      <c r="AE368" s="27"/>
      <c r="AF368" s="27"/>
      <c r="AG368" s="27"/>
      <c r="AH368" s="27"/>
      <c r="AI368" s="27"/>
      <c r="AJ368" s="27"/>
      <c r="AK368" s="27"/>
      <c r="AL368" s="27"/>
      <c r="AM368" s="27"/>
      <c r="AN368" s="27"/>
      <c r="AO368" s="27"/>
      <c r="AP368" s="27"/>
      <c r="AQ368" s="27"/>
      <c r="AR368" s="27"/>
      <c r="AS368" s="27"/>
      <c r="AT368" s="27"/>
      <c r="AU368" s="27"/>
      <c r="AV368" s="27"/>
      <c r="AW368" s="27"/>
      <c r="AX368" s="27"/>
      <c r="AY368" s="27"/>
      <c r="AZ368" s="27"/>
      <c r="BA368" s="27"/>
      <c r="BB368" s="27"/>
      <c r="BC368" s="27"/>
      <c r="BD368" s="27"/>
      <c r="BE368" s="27"/>
      <c r="BF368" s="27"/>
      <c r="BG368" s="27"/>
      <c r="BH368" s="27"/>
      <c r="BI368" s="27"/>
      <c r="BJ368" s="27"/>
      <c r="BK368" s="27"/>
      <c r="BL368" s="27"/>
      <c r="BM368" s="27"/>
      <c r="BN368" s="27"/>
      <c r="BO368" s="27"/>
      <c r="BP368" s="27"/>
      <c r="BQ368" s="27"/>
      <c r="BR368" s="27"/>
      <c r="BS368" s="27"/>
      <c r="BT368" s="27"/>
      <c r="BU368" s="27"/>
      <c r="BV368" s="27"/>
      <c r="BW368" s="27"/>
      <c r="BX368" s="27"/>
      <c r="BY368" s="27"/>
      <c r="BZ368" s="27"/>
      <c r="CA368" s="27"/>
      <c r="CB368" s="27"/>
      <c r="CC368" s="27"/>
      <c r="CD368" s="27"/>
      <c r="CE368" s="27"/>
      <c r="CF368" s="27"/>
      <c r="CG368" s="27"/>
      <c r="CH368" s="27"/>
      <c r="CI368" s="27"/>
      <c r="CJ368" s="27"/>
      <c r="CK368" s="27"/>
      <c r="CL368" s="27"/>
      <c r="CM368" s="27"/>
      <c r="CN368" s="27"/>
      <c r="CO368" s="27"/>
      <c r="CP368" s="27"/>
      <c r="CQ368" s="27"/>
      <c r="CR368" s="27"/>
      <c r="CS368" s="27"/>
      <c r="CT368" s="27"/>
      <c r="CU368" s="27"/>
      <c r="CV368" s="27"/>
      <c r="CW368" s="27"/>
      <c r="CX368" s="27"/>
      <c r="CY368" s="27"/>
      <c r="CZ368" s="27"/>
      <c r="DA368" s="27"/>
      <c r="DB368" s="27"/>
      <c r="DC368" s="27"/>
      <c r="DD368" s="27"/>
      <c r="DE368" s="27"/>
      <c r="DF368" s="27"/>
      <c r="DG368" s="27"/>
      <c r="DH368" s="27"/>
      <c r="DI368" s="27"/>
      <c r="DJ368" s="27"/>
      <c r="DK368" s="27"/>
      <c r="DL368" s="27"/>
      <c r="DM368" s="27"/>
      <c r="DN368" s="27"/>
      <c r="DO368" s="27"/>
      <c r="DP368" s="27"/>
      <c r="DQ368" s="27"/>
      <c r="DR368" s="27"/>
      <c r="DS368" s="27"/>
      <c r="DT368" s="27"/>
    </row>
    <row r="369" spans="2:124" x14ac:dyDescent="0.2">
      <c r="B369" s="27"/>
      <c r="C369" s="27"/>
      <c r="D369" s="27"/>
      <c r="E369" s="27"/>
      <c r="F369" s="27"/>
      <c r="G369" s="27"/>
      <c r="H369" s="27"/>
      <c r="I369" s="27"/>
      <c r="J369" s="27"/>
      <c r="K369" s="27"/>
      <c r="L369" s="27"/>
      <c r="M369" s="27"/>
      <c r="N369" s="27"/>
      <c r="O369" s="27"/>
      <c r="P369" s="27"/>
      <c r="Q369" s="27"/>
      <c r="R369" s="27"/>
      <c r="S369" s="27"/>
      <c r="T369" s="27"/>
      <c r="U369" s="27"/>
      <c r="V369" s="27"/>
      <c r="W369" s="27"/>
      <c r="X369" s="27"/>
      <c r="Y369" s="27"/>
      <c r="Z369" s="27"/>
      <c r="AA369" s="27"/>
      <c r="AB369" s="27"/>
      <c r="AC369" s="27"/>
      <c r="AD369" s="27"/>
      <c r="AE369" s="27"/>
      <c r="AF369" s="27"/>
      <c r="AG369" s="27"/>
      <c r="AH369" s="27"/>
      <c r="AI369" s="27"/>
      <c r="AJ369" s="27"/>
      <c r="AK369" s="27"/>
      <c r="AL369" s="27"/>
      <c r="AM369" s="27"/>
      <c r="AN369" s="27"/>
      <c r="AO369" s="27"/>
      <c r="AP369" s="27"/>
      <c r="AQ369" s="27"/>
      <c r="AR369" s="27"/>
      <c r="AS369" s="27"/>
      <c r="AT369" s="27"/>
      <c r="AU369" s="27"/>
      <c r="AV369" s="27"/>
      <c r="AW369" s="27"/>
      <c r="AX369" s="27"/>
      <c r="AY369" s="27"/>
      <c r="AZ369" s="27"/>
      <c r="BA369" s="27"/>
      <c r="BB369" s="27"/>
      <c r="BC369" s="27"/>
      <c r="BD369" s="27"/>
      <c r="BE369" s="27"/>
      <c r="BF369" s="27"/>
      <c r="BG369" s="27"/>
      <c r="BH369" s="27"/>
      <c r="BI369" s="27"/>
      <c r="BJ369" s="27"/>
      <c r="BK369" s="27"/>
      <c r="BL369" s="27"/>
      <c r="BM369" s="27"/>
      <c r="BN369" s="27"/>
      <c r="BO369" s="27"/>
      <c r="BP369" s="27"/>
      <c r="BQ369" s="27"/>
      <c r="BR369" s="27"/>
      <c r="BS369" s="27"/>
      <c r="BT369" s="27"/>
      <c r="BU369" s="27"/>
      <c r="BV369" s="27"/>
      <c r="BW369" s="27"/>
      <c r="BX369" s="27"/>
      <c r="BY369" s="27"/>
      <c r="BZ369" s="27"/>
      <c r="CA369" s="27"/>
      <c r="CB369" s="27"/>
      <c r="CC369" s="27"/>
      <c r="CD369" s="27"/>
      <c r="CE369" s="27"/>
      <c r="CF369" s="27"/>
      <c r="CG369" s="27"/>
      <c r="CH369" s="27"/>
      <c r="CI369" s="27"/>
      <c r="CJ369" s="27"/>
      <c r="CK369" s="27"/>
      <c r="CL369" s="27"/>
      <c r="CM369" s="27"/>
      <c r="CN369" s="27"/>
      <c r="CO369" s="27"/>
      <c r="CP369" s="27"/>
      <c r="CQ369" s="27"/>
      <c r="CR369" s="27"/>
      <c r="CS369" s="27"/>
      <c r="CT369" s="27"/>
      <c r="CU369" s="27"/>
      <c r="CV369" s="27"/>
      <c r="CW369" s="27"/>
      <c r="CX369" s="27"/>
      <c r="CY369" s="27"/>
      <c r="CZ369" s="27"/>
      <c r="DA369" s="27"/>
      <c r="DB369" s="27"/>
      <c r="DC369" s="27"/>
      <c r="DD369" s="27"/>
      <c r="DE369" s="27"/>
      <c r="DF369" s="27"/>
      <c r="DG369" s="27"/>
      <c r="DH369" s="27"/>
      <c r="DI369" s="27"/>
      <c r="DJ369" s="27"/>
      <c r="DK369" s="27"/>
      <c r="DL369" s="27"/>
      <c r="DM369" s="27"/>
      <c r="DN369" s="27"/>
      <c r="DO369" s="27"/>
      <c r="DP369" s="27"/>
      <c r="DQ369" s="27"/>
      <c r="DR369" s="27"/>
      <c r="DS369" s="27"/>
      <c r="DT369" s="27"/>
    </row>
    <row r="370" spans="2:124" x14ac:dyDescent="0.2">
      <c r="B370" s="27"/>
      <c r="C370" s="27"/>
      <c r="D370" s="27"/>
      <c r="E370" s="27"/>
      <c r="F370" s="27"/>
      <c r="G370" s="27"/>
      <c r="H370" s="27"/>
      <c r="I370" s="27"/>
      <c r="J370" s="27"/>
      <c r="K370" s="27"/>
      <c r="L370" s="27"/>
      <c r="M370" s="27"/>
      <c r="N370" s="27"/>
      <c r="O370" s="27"/>
      <c r="P370" s="27"/>
      <c r="Q370" s="27"/>
      <c r="R370" s="27"/>
      <c r="S370" s="27"/>
      <c r="T370" s="27"/>
      <c r="U370" s="27"/>
      <c r="V370" s="27"/>
      <c r="W370" s="27"/>
      <c r="X370" s="27"/>
      <c r="Y370" s="27"/>
      <c r="Z370" s="27"/>
      <c r="AA370" s="27"/>
      <c r="AB370" s="27"/>
      <c r="AC370" s="27"/>
      <c r="AD370" s="27"/>
      <c r="AE370" s="27"/>
      <c r="AF370" s="27"/>
      <c r="AG370" s="27"/>
      <c r="AH370" s="27"/>
      <c r="AI370" s="27"/>
      <c r="AJ370" s="27"/>
      <c r="AK370" s="27"/>
      <c r="AL370" s="27"/>
      <c r="AM370" s="27"/>
      <c r="AN370" s="27"/>
      <c r="AO370" s="27"/>
      <c r="AP370" s="27"/>
      <c r="AQ370" s="27"/>
      <c r="AR370" s="27"/>
      <c r="AS370" s="27"/>
      <c r="AT370" s="27"/>
      <c r="AU370" s="27"/>
      <c r="AV370" s="27"/>
      <c r="AW370" s="27"/>
      <c r="AX370" s="27"/>
      <c r="AY370" s="27"/>
      <c r="AZ370" s="27"/>
      <c r="BA370" s="27"/>
      <c r="BB370" s="27"/>
      <c r="BC370" s="27"/>
      <c r="BD370" s="27"/>
      <c r="BE370" s="27"/>
      <c r="BF370" s="27"/>
      <c r="BG370" s="27"/>
      <c r="BH370" s="27"/>
      <c r="BI370" s="27"/>
      <c r="BJ370" s="27"/>
      <c r="BK370" s="27"/>
      <c r="BL370" s="27"/>
      <c r="BM370" s="27"/>
      <c r="BN370" s="27"/>
      <c r="BO370" s="27"/>
      <c r="BP370" s="27"/>
      <c r="BQ370" s="27"/>
      <c r="BR370" s="27"/>
      <c r="BS370" s="27"/>
      <c r="BT370" s="27"/>
      <c r="BU370" s="27"/>
      <c r="BV370" s="27"/>
      <c r="BW370" s="27"/>
      <c r="BX370" s="27"/>
      <c r="BY370" s="27"/>
      <c r="BZ370" s="27"/>
      <c r="CA370" s="27"/>
      <c r="CB370" s="27"/>
      <c r="CC370" s="27"/>
      <c r="CD370" s="27"/>
      <c r="CE370" s="27"/>
      <c r="CF370" s="27"/>
      <c r="CG370" s="27"/>
      <c r="CH370" s="27"/>
      <c r="CI370" s="27"/>
      <c r="CJ370" s="27"/>
      <c r="CK370" s="27"/>
      <c r="CL370" s="27"/>
      <c r="CM370" s="27"/>
      <c r="CN370" s="27"/>
      <c r="CO370" s="27"/>
      <c r="CP370" s="27"/>
      <c r="CQ370" s="27"/>
      <c r="CR370" s="27"/>
      <c r="CS370" s="27"/>
      <c r="CT370" s="27"/>
      <c r="CU370" s="27"/>
      <c r="CV370" s="27"/>
      <c r="CW370" s="27"/>
      <c r="CX370" s="27"/>
      <c r="CY370" s="27"/>
      <c r="CZ370" s="27"/>
      <c r="DA370" s="27"/>
      <c r="DB370" s="27"/>
      <c r="DC370" s="27"/>
      <c r="DD370" s="27"/>
      <c r="DE370" s="27"/>
      <c r="DF370" s="27"/>
      <c r="DG370" s="27"/>
      <c r="DH370" s="27"/>
      <c r="DI370" s="27"/>
      <c r="DJ370" s="27"/>
      <c r="DK370" s="27"/>
      <c r="DL370" s="27"/>
      <c r="DM370" s="27"/>
      <c r="DN370" s="27"/>
      <c r="DO370" s="27"/>
      <c r="DP370" s="27"/>
      <c r="DQ370" s="27"/>
      <c r="DR370" s="27"/>
      <c r="DS370" s="27"/>
      <c r="DT370" s="27"/>
    </row>
    <row r="371" spans="2:124" x14ac:dyDescent="0.2">
      <c r="B371" s="27"/>
      <c r="C371" s="27"/>
      <c r="D371" s="27"/>
      <c r="E371" s="27"/>
      <c r="F371" s="27"/>
      <c r="G371" s="27"/>
      <c r="H371" s="27"/>
      <c r="I371" s="27"/>
      <c r="J371" s="27"/>
      <c r="K371" s="27"/>
      <c r="L371" s="27"/>
      <c r="M371" s="27"/>
      <c r="N371" s="27"/>
      <c r="O371" s="27"/>
      <c r="P371" s="27"/>
      <c r="Q371" s="27"/>
      <c r="R371" s="27"/>
      <c r="S371" s="27"/>
      <c r="T371" s="27"/>
      <c r="U371" s="27"/>
      <c r="V371" s="27"/>
      <c r="W371" s="27"/>
      <c r="X371" s="27"/>
      <c r="Y371" s="27"/>
      <c r="Z371" s="27"/>
      <c r="AA371" s="27"/>
      <c r="AB371" s="27"/>
      <c r="AC371" s="27"/>
      <c r="AD371" s="27"/>
      <c r="AE371" s="27"/>
      <c r="AF371" s="27"/>
      <c r="AG371" s="27"/>
      <c r="AH371" s="27"/>
      <c r="AI371" s="27"/>
      <c r="AJ371" s="27"/>
      <c r="AK371" s="27"/>
      <c r="AL371" s="27"/>
      <c r="AM371" s="27"/>
      <c r="AN371" s="27"/>
      <c r="AO371" s="27"/>
      <c r="AP371" s="27"/>
      <c r="AQ371" s="27"/>
      <c r="AR371" s="27"/>
      <c r="AS371" s="27"/>
      <c r="AT371" s="27"/>
      <c r="AU371" s="27"/>
      <c r="AV371" s="27"/>
      <c r="AW371" s="27"/>
      <c r="AX371" s="27"/>
      <c r="AY371" s="27"/>
      <c r="AZ371" s="27"/>
      <c r="BA371" s="27"/>
      <c r="BB371" s="27"/>
      <c r="BC371" s="27"/>
      <c r="BD371" s="27"/>
      <c r="BE371" s="27"/>
      <c r="BF371" s="27"/>
      <c r="BG371" s="27"/>
      <c r="BH371" s="27"/>
      <c r="BI371" s="27"/>
      <c r="BJ371" s="27"/>
      <c r="BK371" s="27"/>
      <c r="BL371" s="27"/>
      <c r="BM371" s="27"/>
      <c r="BN371" s="27"/>
      <c r="BO371" s="27"/>
      <c r="BP371" s="27"/>
      <c r="BQ371" s="27"/>
      <c r="BR371" s="27"/>
      <c r="BS371" s="27"/>
      <c r="BT371" s="27"/>
      <c r="BU371" s="27"/>
      <c r="BV371" s="27"/>
      <c r="BW371" s="27"/>
      <c r="BX371" s="27"/>
      <c r="BY371" s="27"/>
      <c r="BZ371" s="27"/>
      <c r="CA371" s="27"/>
      <c r="CB371" s="27"/>
      <c r="CC371" s="27"/>
      <c r="CD371" s="27"/>
      <c r="CE371" s="27"/>
      <c r="CF371" s="27"/>
      <c r="CG371" s="27"/>
      <c r="CH371" s="27"/>
      <c r="CI371" s="27"/>
      <c r="CJ371" s="27"/>
      <c r="CK371" s="27"/>
      <c r="CL371" s="27"/>
      <c r="CM371" s="27"/>
      <c r="CN371" s="27"/>
      <c r="CO371" s="27"/>
      <c r="CP371" s="27"/>
      <c r="CQ371" s="27"/>
      <c r="CR371" s="27"/>
      <c r="CS371" s="27"/>
      <c r="CT371" s="27"/>
      <c r="CU371" s="27"/>
      <c r="CV371" s="27"/>
      <c r="CW371" s="27"/>
      <c r="CX371" s="27"/>
      <c r="CY371" s="27"/>
      <c r="CZ371" s="27"/>
      <c r="DA371" s="27"/>
      <c r="DB371" s="27"/>
      <c r="DC371" s="27"/>
      <c r="DD371" s="27"/>
      <c r="DE371" s="27"/>
      <c r="DF371" s="27"/>
      <c r="DG371" s="27"/>
      <c r="DH371" s="27"/>
      <c r="DI371" s="27"/>
      <c r="DJ371" s="27"/>
      <c r="DK371" s="27"/>
      <c r="DL371" s="27"/>
      <c r="DM371" s="27"/>
      <c r="DN371" s="27"/>
      <c r="DO371" s="27"/>
      <c r="DP371" s="27"/>
      <c r="DQ371" s="27"/>
      <c r="DR371" s="27"/>
      <c r="DS371" s="27"/>
      <c r="DT371" s="27"/>
    </row>
    <row r="372" spans="2:124" x14ac:dyDescent="0.2">
      <c r="B372" s="27"/>
      <c r="C372" s="27"/>
      <c r="D372" s="27"/>
      <c r="E372" s="27"/>
      <c r="F372" s="27"/>
      <c r="G372" s="27"/>
      <c r="H372" s="27"/>
      <c r="I372" s="27"/>
      <c r="J372" s="27"/>
      <c r="K372" s="27"/>
      <c r="L372" s="27"/>
      <c r="M372" s="27"/>
      <c r="N372" s="27"/>
      <c r="O372" s="27"/>
      <c r="P372" s="27"/>
      <c r="Q372" s="27"/>
      <c r="R372" s="27"/>
      <c r="S372" s="27"/>
      <c r="T372" s="27"/>
      <c r="U372" s="27"/>
      <c r="V372" s="27"/>
      <c r="W372" s="27"/>
      <c r="X372" s="27"/>
      <c r="Y372" s="27"/>
      <c r="Z372" s="27"/>
      <c r="AA372" s="27"/>
      <c r="AB372" s="27"/>
      <c r="AC372" s="27"/>
      <c r="AD372" s="27"/>
      <c r="AE372" s="27"/>
      <c r="AF372" s="27"/>
      <c r="AG372" s="27"/>
      <c r="AH372" s="27"/>
      <c r="AI372" s="27"/>
      <c r="AJ372" s="27"/>
      <c r="AK372" s="27"/>
      <c r="AL372" s="27"/>
      <c r="AM372" s="27"/>
      <c r="AN372" s="27"/>
      <c r="AO372" s="27"/>
      <c r="AP372" s="27"/>
      <c r="AQ372" s="27"/>
      <c r="AR372" s="27"/>
      <c r="AS372" s="27"/>
      <c r="AT372" s="27"/>
      <c r="AU372" s="27"/>
      <c r="AV372" s="27"/>
      <c r="AW372" s="27"/>
      <c r="AX372" s="27"/>
      <c r="AY372" s="27"/>
      <c r="AZ372" s="27"/>
      <c r="BA372" s="27"/>
      <c r="BB372" s="27"/>
      <c r="BC372" s="27"/>
      <c r="BD372" s="27"/>
      <c r="BE372" s="27"/>
      <c r="BF372" s="27"/>
      <c r="BG372" s="27"/>
      <c r="BH372" s="27"/>
      <c r="BI372" s="27"/>
      <c r="BJ372" s="27"/>
      <c r="BK372" s="27"/>
      <c r="BL372" s="27"/>
      <c r="BM372" s="27"/>
      <c r="BN372" s="27"/>
      <c r="BO372" s="27"/>
      <c r="BP372" s="27"/>
      <c r="BQ372" s="27"/>
      <c r="BR372" s="27"/>
      <c r="BS372" s="27"/>
      <c r="BT372" s="27"/>
      <c r="BU372" s="27"/>
      <c r="BV372" s="27"/>
      <c r="BW372" s="27"/>
      <c r="BX372" s="27"/>
      <c r="BY372" s="27"/>
      <c r="BZ372" s="27"/>
      <c r="CA372" s="27"/>
      <c r="CB372" s="27"/>
      <c r="CC372" s="27"/>
      <c r="CD372" s="27"/>
      <c r="CE372" s="27"/>
      <c r="CF372" s="27"/>
      <c r="CG372" s="27"/>
      <c r="CH372" s="27"/>
      <c r="CI372" s="27"/>
      <c r="CJ372" s="27"/>
      <c r="CK372" s="27"/>
      <c r="CL372" s="27"/>
      <c r="CM372" s="27"/>
      <c r="CN372" s="27"/>
      <c r="CO372" s="27"/>
      <c r="CP372" s="27"/>
      <c r="CQ372" s="27"/>
      <c r="CR372" s="27"/>
      <c r="CS372" s="27"/>
      <c r="CT372" s="27"/>
      <c r="CU372" s="27"/>
      <c r="CV372" s="27"/>
      <c r="CW372" s="27"/>
      <c r="CX372" s="27"/>
      <c r="CY372" s="27"/>
      <c r="CZ372" s="27"/>
      <c r="DA372" s="27"/>
      <c r="DB372" s="27"/>
      <c r="DC372" s="27"/>
      <c r="DD372" s="27"/>
      <c r="DE372" s="27"/>
      <c r="DF372" s="27"/>
      <c r="DG372" s="27"/>
      <c r="DH372" s="27"/>
      <c r="DI372" s="27"/>
      <c r="DJ372" s="27"/>
      <c r="DK372" s="27"/>
      <c r="DL372" s="27"/>
      <c r="DM372" s="27"/>
      <c r="DN372" s="27"/>
      <c r="DO372" s="27"/>
      <c r="DP372" s="27"/>
      <c r="DQ372" s="27"/>
      <c r="DR372" s="27"/>
      <c r="DS372" s="27"/>
      <c r="DT372" s="27"/>
    </row>
    <row r="373" spans="2:124" x14ac:dyDescent="0.2">
      <c r="B373" s="27"/>
      <c r="C373" s="27"/>
      <c r="D373" s="27"/>
      <c r="E373" s="27"/>
      <c r="F373" s="27"/>
      <c r="G373" s="27"/>
      <c r="H373" s="27"/>
      <c r="I373" s="27"/>
      <c r="J373" s="27"/>
      <c r="K373" s="27"/>
      <c r="L373" s="27"/>
      <c r="M373" s="27"/>
      <c r="N373" s="27"/>
      <c r="O373" s="27"/>
      <c r="P373" s="27"/>
      <c r="Q373" s="27"/>
      <c r="R373" s="27"/>
      <c r="S373" s="27"/>
      <c r="T373" s="27"/>
      <c r="U373" s="27"/>
      <c r="V373" s="27"/>
      <c r="W373" s="27"/>
      <c r="X373" s="27"/>
      <c r="Y373" s="27"/>
      <c r="Z373" s="27"/>
      <c r="AA373" s="27"/>
      <c r="AB373" s="27"/>
      <c r="AC373" s="27"/>
      <c r="AD373" s="27"/>
      <c r="AE373" s="27"/>
      <c r="AF373" s="27"/>
      <c r="AG373" s="27"/>
      <c r="AH373" s="27"/>
      <c r="AI373" s="27"/>
      <c r="AJ373" s="27"/>
      <c r="AK373" s="27"/>
      <c r="AL373" s="27"/>
      <c r="AM373" s="27"/>
      <c r="AN373" s="27"/>
      <c r="AO373" s="27"/>
      <c r="AP373" s="27"/>
      <c r="AQ373" s="27"/>
      <c r="AR373" s="27"/>
      <c r="AS373" s="27"/>
      <c r="AT373" s="27"/>
      <c r="AU373" s="27"/>
      <c r="AV373" s="27"/>
      <c r="AW373" s="27"/>
      <c r="AX373" s="27"/>
      <c r="AY373" s="27"/>
      <c r="AZ373" s="27"/>
      <c r="BA373" s="27"/>
      <c r="BB373" s="27"/>
      <c r="BC373" s="27"/>
      <c r="BD373" s="27"/>
      <c r="BE373" s="27"/>
      <c r="BF373" s="27"/>
      <c r="BG373" s="27"/>
      <c r="BH373" s="27"/>
      <c r="BI373" s="27"/>
      <c r="BJ373" s="27"/>
      <c r="BK373" s="27"/>
      <c r="BL373" s="27"/>
      <c r="BM373" s="27"/>
      <c r="BN373" s="27"/>
      <c r="BO373" s="27"/>
      <c r="BP373" s="27"/>
      <c r="BQ373" s="27"/>
      <c r="BR373" s="27"/>
      <c r="BS373" s="27"/>
      <c r="BT373" s="27"/>
      <c r="BU373" s="27"/>
      <c r="BV373" s="27"/>
      <c r="BW373" s="27"/>
      <c r="BX373" s="27"/>
      <c r="BY373" s="27"/>
      <c r="BZ373" s="27"/>
      <c r="CA373" s="27"/>
      <c r="CB373" s="27"/>
      <c r="CC373" s="27"/>
      <c r="CD373" s="27"/>
      <c r="CE373" s="27"/>
      <c r="CF373" s="27"/>
      <c r="CG373" s="27"/>
      <c r="CH373" s="27"/>
      <c r="CI373" s="27"/>
      <c r="CJ373" s="27"/>
      <c r="CK373" s="27"/>
      <c r="CL373" s="27"/>
      <c r="CM373" s="27"/>
      <c r="CN373" s="27"/>
      <c r="CO373" s="27"/>
      <c r="CP373" s="27"/>
      <c r="CQ373" s="27"/>
      <c r="CR373" s="27"/>
      <c r="CS373" s="27"/>
      <c r="CT373" s="27"/>
      <c r="CU373" s="27"/>
      <c r="CV373" s="27"/>
      <c r="CW373" s="27"/>
      <c r="CX373" s="27"/>
      <c r="CY373" s="27"/>
      <c r="CZ373" s="27"/>
      <c r="DA373" s="27"/>
      <c r="DB373" s="27"/>
      <c r="DC373" s="27"/>
      <c r="DD373" s="27"/>
      <c r="DE373" s="27"/>
      <c r="DF373" s="27"/>
      <c r="DG373" s="27"/>
      <c r="DH373" s="27"/>
      <c r="DI373" s="27"/>
      <c r="DJ373" s="27"/>
      <c r="DK373" s="27"/>
      <c r="DL373" s="27"/>
      <c r="DM373" s="27"/>
      <c r="DN373" s="27"/>
      <c r="DO373" s="27"/>
      <c r="DP373" s="27"/>
      <c r="DQ373" s="27"/>
      <c r="DR373" s="27"/>
      <c r="DS373" s="27"/>
      <c r="DT373" s="27"/>
    </row>
    <row r="374" spans="2:124" x14ac:dyDescent="0.2">
      <c r="B374" s="27"/>
      <c r="C374" s="27"/>
      <c r="D374" s="27"/>
      <c r="E374" s="27"/>
      <c r="F374" s="27"/>
      <c r="G374" s="27"/>
      <c r="H374" s="27"/>
      <c r="I374" s="27"/>
      <c r="J374" s="27"/>
      <c r="K374" s="27"/>
      <c r="L374" s="27"/>
      <c r="M374" s="27"/>
      <c r="N374" s="27"/>
      <c r="O374" s="27"/>
      <c r="P374" s="27"/>
      <c r="Q374" s="27"/>
      <c r="R374" s="27"/>
      <c r="S374" s="27"/>
      <c r="T374" s="27"/>
      <c r="U374" s="27"/>
      <c r="V374" s="27"/>
      <c r="W374" s="27"/>
      <c r="X374" s="27"/>
      <c r="Y374" s="27"/>
      <c r="Z374" s="27"/>
      <c r="AA374" s="27"/>
      <c r="AB374" s="27"/>
      <c r="AC374" s="27"/>
      <c r="AD374" s="27"/>
      <c r="AE374" s="27"/>
      <c r="AF374" s="27"/>
      <c r="AG374" s="27"/>
      <c r="AH374" s="27"/>
      <c r="AI374" s="27"/>
      <c r="AJ374" s="27"/>
      <c r="AK374" s="27"/>
      <c r="AL374" s="27"/>
      <c r="AM374" s="27"/>
      <c r="AN374" s="27"/>
      <c r="AO374" s="27"/>
      <c r="AP374" s="27"/>
      <c r="AQ374" s="27"/>
      <c r="AR374" s="27"/>
      <c r="AS374" s="27"/>
      <c r="AT374" s="27"/>
      <c r="AU374" s="27"/>
      <c r="AV374" s="27"/>
      <c r="AW374" s="27"/>
      <c r="AX374" s="27"/>
      <c r="AY374" s="27"/>
      <c r="AZ374" s="27"/>
      <c r="BA374" s="27"/>
      <c r="BB374" s="27"/>
      <c r="BC374" s="27"/>
      <c r="BD374" s="27"/>
      <c r="BE374" s="27"/>
      <c r="BF374" s="27"/>
      <c r="BG374" s="27"/>
      <c r="BH374" s="27"/>
      <c r="BI374" s="27"/>
      <c r="BJ374" s="27"/>
      <c r="BK374" s="27"/>
      <c r="BL374" s="27"/>
      <c r="BM374" s="27"/>
      <c r="BN374" s="27"/>
      <c r="BO374" s="27"/>
      <c r="BP374" s="27"/>
      <c r="BQ374" s="27"/>
      <c r="BR374" s="27"/>
      <c r="BS374" s="27"/>
      <c r="BT374" s="27"/>
      <c r="BU374" s="27"/>
      <c r="BV374" s="27"/>
      <c r="BW374" s="27"/>
      <c r="BX374" s="27"/>
      <c r="BY374" s="27"/>
      <c r="BZ374" s="27"/>
      <c r="CA374" s="27"/>
      <c r="CB374" s="27"/>
      <c r="CC374" s="27"/>
      <c r="CD374" s="27"/>
      <c r="CE374" s="27"/>
      <c r="CF374" s="27"/>
      <c r="CG374" s="27"/>
      <c r="CH374" s="27"/>
      <c r="CI374" s="27"/>
      <c r="CJ374" s="27"/>
      <c r="CK374" s="27"/>
      <c r="CL374" s="27"/>
      <c r="CM374" s="27"/>
      <c r="CN374" s="27"/>
      <c r="CO374" s="27"/>
      <c r="CP374" s="27"/>
      <c r="CQ374" s="27"/>
      <c r="CR374" s="27"/>
      <c r="CS374" s="27"/>
      <c r="CT374" s="27"/>
      <c r="CU374" s="27"/>
      <c r="CV374" s="27"/>
      <c r="CW374" s="27"/>
      <c r="CX374" s="27"/>
      <c r="CY374" s="27"/>
      <c r="CZ374" s="27"/>
      <c r="DA374" s="27"/>
      <c r="DB374" s="27"/>
      <c r="DC374" s="27"/>
      <c r="DD374" s="27"/>
      <c r="DE374" s="27"/>
      <c r="DF374" s="27"/>
      <c r="DG374" s="27"/>
      <c r="DH374" s="27"/>
      <c r="DI374" s="27"/>
      <c r="DJ374" s="27"/>
      <c r="DK374" s="27"/>
      <c r="DL374" s="27"/>
      <c r="DM374" s="27"/>
      <c r="DN374" s="27"/>
      <c r="DO374" s="27"/>
      <c r="DP374" s="27"/>
      <c r="DQ374" s="27"/>
      <c r="DR374" s="27"/>
      <c r="DS374" s="27"/>
      <c r="DT374" s="27"/>
    </row>
    <row r="375" spans="2:124" x14ac:dyDescent="0.2">
      <c r="B375" s="27"/>
      <c r="C375" s="27"/>
      <c r="D375" s="27"/>
      <c r="E375" s="27"/>
      <c r="F375" s="27"/>
      <c r="G375" s="27"/>
      <c r="H375" s="27"/>
      <c r="I375" s="27"/>
      <c r="J375" s="27"/>
      <c r="K375" s="27"/>
      <c r="L375" s="27"/>
      <c r="M375" s="27"/>
      <c r="N375" s="27"/>
      <c r="O375" s="27"/>
      <c r="P375" s="27"/>
      <c r="Q375" s="27"/>
      <c r="R375" s="27"/>
      <c r="S375" s="27"/>
      <c r="T375" s="27"/>
      <c r="U375" s="27"/>
      <c r="V375" s="27"/>
      <c r="W375" s="27"/>
      <c r="X375" s="27"/>
      <c r="Y375" s="27"/>
      <c r="Z375" s="27"/>
      <c r="AA375" s="27"/>
      <c r="AB375" s="27"/>
      <c r="AC375" s="27"/>
      <c r="AD375" s="27"/>
      <c r="AE375" s="27"/>
      <c r="AF375" s="27"/>
      <c r="AG375" s="27"/>
      <c r="AH375" s="27"/>
      <c r="AI375" s="27"/>
      <c r="AJ375" s="27"/>
      <c r="AK375" s="27"/>
      <c r="AL375" s="27"/>
      <c r="AM375" s="27"/>
      <c r="AN375" s="27"/>
      <c r="AO375" s="27"/>
      <c r="AP375" s="27"/>
      <c r="AQ375" s="27"/>
      <c r="AR375" s="27"/>
      <c r="AS375" s="27"/>
      <c r="AT375" s="27"/>
      <c r="AU375" s="27"/>
      <c r="AV375" s="27"/>
      <c r="AW375" s="27"/>
      <c r="AX375" s="27"/>
      <c r="AY375" s="27"/>
      <c r="AZ375" s="27"/>
      <c r="BA375" s="27"/>
      <c r="BB375" s="27"/>
      <c r="BC375" s="27"/>
      <c r="BD375" s="27"/>
      <c r="BE375" s="27"/>
      <c r="BF375" s="27"/>
      <c r="BG375" s="27"/>
      <c r="BH375" s="27"/>
      <c r="BI375" s="27"/>
      <c r="BJ375" s="27"/>
      <c r="BK375" s="27"/>
      <c r="BL375" s="27"/>
      <c r="BM375" s="27"/>
      <c r="BN375" s="27"/>
      <c r="BO375" s="27"/>
      <c r="BP375" s="27"/>
      <c r="BQ375" s="27"/>
      <c r="BR375" s="27"/>
      <c r="BS375" s="27"/>
      <c r="BT375" s="27"/>
      <c r="BU375" s="27"/>
      <c r="BV375" s="27"/>
      <c r="BW375" s="27"/>
      <c r="BX375" s="27"/>
      <c r="BY375" s="27"/>
      <c r="BZ375" s="27"/>
      <c r="CA375" s="27"/>
      <c r="CB375" s="27"/>
      <c r="CC375" s="27"/>
      <c r="CD375" s="27"/>
      <c r="CE375" s="27"/>
      <c r="CF375" s="27"/>
      <c r="CG375" s="27"/>
      <c r="CH375" s="27"/>
      <c r="CI375" s="27"/>
      <c r="CJ375" s="27"/>
      <c r="CK375" s="27"/>
      <c r="CL375" s="27"/>
      <c r="CM375" s="27"/>
      <c r="CN375" s="27"/>
      <c r="CO375" s="27"/>
      <c r="CP375" s="27"/>
      <c r="CQ375" s="27"/>
      <c r="CR375" s="27"/>
      <c r="CS375" s="27"/>
      <c r="CT375" s="27"/>
      <c r="CU375" s="27"/>
      <c r="CV375" s="27"/>
      <c r="CW375" s="27"/>
      <c r="CX375" s="27"/>
      <c r="CY375" s="27"/>
      <c r="CZ375" s="27"/>
      <c r="DA375" s="27"/>
      <c r="DB375" s="27"/>
      <c r="DC375" s="27"/>
      <c r="DD375" s="27"/>
      <c r="DE375" s="27"/>
      <c r="DF375" s="27"/>
      <c r="DG375" s="27"/>
      <c r="DH375" s="27"/>
      <c r="DI375" s="27"/>
      <c r="DJ375" s="27"/>
      <c r="DK375" s="27"/>
      <c r="DL375" s="27"/>
      <c r="DM375" s="27"/>
      <c r="DN375" s="27"/>
      <c r="DO375" s="27"/>
      <c r="DP375" s="27"/>
      <c r="DQ375" s="27"/>
      <c r="DR375" s="27"/>
      <c r="DS375" s="27"/>
      <c r="DT375" s="27"/>
    </row>
    <row r="376" spans="2:124" x14ac:dyDescent="0.2">
      <c r="B376" s="27"/>
      <c r="C376" s="27"/>
      <c r="D376" s="27"/>
      <c r="E376" s="27"/>
      <c r="F376" s="27"/>
      <c r="G376" s="27"/>
      <c r="H376" s="27"/>
      <c r="I376" s="27"/>
      <c r="J376" s="27"/>
      <c r="K376" s="27"/>
      <c r="L376" s="27"/>
      <c r="M376" s="27"/>
      <c r="N376" s="27"/>
      <c r="O376" s="27"/>
      <c r="P376" s="27"/>
      <c r="Q376" s="27"/>
      <c r="R376" s="27"/>
      <c r="S376" s="27"/>
      <c r="T376" s="27"/>
      <c r="U376" s="27"/>
      <c r="V376" s="27"/>
      <c r="W376" s="27"/>
      <c r="X376" s="27"/>
      <c r="Y376" s="27"/>
      <c r="Z376" s="27"/>
      <c r="AA376" s="27"/>
      <c r="AB376" s="27"/>
      <c r="AC376" s="27"/>
      <c r="AD376" s="27"/>
      <c r="AE376" s="27"/>
      <c r="AF376" s="27"/>
      <c r="AG376" s="27"/>
      <c r="AH376" s="27"/>
      <c r="AI376" s="27"/>
      <c r="AJ376" s="27"/>
      <c r="AK376" s="27"/>
      <c r="AL376" s="27"/>
      <c r="AM376" s="27"/>
      <c r="AN376" s="27"/>
      <c r="AO376" s="27"/>
      <c r="AP376" s="27"/>
      <c r="AQ376" s="27"/>
      <c r="AR376" s="27"/>
      <c r="AS376" s="27"/>
      <c r="AT376" s="27"/>
      <c r="AU376" s="27"/>
      <c r="AV376" s="27"/>
      <c r="AW376" s="27"/>
      <c r="AX376" s="27"/>
      <c r="AY376" s="27"/>
      <c r="AZ376" s="27"/>
      <c r="BA376" s="27"/>
      <c r="BB376" s="27"/>
      <c r="BC376" s="27"/>
      <c r="BD376" s="27"/>
      <c r="BE376" s="27"/>
      <c r="BF376" s="27"/>
      <c r="BG376" s="27"/>
      <c r="BH376" s="27"/>
      <c r="BI376" s="27"/>
      <c r="BJ376" s="27"/>
      <c r="BK376" s="27"/>
      <c r="BL376" s="27"/>
      <c r="BM376" s="27"/>
      <c r="BN376" s="27"/>
      <c r="BO376" s="27"/>
      <c r="BP376" s="27"/>
      <c r="BQ376" s="27"/>
      <c r="BR376" s="27"/>
      <c r="BS376" s="27"/>
      <c r="BT376" s="27"/>
      <c r="BU376" s="27"/>
      <c r="BV376" s="27"/>
      <c r="BW376" s="27"/>
      <c r="BX376" s="27"/>
      <c r="BY376" s="27"/>
      <c r="BZ376" s="27"/>
      <c r="CA376" s="27"/>
      <c r="CB376" s="27"/>
      <c r="CC376" s="27"/>
      <c r="CD376" s="27"/>
      <c r="CE376" s="27"/>
      <c r="CF376" s="27"/>
      <c r="CG376" s="27"/>
      <c r="CH376" s="27"/>
      <c r="CI376" s="27"/>
      <c r="CJ376" s="27"/>
      <c r="CK376" s="27"/>
      <c r="CL376" s="27"/>
      <c r="CM376" s="27"/>
      <c r="CN376" s="27"/>
      <c r="CO376" s="27"/>
      <c r="CP376" s="27"/>
      <c r="CQ376" s="27"/>
      <c r="CR376" s="27"/>
      <c r="CS376" s="27"/>
      <c r="CT376" s="27"/>
      <c r="CU376" s="27"/>
      <c r="CV376" s="27"/>
      <c r="CW376" s="27"/>
      <c r="CX376" s="27"/>
      <c r="CY376" s="27"/>
      <c r="CZ376" s="27"/>
      <c r="DA376" s="27"/>
      <c r="DB376" s="27"/>
      <c r="DC376" s="27"/>
      <c r="DD376" s="27"/>
      <c r="DE376" s="27"/>
      <c r="DF376" s="27"/>
      <c r="DG376" s="27"/>
      <c r="DH376" s="27"/>
      <c r="DI376" s="27"/>
      <c r="DJ376" s="27"/>
      <c r="DK376" s="27"/>
      <c r="DL376" s="27"/>
      <c r="DM376" s="27"/>
      <c r="DN376" s="27"/>
      <c r="DO376" s="27"/>
      <c r="DP376" s="27"/>
      <c r="DQ376" s="27"/>
      <c r="DR376" s="27"/>
      <c r="DS376" s="27"/>
      <c r="DT376" s="27"/>
    </row>
    <row r="377" spans="2:124" x14ac:dyDescent="0.2">
      <c r="B377" s="27"/>
      <c r="C377" s="27"/>
      <c r="D377" s="27"/>
      <c r="E377" s="27"/>
      <c r="F377" s="27"/>
      <c r="G377" s="27"/>
      <c r="H377" s="27"/>
      <c r="I377" s="27"/>
      <c r="J377" s="27"/>
      <c r="K377" s="27"/>
      <c r="L377" s="27"/>
      <c r="M377" s="27"/>
      <c r="N377" s="27"/>
      <c r="O377" s="27"/>
      <c r="P377" s="27"/>
      <c r="Q377" s="27"/>
      <c r="R377" s="27"/>
      <c r="S377" s="27"/>
      <c r="T377" s="27"/>
      <c r="U377" s="27"/>
      <c r="V377" s="27"/>
      <c r="W377" s="27"/>
      <c r="X377" s="27"/>
      <c r="Y377" s="27"/>
      <c r="Z377" s="27"/>
      <c r="AA377" s="27"/>
      <c r="AB377" s="27"/>
      <c r="AC377" s="27"/>
      <c r="AD377" s="27"/>
      <c r="AE377" s="27"/>
      <c r="AF377" s="27"/>
      <c r="AG377" s="27"/>
      <c r="AH377" s="27"/>
      <c r="AI377" s="27"/>
      <c r="AJ377" s="27"/>
      <c r="AK377" s="27"/>
      <c r="AL377" s="27"/>
      <c r="AM377" s="27"/>
      <c r="AN377" s="27"/>
      <c r="AO377" s="27"/>
      <c r="AP377" s="27"/>
      <c r="AQ377" s="27"/>
      <c r="AR377" s="27"/>
      <c r="AS377" s="27"/>
      <c r="AT377" s="27"/>
      <c r="AU377" s="27"/>
      <c r="AV377" s="27"/>
      <c r="AW377" s="27"/>
      <c r="AX377" s="27"/>
      <c r="AY377" s="27"/>
      <c r="AZ377" s="27"/>
      <c r="BA377" s="27"/>
      <c r="BB377" s="27"/>
      <c r="BC377" s="27"/>
      <c r="BD377" s="27"/>
      <c r="BE377" s="27"/>
      <c r="BF377" s="27"/>
      <c r="BG377" s="27"/>
      <c r="BH377" s="27"/>
      <c r="BI377" s="27"/>
      <c r="BJ377" s="27"/>
      <c r="BK377" s="27"/>
      <c r="BL377" s="27"/>
      <c r="BM377" s="27"/>
      <c r="BN377" s="27"/>
      <c r="BO377" s="27"/>
      <c r="BP377" s="27"/>
      <c r="BQ377" s="27"/>
      <c r="BR377" s="27"/>
      <c r="BS377" s="27"/>
      <c r="BT377" s="27"/>
      <c r="BU377" s="27"/>
      <c r="BV377" s="27"/>
      <c r="BW377" s="27"/>
      <c r="BX377" s="27"/>
      <c r="BY377" s="27"/>
      <c r="BZ377" s="27"/>
      <c r="CA377" s="27"/>
      <c r="CB377" s="27"/>
      <c r="CC377" s="27"/>
      <c r="CD377" s="27"/>
      <c r="CE377" s="27"/>
      <c r="CF377" s="27"/>
      <c r="CG377" s="27"/>
      <c r="CH377" s="27"/>
      <c r="CI377" s="27"/>
      <c r="CJ377" s="27"/>
      <c r="CK377" s="27"/>
      <c r="CL377" s="27"/>
      <c r="CM377" s="27"/>
      <c r="CN377" s="27"/>
      <c r="CO377" s="27"/>
      <c r="CP377" s="27"/>
      <c r="CQ377" s="27"/>
      <c r="CR377" s="27"/>
      <c r="CS377" s="27"/>
      <c r="CT377" s="27"/>
      <c r="CU377" s="27"/>
      <c r="CV377" s="27"/>
      <c r="CW377" s="27"/>
      <c r="CX377" s="27"/>
      <c r="CY377" s="27"/>
      <c r="CZ377" s="27"/>
      <c r="DA377" s="27"/>
      <c r="DB377" s="27"/>
      <c r="DC377" s="27"/>
      <c r="DD377" s="27"/>
      <c r="DE377" s="27"/>
      <c r="DF377" s="27"/>
      <c r="DG377" s="27"/>
      <c r="DH377" s="27"/>
      <c r="DI377" s="27"/>
      <c r="DJ377" s="27"/>
      <c r="DK377" s="27"/>
      <c r="DL377" s="27"/>
      <c r="DM377" s="27"/>
      <c r="DN377" s="27"/>
      <c r="DO377" s="27"/>
      <c r="DP377" s="27"/>
      <c r="DQ377" s="27"/>
      <c r="DR377" s="27"/>
      <c r="DS377" s="27"/>
      <c r="DT377" s="27"/>
    </row>
    <row r="378" spans="2:124" x14ac:dyDescent="0.2">
      <c r="B378" s="27"/>
      <c r="C378" s="27"/>
      <c r="D378" s="27"/>
      <c r="E378" s="27"/>
      <c r="F378" s="27"/>
      <c r="G378" s="27"/>
      <c r="H378" s="27"/>
      <c r="I378" s="27"/>
      <c r="J378" s="27"/>
      <c r="K378" s="27"/>
      <c r="L378" s="27"/>
      <c r="M378" s="27"/>
      <c r="N378" s="27"/>
      <c r="O378" s="27"/>
      <c r="P378" s="27"/>
      <c r="Q378" s="27"/>
      <c r="R378" s="27"/>
      <c r="S378" s="27"/>
      <c r="T378" s="27"/>
      <c r="U378" s="27"/>
      <c r="V378" s="27"/>
      <c r="W378" s="27"/>
      <c r="X378" s="27"/>
      <c r="Y378" s="27"/>
      <c r="Z378" s="27"/>
      <c r="AA378" s="27"/>
      <c r="AB378" s="27"/>
      <c r="AC378" s="27"/>
      <c r="AD378" s="27"/>
      <c r="AE378" s="27"/>
      <c r="AF378" s="27"/>
      <c r="AG378" s="27"/>
      <c r="AH378" s="27"/>
      <c r="AI378" s="27"/>
      <c r="AJ378" s="27"/>
      <c r="AK378" s="27"/>
      <c r="AL378" s="27"/>
      <c r="AM378" s="27"/>
      <c r="AN378" s="27"/>
      <c r="AO378" s="27"/>
      <c r="AP378" s="27"/>
      <c r="AQ378" s="27"/>
      <c r="AR378" s="27"/>
      <c r="AS378" s="27"/>
      <c r="AT378" s="27"/>
      <c r="AU378" s="27"/>
      <c r="AV378" s="27"/>
      <c r="AW378" s="27"/>
      <c r="AX378" s="27"/>
      <c r="AY378" s="27"/>
      <c r="AZ378" s="27"/>
      <c r="BA378" s="27"/>
      <c r="BB378" s="27"/>
      <c r="BC378" s="27"/>
      <c r="BD378" s="27"/>
      <c r="BE378" s="27"/>
      <c r="BF378" s="27"/>
      <c r="BG378" s="27"/>
      <c r="BH378" s="27"/>
      <c r="BI378" s="27"/>
      <c r="BJ378" s="27"/>
      <c r="BK378" s="27"/>
      <c r="BL378" s="27"/>
      <c r="BM378" s="27"/>
      <c r="BN378" s="27"/>
      <c r="BO378" s="27"/>
      <c r="BP378" s="27"/>
      <c r="BQ378" s="27"/>
      <c r="BR378" s="27"/>
      <c r="BS378" s="27"/>
      <c r="BT378" s="27"/>
      <c r="BU378" s="27"/>
      <c r="BV378" s="27"/>
      <c r="BW378" s="27"/>
      <c r="BX378" s="27"/>
      <c r="BY378" s="27"/>
      <c r="BZ378" s="27"/>
      <c r="CA378" s="27"/>
      <c r="CB378" s="27"/>
      <c r="CC378" s="27"/>
      <c r="CD378" s="27"/>
      <c r="CE378" s="27"/>
      <c r="CF378" s="27"/>
      <c r="CG378" s="27"/>
      <c r="CH378" s="27"/>
      <c r="CI378" s="27"/>
      <c r="CJ378" s="27"/>
      <c r="CK378" s="27"/>
      <c r="CL378" s="27"/>
      <c r="CM378" s="27"/>
      <c r="CN378" s="27"/>
      <c r="CO378" s="27"/>
      <c r="CP378" s="27"/>
      <c r="CQ378" s="27"/>
      <c r="CR378" s="27"/>
      <c r="CS378" s="27"/>
      <c r="CT378" s="27"/>
      <c r="CU378" s="27"/>
      <c r="CV378" s="27"/>
      <c r="CW378" s="27"/>
      <c r="CX378" s="27"/>
      <c r="CY378" s="27"/>
      <c r="CZ378" s="27"/>
      <c r="DA378" s="27"/>
      <c r="DB378" s="27"/>
      <c r="DC378" s="27"/>
      <c r="DD378" s="27"/>
      <c r="DE378" s="27"/>
      <c r="DF378" s="27"/>
      <c r="DG378" s="27"/>
      <c r="DH378" s="27"/>
      <c r="DI378" s="27"/>
      <c r="DJ378" s="27"/>
      <c r="DK378" s="27"/>
      <c r="DL378" s="27"/>
      <c r="DM378" s="27"/>
      <c r="DN378" s="27"/>
      <c r="DO378" s="27"/>
      <c r="DP378" s="27"/>
      <c r="DQ378" s="27"/>
      <c r="DR378" s="27"/>
      <c r="DS378" s="27"/>
      <c r="DT378" s="27"/>
    </row>
    <row r="379" spans="2:124" x14ac:dyDescent="0.2">
      <c r="B379" s="27"/>
      <c r="C379" s="27"/>
      <c r="D379" s="27"/>
      <c r="E379" s="27"/>
      <c r="F379" s="27"/>
      <c r="G379" s="27"/>
      <c r="H379" s="27"/>
      <c r="I379" s="27"/>
      <c r="J379" s="27"/>
      <c r="K379" s="27"/>
      <c r="L379" s="27"/>
      <c r="M379" s="27"/>
      <c r="N379" s="27"/>
      <c r="O379" s="27"/>
      <c r="P379" s="27"/>
      <c r="Q379" s="27"/>
      <c r="R379" s="27"/>
      <c r="S379" s="27"/>
      <c r="T379" s="27"/>
      <c r="U379" s="27"/>
      <c r="V379" s="27"/>
      <c r="W379" s="27"/>
      <c r="X379" s="27"/>
      <c r="Y379" s="27"/>
      <c r="Z379" s="27"/>
      <c r="AA379" s="27"/>
      <c r="AB379" s="27"/>
      <c r="AC379" s="27"/>
      <c r="AD379" s="27"/>
      <c r="AE379" s="27"/>
      <c r="AF379" s="27"/>
      <c r="AG379" s="27"/>
      <c r="AH379" s="27"/>
      <c r="AI379" s="27"/>
      <c r="AJ379" s="27"/>
      <c r="AK379" s="27"/>
      <c r="AL379" s="27"/>
      <c r="AM379" s="27"/>
      <c r="AN379" s="27"/>
      <c r="AO379" s="27"/>
      <c r="AP379" s="27"/>
      <c r="AQ379" s="27"/>
      <c r="AR379" s="27"/>
      <c r="AS379" s="27"/>
      <c r="AT379" s="27"/>
      <c r="AU379" s="27"/>
      <c r="AV379" s="27"/>
      <c r="AW379" s="27"/>
      <c r="AX379" s="27"/>
      <c r="AY379" s="27"/>
      <c r="AZ379" s="27"/>
      <c r="BA379" s="27"/>
      <c r="BB379" s="27"/>
      <c r="BC379" s="27"/>
      <c r="BD379" s="27"/>
      <c r="BE379" s="27"/>
      <c r="BF379" s="27"/>
      <c r="BG379" s="27"/>
      <c r="BH379" s="27"/>
      <c r="BI379" s="27"/>
      <c r="BJ379" s="27"/>
      <c r="BK379" s="27"/>
      <c r="BL379" s="27"/>
      <c r="BM379" s="27"/>
      <c r="BN379" s="27"/>
      <c r="BO379" s="27"/>
      <c r="BP379" s="27"/>
      <c r="BQ379" s="27"/>
      <c r="BR379" s="27"/>
      <c r="BS379" s="27"/>
      <c r="BT379" s="27"/>
      <c r="BU379" s="27"/>
      <c r="BV379" s="27"/>
      <c r="BW379" s="27"/>
      <c r="BX379" s="27"/>
      <c r="BY379" s="27"/>
      <c r="BZ379" s="27"/>
      <c r="CA379" s="27"/>
      <c r="CB379" s="27"/>
      <c r="CC379" s="27"/>
      <c r="CD379" s="27"/>
      <c r="CE379" s="27"/>
      <c r="CF379" s="27"/>
      <c r="CG379" s="27"/>
      <c r="CH379" s="27"/>
      <c r="CI379" s="27"/>
      <c r="CJ379" s="27"/>
      <c r="CK379" s="27"/>
      <c r="CL379" s="27"/>
      <c r="CM379" s="27"/>
      <c r="CN379" s="27"/>
      <c r="CO379" s="27"/>
      <c r="CP379" s="27"/>
      <c r="CQ379" s="27"/>
      <c r="CR379" s="27"/>
      <c r="CS379" s="27"/>
      <c r="CT379" s="27"/>
      <c r="CU379" s="27"/>
      <c r="CV379" s="27"/>
      <c r="CW379" s="27"/>
      <c r="CX379" s="27"/>
      <c r="CY379" s="27"/>
      <c r="CZ379" s="27"/>
      <c r="DA379" s="27"/>
      <c r="DB379" s="27"/>
      <c r="DC379" s="27"/>
      <c r="DD379" s="27"/>
      <c r="DE379" s="27"/>
      <c r="DF379" s="27"/>
      <c r="DG379" s="27"/>
      <c r="DH379" s="27"/>
      <c r="DI379" s="27"/>
      <c r="DJ379" s="27"/>
      <c r="DK379" s="27"/>
      <c r="DL379" s="27"/>
      <c r="DM379" s="27"/>
      <c r="DN379" s="27"/>
      <c r="DO379" s="27"/>
      <c r="DP379" s="27"/>
      <c r="DQ379" s="27"/>
      <c r="DR379" s="27"/>
      <c r="DS379" s="27"/>
      <c r="DT379" s="27"/>
    </row>
    <row r="380" spans="2:124" x14ac:dyDescent="0.2">
      <c r="B380" s="27"/>
      <c r="C380" s="27"/>
      <c r="D380" s="27"/>
      <c r="E380" s="27"/>
      <c r="F380" s="27"/>
      <c r="G380" s="27"/>
      <c r="H380" s="27"/>
      <c r="I380" s="27"/>
      <c r="J380" s="27"/>
      <c r="K380" s="27"/>
      <c r="L380" s="27"/>
      <c r="M380" s="27"/>
      <c r="N380" s="27"/>
      <c r="O380" s="27"/>
      <c r="P380" s="27"/>
      <c r="Q380" s="27"/>
      <c r="R380" s="27"/>
      <c r="S380" s="27"/>
      <c r="T380" s="27"/>
      <c r="U380" s="27"/>
      <c r="V380" s="27"/>
      <c r="W380" s="27"/>
      <c r="X380" s="27"/>
      <c r="Y380" s="27"/>
      <c r="Z380" s="27"/>
      <c r="AA380" s="27"/>
      <c r="AB380" s="27"/>
      <c r="AC380" s="27"/>
      <c r="AD380" s="27"/>
      <c r="AE380" s="27"/>
      <c r="AF380" s="27"/>
      <c r="AG380" s="27"/>
      <c r="AH380" s="27"/>
      <c r="AI380" s="27"/>
      <c r="AJ380" s="27"/>
      <c r="AK380" s="27"/>
      <c r="AL380" s="27"/>
      <c r="AM380" s="27"/>
      <c r="AN380" s="27"/>
      <c r="AO380" s="27"/>
      <c r="AP380" s="27"/>
      <c r="AQ380" s="27"/>
      <c r="AR380" s="27"/>
      <c r="AS380" s="27"/>
      <c r="AT380" s="27"/>
      <c r="AU380" s="27"/>
      <c r="AV380" s="27"/>
      <c r="AW380" s="27"/>
      <c r="AX380" s="27"/>
      <c r="AY380" s="27"/>
      <c r="AZ380" s="27"/>
      <c r="BA380" s="27"/>
      <c r="BB380" s="27"/>
      <c r="BC380" s="27"/>
      <c r="BD380" s="27"/>
      <c r="BE380" s="27"/>
      <c r="BF380" s="27"/>
      <c r="BG380" s="27"/>
      <c r="BH380" s="27"/>
      <c r="BI380" s="27"/>
      <c r="BJ380" s="27"/>
      <c r="BK380" s="27"/>
      <c r="BL380" s="27"/>
      <c r="BM380" s="27"/>
      <c r="BN380" s="27"/>
      <c r="BO380" s="27"/>
      <c r="BP380" s="27"/>
      <c r="BQ380" s="27"/>
      <c r="BR380" s="27"/>
      <c r="BS380" s="27"/>
      <c r="BT380" s="27"/>
      <c r="BU380" s="27"/>
      <c r="BV380" s="27"/>
      <c r="BW380" s="27"/>
      <c r="BX380" s="27"/>
      <c r="BY380" s="27"/>
      <c r="BZ380" s="27"/>
      <c r="CA380" s="27"/>
      <c r="CB380" s="27"/>
      <c r="CC380" s="27"/>
      <c r="CD380" s="27"/>
      <c r="CE380" s="27"/>
      <c r="CF380" s="27"/>
      <c r="CG380" s="27"/>
      <c r="CH380" s="27"/>
      <c r="CI380" s="27"/>
      <c r="CJ380" s="27"/>
      <c r="CK380" s="27"/>
      <c r="CL380" s="27"/>
      <c r="CM380" s="27"/>
      <c r="CN380" s="27"/>
      <c r="CO380" s="27"/>
      <c r="CP380" s="27"/>
      <c r="CQ380" s="27"/>
      <c r="CR380" s="27"/>
      <c r="CS380" s="27"/>
      <c r="CT380" s="27"/>
      <c r="CU380" s="27"/>
      <c r="CV380" s="27"/>
      <c r="CW380" s="27"/>
      <c r="CX380" s="27"/>
      <c r="CY380" s="27"/>
      <c r="CZ380" s="27"/>
      <c r="DA380" s="27"/>
      <c r="DB380" s="27"/>
      <c r="DC380" s="27"/>
      <c r="DD380" s="27"/>
      <c r="DE380" s="27"/>
      <c r="DF380" s="27"/>
      <c r="DG380" s="27"/>
      <c r="DH380" s="27"/>
      <c r="DI380" s="27"/>
      <c r="DJ380" s="27"/>
      <c r="DK380" s="27"/>
      <c r="DL380" s="27"/>
      <c r="DM380" s="27"/>
      <c r="DN380" s="27"/>
      <c r="DO380" s="27"/>
      <c r="DP380" s="27"/>
      <c r="DQ380" s="27"/>
      <c r="DR380" s="27"/>
      <c r="DS380" s="27"/>
      <c r="DT380" s="27"/>
    </row>
    <row r="381" spans="2:124" x14ac:dyDescent="0.2">
      <c r="B381" s="27"/>
      <c r="C381" s="27"/>
      <c r="D381" s="27"/>
      <c r="E381" s="27"/>
      <c r="F381" s="27"/>
      <c r="G381" s="27"/>
      <c r="H381" s="27"/>
      <c r="I381" s="27"/>
      <c r="J381" s="27"/>
      <c r="K381" s="27"/>
      <c r="L381" s="27"/>
      <c r="M381" s="27"/>
      <c r="N381" s="27"/>
      <c r="O381" s="27"/>
      <c r="P381" s="27"/>
      <c r="Q381" s="27"/>
      <c r="R381" s="27"/>
      <c r="S381" s="27"/>
      <c r="T381" s="27"/>
      <c r="U381" s="27"/>
      <c r="V381" s="27"/>
      <c r="W381" s="27"/>
      <c r="X381" s="27"/>
      <c r="Y381" s="27"/>
      <c r="Z381" s="27"/>
      <c r="AA381" s="27"/>
      <c r="AB381" s="27"/>
      <c r="AC381" s="27"/>
      <c r="AD381" s="27"/>
      <c r="AE381" s="27"/>
      <c r="AF381" s="27"/>
      <c r="AG381" s="27"/>
      <c r="AH381" s="27"/>
      <c r="AI381" s="27"/>
      <c r="AJ381" s="27"/>
      <c r="AK381" s="27"/>
      <c r="AL381" s="27"/>
      <c r="AM381" s="27"/>
      <c r="AN381" s="27"/>
      <c r="AO381" s="27"/>
      <c r="AP381" s="27"/>
      <c r="AQ381" s="27"/>
      <c r="AR381" s="27"/>
      <c r="AS381" s="27"/>
      <c r="AT381" s="27"/>
      <c r="AU381" s="27"/>
      <c r="AV381" s="27"/>
      <c r="AW381" s="27"/>
      <c r="AX381" s="27"/>
      <c r="AY381" s="27"/>
      <c r="AZ381" s="27"/>
      <c r="BA381" s="27"/>
      <c r="BB381" s="27"/>
      <c r="BC381" s="27"/>
      <c r="BD381" s="27"/>
      <c r="BE381" s="27"/>
      <c r="BF381" s="27"/>
      <c r="BG381" s="27"/>
      <c r="BH381" s="27"/>
      <c r="BI381" s="27"/>
      <c r="BJ381" s="27"/>
      <c r="BK381" s="27"/>
      <c r="BL381" s="27"/>
      <c r="BM381" s="27"/>
      <c r="BN381" s="27"/>
      <c r="BO381" s="27"/>
      <c r="BP381" s="27"/>
      <c r="BQ381" s="27"/>
      <c r="BR381" s="27"/>
      <c r="BS381" s="27"/>
      <c r="BT381" s="27"/>
      <c r="BU381" s="27"/>
      <c r="BV381" s="27"/>
      <c r="BW381" s="27"/>
      <c r="BX381" s="27"/>
      <c r="BY381" s="27"/>
      <c r="BZ381" s="27"/>
      <c r="CA381" s="27"/>
      <c r="CB381" s="27"/>
      <c r="CC381" s="27"/>
      <c r="CD381" s="27"/>
      <c r="CE381" s="27"/>
      <c r="CF381" s="27"/>
      <c r="CG381" s="27"/>
      <c r="CH381" s="27"/>
      <c r="CI381" s="27"/>
      <c r="CJ381" s="27"/>
      <c r="CK381" s="27"/>
      <c r="CL381" s="27"/>
      <c r="CM381" s="27"/>
      <c r="CN381" s="27"/>
      <c r="CO381" s="27"/>
      <c r="CP381" s="27"/>
      <c r="CQ381" s="27"/>
      <c r="CR381" s="27"/>
      <c r="CS381" s="27"/>
      <c r="CT381" s="27"/>
      <c r="CU381" s="27"/>
      <c r="CV381" s="27"/>
      <c r="CW381" s="27"/>
      <c r="CX381" s="27"/>
      <c r="CY381" s="27"/>
      <c r="CZ381" s="27"/>
      <c r="DA381" s="27"/>
      <c r="DB381" s="27"/>
      <c r="DC381" s="27"/>
      <c r="DD381" s="27"/>
      <c r="DE381" s="27"/>
      <c r="DF381" s="27"/>
      <c r="DG381" s="27"/>
      <c r="DH381" s="27"/>
      <c r="DI381" s="27"/>
      <c r="DJ381" s="27"/>
      <c r="DK381" s="27"/>
      <c r="DL381" s="27"/>
      <c r="DM381" s="27"/>
      <c r="DN381" s="27"/>
      <c r="DO381" s="27"/>
      <c r="DP381" s="27"/>
      <c r="DQ381" s="27"/>
      <c r="DR381" s="27"/>
      <c r="DS381" s="27"/>
      <c r="DT381" s="27"/>
    </row>
    <row r="382" spans="2:124" x14ac:dyDescent="0.2">
      <c r="B382" s="27"/>
      <c r="C382" s="27"/>
      <c r="D382" s="27"/>
      <c r="E382" s="27"/>
      <c r="F382" s="27"/>
      <c r="G382" s="27"/>
      <c r="H382" s="27"/>
      <c r="I382" s="27"/>
      <c r="J382" s="27"/>
      <c r="K382" s="27"/>
      <c r="L382" s="27"/>
      <c r="M382" s="27"/>
      <c r="N382" s="27"/>
      <c r="O382" s="27"/>
      <c r="P382" s="27"/>
      <c r="Q382" s="27"/>
      <c r="R382" s="27"/>
      <c r="S382" s="27"/>
      <c r="T382" s="27"/>
      <c r="U382" s="27"/>
      <c r="V382" s="27"/>
      <c r="W382" s="27"/>
      <c r="X382" s="27"/>
      <c r="Y382" s="27"/>
      <c r="Z382" s="27"/>
      <c r="AA382" s="27"/>
      <c r="AB382" s="27"/>
      <c r="AC382" s="27"/>
      <c r="AD382" s="27"/>
      <c r="AE382" s="27"/>
      <c r="AF382" s="27"/>
      <c r="AG382" s="27"/>
      <c r="AH382" s="27"/>
      <c r="AI382" s="27"/>
      <c r="AJ382" s="27"/>
      <c r="AK382" s="27"/>
      <c r="AL382" s="27"/>
      <c r="AM382" s="27"/>
      <c r="AN382" s="27"/>
      <c r="AO382" s="27"/>
      <c r="AP382" s="27"/>
      <c r="AQ382" s="27"/>
      <c r="AR382" s="27"/>
      <c r="AS382" s="27"/>
      <c r="AT382" s="27"/>
      <c r="AU382" s="27"/>
      <c r="AV382" s="27"/>
      <c r="AW382" s="27"/>
      <c r="AX382" s="27"/>
      <c r="AY382" s="27"/>
      <c r="AZ382" s="27"/>
      <c r="BA382" s="27"/>
      <c r="BB382" s="27"/>
      <c r="BC382" s="27"/>
      <c r="BD382" s="27"/>
      <c r="BE382" s="27"/>
      <c r="BF382" s="27"/>
      <c r="BG382" s="27"/>
      <c r="BH382" s="27"/>
      <c r="BI382" s="27"/>
      <c r="BJ382" s="27"/>
      <c r="BK382" s="27"/>
      <c r="BL382" s="27"/>
      <c r="BM382" s="27"/>
      <c r="BN382" s="27"/>
      <c r="BO382" s="27"/>
      <c r="BP382" s="27"/>
      <c r="BQ382" s="27"/>
      <c r="BR382" s="27"/>
      <c r="BS382" s="27"/>
      <c r="BT382" s="27"/>
      <c r="BU382" s="27"/>
      <c r="BV382" s="27"/>
      <c r="BW382" s="27"/>
      <c r="BX382" s="27"/>
      <c r="BY382" s="27"/>
      <c r="BZ382" s="27"/>
      <c r="CA382" s="27"/>
      <c r="CB382" s="27"/>
      <c r="CC382" s="27"/>
      <c r="CD382" s="27"/>
      <c r="CE382" s="27"/>
      <c r="CF382" s="27"/>
      <c r="CG382" s="27"/>
      <c r="CH382" s="27"/>
      <c r="CI382" s="27"/>
      <c r="CJ382" s="27"/>
      <c r="CK382" s="27"/>
      <c r="CL382" s="27"/>
      <c r="CM382" s="27"/>
      <c r="CN382" s="27"/>
      <c r="CO382" s="27"/>
      <c r="CP382" s="27"/>
      <c r="CQ382" s="27"/>
      <c r="CR382" s="27"/>
      <c r="CS382" s="27"/>
      <c r="CT382" s="27"/>
      <c r="CU382" s="27"/>
      <c r="CV382" s="27"/>
      <c r="CW382" s="27"/>
      <c r="CX382" s="27"/>
      <c r="CY382" s="27"/>
      <c r="CZ382" s="27"/>
      <c r="DA382" s="27"/>
      <c r="DB382" s="27"/>
      <c r="DC382" s="27"/>
      <c r="DD382" s="27"/>
      <c r="DE382" s="27"/>
      <c r="DF382" s="27"/>
      <c r="DG382" s="27"/>
      <c r="DH382" s="27"/>
      <c r="DI382" s="27"/>
      <c r="DJ382" s="27"/>
      <c r="DK382" s="27"/>
      <c r="DL382" s="27"/>
      <c r="DM382" s="27"/>
      <c r="DN382" s="27"/>
      <c r="DO382" s="27"/>
      <c r="DP382" s="27"/>
      <c r="DQ382" s="27"/>
      <c r="DR382" s="27"/>
      <c r="DS382" s="27"/>
      <c r="DT382" s="27"/>
    </row>
    <row r="383" spans="2:124" x14ac:dyDescent="0.2">
      <c r="B383" s="27"/>
      <c r="C383" s="27"/>
      <c r="D383" s="27"/>
      <c r="E383" s="27"/>
      <c r="F383" s="27"/>
      <c r="G383" s="27"/>
      <c r="H383" s="27"/>
      <c r="I383" s="27"/>
      <c r="J383" s="27"/>
      <c r="K383" s="27"/>
      <c r="L383" s="27"/>
      <c r="M383" s="27"/>
      <c r="N383" s="27"/>
      <c r="O383" s="27"/>
      <c r="P383" s="27"/>
      <c r="Q383" s="27"/>
      <c r="R383" s="27"/>
      <c r="S383" s="27"/>
      <c r="T383" s="27"/>
      <c r="U383" s="27"/>
      <c r="V383" s="27"/>
      <c r="W383" s="27"/>
      <c r="X383" s="27"/>
      <c r="Y383" s="27"/>
      <c r="Z383" s="27"/>
      <c r="AA383" s="27"/>
      <c r="AB383" s="27"/>
      <c r="AC383" s="27"/>
      <c r="AD383" s="27"/>
      <c r="AE383" s="27"/>
      <c r="AF383" s="27"/>
      <c r="AG383" s="27"/>
      <c r="AH383" s="27"/>
      <c r="AI383" s="27"/>
      <c r="AJ383" s="27"/>
      <c r="AK383" s="27"/>
      <c r="AL383" s="27"/>
      <c r="AM383" s="27"/>
      <c r="AN383" s="27"/>
      <c r="AO383" s="27"/>
      <c r="AP383" s="27"/>
      <c r="AQ383" s="27"/>
      <c r="AR383" s="27"/>
      <c r="AS383" s="27"/>
      <c r="AT383" s="27"/>
      <c r="AU383" s="27"/>
      <c r="AV383" s="27"/>
      <c r="AW383" s="27"/>
      <c r="AX383" s="27"/>
      <c r="AY383" s="27"/>
      <c r="AZ383" s="27"/>
      <c r="BA383" s="27"/>
      <c r="BB383" s="27"/>
      <c r="BC383" s="27"/>
      <c r="BD383" s="27"/>
      <c r="BE383" s="27"/>
      <c r="BF383" s="27"/>
      <c r="BG383" s="27"/>
      <c r="BH383" s="27"/>
      <c r="BI383" s="27"/>
      <c r="BJ383" s="27"/>
      <c r="BK383" s="27"/>
      <c r="BL383" s="27"/>
      <c r="BM383" s="27"/>
      <c r="BN383" s="27"/>
      <c r="BO383" s="27"/>
      <c r="BP383" s="27"/>
      <c r="BQ383" s="27"/>
      <c r="BR383" s="27"/>
      <c r="BS383" s="27"/>
      <c r="BT383" s="27"/>
      <c r="BU383" s="27"/>
      <c r="BV383" s="27"/>
      <c r="BW383" s="27"/>
      <c r="BX383" s="27"/>
      <c r="BY383" s="27"/>
      <c r="BZ383" s="27"/>
      <c r="CA383" s="27"/>
      <c r="CB383" s="27"/>
      <c r="CC383" s="27"/>
      <c r="CD383" s="27"/>
      <c r="CE383" s="27"/>
      <c r="CF383" s="27"/>
      <c r="CG383" s="27"/>
      <c r="CH383" s="27"/>
      <c r="CI383" s="27"/>
      <c r="CJ383" s="27"/>
      <c r="CK383" s="27"/>
      <c r="CL383" s="27"/>
      <c r="CM383" s="27"/>
      <c r="CN383" s="27"/>
      <c r="CO383" s="27"/>
      <c r="CP383" s="27"/>
      <c r="CQ383" s="27"/>
      <c r="CR383" s="27"/>
      <c r="CS383" s="27"/>
      <c r="CT383" s="27"/>
      <c r="CU383" s="27"/>
      <c r="CV383" s="27"/>
      <c r="CW383" s="27"/>
      <c r="CX383" s="27"/>
      <c r="CY383" s="27"/>
      <c r="CZ383" s="27"/>
      <c r="DA383" s="27"/>
      <c r="DB383" s="27"/>
      <c r="DC383" s="27"/>
      <c r="DD383" s="27"/>
      <c r="DE383" s="27"/>
      <c r="DF383" s="27"/>
      <c r="DG383" s="27"/>
      <c r="DH383" s="27"/>
      <c r="DI383" s="27"/>
      <c r="DJ383" s="27"/>
      <c r="DK383" s="27"/>
      <c r="DL383" s="27"/>
      <c r="DM383" s="27"/>
      <c r="DN383" s="27"/>
      <c r="DO383" s="27"/>
      <c r="DP383" s="27"/>
      <c r="DQ383" s="27"/>
      <c r="DR383" s="27"/>
      <c r="DS383" s="27"/>
      <c r="DT383" s="27"/>
    </row>
    <row r="384" spans="2:124" x14ac:dyDescent="0.2">
      <c r="B384" s="27"/>
      <c r="C384" s="27"/>
      <c r="D384" s="27"/>
      <c r="E384" s="27"/>
      <c r="F384" s="27"/>
      <c r="G384" s="27"/>
      <c r="H384" s="27"/>
      <c r="I384" s="27"/>
      <c r="J384" s="27"/>
      <c r="K384" s="27"/>
      <c r="L384" s="27"/>
      <c r="M384" s="27"/>
      <c r="N384" s="27"/>
      <c r="O384" s="27"/>
      <c r="P384" s="27"/>
      <c r="Q384" s="27"/>
      <c r="R384" s="27"/>
      <c r="S384" s="27"/>
      <c r="T384" s="27"/>
      <c r="U384" s="27"/>
      <c r="V384" s="27"/>
      <c r="W384" s="27"/>
      <c r="X384" s="27"/>
      <c r="Y384" s="27"/>
      <c r="Z384" s="27"/>
      <c r="AA384" s="27"/>
      <c r="AB384" s="27"/>
      <c r="AC384" s="27"/>
      <c r="AD384" s="27"/>
      <c r="AE384" s="27"/>
      <c r="AF384" s="27"/>
      <c r="AG384" s="27"/>
      <c r="AH384" s="27"/>
      <c r="AI384" s="27"/>
      <c r="AJ384" s="27"/>
      <c r="AK384" s="27"/>
      <c r="AL384" s="27"/>
      <c r="AM384" s="27"/>
      <c r="AN384" s="27"/>
      <c r="AO384" s="27"/>
      <c r="AP384" s="27"/>
      <c r="AQ384" s="27"/>
      <c r="AR384" s="27"/>
      <c r="AS384" s="27"/>
      <c r="AT384" s="27"/>
      <c r="AU384" s="27"/>
      <c r="AV384" s="27"/>
      <c r="AW384" s="27"/>
      <c r="AX384" s="27"/>
      <c r="AY384" s="27"/>
      <c r="AZ384" s="27"/>
      <c r="BA384" s="27"/>
      <c r="BB384" s="27"/>
      <c r="BC384" s="27"/>
      <c r="BD384" s="27"/>
      <c r="BE384" s="27"/>
      <c r="BF384" s="27"/>
      <c r="BG384" s="27"/>
      <c r="BH384" s="27"/>
      <c r="BI384" s="27"/>
      <c r="BJ384" s="27"/>
      <c r="BK384" s="27"/>
      <c r="BL384" s="27"/>
      <c r="BM384" s="27"/>
      <c r="BN384" s="27"/>
      <c r="BO384" s="27"/>
      <c r="BP384" s="27"/>
      <c r="BQ384" s="27"/>
      <c r="BR384" s="27"/>
      <c r="BS384" s="27"/>
      <c r="BT384" s="27"/>
      <c r="BU384" s="27"/>
      <c r="BV384" s="27"/>
      <c r="BW384" s="27"/>
      <c r="BX384" s="27"/>
      <c r="BY384" s="27"/>
      <c r="BZ384" s="27"/>
      <c r="CA384" s="27"/>
      <c r="CB384" s="27"/>
      <c r="CC384" s="27"/>
      <c r="CD384" s="27"/>
      <c r="CE384" s="27"/>
      <c r="CF384" s="27"/>
      <c r="CG384" s="27"/>
      <c r="CH384" s="27"/>
      <c r="CI384" s="27"/>
      <c r="CJ384" s="27"/>
      <c r="CK384" s="27"/>
      <c r="CL384" s="27"/>
      <c r="CM384" s="27"/>
      <c r="CN384" s="27"/>
      <c r="CO384" s="27"/>
      <c r="CP384" s="27"/>
      <c r="CQ384" s="27"/>
      <c r="CR384" s="27"/>
      <c r="CS384" s="27"/>
      <c r="CT384" s="27"/>
      <c r="CU384" s="27"/>
      <c r="CV384" s="27"/>
      <c r="CW384" s="27"/>
      <c r="CX384" s="27"/>
      <c r="CY384" s="27"/>
      <c r="CZ384" s="27"/>
      <c r="DA384" s="27"/>
      <c r="DB384" s="27"/>
      <c r="DC384" s="27"/>
      <c r="DD384" s="27"/>
      <c r="DE384" s="27"/>
      <c r="DF384" s="27"/>
      <c r="DG384" s="27"/>
      <c r="DH384" s="27"/>
      <c r="DI384" s="27"/>
      <c r="DJ384" s="27"/>
      <c r="DK384" s="27"/>
      <c r="DL384" s="27"/>
      <c r="DM384" s="27"/>
      <c r="DN384" s="27"/>
      <c r="DO384" s="27"/>
      <c r="DP384" s="27"/>
      <c r="DQ384" s="27"/>
      <c r="DR384" s="27"/>
      <c r="DS384" s="27"/>
      <c r="DT384" s="27"/>
    </row>
    <row r="385" spans="2:124" x14ac:dyDescent="0.2">
      <c r="B385" s="27"/>
      <c r="C385" s="27"/>
      <c r="D385" s="27"/>
      <c r="E385" s="27"/>
      <c r="F385" s="27"/>
      <c r="G385" s="27"/>
      <c r="H385" s="27"/>
      <c r="I385" s="27"/>
      <c r="J385" s="27"/>
      <c r="K385" s="27"/>
      <c r="L385" s="27"/>
      <c r="M385" s="27"/>
      <c r="N385" s="27"/>
      <c r="O385" s="27"/>
      <c r="P385" s="27"/>
      <c r="Q385" s="27"/>
      <c r="R385" s="27"/>
      <c r="S385" s="27"/>
      <c r="T385" s="27"/>
      <c r="U385" s="27"/>
      <c r="V385" s="27"/>
      <c r="W385" s="27"/>
      <c r="X385" s="27"/>
      <c r="Y385" s="27"/>
      <c r="Z385" s="27"/>
      <c r="AA385" s="27"/>
      <c r="AB385" s="27"/>
      <c r="AC385" s="27"/>
      <c r="AD385" s="27"/>
      <c r="AE385" s="27"/>
      <c r="AF385" s="27"/>
      <c r="AG385" s="27"/>
      <c r="AH385" s="27"/>
      <c r="AI385" s="27"/>
      <c r="AJ385" s="27"/>
      <c r="AK385" s="27"/>
      <c r="AL385" s="27"/>
      <c r="AM385" s="27"/>
      <c r="AN385" s="27"/>
      <c r="AO385" s="27"/>
      <c r="AP385" s="27"/>
      <c r="AQ385" s="27"/>
      <c r="AR385" s="27"/>
      <c r="AS385" s="27"/>
      <c r="AT385" s="27"/>
      <c r="AU385" s="27"/>
      <c r="AV385" s="27"/>
      <c r="AW385" s="27"/>
      <c r="AX385" s="27"/>
      <c r="AY385" s="27"/>
      <c r="AZ385" s="27"/>
      <c r="BA385" s="27"/>
      <c r="BB385" s="27"/>
      <c r="BC385" s="27"/>
      <c r="BD385" s="27"/>
      <c r="BE385" s="27"/>
      <c r="BF385" s="27"/>
      <c r="BG385" s="27"/>
      <c r="BH385" s="27"/>
      <c r="BI385" s="27"/>
      <c r="BJ385" s="27"/>
      <c r="BK385" s="27"/>
      <c r="BL385" s="27"/>
      <c r="BM385" s="27"/>
      <c r="BN385" s="27"/>
      <c r="BO385" s="27"/>
      <c r="BP385" s="27"/>
      <c r="BQ385" s="27"/>
      <c r="BR385" s="27"/>
      <c r="BS385" s="27"/>
      <c r="BT385" s="27"/>
      <c r="BU385" s="27"/>
      <c r="BV385" s="27"/>
      <c r="BW385" s="27"/>
      <c r="BX385" s="27"/>
      <c r="BY385" s="27"/>
      <c r="BZ385" s="27"/>
      <c r="CA385" s="27"/>
      <c r="CB385" s="27"/>
      <c r="CC385" s="27"/>
      <c r="CD385" s="27"/>
      <c r="CE385" s="27"/>
      <c r="CF385" s="27"/>
      <c r="CG385" s="27"/>
      <c r="CH385" s="27"/>
      <c r="CI385" s="27"/>
      <c r="CJ385" s="27"/>
      <c r="CK385" s="27"/>
      <c r="CL385" s="27"/>
      <c r="CM385" s="27"/>
      <c r="CN385" s="27"/>
      <c r="CO385" s="27"/>
      <c r="CP385" s="27"/>
      <c r="CQ385" s="27"/>
      <c r="CR385" s="27"/>
      <c r="CS385" s="27"/>
      <c r="CT385" s="27"/>
      <c r="CU385" s="27"/>
      <c r="CV385" s="27"/>
      <c r="CW385" s="27"/>
      <c r="CX385" s="27"/>
      <c r="CY385" s="27"/>
      <c r="CZ385" s="27"/>
      <c r="DA385" s="27"/>
      <c r="DB385" s="27"/>
      <c r="DC385" s="27"/>
      <c r="DD385" s="27"/>
      <c r="DE385" s="27"/>
      <c r="DF385" s="27"/>
      <c r="DG385" s="27"/>
      <c r="DH385" s="27"/>
      <c r="DI385" s="27"/>
      <c r="DJ385" s="27"/>
      <c r="DK385" s="27"/>
      <c r="DL385" s="27"/>
      <c r="DM385" s="27"/>
      <c r="DN385" s="27"/>
      <c r="DO385" s="27"/>
      <c r="DP385" s="27"/>
      <c r="DQ385" s="27"/>
      <c r="DR385" s="27"/>
      <c r="DS385" s="27"/>
      <c r="DT385" s="27"/>
    </row>
    <row r="386" spans="2:124" x14ac:dyDescent="0.2">
      <c r="B386" s="27"/>
      <c r="C386" s="27"/>
      <c r="D386" s="27"/>
      <c r="E386" s="27"/>
      <c r="F386" s="27"/>
      <c r="G386" s="27"/>
      <c r="H386" s="27"/>
      <c r="I386" s="27"/>
      <c r="J386" s="27"/>
      <c r="K386" s="27"/>
      <c r="L386" s="27"/>
      <c r="M386" s="27"/>
      <c r="N386" s="27"/>
      <c r="O386" s="27"/>
      <c r="P386" s="27"/>
      <c r="Q386" s="27"/>
      <c r="R386" s="27"/>
      <c r="S386" s="27"/>
      <c r="T386" s="27"/>
      <c r="U386" s="27"/>
      <c r="V386" s="27"/>
      <c r="W386" s="27"/>
      <c r="X386" s="27"/>
      <c r="Y386" s="27"/>
      <c r="Z386" s="27"/>
      <c r="AA386" s="27"/>
      <c r="AB386" s="27"/>
      <c r="AC386" s="27"/>
      <c r="AD386" s="27"/>
      <c r="AE386" s="27"/>
      <c r="AF386" s="27"/>
      <c r="AG386" s="27"/>
      <c r="AH386" s="27"/>
      <c r="AI386" s="27"/>
      <c r="AJ386" s="27"/>
      <c r="AK386" s="27"/>
      <c r="AL386" s="27"/>
      <c r="AM386" s="27"/>
      <c r="AN386" s="27"/>
      <c r="AO386" s="27"/>
      <c r="AP386" s="27"/>
      <c r="AQ386" s="27"/>
      <c r="AR386" s="27"/>
      <c r="AS386" s="27"/>
      <c r="AT386" s="27"/>
      <c r="AU386" s="27"/>
      <c r="AV386" s="27"/>
      <c r="AW386" s="27"/>
      <c r="AX386" s="27"/>
      <c r="AY386" s="27"/>
      <c r="AZ386" s="27"/>
      <c r="BA386" s="27"/>
      <c r="BB386" s="27"/>
      <c r="BC386" s="27"/>
      <c r="BD386" s="27"/>
      <c r="BE386" s="27"/>
      <c r="BF386" s="27"/>
      <c r="BG386" s="27"/>
      <c r="BH386" s="27"/>
      <c r="BI386" s="27"/>
      <c r="BJ386" s="27"/>
      <c r="BK386" s="27"/>
      <c r="BL386" s="27"/>
      <c r="BM386" s="27"/>
      <c r="BN386" s="27"/>
      <c r="BO386" s="27"/>
      <c r="BP386" s="27"/>
      <c r="BQ386" s="27"/>
      <c r="BR386" s="27"/>
      <c r="BS386" s="27"/>
      <c r="BT386" s="27"/>
      <c r="BU386" s="27"/>
      <c r="BV386" s="27"/>
      <c r="BW386" s="27"/>
      <c r="BX386" s="27"/>
      <c r="BY386" s="27"/>
      <c r="BZ386" s="27"/>
      <c r="CA386" s="27"/>
      <c r="CB386" s="27"/>
      <c r="CC386" s="27"/>
      <c r="CD386" s="27"/>
      <c r="CE386" s="27"/>
      <c r="CF386" s="27"/>
      <c r="CG386" s="27"/>
      <c r="CH386" s="27"/>
      <c r="CI386" s="27"/>
      <c r="CJ386" s="27"/>
      <c r="CK386" s="27"/>
      <c r="CL386" s="27"/>
      <c r="CM386" s="27"/>
      <c r="CN386" s="27"/>
      <c r="CO386" s="27"/>
      <c r="CP386" s="27"/>
      <c r="CQ386" s="27"/>
      <c r="CR386" s="27"/>
      <c r="CS386" s="27"/>
      <c r="CT386" s="27"/>
      <c r="CU386" s="27"/>
      <c r="CV386" s="27"/>
      <c r="CW386" s="27"/>
      <c r="CX386" s="27"/>
      <c r="CY386" s="27"/>
      <c r="CZ386" s="27"/>
      <c r="DA386" s="27"/>
      <c r="DB386" s="27"/>
      <c r="DC386" s="27"/>
      <c r="DD386" s="27"/>
      <c r="DE386" s="27"/>
      <c r="DF386" s="27"/>
      <c r="DG386" s="27"/>
      <c r="DH386" s="27"/>
      <c r="DI386" s="27"/>
      <c r="DJ386" s="27"/>
      <c r="DK386" s="27"/>
      <c r="DL386" s="27"/>
      <c r="DM386" s="27"/>
      <c r="DN386" s="27"/>
      <c r="DO386" s="27"/>
      <c r="DP386" s="27"/>
      <c r="DQ386" s="27"/>
      <c r="DR386" s="27"/>
      <c r="DS386" s="27"/>
      <c r="DT386" s="27"/>
    </row>
    <row r="387" spans="2:124" x14ac:dyDescent="0.2">
      <c r="B387" s="27"/>
      <c r="C387" s="27"/>
      <c r="D387" s="27"/>
      <c r="E387" s="27"/>
      <c r="F387" s="27"/>
      <c r="G387" s="27"/>
      <c r="H387" s="27"/>
      <c r="I387" s="27"/>
      <c r="J387" s="27"/>
      <c r="K387" s="27"/>
      <c r="L387" s="27"/>
      <c r="M387" s="27"/>
      <c r="N387" s="27"/>
      <c r="O387" s="27"/>
      <c r="P387" s="27"/>
      <c r="Q387" s="27"/>
      <c r="R387" s="27"/>
      <c r="S387" s="27"/>
      <c r="T387" s="27"/>
      <c r="U387" s="27"/>
      <c r="V387" s="27"/>
      <c r="W387" s="27"/>
      <c r="X387" s="27"/>
      <c r="Y387" s="27"/>
      <c r="Z387" s="27"/>
      <c r="AA387" s="27"/>
      <c r="AB387" s="27"/>
      <c r="AC387" s="27"/>
      <c r="AD387" s="27"/>
      <c r="AE387" s="27"/>
      <c r="AF387" s="27"/>
      <c r="AG387" s="27"/>
      <c r="AH387" s="27"/>
      <c r="AI387" s="27"/>
      <c r="AJ387" s="27"/>
      <c r="AK387" s="27"/>
      <c r="AL387" s="27"/>
      <c r="AM387" s="27"/>
      <c r="AN387" s="27"/>
      <c r="AO387" s="27"/>
      <c r="AP387" s="27"/>
      <c r="AQ387" s="27"/>
      <c r="AR387" s="27"/>
      <c r="AS387" s="27"/>
      <c r="AT387" s="27"/>
      <c r="AU387" s="27"/>
      <c r="AV387" s="27"/>
      <c r="AW387" s="27"/>
      <c r="AX387" s="27"/>
      <c r="AY387" s="27"/>
      <c r="AZ387" s="27"/>
      <c r="BA387" s="27"/>
      <c r="BB387" s="27"/>
      <c r="BC387" s="27"/>
      <c r="BD387" s="27"/>
      <c r="BE387" s="27"/>
      <c r="BF387" s="27"/>
      <c r="BG387" s="27"/>
      <c r="BH387" s="27"/>
      <c r="BI387" s="27"/>
      <c r="BJ387" s="27"/>
      <c r="BK387" s="27"/>
      <c r="BL387" s="27"/>
      <c r="BM387" s="27"/>
      <c r="BN387" s="27"/>
      <c r="BO387" s="27"/>
      <c r="BP387" s="27"/>
      <c r="BQ387" s="27"/>
      <c r="BR387" s="27"/>
      <c r="BS387" s="27"/>
      <c r="BT387" s="27"/>
      <c r="BU387" s="27"/>
      <c r="BV387" s="27"/>
      <c r="BW387" s="27"/>
      <c r="BX387" s="27"/>
      <c r="BY387" s="27"/>
      <c r="BZ387" s="27"/>
      <c r="CA387" s="27"/>
      <c r="CB387" s="27"/>
      <c r="CC387" s="27"/>
      <c r="CD387" s="27"/>
      <c r="CE387" s="27"/>
      <c r="CF387" s="27"/>
      <c r="CG387" s="27"/>
      <c r="CH387" s="27"/>
      <c r="CI387" s="27"/>
      <c r="CJ387" s="27"/>
      <c r="CK387" s="27"/>
      <c r="CL387" s="27"/>
      <c r="CM387" s="27"/>
      <c r="CN387" s="27"/>
      <c r="CO387" s="27"/>
      <c r="CP387" s="27"/>
      <c r="CQ387" s="27"/>
      <c r="CR387" s="27"/>
      <c r="CS387" s="27"/>
      <c r="CT387" s="27"/>
      <c r="CU387" s="27"/>
      <c r="CV387" s="27"/>
      <c r="CW387" s="27"/>
      <c r="CX387" s="27"/>
      <c r="CY387" s="27"/>
      <c r="CZ387" s="27"/>
      <c r="DA387" s="27"/>
      <c r="DB387" s="27"/>
      <c r="DC387" s="27"/>
      <c r="DD387" s="27"/>
      <c r="DE387" s="27"/>
      <c r="DF387" s="27"/>
      <c r="DG387" s="27"/>
      <c r="DH387" s="27"/>
      <c r="DI387" s="27"/>
      <c r="DJ387" s="27"/>
      <c r="DK387" s="27"/>
      <c r="DL387" s="27"/>
      <c r="DM387" s="27"/>
      <c r="DN387" s="27"/>
      <c r="DO387" s="27"/>
      <c r="DP387" s="27"/>
      <c r="DQ387" s="27"/>
      <c r="DR387" s="27"/>
      <c r="DS387" s="27"/>
      <c r="DT387" s="27"/>
    </row>
    <row r="388" spans="2:124" x14ac:dyDescent="0.2">
      <c r="B388" s="27"/>
      <c r="C388" s="27"/>
      <c r="D388" s="27"/>
      <c r="E388" s="27"/>
      <c r="F388" s="27"/>
      <c r="G388" s="27"/>
      <c r="H388" s="27"/>
      <c r="I388" s="27"/>
      <c r="J388" s="27"/>
      <c r="K388" s="27"/>
      <c r="L388" s="27"/>
      <c r="M388" s="27"/>
      <c r="N388" s="27"/>
      <c r="O388" s="27"/>
      <c r="P388" s="27"/>
      <c r="Q388" s="27"/>
      <c r="R388" s="27"/>
      <c r="S388" s="27"/>
      <c r="T388" s="27"/>
      <c r="U388" s="27"/>
      <c r="V388" s="27"/>
      <c r="W388" s="27"/>
      <c r="X388" s="27"/>
      <c r="Y388" s="27"/>
      <c r="Z388" s="27"/>
      <c r="AA388" s="27"/>
      <c r="AB388" s="27"/>
      <c r="AC388" s="27"/>
      <c r="AD388" s="27"/>
      <c r="AE388" s="27"/>
      <c r="AF388" s="27"/>
      <c r="AG388" s="27"/>
      <c r="AH388" s="27"/>
      <c r="AI388" s="27"/>
      <c r="AJ388" s="27"/>
      <c r="AK388" s="27"/>
      <c r="AL388" s="27"/>
      <c r="AM388" s="27"/>
      <c r="AN388" s="27"/>
      <c r="AO388" s="27"/>
      <c r="AP388" s="27"/>
      <c r="AQ388" s="27"/>
      <c r="AR388" s="27"/>
      <c r="AS388" s="27"/>
      <c r="AT388" s="27"/>
      <c r="AU388" s="27"/>
      <c r="AV388" s="27"/>
      <c r="AW388" s="27"/>
      <c r="AX388" s="27"/>
      <c r="AY388" s="27"/>
      <c r="AZ388" s="27"/>
      <c r="BA388" s="27"/>
      <c r="BB388" s="27"/>
      <c r="BC388" s="27"/>
      <c r="BD388" s="27"/>
      <c r="BE388" s="27"/>
      <c r="BF388" s="27"/>
      <c r="BG388" s="27"/>
      <c r="BH388" s="27"/>
      <c r="BI388" s="27"/>
      <c r="BJ388" s="27"/>
      <c r="BK388" s="27"/>
      <c r="BL388" s="27"/>
      <c r="BM388" s="27"/>
      <c r="BN388" s="27"/>
      <c r="BO388" s="27"/>
      <c r="BP388" s="27"/>
      <c r="BQ388" s="27"/>
      <c r="BR388" s="27"/>
      <c r="BS388" s="27"/>
      <c r="BT388" s="27"/>
      <c r="BU388" s="27"/>
      <c r="BV388" s="27"/>
      <c r="BW388" s="27"/>
      <c r="BX388" s="27"/>
      <c r="BY388" s="27"/>
      <c r="BZ388" s="27"/>
      <c r="CA388" s="27"/>
      <c r="CB388" s="27"/>
      <c r="CC388" s="27"/>
      <c r="CD388" s="27"/>
      <c r="CE388" s="27"/>
      <c r="CF388" s="27"/>
      <c r="CG388" s="27"/>
      <c r="CH388" s="27"/>
      <c r="CI388" s="27"/>
      <c r="CJ388" s="27"/>
      <c r="CK388" s="27"/>
      <c r="CL388" s="27"/>
      <c r="CM388" s="27"/>
      <c r="CN388" s="27"/>
      <c r="CO388" s="27"/>
      <c r="CP388" s="27"/>
      <c r="CQ388" s="27"/>
      <c r="CR388" s="27"/>
      <c r="CS388" s="27"/>
      <c r="CT388" s="27"/>
      <c r="CU388" s="27"/>
      <c r="CV388" s="27"/>
      <c r="CW388" s="27"/>
      <c r="CX388" s="27"/>
      <c r="CY388" s="27"/>
      <c r="CZ388" s="27"/>
      <c r="DA388" s="27"/>
      <c r="DB388" s="27"/>
      <c r="DC388" s="27"/>
      <c r="DD388" s="27"/>
      <c r="DE388" s="27"/>
      <c r="DF388" s="27"/>
      <c r="DG388" s="27"/>
      <c r="DH388" s="27"/>
      <c r="DI388" s="27"/>
      <c r="DJ388" s="27"/>
      <c r="DK388" s="27"/>
      <c r="DL388" s="27"/>
      <c r="DM388" s="27"/>
      <c r="DN388" s="27"/>
      <c r="DO388" s="27"/>
      <c r="DP388" s="27"/>
      <c r="DQ388" s="27"/>
      <c r="DR388" s="27"/>
      <c r="DS388" s="27"/>
      <c r="DT388" s="27"/>
    </row>
    <row r="389" spans="2:124" x14ac:dyDescent="0.2">
      <c r="B389" s="27"/>
      <c r="C389" s="27"/>
      <c r="D389" s="27"/>
      <c r="E389" s="27"/>
      <c r="F389" s="27"/>
      <c r="G389" s="27"/>
      <c r="H389" s="27"/>
      <c r="I389" s="27"/>
      <c r="J389" s="27"/>
      <c r="K389" s="27"/>
      <c r="L389" s="27"/>
      <c r="M389" s="27"/>
      <c r="N389" s="27"/>
      <c r="O389" s="27"/>
      <c r="P389" s="27"/>
      <c r="Q389" s="27"/>
      <c r="R389" s="27"/>
      <c r="S389" s="27"/>
      <c r="T389" s="27"/>
      <c r="U389" s="27"/>
      <c r="V389" s="27"/>
      <c r="W389" s="27"/>
      <c r="X389" s="27"/>
      <c r="Y389" s="27"/>
      <c r="Z389" s="27"/>
      <c r="AA389" s="27"/>
      <c r="AB389" s="27"/>
      <c r="AC389" s="27"/>
      <c r="AD389" s="27"/>
      <c r="AE389" s="27"/>
      <c r="AF389" s="27"/>
      <c r="AG389" s="27"/>
      <c r="AH389" s="27"/>
      <c r="AI389" s="27"/>
      <c r="AJ389" s="27"/>
      <c r="AK389" s="27"/>
      <c r="AL389" s="27"/>
      <c r="AM389" s="27"/>
      <c r="AN389" s="27"/>
      <c r="AO389" s="27"/>
      <c r="AP389" s="27"/>
      <c r="AQ389" s="27"/>
      <c r="AR389" s="27"/>
      <c r="AS389" s="27"/>
      <c r="AT389" s="27"/>
      <c r="AU389" s="27"/>
      <c r="AV389" s="27"/>
      <c r="AW389" s="27"/>
      <c r="AX389" s="27"/>
      <c r="AY389" s="27"/>
      <c r="AZ389" s="27"/>
      <c r="BA389" s="27"/>
      <c r="BB389" s="27"/>
      <c r="BC389" s="27"/>
      <c r="BD389" s="27"/>
      <c r="BE389" s="27"/>
      <c r="BF389" s="27"/>
      <c r="BG389" s="27"/>
      <c r="BH389" s="27"/>
      <c r="BI389" s="27"/>
      <c r="BJ389" s="27"/>
      <c r="BK389" s="27"/>
      <c r="BL389" s="27"/>
      <c r="BM389" s="27"/>
      <c r="BN389" s="27"/>
      <c r="BO389" s="27"/>
      <c r="BP389" s="27"/>
      <c r="BQ389" s="27"/>
      <c r="BR389" s="27"/>
      <c r="BS389" s="27"/>
      <c r="BT389" s="27"/>
      <c r="BU389" s="27"/>
      <c r="BV389" s="27"/>
      <c r="BW389" s="27"/>
      <c r="BX389" s="27"/>
      <c r="BY389" s="27"/>
      <c r="BZ389" s="27"/>
      <c r="CA389" s="27"/>
      <c r="CB389" s="27"/>
      <c r="CC389" s="27"/>
      <c r="CD389" s="27"/>
      <c r="CE389" s="27"/>
      <c r="CF389" s="27"/>
      <c r="CG389" s="27"/>
      <c r="CH389" s="27"/>
      <c r="CI389" s="27"/>
      <c r="CJ389" s="27"/>
      <c r="CK389" s="27"/>
      <c r="CL389" s="27"/>
      <c r="CM389" s="27"/>
      <c r="CN389" s="27"/>
      <c r="CO389" s="27"/>
      <c r="CP389" s="27"/>
      <c r="CQ389" s="27"/>
      <c r="CR389" s="27"/>
      <c r="CS389" s="27"/>
      <c r="CT389" s="27"/>
      <c r="CU389" s="27"/>
      <c r="CV389" s="27"/>
      <c r="CW389" s="27"/>
      <c r="CX389" s="27"/>
      <c r="CY389" s="27"/>
      <c r="CZ389" s="27"/>
      <c r="DA389" s="27"/>
      <c r="DB389" s="27"/>
      <c r="DC389" s="27"/>
      <c r="DD389" s="27"/>
      <c r="DE389" s="27"/>
      <c r="DF389" s="27"/>
      <c r="DG389" s="27"/>
      <c r="DH389" s="27"/>
      <c r="DI389" s="27"/>
      <c r="DJ389" s="27"/>
      <c r="DK389" s="27"/>
      <c r="DL389" s="27"/>
      <c r="DM389" s="27"/>
      <c r="DN389" s="27"/>
      <c r="DO389" s="27"/>
      <c r="DP389" s="27"/>
      <c r="DQ389" s="27"/>
      <c r="DR389" s="27"/>
      <c r="DS389" s="27"/>
      <c r="DT389" s="27"/>
    </row>
    <row r="390" spans="2:124" x14ac:dyDescent="0.2">
      <c r="B390" s="27"/>
      <c r="C390" s="27"/>
      <c r="D390" s="27"/>
      <c r="E390" s="27"/>
      <c r="F390" s="27"/>
      <c r="G390" s="27"/>
      <c r="H390" s="27"/>
      <c r="I390" s="27"/>
      <c r="J390" s="27"/>
      <c r="K390" s="27"/>
      <c r="L390" s="27"/>
      <c r="M390" s="27"/>
      <c r="N390" s="27"/>
      <c r="O390" s="27"/>
      <c r="P390" s="27"/>
      <c r="Q390" s="27"/>
      <c r="R390" s="27"/>
      <c r="S390" s="27"/>
      <c r="T390" s="27"/>
      <c r="U390" s="27"/>
      <c r="V390" s="27"/>
      <c r="W390" s="27"/>
      <c r="X390" s="27"/>
      <c r="Y390" s="27"/>
      <c r="Z390" s="27"/>
      <c r="AA390" s="27"/>
      <c r="AB390" s="27"/>
      <c r="AC390" s="27"/>
      <c r="AD390" s="27"/>
      <c r="AE390" s="27"/>
      <c r="AF390" s="27"/>
      <c r="AG390" s="27"/>
      <c r="AH390" s="27"/>
      <c r="AI390" s="27"/>
      <c r="AJ390" s="27"/>
      <c r="AK390" s="27"/>
      <c r="AL390" s="27"/>
      <c r="AM390" s="27"/>
      <c r="AN390" s="27"/>
      <c r="AO390" s="27"/>
      <c r="AP390" s="27"/>
      <c r="AQ390" s="27"/>
      <c r="AR390" s="27"/>
      <c r="AS390" s="27"/>
      <c r="AT390" s="27"/>
      <c r="AU390" s="27"/>
      <c r="AV390" s="27"/>
      <c r="AW390" s="27"/>
      <c r="AX390" s="27"/>
      <c r="AY390" s="27"/>
      <c r="AZ390" s="27"/>
      <c r="BA390" s="27"/>
      <c r="BB390" s="27"/>
      <c r="BC390" s="27"/>
      <c r="BD390" s="27"/>
      <c r="BE390" s="27"/>
      <c r="BF390" s="27"/>
      <c r="BG390" s="27"/>
      <c r="BH390" s="27"/>
      <c r="BI390" s="27"/>
      <c r="BJ390" s="27"/>
      <c r="BK390" s="27"/>
      <c r="BL390" s="27"/>
      <c r="BM390" s="27"/>
      <c r="BN390" s="27"/>
      <c r="BO390" s="27"/>
      <c r="BP390" s="27"/>
      <c r="BQ390" s="27"/>
      <c r="BR390" s="27"/>
      <c r="BS390" s="27"/>
      <c r="BT390" s="27"/>
      <c r="BU390" s="27"/>
      <c r="BV390" s="27"/>
      <c r="BW390" s="27"/>
      <c r="BX390" s="27"/>
      <c r="BY390" s="27"/>
      <c r="BZ390" s="27"/>
      <c r="CA390" s="27"/>
      <c r="CB390" s="27"/>
      <c r="CC390" s="27"/>
      <c r="CD390" s="27"/>
      <c r="CE390" s="27"/>
      <c r="CF390" s="27"/>
      <c r="CG390" s="27"/>
      <c r="CH390" s="27"/>
      <c r="CI390" s="27"/>
      <c r="CJ390" s="27"/>
      <c r="CK390" s="27"/>
      <c r="CL390" s="27"/>
      <c r="CM390" s="27"/>
      <c r="CN390" s="27"/>
      <c r="CO390" s="27"/>
      <c r="CP390" s="27"/>
      <c r="CQ390" s="27"/>
      <c r="CR390" s="27"/>
      <c r="CS390" s="27"/>
      <c r="CT390" s="27"/>
      <c r="CU390" s="27"/>
      <c r="CV390" s="27"/>
      <c r="CW390" s="27"/>
      <c r="CX390" s="27"/>
      <c r="CY390" s="27"/>
      <c r="CZ390" s="27"/>
      <c r="DA390" s="27"/>
      <c r="DB390" s="27"/>
      <c r="DC390" s="27"/>
      <c r="DD390" s="27"/>
      <c r="DE390" s="27"/>
      <c r="DF390" s="27"/>
      <c r="DG390" s="27"/>
      <c r="DH390" s="27"/>
      <c r="DI390" s="27"/>
      <c r="DJ390" s="27"/>
      <c r="DK390" s="27"/>
      <c r="DL390" s="27"/>
      <c r="DM390" s="27"/>
      <c r="DN390" s="27"/>
      <c r="DO390" s="27"/>
      <c r="DP390" s="27"/>
      <c r="DQ390" s="27"/>
      <c r="DR390" s="27"/>
      <c r="DS390" s="27"/>
      <c r="DT390" s="27"/>
    </row>
    <row r="391" spans="2:124" x14ac:dyDescent="0.2">
      <c r="B391" s="27"/>
      <c r="C391" s="27"/>
      <c r="D391" s="27"/>
      <c r="E391" s="27"/>
      <c r="F391" s="27"/>
      <c r="G391" s="27"/>
      <c r="H391" s="27"/>
      <c r="I391" s="27"/>
      <c r="J391" s="27"/>
      <c r="K391" s="27"/>
      <c r="L391" s="27"/>
      <c r="M391" s="27"/>
      <c r="N391" s="27"/>
      <c r="O391" s="27"/>
      <c r="P391" s="27"/>
      <c r="Q391" s="27"/>
      <c r="R391" s="27"/>
      <c r="S391" s="27"/>
      <c r="T391" s="27"/>
      <c r="U391" s="27"/>
      <c r="V391" s="27"/>
      <c r="W391" s="27"/>
      <c r="X391" s="27"/>
      <c r="Y391" s="27"/>
      <c r="Z391" s="27"/>
      <c r="AA391" s="27"/>
      <c r="AB391" s="27"/>
      <c r="AC391" s="27"/>
      <c r="AD391" s="27"/>
      <c r="AE391" s="27"/>
      <c r="AF391" s="27"/>
      <c r="AG391" s="27"/>
      <c r="AH391" s="27"/>
      <c r="AI391" s="27"/>
      <c r="AJ391" s="27"/>
      <c r="AK391" s="27"/>
      <c r="AL391" s="27"/>
      <c r="AM391" s="27"/>
      <c r="AN391" s="27"/>
      <c r="AO391" s="27"/>
      <c r="AP391" s="27"/>
      <c r="AQ391" s="27"/>
      <c r="AR391" s="27"/>
      <c r="AS391" s="27"/>
      <c r="AT391" s="27"/>
      <c r="AU391" s="27"/>
      <c r="AV391" s="27"/>
      <c r="AW391" s="27"/>
      <c r="AX391" s="27"/>
      <c r="AY391" s="27"/>
      <c r="AZ391" s="27"/>
      <c r="BA391" s="27"/>
      <c r="BB391" s="27"/>
      <c r="BC391" s="27"/>
      <c r="BD391" s="27"/>
      <c r="BE391" s="27"/>
      <c r="BF391" s="27"/>
      <c r="BG391" s="27"/>
      <c r="BH391" s="27"/>
      <c r="BI391" s="27"/>
      <c r="BJ391" s="27"/>
      <c r="BK391" s="27"/>
      <c r="BL391" s="27"/>
      <c r="BM391" s="27"/>
      <c r="BN391" s="27"/>
      <c r="BO391" s="27"/>
      <c r="BP391" s="27"/>
      <c r="BQ391" s="27"/>
      <c r="BR391" s="27"/>
      <c r="BS391" s="27"/>
      <c r="BT391" s="27"/>
      <c r="BU391" s="27"/>
      <c r="BV391" s="27"/>
      <c r="BW391" s="27"/>
      <c r="BX391" s="27"/>
      <c r="BY391" s="27"/>
      <c r="BZ391" s="27"/>
      <c r="CA391" s="27"/>
      <c r="CB391" s="27"/>
      <c r="CC391" s="27"/>
      <c r="CD391" s="27"/>
      <c r="CE391" s="27"/>
      <c r="CF391" s="27"/>
      <c r="CG391" s="27"/>
      <c r="CH391" s="27"/>
      <c r="CI391" s="27"/>
      <c r="CJ391" s="27"/>
      <c r="CK391" s="27"/>
      <c r="CL391" s="27"/>
      <c r="CM391" s="27"/>
      <c r="CN391" s="27"/>
      <c r="CO391" s="27"/>
      <c r="CP391" s="27"/>
      <c r="CQ391" s="27"/>
      <c r="CR391" s="27"/>
      <c r="CS391" s="27"/>
      <c r="CT391" s="27"/>
      <c r="CU391" s="27"/>
      <c r="CV391" s="27"/>
      <c r="CW391" s="27"/>
      <c r="CX391" s="27"/>
      <c r="CY391" s="27"/>
      <c r="CZ391" s="27"/>
      <c r="DA391" s="27"/>
      <c r="DB391" s="27"/>
      <c r="DC391" s="27"/>
      <c r="DD391" s="27"/>
      <c r="DE391" s="27"/>
      <c r="DF391" s="27"/>
      <c r="DG391" s="27"/>
      <c r="DH391" s="27"/>
      <c r="DI391" s="27"/>
      <c r="DJ391" s="27"/>
      <c r="DK391" s="27"/>
      <c r="DL391" s="27"/>
      <c r="DM391" s="27"/>
      <c r="DN391" s="27"/>
      <c r="DO391" s="27"/>
      <c r="DP391" s="27"/>
      <c r="DQ391" s="27"/>
      <c r="DR391" s="27"/>
      <c r="DS391" s="27"/>
      <c r="DT391" s="27"/>
    </row>
    <row r="392" spans="2:124" x14ac:dyDescent="0.2">
      <c r="B392" s="27"/>
      <c r="C392" s="27"/>
      <c r="D392" s="27"/>
      <c r="E392" s="27"/>
      <c r="F392" s="27"/>
      <c r="G392" s="27"/>
      <c r="H392" s="27"/>
      <c r="I392" s="27"/>
      <c r="J392" s="27"/>
      <c r="K392" s="27"/>
      <c r="L392" s="27"/>
      <c r="M392" s="27"/>
      <c r="N392" s="27"/>
      <c r="O392" s="27"/>
      <c r="P392" s="27"/>
      <c r="Q392" s="27"/>
      <c r="R392" s="27"/>
      <c r="S392" s="27"/>
      <c r="T392" s="27"/>
      <c r="U392" s="27"/>
      <c r="V392" s="27"/>
      <c r="W392" s="27"/>
      <c r="X392" s="27"/>
      <c r="Y392" s="27"/>
      <c r="Z392" s="27"/>
      <c r="AA392" s="27"/>
      <c r="AB392" s="27"/>
      <c r="AC392" s="27"/>
      <c r="AD392" s="27"/>
      <c r="AE392" s="27"/>
      <c r="AF392" s="27"/>
      <c r="AG392" s="27"/>
      <c r="AH392" s="27"/>
      <c r="AI392" s="27"/>
      <c r="AJ392" s="27"/>
      <c r="AK392" s="27"/>
      <c r="AL392" s="27"/>
      <c r="AM392" s="27"/>
      <c r="AN392" s="27"/>
      <c r="AO392" s="27"/>
      <c r="AP392" s="27"/>
      <c r="AQ392" s="27"/>
      <c r="AR392" s="27"/>
      <c r="AS392" s="27"/>
      <c r="AT392" s="27"/>
      <c r="AU392" s="27"/>
      <c r="AV392" s="27"/>
      <c r="AW392" s="27"/>
      <c r="AX392" s="27"/>
      <c r="AY392" s="27"/>
      <c r="AZ392" s="27"/>
      <c r="BA392" s="27"/>
      <c r="BB392" s="27"/>
      <c r="BC392" s="27"/>
      <c r="BD392" s="27"/>
      <c r="BE392" s="27"/>
      <c r="BF392" s="27"/>
      <c r="BG392" s="27"/>
      <c r="BH392" s="27"/>
      <c r="BI392" s="27"/>
      <c r="BJ392" s="27"/>
      <c r="BK392" s="27"/>
      <c r="BL392" s="27"/>
      <c r="BM392" s="27"/>
      <c r="BN392" s="27"/>
      <c r="BO392" s="27"/>
      <c r="BP392" s="27"/>
      <c r="BQ392" s="27"/>
      <c r="BR392" s="27"/>
      <c r="BS392" s="27"/>
      <c r="BT392" s="27"/>
      <c r="BU392" s="27"/>
      <c r="BV392" s="27"/>
      <c r="BW392" s="27"/>
      <c r="BX392" s="27"/>
      <c r="BY392" s="27"/>
      <c r="BZ392" s="27"/>
      <c r="CA392" s="27"/>
      <c r="CB392" s="27"/>
      <c r="CC392" s="27"/>
      <c r="CD392" s="27"/>
      <c r="CE392" s="27"/>
      <c r="CF392" s="27"/>
      <c r="CG392" s="27"/>
      <c r="CH392" s="27"/>
      <c r="CI392" s="27"/>
      <c r="CJ392" s="27"/>
      <c r="CK392" s="27"/>
      <c r="CL392" s="27"/>
      <c r="CM392" s="27"/>
      <c r="CN392" s="27"/>
      <c r="CO392" s="27"/>
      <c r="CP392" s="27"/>
      <c r="CQ392" s="27"/>
      <c r="CR392" s="27"/>
      <c r="CS392" s="27"/>
      <c r="CT392" s="27"/>
      <c r="CU392" s="27"/>
      <c r="CV392" s="27"/>
      <c r="CW392" s="27"/>
      <c r="CX392" s="27"/>
      <c r="CY392" s="27"/>
      <c r="CZ392" s="27"/>
      <c r="DA392" s="27"/>
      <c r="DB392" s="27"/>
      <c r="DC392" s="27"/>
      <c r="DD392" s="27"/>
      <c r="DE392" s="27"/>
      <c r="DF392" s="27"/>
      <c r="DG392" s="27"/>
      <c r="DH392" s="27"/>
      <c r="DI392" s="27"/>
      <c r="DJ392" s="27"/>
      <c r="DK392" s="27"/>
      <c r="DL392" s="27"/>
      <c r="DM392" s="27"/>
      <c r="DN392" s="27"/>
      <c r="DO392" s="27"/>
      <c r="DP392" s="27"/>
      <c r="DQ392" s="27"/>
      <c r="DR392" s="27"/>
      <c r="DS392" s="27"/>
      <c r="DT392" s="27"/>
    </row>
    <row r="393" spans="2:124" x14ac:dyDescent="0.2">
      <c r="B393" s="27"/>
      <c r="C393" s="27"/>
      <c r="D393" s="27"/>
      <c r="E393" s="27"/>
      <c r="F393" s="27"/>
      <c r="G393" s="27"/>
      <c r="H393" s="27"/>
      <c r="I393" s="27"/>
      <c r="J393" s="27"/>
      <c r="K393" s="27"/>
      <c r="L393" s="27"/>
      <c r="M393" s="27"/>
      <c r="N393" s="27"/>
      <c r="O393" s="27"/>
      <c r="P393" s="27"/>
      <c r="Q393" s="27"/>
      <c r="R393" s="27"/>
      <c r="S393" s="27"/>
      <c r="T393" s="27"/>
      <c r="U393" s="27"/>
      <c r="V393" s="27"/>
      <c r="W393" s="27"/>
      <c r="X393" s="27"/>
      <c r="Y393" s="27"/>
      <c r="Z393" s="27"/>
      <c r="AA393" s="27"/>
      <c r="AB393" s="27"/>
      <c r="AC393" s="27"/>
      <c r="AD393" s="27"/>
      <c r="AE393" s="27"/>
      <c r="AF393" s="27"/>
      <c r="AG393" s="27"/>
      <c r="AH393" s="27"/>
      <c r="AI393" s="27"/>
      <c r="AJ393" s="27"/>
      <c r="AK393" s="27"/>
      <c r="AL393" s="27"/>
      <c r="AM393" s="27"/>
      <c r="AN393" s="27"/>
      <c r="AO393" s="27"/>
      <c r="AP393" s="27"/>
      <c r="AQ393" s="27"/>
      <c r="AR393" s="27"/>
      <c r="AS393" s="27"/>
      <c r="AT393" s="27"/>
      <c r="AU393" s="27"/>
      <c r="AV393" s="27"/>
      <c r="AW393" s="27"/>
      <c r="AX393" s="27"/>
      <c r="AY393" s="27"/>
      <c r="AZ393" s="27"/>
      <c r="BA393" s="27"/>
      <c r="BB393" s="27"/>
      <c r="BC393" s="27"/>
      <c r="BD393" s="27"/>
      <c r="BE393" s="27"/>
      <c r="BF393" s="27"/>
      <c r="BG393" s="27"/>
      <c r="BH393" s="27"/>
      <c r="BI393" s="27"/>
      <c r="BJ393" s="27"/>
      <c r="BK393" s="27"/>
      <c r="BL393" s="27"/>
      <c r="BM393" s="27"/>
      <c r="BN393" s="27"/>
      <c r="BO393" s="27"/>
      <c r="BP393" s="27"/>
      <c r="BQ393" s="27"/>
      <c r="BR393" s="27"/>
      <c r="BS393" s="27"/>
      <c r="BT393" s="27"/>
      <c r="BU393" s="27"/>
      <c r="BV393" s="27"/>
      <c r="BW393" s="27"/>
      <c r="BX393" s="27"/>
      <c r="BY393" s="27"/>
      <c r="BZ393" s="27"/>
      <c r="CA393" s="27"/>
      <c r="CB393" s="27"/>
      <c r="CC393" s="27"/>
      <c r="CD393" s="27"/>
      <c r="CE393" s="27"/>
      <c r="CF393" s="27"/>
      <c r="CG393" s="27"/>
      <c r="CH393" s="27"/>
      <c r="CI393" s="27"/>
      <c r="CJ393" s="27"/>
      <c r="CK393" s="27"/>
      <c r="CL393" s="27"/>
      <c r="CM393" s="27"/>
      <c r="CN393" s="27"/>
      <c r="CO393" s="27"/>
      <c r="CP393" s="27"/>
      <c r="CQ393" s="27"/>
      <c r="CR393" s="27"/>
      <c r="CS393" s="27"/>
      <c r="CT393" s="27"/>
      <c r="CU393" s="27"/>
      <c r="CV393" s="27"/>
      <c r="CW393" s="27"/>
      <c r="CX393" s="27"/>
      <c r="CY393" s="27"/>
      <c r="CZ393" s="27"/>
      <c r="DA393" s="27"/>
      <c r="DB393" s="27"/>
      <c r="DC393" s="27"/>
      <c r="DD393" s="27"/>
      <c r="DE393" s="27"/>
      <c r="DF393" s="27"/>
      <c r="DG393" s="27"/>
      <c r="DH393" s="27"/>
      <c r="DI393" s="27"/>
      <c r="DJ393" s="27"/>
      <c r="DK393" s="27"/>
      <c r="DL393" s="27"/>
      <c r="DM393" s="27"/>
      <c r="DN393" s="27"/>
      <c r="DO393" s="27"/>
      <c r="DP393" s="27"/>
      <c r="DQ393" s="27"/>
      <c r="DR393" s="27"/>
      <c r="DS393" s="27"/>
      <c r="DT393" s="27"/>
    </row>
    <row r="394" spans="2:124" x14ac:dyDescent="0.2">
      <c r="B394" s="27"/>
      <c r="C394" s="27"/>
      <c r="D394" s="27"/>
      <c r="E394" s="27"/>
      <c r="F394" s="27"/>
      <c r="G394" s="27"/>
      <c r="H394" s="27"/>
      <c r="I394" s="27"/>
      <c r="J394" s="27"/>
      <c r="K394" s="27"/>
      <c r="L394" s="27"/>
      <c r="M394" s="27"/>
      <c r="N394" s="27"/>
      <c r="O394" s="27"/>
      <c r="P394" s="27"/>
      <c r="Q394" s="27"/>
      <c r="R394" s="27"/>
      <c r="S394" s="27"/>
      <c r="T394" s="27"/>
      <c r="U394" s="27"/>
      <c r="V394" s="27"/>
      <c r="W394" s="27"/>
      <c r="X394" s="27"/>
      <c r="Y394" s="27"/>
      <c r="Z394" s="27"/>
      <c r="AA394" s="27"/>
      <c r="AB394" s="27"/>
      <c r="AC394" s="27"/>
      <c r="AD394" s="27"/>
      <c r="AE394" s="27"/>
      <c r="AF394" s="27"/>
      <c r="AG394" s="27"/>
      <c r="AH394" s="27"/>
      <c r="AI394" s="27"/>
      <c r="AJ394" s="27"/>
      <c r="AK394" s="27"/>
      <c r="AL394" s="27"/>
      <c r="AM394" s="27"/>
      <c r="AN394" s="27"/>
      <c r="AO394" s="27"/>
      <c r="AP394" s="27"/>
      <c r="AQ394" s="27"/>
      <c r="AR394" s="27"/>
      <c r="AS394" s="27"/>
      <c r="AT394" s="27"/>
      <c r="AU394" s="27"/>
      <c r="AV394" s="27"/>
      <c r="AW394" s="27"/>
      <c r="AX394" s="27"/>
      <c r="AY394" s="27"/>
      <c r="AZ394" s="27"/>
      <c r="BA394" s="27"/>
      <c r="BB394" s="27"/>
      <c r="BC394" s="27"/>
      <c r="BD394" s="27"/>
      <c r="BE394" s="27"/>
      <c r="BF394" s="27"/>
      <c r="BG394" s="27"/>
      <c r="BH394" s="27"/>
      <c r="BI394" s="27"/>
      <c r="BJ394" s="27"/>
      <c r="BK394" s="27"/>
      <c r="BL394" s="27"/>
      <c r="BM394" s="27"/>
      <c r="BN394" s="27"/>
      <c r="BO394" s="27"/>
      <c r="BP394" s="27"/>
      <c r="BQ394" s="27"/>
      <c r="BR394" s="27"/>
      <c r="BS394" s="27"/>
      <c r="BT394" s="27"/>
      <c r="BU394" s="27"/>
      <c r="BV394" s="27"/>
      <c r="BW394" s="27"/>
      <c r="BX394" s="27"/>
      <c r="BY394" s="27"/>
      <c r="BZ394" s="27"/>
      <c r="CA394" s="27"/>
      <c r="CB394" s="27"/>
      <c r="CC394" s="27"/>
      <c r="CD394" s="27"/>
      <c r="CE394" s="27"/>
      <c r="CF394" s="27"/>
      <c r="CG394" s="27"/>
      <c r="CH394" s="27"/>
      <c r="CI394" s="27"/>
      <c r="CJ394" s="27"/>
      <c r="CK394" s="27"/>
      <c r="CL394" s="27"/>
      <c r="CM394" s="27"/>
      <c r="CN394" s="27"/>
      <c r="CO394" s="27"/>
      <c r="CP394" s="27"/>
      <c r="CQ394" s="27"/>
      <c r="CR394" s="27"/>
      <c r="CS394" s="27"/>
      <c r="CT394" s="27"/>
      <c r="CU394" s="27"/>
      <c r="CV394" s="27"/>
      <c r="CW394" s="27"/>
      <c r="CX394" s="27"/>
      <c r="CY394" s="27"/>
      <c r="CZ394" s="27"/>
      <c r="DA394" s="27"/>
      <c r="DB394" s="27"/>
      <c r="DC394" s="27"/>
      <c r="DD394" s="27"/>
      <c r="DE394" s="27"/>
      <c r="DF394" s="27"/>
      <c r="DG394" s="27"/>
      <c r="DH394" s="27"/>
      <c r="DI394" s="27"/>
      <c r="DJ394" s="27"/>
      <c r="DK394" s="27"/>
      <c r="DL394" s="27"/>
      <c r="DM394" s="27"/>
      <c r="DN394" s="27"/>
      <c r="DO394" s="27"/>
      <c r="DP394" s="27"/>
      <c r="DQ394" s="27"/>
      <c r="DR394" s="27"/>
      <c r="DS394" s="27"/>
      <c r="DT394" s="27"/>
    </row>
    <row r="395" spans="2:124" x14ac:dyDescent="0.2">
      <c r="B395" s="27"/>
      <c r="C395" s="27"/>
      <c r="D395" s="27"/>
      <c r="E395" s="27"/>
      <c r="F395" s="27"/>
      <c r="G395" s="27"/>
      <c r="H395" s="27"/>
      <c r="I395" s="27"/>
      <c r="J395" s="27"/>
      <c r="K395" s="27"/>
      <c r="L395" s="27"/>
      <c r="M395" s="27"/>
      <c r="N395" s="27"/>
      <c r="O395" s="27"/>
      <c r="P395" s="27"/>
      <c r="Q395" s="27"/>
      <c r="R395" s="27"/>
      <c r="S395" s="27"/>
      <c r="T395" s="27"/>
      <c r="U395" s="27"/>
      <c r="V395" s="27"/>
      <c r="W395" s="27"/>
      <c r="X395" s="27"/>
      <c r="Y395" s="27"/>
      <c r="Z395" s="27"/>
      <c r="AA395" s="27"/>
      <c r="AB395" s="27"/>
      <c r="AC395" s="27"/>
      <c r="AD395" s="27"/>
      <c r="AE395" s="27"/>
      <c r="AF395" s="27"/>
      <c r="AG395" s="27"/>
      <c r="AH395" s="27"/>
      <c r="AI395" s="27"/>
      <c r="AJ395" s="27"/>
      <c r="AK395" s="27"/>
      <c r="AL395" s="27"/>
      <c r="AM395" s="27"/>
      <c r="AN395" s="27"/>
      <c r="AO395" s="27"/>
      <c r="AP395" s="27"/>
      <c r="AQ395" s="27"/>
      <c r="AR395" s="27"/>
      <c r="AS395" s="27"/>
      <c r="AT395" s="27"/>
      <c r="AU395" s="27"/>
      <c r="AV395" s="27"/>
      <c r="AW395" s="27"/>
      <c r="AX395" s="27"/>
      <c r="AY395" s="27"/>
      <c r="AZ395" s="27"/>
      <c r="BA395" s="27"/>
      <c r="BB395" s="27"/>
      <c r="BC395" s="27"/>
      <c r="BD395" s="27"/>
      <c r="BE395" s="27"/>
      <c r="BF395" s="27"/>
      <c r="BG395" s="27"/>
      <c r="BH395" s="27"/>
      <c r="BI395" s="27"/>
      <c r="BJ395" s="27"/>
      <c r="BK395" s="27"/>
      <c r="BL395" s="27"/>
      <c r="BM395" s="27"/>
      <c r="BN395" s="27"/>
      <c r="BO395" s="27"/>
      <c r="BP395" s="27"/>
      <c r="BQ395" s="27"/>
      <c r="BR395" s="27"/>
      <c r="BS395" s="27"/>
      <c r="BT395" s="27"/>
      <c r="BU395" s="27"/>
      <c r="BV395" s="27"/>
      <c r="BW395" s="27"/>
      <c r="BX395" s="27"/>
      <c r="BY395" s="27"/>
      <c r="BZ395" s="27"/>
      <c r="CA395" s="27"/>
      <c r="CB395" s="27"/>
      <c r="CC395" s="27"/>
      <c r="CD395" s="27"/>
      <c r="CE395" s="27"/>
      <c r="CF395" s="27"/>
      <c r="CG395" s="27"/>
      <c r="CH395" s="27"/>
      <c r="CI395" s="27"/>
      <c r="CJ395" s="27"/>
      <c r="CK395" s="27"/>
      <c r="CL395" s="27"/>
      <c r="CM395" s="27"/>
      <c r="CN395" s="27"/>
      <c r="CO395" s="27"/>
      <c r="CP395" s="27"/>
      <c r="CQ395" s="27"/>
      <c r="CR395" s="27"/>
      <c r="CS395" s="27"/>
      <c r="CT395" s="27"/>
      <c r="CU395" s="27"/>
      <c r="CV395" s="27"/>
      <c r="CW395" s="27"/>
      <c r="CX395" s="27"/>
      <c r="CY395" s="27"/>
      <c r="CZ395" s="27"/>
      <c r="DA395" s="27"/>
      <c r="DB395" s="27"/>
      <c r="DC395" s="27"/>
      <c r="DD395" s="27"/>
      <c r="DE395" s="27"/>
      <c r="DF395" s="27"/>
      <c r="DG395" s="27"/>
      <c r="DH395" s="27"/>
      <c r="DI395" s="27"/>
      <c r="DJ395" s="27"/>
      <c r="DK395" s="27"/>
      <c r="DL395" s="27"/>
      <c r="DM395" s="27"/>
      <c r="DN395" s="27"/>
      <c r="DO395" s="27"/>
      <c r="DP395" s="27"/>
      <c r="DQ395" s="27"/>
      <c r="DR395" s="27"/>
      <c r="DS395" s="27"/>
      <c r="DT395" s="27"/>
    </row>
    <row r="396" spans="2:124" x14ac:dyDescent="0.2">
      <c r="B396" s="27"/>
      <c r="C396" s="27"/>
      <c r="D396" s="27"/>
      <c r="E396" s="27"/>
      <c r="F396" s="27"/>
      <c r="G396" s="27"/>
      <c r="H396" s="27"/>
      <c r="I396" s="27"/>
      <c r="J396" s="27"/>
      <c r="K396" s="27"/>
      <c r="L396" s="27"/>
      <c r="M396" s="27"/>
      <c r="N396" s="27"/>
      <c r="O396" s="27"/>
      <c r="P396" s="27"/>
      <c r="Q396" s="27"/>
      <c r="R396" s="27"/>
      <c r="S396" s="27"/>
      <c r="T396" s="27"/>
      <c r="U396" s="27"/>
      <c r="V396" s="27"/>
      <c r="W396" s="27"/>
      <c r="X396" s="27"/>
      <c r="Y396" s="27"/>
      <c r="Z396" s="27"/>
      <c r="AA396" s="27"/>
      <c r="AB396" s="27"/>
      <c r="AC396" s="27"/>
      <c r="AD396" s="27"/>
      <c r="AE396" s="27"/>
      <c r="AF396" s="27"/>
      <c r="AG396" s="27"/>
      <c r="AH396" s="27"/>
      <c r="AI396" s="27"/>
      <c r="AJ396" s="27"/>
      <c r="AK396" s="27"/>
      <c r="AL396" s="27"/>
      <c r="AM396" s="27"/>
      <c r="AN396" s="27"/>
      <c r="AO396" s="27"/>
      <c r="AP396" s="27"/>
      <c r="AQ396" s="27"/>
      <c r="AR396" s="27"/>
      <c r="AS396" s="27"/>
      <c r="AT396" s="27"/>
      <c r="AU396" s="27"/>
      <c r="AV396" s="27"/>
      <c r="AW396" s="27"/>
      <c r="AX396" s="27"/>
      <c r="AY396" s="27"/>
      <c r="AZ396" s="27"/>
      <c r="BA396" s="27"/>
      <c r="BB396" s="27"/>
      <c r="BC396" s="27"/>
      <c r="BD396" s="27"/>
      <c r="BE396" s="27"/>
      <c r="BF396" s="27"/>
      <c r="BG396" s="27"/>
      <c r="BH396" s="27"/>
      <c r="BI396" s="27"/>
      <c r="BJ396" s="27"/>
      <c r="BK396" s="27"/>
      <c r="BL396" s="27"/>
      <c r="BM396" s="27"/>
      <c r="BN396" s="27"/>
      <c r="BO396" s="27"/>
      <c r="BP396" s="27"/>
      <c r="BQ396" s="27"/>
      <c r="BR396" s="27"/>
      <c r="BS396" s="27"/>
      <c r="BT396" s="27"/>
      <c r="BU396" s="27"/>
      <c r="BV396" s="27"/>
      <c r="BW396" s="27"/>
      <c r="BX396" s="27"/>
      <c r="BY396" s="27"/>
      <c r="BZ396" s="27"/>
      <c r="CA396" s="27"/>
      <c r="CB396" s="27"/>
      <c r="CC396" s="27"/>
      <c r="CD396" s="27"/>
      <c r="CE396" s="27"/>
      <c r="CF396" s="27"/>
      <c r="CG396" s="27"/>
      <c r="CH396" s="27"/>
      <c r="CI396" s="27"/>
      <c r="CJ396" s="27"/>
      <c r="CK396" s="27"/>
      <c r="CL396" s="27"/>
      <c r="CM396" s="27"/>
      <c r="CN396" s="27"/>
      <c r="CO396" s="27"/>
      <c r="CP396" s="27"/>
      <c r="CQ396" s="27"/>
      <c r="CR396" s="27"/>
      <c r="CS396" s="27"/>
      <c r="CT396" s="27"/>
      <c r="CU396" s="27"/>
      <c r="CV396" s="27"/>
      <c r="CW396" s="27"/>
      <c r="CX396" s="27"/>
      <c r="CY396" s="27"/>
      <c r="CZ396" s="27"/>
      <c r="DA396" s="27"/>
      <c r="DB396" s="27"/>
      <c r="DC396" s="27"/>
      <c r="DD396" s="27"/>
      <c r="DE396" s="27"/>
      <c r="DF396" s="27"/>
      <c r="DG396" s="27"/>
      <c r="DH396" s="27"/>
      <c r="DI396" s="27"/>
      <c r="DJ396" s="27"/>
      <c r="DK396" s="27"/>
      <c r="DL396" s="27"/>
      <c r="DM396" s="27"/>
      <c r="DN396" s="27"/>
      <c r="DO396" s="27"/>
      <c r="DP396" s="27"/>
      <c r="DQ396" s="27"/>
      <c r="DR396" s="27"/>
      <c r="DS396" s="27"/>
      <c r="DT396" s="27"/>
    </row>
    <row r="397" spans="2:124" x14ac:dyDescent="0.2">
      <c r="B397" s="27"/>
      <c r="C397" s="27"/>
      <c r="D397" s="27"/>
      <c r="E397" s="27"/>
      <c r="F397" s="27"/>
      <c r="G397" s="27"/>
      <c r="H397" s="27"/>
      <c r="I397" s="27"/>
      <c r="J397" s="27"/>
      <c r="K397" s="27"/>
      <c r="L397" s="27"/>
      <c r="M397" s="27"/>
      <c r="N397" s="27"/>
      <c r="O397" s="27"/>
      <c r="P397" s="27"/>
      <c r="Q397" s="27"/>
      <c r="R397" s="27"/>
      <c r="S397" s="27"/>
      <c r="T397" s="27"/>
      <c r="U397" s="27"/>
      <c r="V397" s="27"/>
      <c r="W397" s="27"/>
      <c r="X397" s="27"/>
      <c r="Y397" s="27"/>
      <c r="Z397" s="27"/>
      <c r="AA397" s="27"/>
      <c r="AB397" s="27"/>
      <c r="AC397" s="27"/>
      <c r="AD397" s="27"/>
      <c r="AE397" s="27"/>
      <c r="AF397" s="27"/>
      <c r="AG397" s="27"/>
      <c r="AH397" s="27"/>
      <c r="AI397" s="27"/>
      <c r="AJ397" s="27"/>
      <c r="AK397" s="27"/>
      <c r="AL397" s="27"/>
      <c r="AM397" s="27"/>
      <c r="AN397" s="27"/>
      <c r="AO397" s="27"/>
      <c r="AP397" s="27"/>
      <c r="AQ397" s="27"/>
      <c r="AR397" s="27"/>
      <c r="AS397" s="27"/>
      <c r="AT397" s="27"/>
      <c r="AU397" s="27"/>
      <c r="AV397" s="27"/>
      <c r="AW397" s="27"/>
      <c r="AX397" s="27"/>
      <c r="AY397" s="27"/>
      <c r="AZ397" s="27"/>
      <c r="BA397" s="27"/>
      <c r="BB397" s="27"/>
      <c r="BC397" s="27"/>
      <c r="BD397" s="27"/>
      <c r="BE397" s="27"/>
      <c r="BF397" s="27"/>
      <c r="BG397" s="27"/>
      <c r="BH397" s="27"/>
      <c r="BI397" s="27"/>
      <c r="BJ397" s="27"/>
      <c r="BK397" s="27"/>
      <c r="BL397" s="27"/>
      <c r="BM397" s="27"/>
      <c r="BN397" s="27"/>
      <c r="BO397" s="27"/>
      <c r="BP397" s="27"/>
      <c r="BQ397" s="27"/>
      <c r="BR397" s="27"/>
      <c r="BS397" s="27"/>
      <c r="BT397" s="27"/>
      <c r="BU397" s="27"/>
      <c r="BV397" s="27"/>
      <c r="BW397" s="27"/>
      <c r="BX397" s="27"/>
      <c r="BY397" s="27"/>
      <c r="BZ397" s="27"/>
      <c r="CA397" s="27"/>
      <c r="CB397" s="27"/>
      <c r="CC397" s="27"/>
      <c r="CD397" s="27"/>
      <c r="CE397" s="27"/>
      <c r="CF397" s="27"/>
      <c r="CG397" s="27"/>
      <c r="CH397" s="27"/>
      <c r="CI397" s="27"/>
      <c r="CJ397" s="27"/>
      <c r="CK397" s="27"/>
      <c r="CL397" s="27"/>
      <c r="CM397" s="27"/>
      <c r="CN397" s="27"/>
      <c r="CO397" s="27"/>
      <c r="CP397" s="27"/>
      <c r="CQ397" s="27"/>
      <c r="CR397" s="27"/>
      <c r="CS397" s="27"/>
      <c r="CT397" s="27"/>
      <c r="CU397" s="27"/>
      <c r="CV397" s="27"/>
      <c r="CW397" s="27"/>
      <c r="CX397" s="27"/>
      <c r="CY397" s="27"/>
      <c r="CZ397" s="27"/>
      <c r="DA397" s="27"/>
      <c r="DB397" s="27"/>
      <c r="DC397" s="27"/>
      <c r="DD397" s="27"/>
      <c r="DE397" s="27"/>
      <c r="DF397" s="27"/>
      <c r="DG397" s="27"/>
      <c r="DH397" s="27"/>
      <c r="DI397" s="27"/>
      <c r="DJ397" s="27"/>
      <c r="DK397" s="27"/>
      <c r="DL397" s="27"/>
      <c r="DM397" s="27"/>
      <c r="DN397" s="27"/>
      <c r="DO397" s="27"/>
      <c r="DP397" s="27"/>
      <c r="DQ397" s="27"/>
      <c r="DR397" s="27"/>
      <c r="DS397" s="27"/>
      <c r="DT397" s="27"/>
    </row>
    <row r="398" spans="2:124" x14ac:dyDescent="0.2">
      <c r="B398" s="27"/>
      <c r="C398" s="27"/>
      <c r="D398" s="27"/>
      <c r="E398" s="27"/>
      <c r="F398" s="27"/>
      <c r="G398" s="27"/>
      <c r="H398" s="27"/>
      <c r="I398" s="27"/>
      <c r="J398" s="27"/>
      <c r="K398" s="27"/>
      <c r="L398" s="27"/>
      <c r="M398" s="27"/>
      <c r="N398" s="27"/>
      <c r="O398" s="27"/>
      <c r="P398" s="27"/>
      <c r="Q398" s="27"/>
      <c r="R398" s="27"/>
      <c r="S398" s="27"/>
      <c r="T398" s="27"/>
      <c r="U398" s="27"/>
      <c r="V398" s="27"/>
      <c r="W398" s="27"/>
      <c r="X398" s="27"/>
      <c r="Y398" s="27"/>
      <c r="Z398" s="27"/>
      <c r="AA398" s="27"/>
      <c r="AB398" s="27"/>
      <c r="AC398" s="27"/>
      <c r="AD398" s="27"/>
      <c r="AE398" s="27"/>
      <c r="AF398" s="27"/>
      <c r="AG398" s="27"/>
      <c r="AH398" s="27"/>
      <c r="AI398" s="27"/>
      <c r="AJ398" s="27"/>
      <c r="AK398" s="27"/>
      <c r="AL398" s="27"/>
      <c r="AM398" s="27"/>
      <c r="AN398" s="27"/>
      <c r="AO398" s="27"/>
      <c r="AP398" s="27"/>
      <c r="AQ398" s="27"/>
      <c r="AR398" s="27"/>
      <c r="AS398" s="27"/>
      <c r="AT398" s="27"/>
      <c r="AU398" s="27"/>
      <c r="AV398" s="27"/>
      <c r="AW398" s="27"/>
      <c r="AX398" s="27"/>
      <c r="AY398" s="27"/>
      <c r="AZ398" s="27"/>
      <c r="BA398" s="27"/>
      <c r="BB398" s="27"/>
      <c r="BC398" s="27"/>
      <c r="BD398" s="27"/>
      <c r="BE398" s="27"/>
      <c r="BF398" s="27"/>
      <c r="BG398" s="27"/>
      <c r="BH398" s="27"/>
      <c r="BI398" s="27"/>
      <c r="BJ398" s="27"/>
      <c r="BK398" s="27"/>
      <c r="BL398" s="27"/>
      <c r="BM398" s="27"/>
      <c r="BN398" s="27"/>
      <c r="BO398" s="27"/>
      <c r="BP398" s="27"/>
      <c r="BQ398" s="27"/>
      <c r="BR398" s="27"/>
      <c r="BS398" s="27"/>
      <c r="BT398" s="27"/>
      <c r="BU398" s="27"/>
      <c r="BV398" s="27"/>
      <c r="BW398" s="27"/>
      <c r="BX398" s="27"/>
      <c r="BY398" s="27"/>
      <c r="BZ398" s="27"/>
      <c r="CA398" s="27"/>
      <c r="CB398" s="27"/>
      <c r="CC398" s="27"/>
      <c r="CD398" s="27"/>
      <c r="CE398" s="27"/>
      <c r="CF398" s="27"/>
      <c r="CG398" s="27"/>
      <c r="CH398" s="27"/>
      <c r="CI398" s="27"/>
      <c r="CJ398" s="27"/>
      <c r="CK398" s="27"/>
      <c r="CL398" s="27"/>
      <c r="CM398" s="27"/>
      <c r="CN398" s="27"/>
      <c r="CO398" s="27"/>
      <c r="CP398" s="27"/>
      <c r="CQ398" s="27"/>
      <c r="CR398" s="27"/>
      <c r="CS398" s="27"/>
      <c r="CT398" s="27"/>
      <c r="CU398" s="27"/>
      <c r="CV398" s="27"/>
      <c r="CW398" s="27"/>
      <c r="CX398" s="27"/>
      <c r="CY398" s="27"/>
      <c r="CZ398" s="27"/>
      <c r="DA398" s="27"/>
      <c r="DB398" s="27"/>
      <c r="DC398" s="27"/>
      <c r="DD398" s="27"/>
      <c r="DE398" s="27"/>
      <c r="DF398" s="27"/>
      <c r="DG398" s="27"/>
      <c r="DH398" s="27"/>
      <c r="DI398" s="27"/>
      <c r="DJ398" s="27"/>
      <c r="DK398" s="27"/>
      <c r="DL398" s="27"/>
      <c r="DM398" s="27"/>
      <c r="DN398" s="27"/>
      <c r="DO398" s="27"/>
      <c r="DP398" s="27"/>
      <c r="DQ398" s="27"/>
      <c r="DR398" s="27"/>
      <c r="DS398" s="27"/>
      <c r="DT398" s="27"/>
    </row>
    <row r="399" spans="2:124" x14ac:dyDescent="0.2">
      <c r="B399" s="27"/>
      <c r="C399" s="27"/>
      <c r="D399" s="27"/>
      <c r="E399" s="27"/>
      <c r="F399" s="27"/>
      <c r="G399" s="27"/>
      <c r="H399" s="27"/>
      <c r="I399" s="27"/>
      <c r="J399" s="27"/>
      <c r="K399" s="27"/>
      <c r="L399" s="27"/>
      <c r="M399" s="27"/>
      <c r="N399" s="27"/>
      <c r="O399" s="27"/>
      <c r="P399" s="27"/>
      <c r="Q399" s="27"/>
      <c r="R399" s="27"/>
      <c r="S399" s="27"/>
      <c r="T399" s="27"/>
      <c r="U399" s="27"/>
      <c r="V399" s="27"/>
      <c r="W399" s="27"/>
      <c r="X399" s="27"/>
      <c r="Y399" s="27"/>
      <c r="Z399" s="27"/>
      <c r="AA399" s="27"/>
      <c r="AB399" s="27"/>
      <c r="AC399" s="27"/>
      <c r="AD399" s="27"/>
      <c r="AE399" s="27"/>
      <c r="AF399" s="27"/>
      <c r="AG399" s="27"/>
      <c r="AH399" s="27"/>
      <c r="AI399" s="27"/>
      <c r="AJ399" s="27"/>
      <c r="AK399" s="27"/>
      <c r="AL399" s="27"/>
      <c r="AM399" s="27"/>
      <c r="AN399" s="27"/>
      <c r="AO399" s="27"/>
      <c r="AP399" s="27"/>
      <c r="AQ399" s="27"/>
      <c r="AR399" s="27"/>
      <c r="AS399" s="27"/>
      <c r="AT399" s="27"/>
      <c r="AU399" s="27"/>
      <c r="AV399" s="27"/>
      <c r="AW399" s="27"/>
      <c r="AX399" s="27"/>
      <c r="AY399" s="27"/>
      <c r="AZ399" s="27"/>
      <c r="BA399" s="27"/>
      <c r="BB399" s="27"/>
      <c r="BC399" s="27"/>
      <c r="BD399" s="27"/>
      <c r="BE399" s="27"/>
      <c r="BF399" s="27"/>
      <c r="BG399" s="27"/>
      <c r="BH399" s="27"/>
      <c r="BI399" s="27"/>
      <c r="BJ399" s="27"/>
      <c r="BK399" s="27"/>
      <c r="BL399" s="27"/>
      <c r="BM399" s="27"/>
      <c r="BN399" s="27"/>
      <c r="BO399" s="27"/>
      <c r="BP399" s="27"/>
      <c r="BQ399" s="27"/>
      <c r="BR399" s="27"/>
      <c r="BS399" s="27"/>
      <c r="BT399" s="27"/>
      <c r="BU399" s="27"/>
      <c r="BV399" s="27"/>
      <c r="BW399" s="27"/>
      <c r="BX399" s="27"/>
      <c r="BY399" s="27"/>
      <c r="BZ399" s="27"/>
      <c r="CA399" s="27"/>
      <c r="CB399" s="27"/>
      <c r="CC399" s="27"/>
      <c r="CD399" s="27"/>
      <c r="CE399" s="27"/>
      <c r="CF399" s="27"/>
      <c r="CG399" s="27"/>
      <c r="CH399" s="27"/>
      <c r="CI399" s="27"/>
      <c r="CJ399" s="27"/>
      <c r="CK399" s="27"/>
      <c r="CL399" s="27"/>
      <c r="CM399" s="27"/>
      <c r="CN399" s="27"/>
      <c r="CO399" s="27"/>
      <c r="CP399" s="27"/>
      <c r="CQ399" s="27"/>
      <c r="CR399" s="27"/>
      <c r="CS399" s="27"/>
      <c r="CT399" s="27"/>
      <c r="CU399" s="27"/>
      <c r="CV399" s="27"/>
      <c r="CW399" s="27"/>
      <c r="CX399" s="27"/>
      <c r="CY399" s="27"/>
      <c r="CZ399" s="27"/>
      <c r="DA399" s="27"/>
      <c r="DB399" s="27"/>
      <c r="DC399" s="27"/>
      <c r="DD399" s="27"/>
      <c r="DE399" s="27"/>
      <c r="DF399" s="27"/>
      <c r="DG399" s="27"/>
      <c r="DH399" s="27"/>
      <c r="DI399" s="27"/>
      <c r="DJ399" s="27"/>
      <c r="DK399" s="27"/>
      <c r="DL399" s="27"/>
      <c r="DM399" s="27"/>
      <c r="DN399" s="27"/>
      <c r="DO399" s="27"/>
      <c r="DP399" s="27"/>
      <c r="DQ399" s="27"/>
      <c r="DR399" s="27"/>
      <c r="DS399" s="27"/>
      <c r="DT399" s="27"/>
    </row>
    <row r="400" spans="2:124" x14ac:dyDescent="0.2">
      <c r="B400" s="27"/>
      <c r="C400" s="27"/>
      <c r="D400" s="27"/>
      <c r="E400" s="27"/>
      <c r="F400" s="27"/>
      <c r="G400" s="27"/>
      <c r="H400" s="27"/>
      <c r="I400" s="27"/>
      <c r="J400" s="27"/>
      <c r="K400" s="27"/>
      <c r="L400" s="27"/>
      <c r="M400" s="27"/>
      <c r="N400" s="27"/>
      <c r="O400" s="27"/>
      <c r="P400" s="27"/>
      <c r="Q400" s="27"/>
      <c r="R400" s="27"/>
      <c r="S400" s="27"/>
      <c r="T400" s="27"/>
      <c r="U400" s="27"/>
      <c r="V400" s="27"/>
      <c r="W400" s="27"/>
      <c r="X400" s="27"/>
      <c r="Y400" s="27"/>
      <c r="Z400" s="27"/>
      <c r="AA400" s="27"/>
      <c r="AB400" s="27"/>
      <c r="AC400" s="27"/>
      <c r="AD400" s="27"/>
      <c r="AE400" s="27"/>
      <c r="AF400" s="27"/>
      <c r="AG400" s="27"/>
      <c r="AH400" s="27"/>
      <c r="AI400" s="27"/>
      <c r="AJ400" s="27"/>
      <c r="AK400" s="27"/>
      <c r="AL400" s="27"/>
      <c r="AM400" s="27"/>
      <c r="AN400" s="27"/>
      <c r="AO400" s="27"/>
      <c r="AP400" s="27"/>
      <c r="AQ400" s="27"/>
      <c r="AR400" s="27"/>
      <c r="AS400" s="27"/>
      <c r="AT400" s="27"/>
      <c r="AU400" s="27"/>
      <c r="AV400" s="27"/>
      <c r="AW400" s="27"/>
      <c r="AX400" s="27"/>
      <c r="AY400" s="27"/>
      <c r="AZ400" s="27"/>
      <c r="BA400" s="27"/>
      <c r="BB400" s="27"/>
      <c r="BC400" s="27"/>
      <c r="BD400" s="27"/>
      <c r="BE400" s="27"/>
      <c r="BF400" s="27"/>
      <c r="BG400" s="27"/>
      <c r="BH400" s="27"/>
      <c r="BI400" s="27"/>
      <c r="BJ400" s="27"/>
      <c r="BK400" s="27"/>
      <c r="BL400" s="27"/>
      <c r="BM400" s="27"/>
      <c r="BN400" s="27"/>
      <c r="BO400" s="27"/>
      <c r="BP400" s="27"/>
      <c r="BQ400" s="27"/>
      <c r="BR400" s="27"/>
      <c r="BS400" s="27"/>
      <c r="BT400" s="27"/>
      <c r="BU400" s="27"/>
      <c r="BV400" s="27"/>
      <c r="BW400" s="27"/>
      <c r="BX400" s="27"/>
      <c r="BY400" s="27"/>
      <c r="BZ400" s="27"/>
      <c r="CA400" s="27"/>
      <c r="CB400" s="27"/>
      <c r="CC400" s="27"/>
      <c r="CD400" s="27"/>
      <c r="CE400" s="27"/>
      <c r="CF400" s="27"/>
      <c r="CG400" s="27"/>
      <c r="CH400" s="27"/>
      <c r="CI400" s="27"/>
      <c r="CJ400" s="27"/>
      <c r="CK400" s="27"/>
      <c r="CL400" s="27"/>
      <c r="CM400" s="27"/>
      <c r="CN400" s="27"/>
      <c r="CO400" s="27"/>
      <c r="CP400" s="27"/>
      <c r="CQ400" s="27"/>
      <c r="CR400" s="27"/>
      <c r="CS400" s="27"/>
      <c r="CT400" s="27"/>
      <c r="CU400" s="27"/>
      <c r="CV400" s="27"/>
      <c r="CW400" s="27"/>
      <c r="CX400" s="27"/>
      <c r="CY400" s="27"/>
      <c r="CZ400" s="27"/>
      <c r="DA400" s="27"/>
      <c r="DB400" s="27"/>
      <c r="DC400" s="27"/>
      <c r="DD400" s="27"/>
      <c r="DE400" s="27"/>
      <c r="DF400" s="27"/>
      <c r="DG400" s="27"/>
      <c r="DH400" s="27"/>
      <c r="DI400" s="27"/>
      <c r="DJ400" s="27"/>
      <c r="DK400" s="27"/>
      <c r="DL400" s="27"/>
      <c r="DM400" s="27"/>
      <c r="DN400" s="27"/>
      <c r="DO400" s="27"/>
      <c r="DP400" s="27"/>
      <c r="DQ400" s="27"/>
      <c r="DR400" s="27"/>
      <c r="DS400" s="27"/>
      <c r="DT400" s="27"/>
    </row>
    <row r="401" spans="2:124" x14ac:dyDescent="0.2">
      <c r="B401" s="27"/>
      <c r="C401" s="27"/>
      <c r="D401" s="27"/>
      <c r="E401" s="27"/>
      <c r="F401" s="27"/>
      <c r="G401" s="27"/>
      <c r="H401" s="27"/>
      <c r="I401" s="27"/>
      <c r="J401" s="27"/>
      <c r="K401" s="27"/>
      <c r="L401" s="27"/>
      <c r="M401" s="27"/>
      <c r="N401" s="27"/>
      <c r="O401" s="27"/>
      <c r="P401" s="27"/>
      <c r="Q401" s="27"/>
      <c r="R401" s="27"/>
      <c r="S401" s="27"/>
      <c r="T401" s="27"/>
      <c r="U401" s="27"/>
      <c r="V401" s="27"/>
      <c r="W401" s="27"/>
      <c r="X401" s="27"/>
      <c r="Y401" s="27"/>
      <c r="Z401" s="27"/>
      <c r="AA401" s="27"/>
      <c r="AB401" s="27"/>
      <c r="AC401" s="27"/>
      <c r="AD401" s="27"/>
      <c r="AE401" s="27"/>
      <c r="AF401" s="27"/>
      <c r="AG401" s="27"/>
      <c r="AH401" s="27"/>
      <c r="AI401" s="27"/>
      <c r="AJ401" s="27"/>
      <c r="AK401" s="27"/>
      <c r="AL401" s="27"/>
      <c r="AM401" s="27"/>
      <c r="AN401" s="27"/>
      <c r="AO401" s="27"/>
      <c r="AP401" s="27"/>
      <c r="AQ401" s="27"/>
      <c r="AR401" s="27"/>
      <c r="AS401" s="27"/>
      <c r="AT401" s="27"/>
      <c r="AU401" s="27"/>
      <c r="AV401" s="27"/>
      <c r="AW401" s="27"/>
      <c r="AX401" s="27"/>
      <c r="AY401" s="27"/>
      <c r="AZ401" s="27"/>
      <c r="BA401" s="27"/>
      <c r="BB401" s="27"/>
      <c r="BC401" s="27"/>
      <c r="BD401" s="27"/>
      <c r="BE401" s="27"/>
      <c r="BF401" s="27"/>
      <c r="BG401" s="27"/>
      <c r="BH401" s="27"/>
      <c r="BI401" s="27"/>
      <c r="BJ401" s="27"/>
      <c r="BK401" s="27"/>
      <c r="BL401" s="27"/>
      <c r="BM401" s="27"/>
      <c r="BN401" s="27"/>
      <c r="BO401" s="27"/>
      <c r="BP401" s="27"/>
      <c r="BQ401" s="27"/>
      <c r="BR401" s="27"/>
      <c r="BS401" s="27"/>
      <c r="BT401" s="27"/>
      <c r="BU401" s="27"/>
      <c r="BV401" s="27"/>
      <c r="BW401" s="27"/>
      <c r="BX401" s="27"/>
      <c r="BY401" s="27"/>
      <c r="BZ401" s="27"/>
      <c r="CA401" s="27"/>
      <c r="CB401" s="27"/>
      <c r="CC401" s="27"/>
      <c r="CD401" s="27"/>
      <c r="CE401" s="27"/>
      <c r="CF401" s="27"/>
      <c r="CG401" s="27"/>
      <c r="CH401" s="27"/>
      <c r="CI401" s="27"/>
      <c r="CJ401" s="27"/>
      <c r="CK401" s="27"/>
      <c r="CL401" s="27"/>
      <c r="CM401" s="27"/>
      <c r="CN401" s="27"/>
      <c r="CO401" s="27"/>
      <c r="CP401" s="27"/>
      <c r="CQ401" s="27"/>
      <c r="CR401" s="27"/>
      <c r="CS401" s="27"/>
      <c r="CT401" s="27"/>
      <c r="CU401" s="27"/>
      <c r="CV401" s="27"/>
      <c r="CW401" s="27"/>
      <c r="CX401" s="27"/>
      <c r="CY401" s="27"/>
      <c r="CZ401" s="27"/>
      <c r="DA401" s="27"/>
      <c r="DB401" s="27"/>
      <c r="DC401" s="27"/>
      <c r="DD401" s="27"/>
      <c r="DE401" s="27"/>
      <c r="DF401" s="27"/>
      <c r="DG401" s="27"/>
      <c r="DH401" s="27"/>
      <c r="DI401" s="27"/>
      <c r="DJ401" s="27"/>
      <c r="DK401" s="27"/>
      <c r="DL401" s="27"/>
      <c r="DM401" s="27"/>
      <c r="DN401" s="27"/>
      <c r="DO401" s="27"/>
      <c r="DP401" s="27"/>
      <c r="DQ401" s="27"/>
      <c r="DR401" s="27"/>
      <c r="DS401" s="27"/>
      <c r="DT401" s="27"/>
    </row>
    <row r="402" spans="2:124" x14ac:dyDescent="0.2">
      <c r="B402" s="27"/>
      <c r="C402" s="27"/>
      <c r="D402" s="27"/>
      <c r="E402" s="27"/>
      <c r="F402" s="27"/>
      <c r="G402" s="27"/>
      <c r="H402" s="27"/>
      <c r="I402" s="27"/>
      <c r="J402" s="27"/>
      <c r="K402" s="27"/>
      <c r="L402" s="27"/>
      <c r="M402" s="27"/>
      <c r="N402" s="27"/>
      <c r="O402" s="27"/>
      <c r="P402" s="27"/>
      <c r="Q402" s="27"/>
      <c r="R402" s="27"/>
      <c r="S402" s="27"/>
      <c r="T402" s="27"/>
      <c r="U402" s="27"/>
      <c r="V402" s="27"/>
      <c r="W402" s="27"/>
      <c r="X402" s="27"/>
      <c r="Y402" s="27"/>
      <c r="Z402" s="27"/>
      <c r="AA402" s="27"/>
      <c r="AB402" s="27"/>
      <c r="AC402" s="27"/>
      <c r="AD402" s="27"/>
      <c r="AE402" s="27"/>
      <c r="AF402" s="27"/>
      <c r="AG402" s="27"/>
      <c r="AH402" s="27"/>
      <c r="AI402" s="27"/>
      <c r="AJ402" s="27"/>
      <c r="AK402" s="27"/>
      <c r="AL402" s="27"/>
      <c r="AM402" s="27"/>
      <c r="AN402" s="27"/>
      <c r="AO402" s="27"/>
      <c r="AP402" s="27"/>
      <c r="AQ402" s="27"/>
      <c r="AR402" s="27"/>
      <c r="AS402" s="27"/>
      <c r="AT402" s="27"/>
      <c r="AU402" s="27"/>
      <c r="AV402" s="27"/>
      <c r="AW402" s="27"/>
      <c r="AX402" s="27"/>
      <c r="AY402" s="27"/>
      <c r="AZ402" s="27"/>
      <c r="BA402" s="27"/>
      <c r="BB402" s="27"/>
      <c r="BC402" s="27"/>
      <c r="BD402" s="27"/>
      <c r="BE402" s="27"/>
      <c r="BF402" s="27"/>
      <c r="BG402" s="27"/>
      <c r="BH402" s="27"/>
      <c r="BI402" s="27"/>
      <c r="BJ402" s="27"/>
      <c r="BK402" s="27"/>
      <c r="BL402" s="27"/>
      <c r="BM402" s="27"/>
      <c r="BN402" s="27"/>
      <c r="BO402" s="27"/>
      <c r="BP402" s="27"/>
      <c r="BQ402" s="27"/>
      <c r="BR402" s="27"/>
      <c r="BS402" s="27"/>
      <c r="BT402" s="27"/>
      <c r="BU402" s="27"/>
      <c r="BV402" s="27"/>
      <c r="BW402" s="27"/>
      <c r="BX402" s="27"/>
      <c r="BY402" s="27"/>
      <c r="BZ402" s="27"/>
      <c r="CA402" s="27"/>
      <c r="CB402" s="27"/>
      <c r="CC402" s="27"/>
      <c r="CD402" s="27"/>
      <c r="CE402" s="27"/>
      <c r="CF402" s="27"/>
      <c r="CG402" s="27"/>
      <c r="CH402" s="27"/>
      <c r="CI402" s="27"/>
      <c r="CJ402" s="27"/>
      <c r="CK402" s="27"/>
      <c r="CL402" s="27"/>
      <c r="CM402" s="27"/>
      <c r="CN402" s="27"/>
      <c r="CO402" s="27"/>
      <c r="CP402" s="27"/>
      <c r="CQ402" s="27"/>
      <c r="CR402" s="27"/>
      <c r="CS402" s="27"/>
      <c r="CT402" s="27"/>
      <c r="CU402" s="27"/>
      <c r="CV402" s="27"/>
      <c r="CW402" s="27"/>
      <c r="CX402" s="27"/>
      <c r="CY402" s="27"/>
      <c r="CZ402" s="27"/>
      <c r="DA402" s="27"/>
      <c r="DB402" s="27"/>
      <c r="DC402" s="27"/>
      <c r="DD402" s="27"/>
      <c r="DE402" s="27"/>
      <c r="DF402" s="27"/>
      <c r="DG402" s="27"/>
      <c r="DH402" s="27"/>
      <c r="DI402" s="27"/>
      <c r="DJ402" s="27"/>
      <c r="DK402" s="27"/>
      <c r="DL402" s="27"/>
      <c r="DM402" s="27"/>
      <c r="DN402" s="27"/>
      <c r="DO402" s="27"/>
      <c r="DP402" s="27"/>
      <c r="DQ402" s="27"/>
      <c r="DR402" s="27"/>
      <c r="DS402" s="27"/>
      <c r="DT402" s="27"/>
    </row>
    <row r="403" spans="2:124" x14ac:dyDescent="0.2">
      <c r="B403" s="27"/>
      <c r="C403" s="27"/>
      <c r="D403" s="27"/>
      <c r="E403" s="27"/>
      <c r="F403" s="27"/>
      <c r="G403" s="27"/>
      <c r="H403" s="27"/>
      <c r="I403" s="27"/>
      <c r="J403" s="27"/>
      <c r="K403" s="27"/>
      <c r="L403" s="27"/>
      <c r="M403" s="27"/>
      <c r="N403" s="27"/>
      <c r="O403" s="27"/>
      <c r="P403" s="27"/>
      <c r="Q403" s="27"/>
      <c r="R403" s="27"/>
      <c r="S403" s="27"/>
      <c r="T403" s="27"/>
      <c r="U403" s="27"/>
      <c r="V403" s="27"/>
      <c r="W403" s="27"/>
      <c r="X403" s="27"/>
      <c r="Y403" s="27"/>
      <c r="Z403" s="27"/>
      <c r="AA403" s="27"/>
      <c r="AB403" s="27"/>
      <c r="AC403" s="27"/>
      <c r="AD403" s="27"/>
      <c r="AE403" s="27"/>
      <c r="AF403" s="27"/>
      <c r="AG403" s="27"/>
      <c r="AH403" s="27"/>
      <c r="AI403" s="27"/>
      <c r="AJ403" s="27"/>
      <c r="AK403" s="27"/>
      <c r="AL403" s="27"/>
      <c r="AM403" s="27"/>
      <c r="AN403" s="27"/>
      <c r="AO403" s="27"/>
      <c r="AP403" s="27"/>
      <c r="AQ403" s="27"/>
      <c r="AR403" s="27"/>
      <c r="AS403" s="27"/>
      <c r="AT403" s="27"/>
      <c r="AU403" s="27"/>
      <c r="AV403" s="27"/>
      <c r="AW403" s="27"/>
      <c r="AX403" s="27"/>
      <c r="AY403" s="27"/>
      <c r="AZ403" s="27"/>
      <c r="BA403" s="27"/>
      <c r="BB403" s="27"/>
      <c r="BC403" s="27"/>
      <c r="BD403" s="27"/>
      <c r="BE403" s="27"/>
      <c r="BF403" s="27"/>
      <c r="BG403" s="27"/>
      <c r="BH403" s="27"/>
      <c r="BI403" s="27"/>
      <c r="BJ403" s="27"/>
      <c r="BK403" s="27"/>
      <c r="BL403" s="27"/>
      <c r="BM403" s="27"/>
      <c r="BN403" s="27"/>
      <c r="BO403" s="27"/>
      <c r="BP403" s="27"/>
      <c r="BQ403" s="27"/>
      <c r="BR403" s="27"/>
      <c r="BS403" s="27"/>
      <c r="BT403" s="27"/>
      <c r="BU403" s="27"/>
      <c r="BV403" s="27"/>
      <c r="BW403" s="27"/>
      <c r="BX403" s="27"/>
      <c r="BY403" s="27"/>
      <c r="BZ403" s="27"/>
      <c r="CA403" s="27"/>
      <c r="CB403" s="27"/>
      <c r="CC403" s="27"/>
      <c r="CD403" s="27"/>
      <c r="CE403" s="27"/>
      <c r="CF403" s="27"/>
      <c r="CG403" s="27"/>
      <c r="CH403" s="27"/>
      <c r="CI403" s="27"/>
      <c r="CJ403" s="27"/>
      <c r="CK403" s="27"/>
      <c r="CL403" s="27"/>
      <c r="CM403" s="27"/>
      <c r="CN403" s="27"/>
      <c r="CO403" s="27"/>
      <c r="CP403" s="27"/>
      <c r="CQ403" s="27"/>
      <c r="CR403" s="27"/>
      <c r="CS403" s="27"/>
      <c r="CT403" s="27"/>
      <c r="CU403" s="27"/>
      <c r="CV403" s="27"/>
      <c r="CW403" s="27"/>
      <c r="CX403" s="27"/>
      <c r="CY403" s="27"/>
      <c r="CZ403" s="27"/>
      <c r="DA403" s="27"/>
      <c r="DB403" s="27"/>
      <c r="DC403" s="27"/>
      <c r="DD403" s="27"/>
      <c r="DE403" s="27"/>
      <c r="DF403" s="27"/>
      <c r="DG403" s="27"/>
      <c r="DH403" s="27"/>
      <c r="DI403" s="27"/>
      <c r="DJ403" s="27"/>
      <c r="DK403" s="27"/>
      <c r="DL403" s="27"/>
      <c r="DM403" s="27"/>
      <c r="DN403" s="27"/>
      <c r="DO403" s="27"/>
      <c r="DP403" s="27"/>
      <c r="DQ403" s="27"/>
      <c r="DR403" s="27"/>
      <c r="DS403" s="27"/>
      <c r="DT403" s="27"/>
    </row>
    <row r="404" spans="2:124" x14ac:dyDescent="0.2">
      <c r="B404" s="27"/>
      <c r="C404" s="27"/>
      <c r="D404" s="27"/>
      <c r="E404" s="27"/>
      <c r="F404" s="27"/>
      <c r="G404" s="27"/>
      <c r="H404" s="27"/>
      <c r="I404" s="27"/>
      <c r="J404" s="27"/>
      <c r="K404" s="27"/>
      <c r="L404" s="27"/>
      <c r="M404" s="27"/>
      <c r="N404" s="27"/>
      <c r="O404" s="27"/>
      <c r="P404" s="27"/>
      <c r="Q404" s="27"/>
      <c r="R404" s="27"/>
      <c r="S404" s="27"/>
      <c r="T404" s="27"/>
      <c r="U404" s="27"/>
      <c r="V404" s="27"/>
      <c r="W404" s="27"/>
      <c r="X404" s="27"/>
      <c r="Y404" s="27"/>
      <c r="Z404" s="27"/>
      <c r="AA404" s="27"/>
      <c r="AB404" s="27"/>
      <c r="AC404" s="27"/>
      <c r="AD404" s="27"/>
      <c r="AE404" s="27"/>
      <c r="AF404" s="27"/>
      <c r="AG404" s="27"/>
      <c r="AH404" s="27"/>
      <c r="AI404" s="27"/>
      <c r="AJ404" s="27"/>
      <c r="AK404" s="27"/>
      <c r="AL404" s="27"/>
      <c r="AM404" s="27"/>
      <c r="AN404" s="27"/>
      <c r="AO404" s="27"/>
      <c r="AP404" s="27"/>
      <c r="AQ404" s="27"/>
      <c r="AR404" s="27"/>
      <c r="AS404" s="27"/>
      <c r="AT404" s="27"/>
      <c r="AU404" s="27"/>
      <c r="AV404" s="27"/>
      <c r="AW404" s="27"/>
      <c r="AX404" s="27"/>
      <c r="AY404" s="27"/>
      <c r="AZ404" s="27"/>
      <c r="BA404" s="27"/>
      <c r="BB404" s="27"/>
      <c r="BC404" s="27"/>
      <c r="BD404" s="27"/>
      <c r="BE404" s="27"/>
      <c r="BF404" s="27"/>
      <c r="BG404" s="27"/>
      <c r="BH404" s="27"/>
      <c r="BI404" s="27"/>
      <c r="BJ404" s="27"/>
      <c r="BK404" s="27"/>
      <c r="BL404" s="27"/>
      <c r="BM404" s="27"/>
      <c r="BN404" s="27"/>
      <c r="BO404" s="27"/>
      <c r="BP404" s="27"/>
      <c r="BQ404" s="27"/>
      <c r="BR404" s="27"/>
      <c r="BS404" s="27"/>
      <c r="BT404" s="27"/>
      <c r="BU404" s="27"/>
      <c r="BV404" s="27"/>
      <c r="BW404" s="27"/>
      <c r="BX404" s="27"/>
      <c r="BY404" s="27"/>
      <c r="BZ404" s="27"/>
      <c r="CA404" s="27"/>
      <c r="CB404" s="27"/>
      <c r="CC404" s="27"/>
      <c r="CD404" s="27"/>
      <c r="CE404" s="27"/>
      <c r="CF404" s="27"/>
      <c r="CG404" s="27"/>
      <c r="CH404" s="27"/>
      <c r="CI404" s="27"/>
      <c r="CJ404" s="27"/>
      <c r="CK404" s="27"/>
      <c r="CL404" s="27"/>
      <c r="CM404" s="27"/>
      <c r="CN404" s="27"/>
      <c r="CO404" s="27"/>
      <c r="CP404" s="27"/>
      <c r="CQ404" s="27"/>
      <c r="CR404" s="27"/>
      <c r="CS404" s="27"/>
      <c r="CT404" s="27"/>
      <c r="CU404" s="27"/>
      <c r="CV404" s="27"/>
      <c r="CW404" s="27"/>
      <c r="CX404" s="27"/>
      <c r="CY404" s="27"/>
      <c r="CZ404" s="27"/>
      <c r="DA404" s="27"/>
      <c r="DB404" s="27"/>
      <c r="DC404" s="27"/>
      <c r="DD404" s="27"/>
      <c r="DE404" s="27"/>
      <c r="DF404" s="27"/>
      <c r="DG404" s="27"/>
      <c r="DH404" s="27"/>
      <c r="DI404" s="27"/>
      <c r="DJ404" s="27"/>
      <c r="DK404" s="27"/>
      <c r="DL404" s="27"/>
      <c r="DM404" s="27"/>
      <c r="DN404" s="27"/>
      <c r="DO404" s="27"/>
      <c r="DP404" s="27"/>
      <c r="DQ404" s="27"/>
      <c r="DR404" s="27"/>
      <c r="DS404" s="27"/>
      <c r="DT404" s="27"/>
    </row>
    <row r="405" spans="2:124" x14ac:dyDescent="0.2">
      <c r="B405" s="27"/>
      <c r="C405" s="27"/>
      <c r="D405" s="27"/>
      <c r="E405" s="27"/>
      <c r="F405" s="27"/>
      <c r="G405" s="27"/>
      <c r="H405" s="27"/>
      <c r="I405" s="27"/>
      <c r="J405" s="27"/>
      <c r="K405" s="27"/>
      <c r="L405" s="27"/>
      <c r="M405" s="27"/>
      <c r="N405" s="27"/>
      <c r="O405" s="27"/>
      <c r="P405" s="27"/>
      <c r="Q405" s="27"/>
      <c r="R405" s="27"/>
      <c r="S405" s="27"/>
      <c r="T405" s="27"/>
      <c r="U405" s="27"/>
      <c r="V405" s="27"/>
      <c r="W405" s="27"/>
      <c r="X405" s="27"/>
      <c r="Y405" s="27"/>
      <c r="Z405" s="27"/>
      <c r="AA405" s="27"/>
      <c r="AB405" s="27"/>
      <c r="AC405" s="27"/>
      <c r="AD405" s="27"/>
      <c r="AE405" s="27"/>
      <c r="AF405" s="27"/>
      <c r="AG405" s="27"/>
      <c r="AH405" s="27"/>
      <c r="AI405" s="27"/>
      <c r="AJ405" s="27"/>
      <c r="AK405" s="27"/>
      <c r="AL405" s="27"/>
      <c r="AM405" s="27"/>
      <c r="AN405" s="27"/>
      <c r="AO405" s="27"/>
      <c r="AP405" s="27"/>
      <c r="AQ405" s="27"/>
      <c r="AR405" s="27"/>
      <c r="AS405" s="27"/>
      <c r="AT405" s="27"/>
      <c r="AU405" s="27"/>
      <c r="AV405" s="27"/>
      <c r="AW405" s="27"/>
      <c r="AX405" s="27"/>
      <c r="AY405" s="27"/>
      <c r="AZ405" s="27"/>
      <c r="BA405" s="27"/>
      <c r="BB405" s="27"/>
      <c r="BC405" s="27"/>
      <c r="BD405" s="27"/>
      <c r="BE405" s="27"/>
      <c r="BF405" s="27"/>
      <c r="BG405" s="27"/>
      <c r="BH405" s="27"/>
      <c r="BI405" s="27"/>
      <c r="BJ405" s="27"/>
      <c r="BK405" s="27"/>
      <c r="BL405" s="27"/>
      <c r="BM405" s="27"/>
      <c r="BN405" s="27"/>
      <c r="BO405" s="27"/>
      <c r="BP405" s="27"/>
      <c r="BQ405" s="27"/>
      <c r="BR405" s="27"/>
      <c r="BS405" s="27"/>
      <c r="BT405" s="27"/>
      <c r="BU405" s="27"/>
      <c r="BV405" s="27"/>
      <c r="BW405" s="27"/>
      <c r="BX405" s="27"/>
      <c r="BY405" s="27"/>
      <c r="BZ405" s="27"/>
      <c r="CA405" s="27"/>
      <c r="CB405" s="27"/>
      <c r="CC405" s="27"/>
      <c r="CD405" s="27"/>
      <c r="CE405" s="27"/>
      <c r="CF405" s="27"/>
      <c r="CG405" s="27"/>
      <c r="CH405" s="27"/>
      <c r="CI405" s="27"/>
      <c r="CJ405" s="27"/>
      <c r="CK405" s="27"/>
      <c r="CL405" s="27"/>
      <c r="CM405" s="27"/>
      <c r="CN405" s="27"/>
      <c r="CO405" s="27"/>
      <c r="CP405" s="27"/>
      <c r="CQ405" s="27"/>
      <c r="CR405" s="27"/>
      <c r="CS405" s="27"/>
      <c r="CT405" s="27"/>
      <c r="CU405" s="27"/>
      <c r="CV405" s="27"/>
      <c r="CW405" s="27"/>
      <c r="CX405" s="27"/>
      <c r="CY405" s="27"/>
      <c r="CZ405" s="27"/>
      <c r="DA405" s="27"/>
      <c r="DB405" s="27"/>
      <c r="DC405" s="27"/>
      <c r="DD405" s="27"/>
      <c r="DE405" s="27"/>
      <c r="DF405" s="27"/>
      <c r="DG405" s="27"/>
      <c r="DH405" s="27"/>
      <c r="DI405" s="27"/>
      <c r="DJ405" s="27"/>
      <c r="DK405" s="27"/>
      <c r="DL405" s="27"/>
      <c r="DM405" s="27"/>
      <c r="DN405" s="27"/>
      <c r="DO405" s="27"/>
      <c r="DP405" s="27"/>
      <c r="DQ405" s="27"/>
      <c r="DR405" s="27"/>
      <c r="DS405" s="27"/>
      <c r="DT405" s="27"/>
    </row>
    <row r="406" spans="2:124" x14ac:dyDescent="0.2">
      <c r="B406" s="27"/>
      <c r="C406" s="27"/>
      <c r="D406" s="27"/>
      <c r="E406" s="27"/>
      <c r="F406" s="27"/>
      <c r="G406" s="27"/>
      <c r="H406" s="27"/>
      <c r="I406" s="27"/>
      <c r="J406" s="27"/>
      <c r="K406" s="27"/>
      <c r="L406" s="27"/>
      <c r="M406" s="27"/>
      <c r="N406" s="27"/>
      <c r="O406" s="27"/>
      <c r="P406" s="27"/>
      <c r="Q406" s="27"/>
      <c r="R406" s="27"/>
      <c r="S406" s="27"/>
      <c r="T406" s="27"/>
      <c r="U406" s="27"/>
      <c r="V406" s="27"/>
      <c r="W406" s="27"/>
      <c r="X406" s="27"/>
      <c r="Y406" s="27"/>
      <c r="Z406" s="27"/>
      <c r="AA406" s="27"/>
      <c r="AB406" s="27"/>
      <c r="AC406" s="27"/>
      <c r="AD406" s="27"/>
      <c r="AE406" s="27"/>
      <c r="AF406" s="27"/>
      <c r="AG406" s="27"/>
      <c r="AH406" s="27"/>
      <c r="AI406" s="27"/>
      <c r="AJ406" s="27"/>
      <c r="AK406" s="27"/>
      <c r="AL406" s="27"/>
      <c r="AM406" s="27"/>
      <c r="AN406" s="27"/>
      <c r="AO406" s="27"/>
      <c r="AP406" s="27"/>
      <c r="AQ406" s="27"/>
      <c r="AR406" s="27"/>
      <c r="AS406" s="27"/>
      <c r="AT406" s="27"/>
      <c r="AU406" s="27"/>
      <c r="AV406" s="27"/>
      <c r="AW406" s="27"/>
      <c r="AX406" s="27"/>
      <c r="AY406" s="27"/>
      <c r="AZ406" s="27"/>
      <c r="BA406" s="27"/>
      <c r="BB406" s="27"/>
      <c r="BC406" s="27"/>
      <c r="BD406" s="27"/>
      <c r="BE406" s="27"/>
      <c r="BF406" s="27"/>
      <c r="BG406" s="27"/>
      <c r="BH406" s="27"/>
      <c r="BI406" s="27"/>
      <c r="BJ406" s="27"/>
      <c r="BK406" s="27"/>
      <c r="BL406" s="27"/>
      <c r="BM406" s="27"/>
      <c r="BN406" s="27"/>
      <c r="BO406" s="27"/>
      <c r="BP406" s="27"/>
      <c r="BQ406" s="27"/>
      <c r="BR406" s="27"/>
      <c r="BS406" s="27"/>
      <c r="BT406" s="27"/>
      <c r="BU406" s="27"/>
      <c r="BV406" s="27"/>
      <c r="BW406" s="27"/>
      <c r="BX406" s="27"/>
      <c r="BY406" s="27"/>
      <c r="BZ406" s="27"/>
      <c r="CA406" s="27"/>
      <c r="CB406" s="27"/>
      <c r="CC406" s="27"/>
      <c r="CD406" s="27"/>
      <c r="CE406" s="27"/>
      <c r="CF406" s="27"/>
      <c r="CG406" s="27"/>
      <c r="CH406" s="27"/>
      <c r="CI406" s="27"/>
      <c r="CJ406" s="27"/>
      <c r="CK406" s="27"/>
      <c r="CL406" s="27"/>
      <c r="CM406" s="27"/>
      <c r="CN406" s="27"/>
      <c r="CO406" s="27"/>
      <c r="CP406" s="27"/>
      <c r="CQ406" s="27"/>
      <c r="CR406" s="27"/>
      <c r="CS406" s="27"/>
      <c r="CT406" s="27"/>
      <c r="CU406" s="27"/>
      <c r="CV406" s="27"/>
      <c r="CW406" s="27"/>
      <c r="CX406" s="27"/>
      <c r="CY406" s="27"/>
      <c r="CZ406" s="27"/>
      <c r="DA406" s="27"/>
      <c r="DB406" s="27"/>
      <c r="DC406" s="27"/>
      <c r="DD406" s="27"/>
      <c r="DE406" s="27"/>
      <c r="DF406" s="27"/>
      <c r="DG406" s="27"/>
      <c r="DH406" s="27"/>
      <c r="DI406" s="27"/>
      <c r="DJ406" s="27"/>
      <c r="DK406" s="27"/>
      <c r="DL406" s="27"/>
      <c r="DM406" s="27"/>
      <c r="DN406" s="27"/>
      <c r="DO406" s="27"/>
      <c r="DP406" s="27"/>
      <c r="DQ406" s="27"/>
      <c r="DR406" s="27"/>
      <c r="DS406" s="27"/>
      <c r="DT406" s="27"/>
    </row>
    <row r="407" spans="2:124" x14ac:dyDescent="0.2">
      <c r="B407" s="27"/>
      <c r="C407" s="27"/>
      <c r="D407" s="27"/>
      <c r="E407" s="27"/>
      <c r="F407" s="27"/>
      <c r="G407" s="27"/>
      <c r="H407" s="27"/>
      <c r="I407" s="27"/>
      <c r="J407" s="27"/>
      <c r="K407" s="27"/>
      <c r="L407" s="27"/>
      <c r="M407" s="27"/>
      <c r="N407" s="27"/>
      <c r="O407" s="27"/>
      <c r="P407" s="27"/>
      <c r="Q407" s="27"/>
      <c r="R407" s="27"/>
      <c r="S407" s="27"/>
      <c r="T407" s="27"/>
      <c r="U407" s="27"/>
      <c r="V407" s="27"/>
      <c r="W407" s="27"/>
      <c r="X407" s="27"/>
      <c r="Y407" s="27"/>
      <c r="Z407" s="27"/>
      <c r="AA407" s="27"/>
      <c r="AB407" s="27"/>
      <c r="AC407" s="27"/>
      <c r="AD407" s="27"/>
      <c r="AE407" s="27"/>
      <c r="AF407" s="27"/>
      <c r="AG407" s="27"/>
      <c r="AH407" s="27"/>
      <c r="AI407" s="27"/>
      <c r="AJ407" s="27"/>
      <c r="AK407" s="27"/>
      <c r="AL407" s="27"/>
      <c r="AM407" s="27"/>
      <c r="AN407" s="27"/>
      <c r="AO407" s="27"/>
      <c r="AP407" s="27"/>
      <c r="AQ407" s="27"/>
      <c r="AR407" s="27"/>
      <c r="AS407" s="27"/>
      <c r="AT407" s="27"/>
      <c r="AU407" s="27"/>
      <c r="AV407" s="27"/>
      <c r="AW407" s="27"/>
      <c r="AX407" s="27"/>
      <c r="AY407" s="27"/>
      <c r="AZ407" s="27"/>
      <c r="BA407" s="27"/>
      <c r="BB407" s="27"/>
      <c r="BC407" s="27"/>
      <c r="BD407" s="27"/>
      <c r="BE407" s="27"/>
      <c r="BF407" s="27"/>
      <c r="BG407" s="27"/>
      <c r="BH407" s="27"/>
      <c r="BI407" s="27"/>
      <c r="BJ407" s="27"/>
      <c r="BK407" s="27"/>
      <c r="BL407" s="27"/>
      <c r="BM407" s="27"/>
      <c r="BN407" s="27"/>
      <c r="BO407" s="27"/>
      <c r="BP407" s="27"/>
      <c r="BQ407" s="27"/>
      <c r="BR407" s="27"/>
      <c r="BS407" s="27"/>
      <c r="BT407" s="27"/>
      <c r="BU407" s="27"/>
      <c r="BV407" s="27"/>
      <c r="BW407" s="27"/>
      <c r="BX407" s="27"/>
      <c r="BY407" s="27"/>
      <c r="BZ407" s="27"/>
      <c r="CA407" s="27"/>
      <c r="CB407" s="27"/>
      <c r="CC407" s="27"/>
      <c r="CD407" s="27"/>
      <c r="CE407" s="27"/>
      <c r="CF407" s="27"/>
      <c r="CG407" s="27"/>
      <c r="CH407" s="27"/>
      <c r="CI407" s="27"/>
      <c r="CJ407" s="27"/>
      <c r="CK407" s="27"/>
      <c r="CL407" s="27"/>
      <c r="CM407" s="27"/>
      <c r="CN407" s="27"/>
      <c r="CO407" s="27"/>
      <c r="CP407" s="27"/>
      <c r="CQ407" s="27"/>
      <c r="CR407" s="27"/>
      <c r="CS407" s="27"/>
      <c r="CT407" s="27"/>
      <c r="CU407" s="27"/>
      <c r="CV407" s="27"/>
      <c r="CW407" s="27"/>
      <c r="CX407" s="27"/>
      <c r="CY407" s="27"/>
      <c r="CZ407" s="27"/>
      <c r="DA407" s="27"/>
      <c r="DB407" s="27"/>
      <c r="DC407" s="27"/>
      <c r="DD407" s="27"/>
      <c r="DE407" s="27"/>
      <c r="DF407" s="27"/>
      <c r="DG407" s="27"/>
      <c r="DH407" s="27"/>
      <c r="DI407" s="27"/>
      <c r="DJ407" s="27"/>
      <c r="DK407" s="27"/>
      <c r="DL407" s="27"/>
      <c r="DM407" s="27"/>
      <c r="DN407" s="27"/>
      <c r="DO407" s="27"/>
      <c r="DP407" s="27"/>
      <c r="DQ407" s="27"/>
      <c r="DR407" s="27"/>
      <c r="DS407" s="27"/>
      <c r="DT407" s="27"/>
    </row>
    <row r="408" spans="2:124" x14ac:dyDescent="0.2">
      <c r="B408" s="27"/>
      <c r="C408" s="27"/>
      <c r="D408" s="27"/>
      <c r="E408" s="27"/>
      <c r="F408" s="27"/>
      <c r="G408" s="27"/>
      <c r="H408" s="27"/>
      <c r="I408" s="27"/>
      <c r="J408" s="27"/>
      <c r="K408" s="27"/>
      <c r="L408" s="27"/>
      <c r="M408" s="27"/>
      <c r="N408" s="27"/>
      <c r="O408" s="27"/>
      <c r="P408" s="27"/>
      <c r="Q408" s="27"/>
      <c r="R408" s="27"/>
      <c r="S408" s="27"/>
      <c r="T408" s="27"/>
      <c r="U408" s="27"/>
      <c r="V408" s="27"/>
      <c r="W408" s="27"/>
      <c r="X408" s="27"/>
      <c r="Y408" s="27"/>
      <c r="Z408" s="27"/>
      <c r="AA408" s="27"/>
      <c r="AB408" s="27"/>
      <c r="AC408" s="27"/>
      <c r="AD408" s="27"/>
      <c r="AE408" s="27"/>
      <c r="AF408" s="27"/>
      <c r="AG408" s="27"/>
      <c r="AH408" s="27"/>
      <c r="AI408" s="27"/>
      <c r="AJ408" s="27"/>
      <c r="AK408" s="27"/>
      <c r="AL408" s="27"/>
      <c r="AM408" s="27"/>
      <c r="AN408" s="27"/>
      <c r="AO408" s="27"/>
      <c r="AP408" s="27"/>
      <c r="AQ408" s="27"/>
      <c r="AR408" s="27"/>
      <c r="AS408" s="27"/>
      <c r="AT408" s="27"/>
      <c r="AU408" s="27"/>
      <c r="AV408" s="27"/>
      <c r="AW408" s="27"/>
      <c r="AX408" s="27"/>
      <c r="AY408" s="27"/>
      <c r="AZ408" s="27"/>
      <c r="BA408" s="27"/>
      <c r="BB408" s="27"/>
      <c r="BC408" s="27"/>
      <c r="BD408" s="27"/>
      <c r="BE408" s="27"/>
      <c r="BF408" s="27"/>
      <c r="BG408" s="27"/>
      <c r="BH408" s="27"/>
      <c r="BI408" s="27"/>
      <c r="BJ408" s="27"/>
      <c r="BK408" s="27"/>
      <c r="BL408" s="27"/>
      <c r="BM408" s="27"/>
      <c r="BN408" s="27"/>
      <c r="BO408" s="27"/>
      <c r="BP408" s="27"/>
      <c r="BQ408" s="27"/>
      <c r="BR408" s="27"/>
      <c r="BS408" s="27"/>
      <c r="BT408" s="27"/>
      <c r="BU408" s="27"/>
      <c r="BV408" s="27"/>
      <c r="BW408" s="27"/>
      <c r="BX408" s="27"/>
      <c r="BY408" s="27"/>
      <c r="BZ408" s="27"/>
      <c r="CA408" s="27"/>
      <c r="CB408" s="27"/>
      <c r="CC408" s="27"/>
      <c r="CD408" s="27"/>
      <c r="CE408" s="27"/>
      <c r="CF408" s="27"/>
      <c r="CG408" s="27"/>
      <c r="CH408" s="27"/>
      <c r="CI408" s="27"/>
      <c r="CJ408" s="27"/>
      <c r="CK408" s="27"/>
      <c r="CL408" s="27"/>
      <c r="CM408" s="27"/>
      <c r="CN408" s="27"/>
      <c r="CO408" s="27"/>
      <c r="CP408" s="27"/>
      <c r="CQ408" s="27"/>
      <c r="CR408" s="27"/>
      <c r="CS408" s="27"/>
      <c r="CT408" s="27"/>
      <c r="CU408" s="27"/>
      <c r="CV408" s="27"/>
      <c r="CW408" s="27"/>
      <c r="CX408" s="27"/>
      <c r="CY408" s="27"/>
      <c r="CZ408" s="27"/>
      <c r="DA408" s="27"/>
      <c r="DB408" s="27"/>
      <c r="DC408" s="27"/>
      <c r="DD408" s="27"/>
      <c r="DE408" s="27"/>
      <c r="DF408" s="27"/>
      <c r="DG408" s="27"/>
      <c r="DH408" s="27"/>
      <c r="DI408" s="27"/>
      <c r="DJ408" s="27"/>
      <c r="DK408" s="27"/>
      <c r="DL408" s="27"/>
      <c r="DM408" s="27"/>
      <c r="DN408" s="27"/>
      <c r="DO408" s="27"/>
      <c r="DP408" s="27"/>
      <c r="DQ408" s="27"/>
      <c r="DR408" s="27"/>
      <c r="DS408" s="27"/>
      <c r="DT408" s="27"/>
    </row>
    <row r="409" spans="2:124" x14ac:dyDescent="0.2">
      <c r="B409" s="27"/>
      <c r="C409" s="27"/>
      <c r="D409" s="27"/>
      <c r="E409" s="27"/>
      <c r="F409" s="27"/>
      <c r="G409" s="27"/>
      <c r="H409" s="27"/>
      <c r="I409" s="27"/>
      <c r="J409" s="27"/>
      <c r="K409" s="27"/>
      <c r="L409" s="27"/>
      <c r="M409" s="27"/>
      <c r="N409" s="27"/>
      <c r="O409" s="27"/>
      <c r="P409" s="27"/>
      <c r="Q409" s="27"/>
      <c r="R409" s="27"/>
      <c r="S409" s="27"/>
      <c r="T409" s="27"/>
      <c r="U409" s="27"/>
      <c r="V409" s="27"/>
      <c r="W409" s="27"/>
      <c r="X409" s="27"/>
      <c r="Y409" s="27"/>
      <c r="Z409" s="27"/>
      <c r="AA409" s="27"/>
      <c r="AB409" s="27"/>
      <c r="AC409" s="27"/>
      <c r="AD409" s="27"/>
      <c r="AE409" s="27"/>
      <c r="AF409" s="27"/>
      <c r="AG409" s="27"/>
      <c r="AH409" s="27"/>
      <c r="AI409" s="27"/>
      <c r="AJ409" s="27"/>
      <c r="AK409" s="27"/>
      <c r="AL409" s="27"/>
      <c r="AM409" s="27"/>
      <c r="AN409" s="27"/>
      <c r="AO409" s="27"/>
      <c r="AP409" s="27"/>
      <c r="AQ409" s="27"/>
      <c r="AR409" s="27"/>
      <c r="AS409" s="27"/>
      <c r="AT409" s="27"/>
      <c r="AU409" s="27"/>
      <c r="AV409" s="27"/>
      <c r="AW409" s="27"/>
      <c r="AX409" s="27"/>
      <c r="AY409" s="27"/>
      <c r="AZ409" s="27"/>
      <c r="BA409" s="27"/>
      <c r="BB409" s="27"/>
      <c r="BC409" s="27"/>
      <c r="BD409" s="27"/>
      <c r="BE409" s="27"/>
      <c r="BF409" s="27"/>
      <c r="BG409" s="27"/>
      <c r="BH409" s="27"/>
      <c r="BI409" s="27"/>
      <c r="BJ409" s="27"/>
      <c r="BK409" s="27"/>
      <c r="BL409" s="27"/>
      <c r="BM409" s="27"/>
      <c r="BN409" s="27"/>
      <c r="BO409" s="27"/>
      <c r="BP409" s="27"/>
      <c r="BQ409" s="27"/>
      <c r="BR409" s="27"/>
      <c r="BS409" s="27"/>
      <c r="BT409" s="27"/>
      <c r="BU409" s="27"/>
      <c r="BV409" s="27"/>
      <c r="BW409" s="27"/>
      <c r="BX409" s="27"/>
      <c r="BY409" s="27"/>
      <c r="BZ409" s="27"/>
      <c r="CA409" s="27"/>
      <c r="CB409" s="27"/>
      <c r="CC409" s="27"/>
      <c r="CD409" s="27"/>
      <c r="CE409" s="27"/>
      <c r="CF409" s="27"/>
      <c r="CG409" s="27"/>
      <c r="CH409" s="27"/>
      <c r="CI409" s="27"/>
      <c r="CJ409" s="27"/>
      <c r="CK409" s="27"/>
      <c r="CL409" s="27"/>
      <c r="CM409" s="27"/>
      <c r="CN409" s="27"/>
      <c r="CO409" s="27"/>
      <c r="CP409" s="27"/>
      <c r="CQ409" s="27"/>
      <c r="CR409" s="27"/>
      <c r="CS409" s="27"/>
      <c r="CT409" s="27"/>
      <c r="CU409" s="27"/>
      <c r="CV409" s="27"/>
      <c r="CW409" s="27"/>
      <c r="CX409" s="27"/>
      <c r="CY409" s="27"/>
      <c r="CZ409" s="27"/>
      <c r="DA409" s="27"/>
      <c r="DB409" s="27"/>
      <c r="DC409" s="27"/>
      <c r="DD409" s="27"/>
      <c r="DE409" s="27"/>
      <c r="DF409" s="27"/>
      <c r="DG409" s="27"/>
      <c r="DH409" s="27"/>
      <c r="DI409" s="27"/>
      <c r="DJ409" s="27"/>
      <c r="DK409" s="27"/>
      <c r="DL409" s="27"/>
      <c r="DM409" s="27"/>
      <c r="DN409" s="27"/>
      <c r="DO409" s="27"/>
      <c r="DP409" s="27"/>
      <c r="DQ409" s="27"/>
      <c r="DR409" s="27"/>
      <c r="DS409" s="27"/>
      <c r="DT409" s="27"/>
    </row>
    <row r="410" spans="2:124" x14ac:dyDescent="0.2">
      <c r="B410" s="27"/>
      <c r="C410" s="27"/>
      <c r="D410" s="27"/>
      <c r="E410" s="27"/>
      <c r="F410" s="27"/>
      <c r="G410" s="27"/>
      <c r="H410" s="27"/>
      <c r="I410" s="27"/>
      <c r="J410" s="27"/>
      <c r="K410" s="27"/>
      <c r="L410" s="27"/>
      <c r="M410" s="27"/>
      <c r="N410" s="27"/>
      <c r="O410" s="27"/>
      <c r="P410" s="27"/>
      <c r="Q410" s="27"/>
      <c r="R410" s="27"/>
      <c r="S410" s="27"/>
      <c r="T410" s="27"/>
      <c r="U410" s="27"/>
      <c r="V410" s="27"/>
      <c r="W410" s="27"/>
      <c r="X410" s="27"/>
      <c r="Y410" s="27"/>
      <c r="Z410" s="27"/>
      <c r="AA410" s="27"/>
      <c r="AB410" s="27"/>
      <c r="AC410" s="27"/>
      <c r="AD410" s="27"/>
      <c r="AE410" s="27"/>
      <c r="AF410" s="27"/>
      <c r="AG410" s="27"/>
      <c r="AH410" s="27"/>
      <c r="AI410" s="27"/>
      <c r="AJ410" s="27"/>
      <c r="AK410" s="27"/>
      <c r="AL410" s="27"/>
      <c r="AM410" s="27"/>
      <c r="AN410" s="27"/>
      <c r="AO410" s="27"/>
      <c r="AP410" s="27"/>
      <c r="AQ410" s="27"/>
      <c r="AR410" s="27"/>
      <c r="AS410" s="27"/>
      <c r="AT410" s="27"/>
      <c r="AU410" s="27"/>
      <c r="AV410" s="27"/>
      <c r="AW410" s="27"/>
      <c r="AX410" s="27"/>
      <c r="AY410" s="27"/>
      <c r="AZ410" s="27"/>
      <c r="BA410" s="27"/>
      <c r="BB410" s="27"/>
      <c r="BC410" s="27"/>
      <c r="BD410" s="27"/>
      <c r="BE410" s="27"/>
      <c r="BF410" s="27"/>
      <c r="BG410" s="27"/>
      <c r="BH410" s="27"/>
      <c r="BI410" s="27"/>
      <c r="BJ410" s="27"/>
      <c r="BK410" s="27"/>
      <c r="BL410" s="27"/>
      <c r="BM410" s="27"/>
      <c r="BN410" s="27"/>
      <c r="BO410" s="27"/>
      <c r="BP410" s="27"/>
      <c r="BQ410" s="27"/>
      <c r="BR410" s="27"/>
      <c r="BS410" s="27"/>
      <c r="BT410" s="27"/>
      <c r="BU410" s="27"/>
      <c r="BV410" s="27"/>
      <c r="BW410" s="27"/>
      <c r="BX410" s="27"/>
      <c r="BY410" s="27"/>
      <c r="BZ410" s="27"/>
      <c r="CA410" s="27"/>
      <c r="CB410" s="27"/>
      <c r="CC410" s="27"/>
      <c r="CD410" s="27"/>
      <c r="CE410" s="27"/>
      <c r="CF410" s="27"/>
      <c r="CG410" s="27"/>
      <c r="CH410" s="27"/>
      <c r="CI410" s="27"/>
      <c r="CJ410" s="27"/>
      <c r="CK410" s="27"/>
      <c r="CL410" s="27"/>
      <c r="CM410" s="27"/>
      <c r="CN410" s="27"/>
      <c r="CO410" s="27"/>
      <c r="CP410" s="27"/>
      <c r="CQ410" s="27"/>
      <c r="CR410" s="27"/>
      <c r="CS410" s="27"/>
      <c r="CT410" s="27"/>
      <c r="CU410" s="27"/>
      <c r="CV410" s="27"/>
      <c r="CW410" s="27"/>
      <c r="CX410" s="27"/>
      <c r="CY410" s="27"/>
      <c r="CZ410" s="27"/>
      <c r="DA410" s="27"/>
      <c r="DB410" s="27"/>
      <c r="DC410" s="27"/>
      <c r="DD410" s="27"/>
      <c r="DE410" s="27"/>
      <c r="DF410" s="27"/>
      <c r="DG410" s="27"/>
      <c r="DH410" s="27"/>
      <c r="DI410" s="27"/>
      <c r="DJ410" s="27"/>
      <c r="DK410" s="27"/>
      <c r="DL410" s="27"/>
      <c r="DM410" s="27"/>
      <c r="DN410" s="27"/>
      <c r="DO410" s="27"/>
      <c r="DP410" s="27"/>
      <c r="DQ410" s="27"/>
      <c r="DR410" s="27"/>
      <c r="DS410" s="27"/>
      <c r="DT410" s="27"/>
    </row>
    <row r="411" spans="2:124" x14ac:dyDescent="0.2">
      <c r="B411" s="27"/>
      <c r="C411" s="27"/>
      <c r="D411" s="27"/>
      <c r="E411" s="27"/>
      <c r="F411" s="27"/>
      <c r="G411" s="27"/>
      <c r="H411" s="27"/>
      <c r="I411" s="27"/>
      <c r="J411" s="27"/>
      <c r="K411" s="27"/>
      <c r="L411" s="27"/>
      <c r="M411" s="27"/>
      <c r="N411" s="27"/>
      <c r="O411" s="27"/>
      <c r="P411" s="27"/>
      <c r="Q411" s="27"/>
      <c r="R411" s="27"/>
      <c r="S411" s="27"/>
      <c r="T411" s="27"/>
      <c r="U411" s="27"/>
      <c r="V411" s="27"/>
      <c r="W411" s="27"/>
      <c r="X411" s="27"/>
      <c r="Y411" s="27"/>
      <c r="Z411" s="27"/>
      <c r="AA411" s="27"/>
      <c r="AB411" s="27"/>
      <c r="AC411" s="27"/>
      <c r="AD411" s="27"/>
      <c r="AE411" s="27"/>
      <c r="AF411" s="27"/>
      <c r="AG411" s="27"/>
      <c r="AH411" s="27"/>
      <c r="AI411" s="27"/>
      <c r="AJ411" s="27"/>
      <c r="AK411" s="27"/>
      <c r="AL411" s="27"/>
      <c r="AM411" s="27"/>
      <c r="AN411" s="27"/>
      <c r="AO411" s="27"/>
      <c r="AP411" s="27"/>
      <c r="AQ411" s="27"/>
      <c r="AR411" s="27"/>
      <c r="AS411" s="27"/>
      <c r="AT411" s="27"/>
      <c r="AU411" s="27"/>
      <c r="AV411" s="27"/>
      <c r="AW411" s="27"/>
      <c r="AX411" s="27"/>
      <c r="AY411" s="27"/>
      <c r="AZ411" s="27"/>
      <c r="BA411" s="27"/>
      <c r="BB411" s="27"/>
      <c r="BC411" s="27"/>
      <c r="BD411" s="27"/>
      <c r="BE411" s="27"/>
      <c r="BF411" s="27"/>
      <c r="BG411" s="27"/>
      <c r="BH411" s="27"/>
      <c r="BI411" s="27"/>
      <c r="BJ411" s="27"/>
      <c r="BK411" s="27"/>
      <c r="BL411" s="27"/>
      <c r="BM411" s="27"/>
      <c r="BN411" s="27"/>
      <c r="BO411" s="27"/>
      <c r="BP411" s="27"/>
      <c r="BQ411" s="27"/>
      <c r="BR411" s="27"/>
      <c r="BS411" s="27"/>
      <c r="BT411" s="27"/>
      <c r="BU411" s="27"/>
      <c r="BV411" s="27"/>
      <c r="BW411" s="27"/>
      <c r="BX411" s="27"/>
      <c r="BY411" s="27"/>
      <c r="BZ411" s="27"/>
      <c r="CA411" s="27"/>
      <c r="CB411" s="27"/>
      <c r="CC411" s="27"/>
      <c r="CD411" s="27"/>
      <c r="CE411" s="27"/>
      <c r="CF411" s="27"/>
      <c r="CG411" s="27"/>
      <c r="CH411" s="27"/>
      <c r="CI411" s="27"/>
      <c r="CJ411" s="27"/>
      <c r="CK411" s="27"/>
      <c r="CL411" s="27"/>
      <c r="CM411" s="27"/>
      <c r="CN411" s="27"/>
      <c r="CO411" s="27"/>
      <c r="CP411" s="27"/>
      <c r="CQ411" s="27"/>
      <c r="CR411" s="27"/>
      <c r="CS411" s="27"/>
      <c r="CT411" s="27"/>
      <c r="CU411" s="27"/>
      <c r="CV411" s="27"/>
      <c r="CW411" s="27"/>
      <c r="CX411" s="27"/>
      <c r="CY411" s="27"/>
      <c r="CZ411" s="27"/>
      <c r="DA411" s="27"/>
      <c r="DB411" s="27"/>
      <c r="DC411" s="27"/>
      <c r="DD411" s="27"/>
      <c r="DE411" s="27"/>
      <c r="DF411" s="27"/>
      <c r="DG411" s="27"/>
      <c r="DH411" s="27"/>
      <c r="DI411" s="27"/>
      <c r="DJ411" s="27"/>
      <c r="DK411" s="27"/>
      <c r="DL411" s="27"/>
      <c r="DM411" s="27"/>
      <c r="DN411" s="27"/>
      <c r="DO411" s="27"/>
      <c r="DP411" s="27"/>
      <c r="DQ411" s="27"/>
      <c r="DR411" s="27"/>
      <c r="DS411" s="27"/>
      <c r="DT411" s="27"/>
    </row>
    <row r="412" spans="2:124" x14ac:dyDescent="0.2">
      <c r="B412" s="27"/>
      <c r="C412" s="27"/>
      <c r="D412" s="27"/>
      <c r="E412" s="27"/>
      <c r="F412" s="27"/>
      <c r="G412" s="27"/>
      <c r="H412" s="27"/>
      <c r="I412" s="27"/>
      <c r="J412" s="27"/>
      <c r="K412" s="27"/>
      <c r="L412" s="27"/>
      <c r="M412" s="27"/>
      <c r="N412" s="27"/>
      <c r="O412" s="27"/>
      <c r="P412" s="27"/>
      <c r="Q412" s="27"/>
      <c r="R412" s="27"/>
      <c r="S412" s="27"/>
      <c r="T412" s="27"/>
      <c r="U412" s="27"/>
      <c r="V412" s="27"/>
      <c r="W412" s="27"/>
      <c r="X412" s="27"/>
      <c r="Y412" s="27"/>
      <c r="Z412" s="27"/>
      <c r="AA412" s="27"/>
      <c r="AB412" s="27"/>
      <c r="AC412" s="27"/>
      <c r="AD412" s="27"/>
      <c r="AE412" s="27"/>
      <c r="AF412" s="27"/>
      <c r="AG412" s="27"/>
      <c r="AH412" s="27"/>
      <c r="AI412" s="27"/>
      <c r="AJ412" s="27"/>
      <c r="AK412" s="27"/>
      <c r="AL412" s="27"/>
      <c r="AM412" s="27"/>
      <c r="AN412" s="27"/>
      <c r="AO412" s="27"/>
      <c r="AP412" s="27"/>
      <c r="AQ412" s="27"/>
      <c r="AR412" s="27"/>
      <c r="AS412" s="27"/>
      <c r="AT412" s="27"/>
      <c r="AU412" s="27"/>
      <c r="AV412" s="27"/>
      <c r="AW412" s="27"/>
      <c r="AX412" s="27"/>
      <c r="AY412" s="27"/>
      <c r="AZ412" s="27"/>
      <c r="BA412" s="27"/>
      <c r="BB412" s="27"/>
      <c r="BC412" s="27"/>
      <c r="BD412" s="27"/>
      <c r="BE412" s="27"/>
      <c r="BF412" s="27"/>
      <c r="BG412" s="27"/>
      <c r="BH412" s="27"/>
      <c r="BI412" s="27"/>
      <c r="BJ412" s="27"/>
      <c r="BK412" s="27"/>
      <c r="BL412" s="27"/>
      <c r="BM412" s="27"/>
      <c r="BN412" s="27"/>
      <c r="BO412" s="27"/>
      <c r="BP412" s="27"/>
      <c r="BQ412" s="27"/>
      <c r="BR412" s="27"/>
      <c r="BS412" s="27"/>
      <c r="BT412" s="27"/>
      <c r="BU412" s="27"/>
      <c r="BV412" s="27"/>
      <c r="BW412" s="27"/>
      <c r="BX412" s="27"/>
      <c r="BY412" s="27"/>
      <c r="BZ412" s="27"/>
      <c r="CA412" s="27"/>
      <c r="CB412" s="27"/>
      <c r="CC412" s="27"/>
      <c r="CD412" s="27"/>
      <c r="CE412" s="27"/>
      <c r="CF412" s="27"/>
      <c r="CG412" s="27"/>
      <c r="CH412" s="27"/>
      <c r="CI412" s="27"/>
      <c r="CJ412" s="27"/>
      <c r="CK412" s="27"/>
      <c r="CL412" s="27"/>
      <c r="CM412" s="27"/>
      <c r="CN412" s="27"/>
      <c r="CO412" s="27"/>
      <c r="CP412" s="27"/>
      <c r="CQ412" s="27"/>
      <c r="CR412" s="27"/>
      <c r="CS412" s="27"/>
      <c r="CT412" s="27"/>
      <c r="CU412" s="27"/>
      <c r="CV412" s="27"/>
      <c r="CW412" s="27"/>
      <c r="CX412" s="27"/>
      <c r="CY412" s="27"/>
      <c r="CZ412" s="27"/>
      <c r="DA412" s="27"/>
      <c r="DB412" s="27"/>
      <c r="DC412" s="27"/>
      <c r="DD412" s="27"/>
      <c r="DE412" s="27"/>
      <c r="DF412" s="27"/>
      <c r="DG412" s="27"/>
      <c r="DH412" s="27"/>
      <c r="DI412" s="27"/>
      <c r="DJ412" s="27"/>
      <c r="DK412" s="27"/>
      <c r="DL412" s="27"/>
      <c r="DM412" s="27"/>
      <c r="DN412" s="27"/>
      <c r="DO412" s="27"/>
      <c r="DP412" s="27"/>
      <c r="DQ412" s="27"/>
      <c r="DR412" s="27"/>
      <c r="DS412" s="27"/>
      <c r="DT412" s="27"/>
    </row>
    <row r="413" spans="2:124" x14ac:dyDescent="0.2">
      <c r="B413" s="27"/>
      <c r="C413" s="27"/>
      <c r="D413" s="27"/>
      <c r="E413" s="27"/>
      <c r="F413" s="27"/>
      <c r="G413" s="27"/>
      <c r="H413" s="27"/>
      <c r="I413" s="27"/>
      <c r="J413" s="27"/>
      <c r="K413" s="27"/>
      <c r="L413" s="27"/>
      <c r="M413" s="27"/>
      <c r="N413" s="27"/>
      <c r="O413" s="27"/>
      <c r="P413" s="27"/>
      <c r="Q413" s="27"/>
      <c r="R413" s="27"/>
      <c r="S413" s="27"/>
      <c r="T413" s="27"/>
      <c r="U413" s="27"/>
      <c r="V413" s="27"/>
      <c r="W413" s="27"/>
      <c r="X413" s="27"/>
      <c r="Y413" s="27"/>
      <c r="Z413" s="27"/>
      <c r="AA413" s="27"/>
      <c r="AB413" s="27"/>
      <c r="AC413" s="27"/>
      <c r="AD413" s="27"/>
      <c r="AE413" s="27"/>
      <c r="AF413" s="27"/>
      <c r="AG413" s="27"/>
      <c r="AH413" s="27"/>
      <c r="AI413" s="27"/>
      <c r="AJ413" s="27"/>
      <c r="AK413" s="27"/>
      <c r="AL413" s="27"/>
      <c r="AM413" s="27"/>
      <c r="AN413" s="27"/>
      <c r="AO413" s="27"/>
      <c r="AP413" s="27"/>
      <c r="AQ413" s="27"/>
      <c r="AR413" s="27"/>
      <c r="AS413" s="27"/>
      <c r="AT413" s="27"/>
      <c r="AU413" s="27"/>
      <c r="AV413" s="27"/>
      <c r="AW413" s="27"/>
      <c r="AX413" s="27"/>
      <c r="AY413" s="27"/>
      <c r="AZ413" s="27"/>
      <c r="BA413" s="27"/>
      <c r="BB413" s="27"/>
      <c r="BC413" s="27"/>
      <c r="BD413" s="27"/>
      <c r="BE413" s="27"/>
      <c r="BF413" s="27"/>
      <c r="BG413" s="27"/>
      <c r="BH413" s="27"/>
      <c r="BI413" s="27"/>
      <c r="BJ413" s="27"/>
      <c r="BK413" s="27"/>
      <c r="BL413" s="27"/>
      <c r="BM413" s="27"/>
      <c r="BN413" s="27"/>
      <c r="BO413" s="27"/>
      <c r="BP413" s="27"/>
      <c r="BQ413" s="27"/>
      <c r="BR413" s="27"/>
      <c r="BS413" s="27"/>
      <c r="BT413" s="27"/>
      <c r="BU413" s="27"/>
      <c r="BV413" s="27"/>
      <c r="BW413" s="27"/>
      <c r="BX413" s="27"/>
      <c r="BY413" s="27"/>
      <c r="BZ413" s="27"/>
      <c r="CA413" s="27"/>
      <c r="CB413" s="27"/>
      <c r="CC413" s="27"/>
      <c r="CD413" s="27"/>
      <c r="CE413" s="27"/>
      <c r="CF413" s="27"/>
      <c r="CG413" s="27"/>
      <c r="CH413" s="27"/>
      <c r="CI413" s="27"/>
      <c r="CJ413" s="27"/>
      <c r="CK413" s="27"/>
      <c r="CL413" s="27"/>
      <c r="CM413" s="27"/>
      <c r="CN413" s="27"/>
      <c r="CO413" s="27"/>
      <c r="CP413" s="27"/>
      <c r="CQ413" s="27"/>
      <c r="CR413" s="27"/>
      <c r="CS413" s="27"/>
      <c r="CT413" s="27"/>
      <c r="CU413" s="27"/>
      <c r="CV413" s="27"/>
      <c r="CW413" s="27"/>
      <c r="CX413" s="27"/>
      <c r="CY413" s="27"/>
      <c r="CZ413" s="27"/>
      <c r="DA413" s="27"/>
      <c r="DB413" s="27"/>
      <c r="DC413" s="27"/>
      <c r="DD413" s="27"/>
      <c r="DE413" s="27"/>
      <c r="DF413" s="27"/>
      <c r="DG413" s="27"/>
      <c r="DH413" s="27"/>
      <c r="DI413" s="27"/>
      <c r="DJ413" s="27"/>
      <c r="DK413" s="27"/>
      <c r="DL413" s="27"/>
      <c r="DM413" s="27"/>
      <c r="DN413" s="27"/>
      <c r="DO413" s="27"/>
      <c r="DP413" s="27"/>
      <c r="DQ413" s="27"/>
      <c r="DR413" s="27"/>
      <c r="DS413" s="27"/>
      <c r="DT413" s="27"/>
    </row>
    <row r="414" spans="2:124" x14ac:dyDescent="0.2">
      <c r="B414" s="27"/>
      <c r="C414" s="27"/>
      <c r="D414" s="27"/>
      <c r="E414" s="27"/>
      <c r="F414" s="27"/>
      <c r="G414" s="27"/>
      <c r="H414" s="27"/>
      <c r="I414" s="27"/>
      <c r="J414" s="27"/>
      <c r="K414" s="27"/>
      <c r="L414" s="27"/>
      <c r="M414" s="27"/>
      <c r="N414" s="27"/>
      <c r="O414" s="27"/>
      <c r="P414" s="27"/>
      <c r="Q414" s="27"/>
      <c r="R414" s="27"/>
      <c r="S414" s="27"/>
      <c r="T414" s="27"/>
      <c r="U414" s="27"/>
      <c r="V414" s="27"/>
      <c r="W414" s="27"/>
      <c r="X414" s="27"/>
      <c r="Y414" s="27"/>
      <c r="Z414" s="27"/>
      <c r="AA414" s="27"/>
      <c r="AB414" s="27"/>
      <c r="AC414" s="27"/>
      <c r="AD414" s="27"/>
      <c r="AE414" s="27"/>
      <c r="AF414" s="27"/>
      <c r="AG414" s="27"/>
      <c r="AH414" s="27"/>
      <c r="AI414" s="27"/>
      <c r="AJ414" s="27"/>
      <c r="AK414" s="27"/>
      <c r="AL414" s="27"/>
      <c r="AM414" s="27"/>
      <c r="AN414" s="27"/>
      <c r="AO414" s="27"/>
      <c r="AP414" s="27"/>
      <c r="AQ414" s="27"/>
      <c r="AR414" s="27"/>
      <c r="AS414" s="27"/>
      <c r="AT414" s="27"/>
      <c r="AU414" s="27"/>
      <c r="AV414" s="27"/>
      <c r="AW414" s="27"/>
      <c r="AX414" s="27"/>
      <c r="AY414" s="27"/>
      <c r="AZ414" s="27"/>
      <c r="BA414" s="27"/>
      <c r="BB414" s="27"/>
      <c r="BC414" s="27"/>
      <c r="BD414" s="27"/>
      <c r="BE414" s="27"/>
      <c r="BF414" s="27"/>
      <c r="BG414" s="27"/>
      <c r="BH414" s="27"/>
      <c r="BI414" s="27"/>
      <c r="BJ414" s="27"/>
      <c r="BK414" s="27"/>
      <c r="BL414" s="27"/>
      <c r="BM414" s="27"/>
      <c r="BN414" s="27"/>
      <c r="BO414" s="27"/>
      <c r="BP414" s="27"/>
      <c r="BQ414" s="27"/>
      <c r="BR414" s="27"/>
      <c r="BS414" s="27"/>
      <c r="BT414" s="27"/>
      <c r="BU414" s="27"/>
      <c r="BV414" s="27"/>
      <c r="BW414" s="27"/>
      <c r="BX414" s="27"/>
      <c r="BY414" s="27"/>
      <c r="BZ414" s="27"/>
      <c r="CA414" s="27"/>
      <c r="CB414" s="27"/>
      <c r="CC414" s="27"/>
      <c r="CD414" s="27"/>
      <c r="CE414" s="27"/>
      <c r="CF414" s="27"/>
      <c r="CG414" s="27"/>
      <c r="CH414" s="27"/>
      <c r="CI414" s="27"/>
      <c r="CJ414" s="27"/>
      <c r="CK414" s="27"/>
      <c r="CL414" s="27"/>
      <c r="CM414" s="27"/>
      <c r="CN414" s="27"/>
      <c r="CO414" s="27"/>
      <c r="CP414" s="27"/>
      <c r="CQ414" s="27"/>
      <c r="CR414" s="27"/>
      <c r="CS414" s="27"/>
      <c r="CT414" s="27"/>
      <c r="CU414" s="27"/>
      <c r="CV414" s="27"/>
      <c r="CW414" s="27"/>
      <c r="CX414" s="27"/>
      <c r="CY414" s="27"/>
      <c r="CZ414" s="27"/>
      <c r="DA414" s="27"/>
      <c r="DB414" s="27"/>
      <c r="DC414" s="27"/>
      <c r="DD414" s="27"/>
      <c r="DE414" s="27"/>
      <c r="DF414" s="27"/>
      <c r="DG414" s="27"/>
      <c r="DH414" s="27"/>
      <c r="DI414" s="27"/>
      <c r="DJ414" s="27"/>
      <c r="DK414" s="27"/>
      <c r="DL414" s="27"/>
      <c r="DM414" s="27"/>
      <c r="DN414" s="27"/>
      <c r="DO414" s="27"/>
      <c r="DP414" s="27"/>
      <c r="DQ414" s="27"/>
      <c r="DR414" s="27"/>
      <c r="DS414" s="27"/>
      <c r="DT414" s="27"/>
    </row>
    <row r="415" spans="2:124" x14ac:dyDescent="0.2">
      <c r="B415" s="27"/>
      <c r="C415" s="27"/>
      <c r="D415" s="27"/>
      <c r="E415" s="27"/>
      <c r="F415" s="27"/>
      <c r="G415" s="27"/>
      <c r="H415" s="27"/>
      <c r="I415" s="27"/>
      <c r="J415" s="27"/>
      <c r="K415" s="27"/>
      <c r="L415" s="27"/>
      <c r="M415" s="27"/>
      <c r="N415" s="27"/>
      <c r="O415" s="27"/>
      <c r="P415" s="27"/>
      <c r="Q415" s="27"/>
      <c r="R415" s="27"/>
      <c r="S415" s="27"/>
      <c r="T415" s="27"/>
      <c r="U415" s="27"/>
      <c r="V415" s="27"/>
      <c r="W415" s="27"/>
      <c r="X415" s="27"/>
      <c r="Y415" s="27"/>
      <c r="Z415" s="27"/>
      <c r="AA415" s="27"/>
      <c r="AB415" s="27"/>
      <c r="AC415" s="27"/>
      <c r="AD415" s="27"/>
      <c r="AE415" s="27"/>
      <c r="AF415" s="27"/>
      <c r="AG415" s="27"/>
      <c r="AH415" s="27"/>
      <c r="AI415" s="27"/>
      <c r="AJ415" s="27"/>
      <c r="AK415" s="27"/>
      <c r="AL415" s="27"/>
      <c r="AM415" s="27"/>
      <c r="AN415" s="27"/>
      <c r="AO415" s="27"/>
      <c r="AP415" s="27"/>
      <c r="AQ415" s="27"/>
      <c r="AR415" s="27"/>
      <c r="AS415" s="27"/>
      <c r="AT415" s="27"/>
      <c r="AU415" s="27"/>
      <c r="AV415" s="27"/>
      <c r="AW415" s="27"/>
      <c r="AX415" s="27"/>
      <c r="AY415" s="27"/>
      <c r="AZ415" s="27"/>
      <c r="BA415" s="27"/>
      <c r="BB415" s="27"/>
      <c r="BC415" s="27"/>
      <c r="BD415" s="27"/>
      <c r="BE415" s="27"/>
      <c r="BF415" s="27"/>
      <c r="BG415" s="27"/>
      <c r="BH415" s="27"/>
      <c r="BI415" s="27"/>
      <c r="BJ415" s="27"/>
      <c r="BK415" s="27"/>
      <c r="BL415" s="27"/>
      <c r="BM415" s="27"/>
      <c r="BN415" s="27"/>
      <c r="BO415" s="27"/>
      <c r="BP415" s="27"/>
      <c r="BQ415" s="27"/>
      <c r="BR415" s="27"/>
      <c r="BS415" s="27"/>
      <c r="BT415" s="27"/>
      <c r="BU415" s="27"/>
      <c r="BV415" s="27"/>
      <c r="BW415" s="27"/>
      <c r="BX415" s="27"/>
      <c r="BY415" s="27"/>
      <c r="BZ415" s="27"/>
      <c r="CA415" s="27"/>
      <c r="CB415" s="27"/>
      <c r="CC415" s="27"/>
      <c r="CD415" s="27"/>
      <c r="CE415" s="27"/>
      <c r="CF415" s="27"/>
      <c r="CG415" s="27"/>
      <c r="CH415" s="27"/>
      <c r="CI415" s="27"/>
      <c r="CJ415" s="27"/>
      <c r="CK415" s="27"/>
      <c r="CL415" s="27"/>
      <c r="CM415" s="27"/>
      <c r="CN415" s="27"/>
      <c r="CO415" s="27"/>
      <c r="CP415" s="27"/>
      <c r="CQ415" s="27"/>
      <c r="CR415" s="27"/>
      <c r="CS415" s="27"/>
      <c r="CT415" s="27"/>
      <c r="CU415" s="27"/>
      <c r="CV415" s="27"/>
      <c r="CW415" s="27"/>
      <c r="CX415" s="27"/>
      <c r="CY415" s="27"/>
      <c r="CZ415" s="27"/>
      <c r="DA415" s="27"/>
      <c r="DB415" s="27"/>
      <c r="DC415" s="27"/>
      <c r="DD415" s="27"/>
      <c r="DE415" s="27"/>
      <c r="DF415" s="27"/>
      <c r="DG415" s="27"/>
      <c r="DH415" s="27"/>
      <c r="DI415" s="27"/>
      <c r="DJ415" s="27"/>
      <c r="DK415" s="27"/>
      <c r="DL415" s="27"/>
      <c r="DM415" s="27"/>
      <c r="DN415" s="27"/>
      <c r="DO415" s="27"/>
      <c r="DP415" s="27"/>
      <c r="DQ415" s="27"/>
      <c r="DR415" s="27"/>
      <c r="DS415" s="27"/>
      <c r="DT415" s="27"/>
    </row>
    <row r="416" spans="2:124" x14ac:dyDescent="0.2">
      <c r="B416" s="27"/>
      <c r="C416" s="27"/>
      <c r="D416" s="27"/>
      <c r="E416" s="27"/>
      <c r="F416" s="27"/>
      <c r="G416" s="27"/>
      <c r="H416" s="27"/>
      <c r="I416" s="27"/>
      <c r="J416" s="27"/>
      <c r="K416" s="27"/>
      <c r="L416" s="27"/>
      <c r="M416" s="27"/>
      <c r="N416" s="27"/>
      <c r="O416" s="27"/>
      <c r="P416" s="27"/>
      <c r="Q416" s="27"/>
      <c r="R416" s="27"/>
      <c r="S416" s="27"/>
      <c r="T416" s="27"/>
      <c r="U416" s="27"/>
      <c r="V416" s="27"/>
      <c r="W416" s="27"/>
      <c r="X416" s="27"/>
      <c r="Y416" s="27"/>
      <c r="Z416" s="27"/>
      <c r="AA416" s="27"/>
      <c r="AB416" s="27"/>
      <c r="AC416" s="27"/>
      <c r="AD416" s="27"/>
      <c r="AE416" s="27"/>
      <c r="AF416" s="27"/>
      <c r="AG416" s="27"/>
      <c r="AH416" s="27"/>
      <c r="AI416" s="27"/>
      <c r="AJ416" s="27"/>
      <c r="AK416" s="27"/>
      <c r="AL416" s="27"/>
      <c r="AM416" s="27"/>
      <c r="AN416" s="27"/>
      <c r="AO416" s="27"/>
      <c r="AP416" s="27"/>
      <c r="AQ416" s="27"/>
      <c r="AR416" s="27"/>
      <c r="AS416" s="27"/>
      <c r="AT416" s="27"/>
      <c r="AU416" s="27"/>
      <c r="AV416" s="27"/>
      <c r="AW416" s="27"/>
      <c r="AX416" s="27"/>
      <c r="AY416" s="27"/>
      <c r="AZ416" s="27"/>
      <c r="BA416" s="27"/>
      <c r="BB416" s="27"/>
      <c r="BC416" s="27"/>
      <c r="BD416" s="27"/>
      <c r="BE416" s="27"/>
      <c r="BF416" s="27"/>
      <c r="BG416" s="27"/>
      <c r="BH416" s="27"/>
      <c r="BI416" s="27"/>
      <c r="BJ416" s="27"/>
      <c r="BK416" s="27"/>
      <c r="BL416" s="27"/>
      <c r="BM416" s="27"/>
      <c r="BN416" s="27"/>
      <c r="BO416" s="27"/>
      <c r="BP416" s="27"/>
      <c r="BQ416" s="27"/>
      <c r="BR416" s="27"/>
      <c r="BS416" s="27"/>
      <c r="BT416" s="27"/>
      <c r="BU416" s="27"/>
      <c r="BV416" s="27"/>
      <c r="BW416" s="27"/>
      <c r="BX416" s="27"/>
      <c r="BY416" s="27"/>
      <c r="BZ416" s="27"/>
      <c r="CA416" s="27"/>
      <c r="CB416" s="27"/>
      <c r="CC416" s="27"/>
      <c r="CD416" s="27"/>
      <c r="CE416" s="27"/>
      <c r="CF416" s="27"/>
      <c r="CG416" s="27"/>
      <c r="CH416" s="27"/>
      <c r="CI416" s="27"/>
      <c r="CJ416" s="27"/>
      <c r="CK416" s="27"/>
      <c r="CL416" s="27"/>
      <c r="CM416" s="27"/>
      <c r="CN416" s="27"/>
      <c r="CO416" s="27"/>
      <c r="CP416" s="27"/>
      <c r="CQ416" s="27"/>
      <c r="CR416" s="27"/>
      <c r="CS416" s="27"/>
      <c r="CT416" s="27"/>
      <c r="CU416" s="27"/>
      <c r="CV416" s="27"/>
      <c r="CW416" s="27"/>
      <c r="CX416" s="27"/>
      <c r="CY416" s="27"/>
      <c r="CZ416" s="27"/>
      <c r="DA416" s="27"/>
      <c r="DB416" s="27"/>
      <c r="DC416" s="27"/>
      <c r="DD416" s="27"/>
      <c r="DE416" s="27"/>
      <c r="DF416" s="27"/>
      <c r="DG416" s="27"/>
      <c r="DH416" s="27"/>
      <c r="DI416" s="27"/>
      <c r="DJ416" s="27"/>
      <c r="DK416" s="27"/>
      <c r="DL416" s="27"/>
      <c r="DM416" s="27"/>
      <c r="DN416" s="27"/>
      <c r="DO416" s="27"/>
      <c r="DP416" s="27"/>
      <c r="DQ416" s="27"/>
      <c r="DR416" s="27"/>
      <c r="DS416" s="27"/>
      <c r="DT416" s="27"/>
    </row>
    <row r="417" spans="2:124" x14ac:dyDescent="0.2">
      <c r="B417" s="27"/>
      <c r="C417" s="27"/>
      <c r="D417" s="27"/>
      <c r="E417" s="27"/>
      <c r="F417" s="27"/>
      <c r="G417" s="27"/>
      <c r="H417" s="27"/>
      <c r="I417" s="27"/>
      <c r="J417" s="27"/>
      <c r="K417" s="27"/>
      <c r="L417" s="27"/>
      <c r="M417" s="27"/>
      <c r="N417" s="27"/>
      <c r="O417" s="27"/>
      <c r="P417" s="27"/>
      <c r="Q417" s="27"/>
      <c r="R417" s="27"/>
      <c r="S417" s="27"/>
      <c r="T417" s="27"/>
      <c r="U417" s="27"/>
      <c r="V417" s="27"/>
      <c r="W417" s="27"/>
      <c r="X417" s="27"/>
      <c r="Y417" s="27"/>
      <c r="Z417" s="27"/>
      <c r="AA417" s="27"/>
      <c r="AB417" s="27"/>
      <c r="AC417" s="27"/>
      <c r="AD417" s="27"/>
      <c r="AE417" s="27"/>
      <c r="AF417" s="27"/>
      <c r="AG417" s="27"/>
      <c r="AH417" s="27"/>
      <c r="AI417" s="27"/>
      <c r="AJ417" s="27"/>
      <c r="AK417" s="27"/>
      <c r="AL417" s="27"/>
      <c r="AM417" s="27"/>
      <c r="AN417" s="27"/>
      <c r="AO417" s="27"/>
      <c r="AP417" s="27"/>
      <c r="AQ417" s="27"/>
      <c r="AR417" s="27"/>
      <c r="AS417" s="27"/>
      <c r="AT417" s="27"/>
      <c r="AU417" s="27"/>
      <c r="AV417" s="27"/>
      <c r="AW417" s="27"/>
      <c r="AX417" s="27"/>
      <c r="AY417" s="27"/>
      <c r="AZ417" s="27"/>
      <c r="BA417" s="27"/>
      <c r="BB417" s="27"/>
      <c r="BC417" s="27"/>
      <c r="BD417" s="27"/>
      <c r="BE417" s="27"/>
      <c r="BF417" s="27"/>
      <c r="BG417" s="27"/>
      <c r="BH417" s="27"/>
      <c r="BI417" s="27"/>
      <c r="BJ417" s="27"/>
      <c r="BK417" s="27"/>
      <c r="BL417" s="27"/>
      <c r="BM417" s="27"/>
      <c r="BN417" s="27"/>
      <c r="BO417" s="27"/>
      <c r="BP417" s="27"/>
      <c r="BQ417" s="27"/>
      <c r="BR417" s="27"/>
      <c r="BS417" s="27"/>
      <c r="BT417" s="27"/>
      <c r="BU417" s="27"/>
      <c r="BV417" s="27"/>
      <c r="BW417" s="27"/>
      <c r="BX417" s="27"/>
      <c r="BY417" s="27"/>
      <c r="BZ417" s="27"/>
      <c r="CA417" s="27"/>
      <c r="CB417" s="27"/>
      <c r="CC417" s="27"/>
      <c r="CD417" s="27"/>
      <c r="CE417" s="27"/>
      <c r="CF417" s="27"/>
      <c r="CG417" s="27"/>
      <c r="CH417" s="27"/>
      <c r="CI417" s="27"/>
      <c r="CJ417" s="27"/>
      <c r="CK417" s="27"/>
      <c r="CL417" s="27"/>
      <c r="CM417" s="27"/>
      <c r="CN417" s="27"/>
      <c r="CO417" s="27"/>
      <c r="CP417" s="27"/>
      <c r="CQ417" s="27"/>
      <c r="CR417" s="27"/>
      <c r="CS417" s="27"/>
      <c r="CT417" s="27"/>
      <c r="CU417" s="27"/>
      <c r="CV417" s="27"/>
      <c r="CW417" s="27"/>
      <c r="CX417" s="27"/>
      <c r="CY417" s="27"/>
      <c r="CZ417" s="27"/>
      <c r="DA417" s="27"/>
      <c r="DB417" s="27"/>
      <c r="DC417" s="27"/>
      <c r="DD417" s="27"/>
      <c r="DE417" s="27"/>
      <c r="DF417" s="27"/>
      <c r="DG417" s="27"/>
      <c r="DH417" s="27"/>
      <c r="DI417" s="27"/>
      <c r="DJ417" s="27"/>
      <c r="DK417" s="27"/>
      <c r="DL417" s="27"/>
      <c r="DM417" s="27"/>
      <c r="DN417" s="27"/>
      <c r="DO417" s="27"/>
      <c r="DP417" s="27"/>
      <c r="DQ417" s="27"/>
      <c r="DR417" s="27"/>
      <c r="DS417" s="27"/>
      <c r="DT417" s="27"/>
    </row>
    <row r="418" spans="2:124" x14ac:dyDescent="0.2">
      <c r="B418" s="27"/>
      <c r="C418" s="27"/>
      <c r="D418" s="27"/>
      <c r="E418" s="27"/>
      <c r="F418" s="27"/>
      <c r="G418" s="27"/>
      <c r="H418" s="27"/>
      <c r="I418" s="27"/>
      <c r="J418" s="27"/>
      <c r="K418" s="27"/>
      <c r="L418" s="27"/>
      <c r="M418" s="27"/>
      <c r="N418" s="27"/>
      <c r="O418" s="27"/>
      <c r="P418" s="27"/>
      <c r="Q418" s="27"/>
      <c r="R418" s="27"/>
      <c r="S418" s="27"/>
      <c r="T418" s="27"/>
      <c r="U418" s="27"/>
      <c r="V418" s="27"/>
      <c r="W418" s="27"/>
      <c r="X418" s="27"/>
      <c r="Y418" s="27"/>
      <c r="Z418" s="27"/>
      <c r="AA418" s="27"/>
      <c r="AB418" s="27"/>
      <c r="AC418" s="27"/>
      <c r="AD418" s="27"/>
      <c r="AE418" s="27"/>
      <c r="AF418" s="27"/>
      <c r="AG418" s="27"/>
      <c r="AH418" s="27"/>
      <c r="AI418" s="27"/>
      <c r="AJ418" s="27"/>
      <c r="AK418" s="27"/>
      <c r="AL418" s="27"/>
      <c r="AM418" s="27"/>
      <c r="AN418" s="27"/>
      <c r="AO418" s="27"/>
      <c r="AP418" s="27"/>
      <c r="AQ418" s="27"/>
      <c r="AR418" s="27"/>
      <c r="AS418" s="27"/>
      <c r="AT418" s="27"/>
      <c r="AU418" s="27"/>
      <c r="AV418" s="27"/>
      <c r="AW418" s="27"/>
      <c r="AX418" s="27"/>
      <c r="AY418" s="27"/>
      <c r="AZ418" s="27"/>
      <c r="BA418" s="27"/>
      <c r="BB418" s="27"/>
      <c r="BC418" s="27"/>
      <c r="BD418" s="27"/>
      <c r="BE418" s="27"/>
      <c r="BF418" s="27"/>
      <c r="BG418" s="27"/>
      <c r="BH418" s="27"/>
      <c r="BI418" s="27"/>
      <c r="BJ418" s="27"/>
      <c r="BK418" s="27"/>
      <c r="BL418" s="27"/>
      <c r="BM418" s="27"/>
      <c r="BN418" s="27"/>
      <c r="BO418" s="27"/>
      <c r="BP418" s="27"/>
      <c r="BQ418" s="27"/>
      <c r="BR418" s="27"/>
      <c r="BS418" s="27"/>
      <c r="BT418" s="27"/>
      <c r="BU418" s="27"/>
      <c r="BV418" s="27"/>
      <c r="BW418" s="27"/>
      <c r="BX418" s="27"/>
      <c r="BY418" s="27"/>
      <c r="BZ418" s="27"/>
      <c r="CA418" s="27"/>
      <c r="CB418" s="27"/>
      <c r="CC418" s="27"/>
      <c r="CD418" s="27"/>
      <c r="CE418" s="27"/>
      <c r="CF418" s="27"/>
      <c r="CG418" s="27"/>
      <c r="CH418" s="27"/>
      <c r="CI418" s="27"/>
      <c r="CJ418" s="27"/>
      <c r="CK418" s="27"/>
      <c r="CL418" s="27"/>
      <c r="CM418" s="27"/>
      <c r="CN418" s="27"/>
      <c r="CO418" s="27"/>
      <c r="CP418" s="27"/>
      <c r="CQ418" s="27"/>
      <c r="CR418" s="27"/>
      <c r="CS418" s="27"/>
      <c r="CT418" s="27"/>
      <c r="CU418" s="27"/>
      <c r="CV418" s="27"/>
      <c r="CW418" s="27"/>
      <c r="CX418" s="27"/>
      <c r="CY418" s="27"/>
      <c r="CZ418" s="27"/>
      <c r="DA418" s="27"/>
      <c r="DB418" s="27"/>
      <c r="DC418" s="27"/>
      <c r="DD418" s="27"/>
      <c r="DE418" s="27"/>
      <c r="DF418" s="27"/>
      <c r="DG418" s="27"/>
      <c r="DH418" s="27"/>
      <c r="DI418" s="27"/>
      <c r="DJ418" s="27"/>
      <c r="DK418" s="27"/>
      <c r="DL418" s="27"/>
      <c r="DM418" s="27"/>
      <c r="DN418" s="27"/>
      <c r="DO418" s="27"/>
      <c r="DP418" s="27"/>
      <c r="DQ418" s="27"/>
      <c r="DR418" s="27"/>
      <c r="DS418" s="27"/>
      <c r="DT418" s="27"/>
    </row>
    <row r="419" spans="2:124" x14ac:dyDescent="0.2">
      <c r="B419" s="27"/>
      <c r="C419" s="27"/>
      <c r="D419" s="27"/>
      <c r="E419" s="27"/>
      <c r="F419" s="27"/>
      <c r="G419" s="27"/>
      <c r="H419" s="27"/>
      <c r="I419" s="27"/>
      <c r="J419" s="27"/>
      <c r="K419" s="27"/>
      <c r="L419" s="27"/>
      <c r="M419" s="27"/>
      <c r="N419" s="27"/>
      <c r="O419" s="27"/>
      <c r="P419" s="27"/>
      <c r="Q419" s="27"/>
      <c r="R419" s="27"/>
      <c r="S419" s="27"/>
      <c r="T419" s="27"/>
      <c r="U419" s="27"/>
      <c r="V419" s="27"/>
      <c r="W419" s="27"/>
      <c r="X419" s="27"/>
      <c r="Y419" s="27"/>
      <c r="Z419" s="27"/>
      <c r="AA419" s="27"/>
      <c r="AB419" s="27"/>
      <c r="AC419" s="27"/>
      <c r="AD419" s="27"/>
      <c r="AE419" s="27"/>
      <c r="AF419" s="27"/>
      <c r="AG419" s="27"/>
      <c r="AH419" s="27"/>
      <c r="AI419" s="27"/>
      <c r="AJ419" s="27"/>
      <c r="AK419" s="27"/>
      <c r="AL419" s="27"/>
      <c r="AM419" s="27"/>
      <c r="AN419" s="27"/>
      <c r="AO419" s="27"/>
      <c r="AP419" s="27"/>
      <c r="AQ419" s="27"/>
      <c r="AR419" s="27"/>
      <c r="AS419" s="27"/>
      <c r="AT419" s="27"/>
      <c r="AU419" s="27"/>
      <c r="AV419" s="27"/>
      <c r="AW419" s="27"/>
      <c r="AX419" s="27"/>
      <c r="AY419" s="27"/>
      <c r="AZ419" s="27"/>
      <c r="BA419" s="27"/>
      <c r="BB419" s="27"/>
      <c r="BC419" s="27"/>
      <c r="BD419" s="27"/>
      <c r="BE419" s="27"/>
      <c r="BF419" s="27"/>
      <c r="BG419" s="27"/>
      <c r="BH419" s="27"/>
      <c r="BI419" s="27"/>
      <c r="BJ419" s="27"/>
      <c r="BK419" s="27"/>
      <c r="BL419" s="27"/>
      <c r="BM419" s="27"/>
      <c r="BN419" s="27"/>
      <c r="BO419" s="27"/>
      <c r="BP419" s="27"/>
      <c r="BQ419" s="27"/>
      <c r="BR419" s="27"/>
      <c r="BS419" s="27"/>
      <c r="BT419" s="27"/>
      <c r="BU419" s="27"/>
      <c r="BV419" s="27"/>
      <c r="BW419" s="27"/>
      <c r="BX419" s="27"/>
      <c r="BY419" s="27"/>
      <c r="BZ419" s="27"/>
      <c r="CA419" s="27"/>
      <c r="CB419" s="27"/>
      <c r="CC419" s="27"/>
      <c r="CD419" s="27"/>
      <c r="CE419" s="27"/>
      <c r="CF419" s="27"/>
      <c r="CG419" s="27"/>
      <c r="CH419" s="27"/>
      <c r="CI419" s="27"/>
      <c r="CJ419" s="27"/>
      <c r="CK419" s="27"/>
      <c r="CL419" s="27"/>
      <c r="CM419" s="27"/>
      <c r="CN419" s="27"/>
      <c r="CO419" s="27"/>
      <c r="CP419" s="27"/>
      <c r="CQ419" s="27"/>
      <c r="CR419" s="27"/>
      <c r="CS419" s="27"/>
      <c r="CT419" s="27"/>
      <c r="CU419" s="27"/>
      <c r="CV419" s="27"/>
      <c r="CW419" s="27"/>
      <c r="CX419" s="27"/>
      <c r="CY419" s="27"/>
      <c r="CZ419" s="27"/>
      <c r="DA419" s="27"/>
      <c r="DB419" s="27"/>
      <c r="DC419" s="27"/>
      <c r="DD419" s="27"/>
      <c r="DE419" s="27"/>
      <c r="DF419" s="27"/>
      <c r="DG419" s="27"/>
      <c r="DH419" s="27"/>
      <c r="DI419" s="27"/>
      <c r="DJ419" s="27"/>
      <c r="DK419" s="27"/>
      <c r="DL419" s="27"/>
      <c r="DM419" s="27"/>
      <c r="DN419" s="27"/>
      <c r="DO419" s="27"/>
      <c r="DP419" s="27"/>
      <c r="DQ419" s="27"/>
      <c r="DR419" s="27"/>
      <c r="DS419" s="27"/>
      <c r="DT419" s="27"/>
    </row>
    <row r="420" spans="2:124" x14ac:dyDescent="0.2">
      <c r="B420" s="27"/>
      <c r="C420" s="27"/>
      <c r="D420" s="27"/>
      <c r="E420" s="27"/>
      <c r="F420" s="27"/>
      <c r="G420" s="27"/>
      <c r="H420" s="27"/>
      <c r="I420" s="27"/>
      <c r="J420" s="27"/>
      <c r="K420" s="27"/>
      <c r="L420" s="27"/>
      <c r="M420" s="27"/>
      <c r="N420" s="27"/>
      <c r="O420" s="27"/>
      <c r="P420" s="27"/>
      <c r="Q420" s="27"/>
      <c r="R420" s="27"/>
      <c r="S420" s="27"/>
      <c r="T420" s="27"/>
      <c r="U420" s="27"/>
      <c r="V420" s="27"/>
      <c r="W420" s="27"/>
      <c r="X420" s="27"/>
      <c r="Y420" s="27"/>
      <c r="Z420" s="27"/>
      <c r="AA420" s="27"/>
      <c r="AB420" s="27"/>
      <c r="AC420" s="27"/>
      <c r="AD420" s="27"/>
      <c r="AE420" s="27"/>
      <c r="AF420" s="27"/>
      <c r="AG420" s="27"/>
      <c r="AH420" s="27"/>
      <c r="AI420" s="27"/>
      <c r="AJ420" s="27"/>
      <c r="AK420" s="27"/>
      <c r="AL420" s="27"/>
      <c r="AM420" s="27"/>
      <c r="AN420" s="27"/>
      <c r="AO420" s="27"/>
      <c r="AP420" s="27"/>
      <c r="AQ420" s="27"/>
      <c r="AR420" s="27"/>
      <c r="AS420" s="27"/>
      <c r="AT420" s="27"/>
      <c r="AU420" s="27"/>
      <c r="AV420" s="27"/>
      <c r="AW420" s="27"/>
      <c r="AX420" s="27"/>
      <c r="AY420" s="27"/>
      <c r="AZ420" s="27"/>
      <c r="BA420" s="27"/>
      <c r="BB420" s="27"/>
      <c r="BC420" s="27"/>
      <c r="BD420" s="27"/>
      <c r="BE420" s="27"/>
      <c r="BF420" s="27"/>
      <c r="BG420" s="27"/>
      <c r="BH420" s="27"/>
      <c r="BI420" s="27"/>
      <c r="BJ420" s="27"/>
      <c r="BK420" s="27"/>
      <c r="BL420" s="27"/>
      <c r="BM420" s="27"/>
      <c r="BN420" s="27"/>
      <c r="BO420" s="27"/>
      <c r="BP420" s="27"/>
      <c r="BQ420" s="27"/>
      <c r="BR420" s="27"/>
      <c r="BS420" s="27"/>
      <c r="BT420" s="27"/>
      <c r="BU420" s="27"/>
      <c r="BV420" s="27"/>
      <c r="BW420" s="27"/>
      <c r="BX420" s="27"/>
      <c r="BY420" s="27"/>
      <c r="BZ420" s="27"/>
      <c r="CA420" s="27"/>
      <c r="CB420" s="27"/>
      <c r="CC420" s="27"/>
      <c r="CD420" s="27"/>
      <c r="CE420" s="27"/>
      <c r="CF420" s="27"/>
      <c r="CG420" s="27"/>
      <c r="CH420" s="27"/>
      <c r="CI420" s="27"/>
      <c r="CJ420" s="27"/>
      <c r="CK420" s="27"/>
      <c r="CL420" s="27"/>
      <c r="CM420" s="27"/>
      <c r="CN420" s="27"/>
      <c r="CO420" s="27"/>
      <c r="CP420" s="27"/>
      <c r="CQ420" s="27"/>
      <c r="CR420" s="27"/>
      <c r="CS420" s="27"/>
      <c r="CT420" s="27"/>
      <c r="CU420" s="27"/>
      <c r="CV420" s="27"/>
      <c r="CW420" s="27"/>
      <c r="CX420" s="27"/>
      <c r="CY420" s="27"/>
      <c r="CZ420" s="27"/>
      <c r="DA420" s="27"/>
      <c r="DB420" s="27"/>
      <c r="DC420" s="27"/>
      <c r="DD420" s="27"/>
      <c r="DE420" s="27"/>
      <c r="DF420" s="27"/>
      <c r="DG420" s="27"/>
      <c r="DH420" s="27"/>
      <c r="DI420" s="27"/>
      <c r="DJ420" s="27"/>
      <c r="DK420" s="27"/>
      <c r="DL420" s="27"/>
      <c r="DM420" s="27"/>
      <c r="DN420" s="27"/>
      <c r="DO420" s="27"/>
      <c r="DP420" s="27"/>
      <c r="DQ420" s="27"/>
      <c r="DR420" s="27"/>
      <c r="DS420" s="27"/>
      <c r="DT420" s="27"/>
    </row>
    <row r="421" spans="2:124" x14ac:dyDescent="0.2">
      <c r="B421" s="27"/>
      <c r="C421" s="27"/>
      <c r="D421" s="27"/>
      <c r="E421" s="27"/>
      <c r="F421" s="27"/>
      <c r="G421" s="27"/>
      <c r="H421" s="27"/>
      <c r="I421" s="27"/>
      <c r="J421" s="27"/>
      <c r="K421" s="27"/>
      <c r="L421" s="27"/>
      <c r="M421" s="27"/>
      <c r="N421" s="27"/>
      <c r="O421" s="27"/>
      <c r="P421" s="27"/>
      <c r="Q421" s="27"/>
      <c r="R421" s="27"/>
      <c r="S421" s="27"/>
      <c r="T421" s="27"/>
      <c r="U421" s="27"/>
      <c r="V421" s="27"/>
      <c r="W421" s="27"/>
      <c r="X421" s="27"/>
      <c r="Y421" s="27"/>
      <c r="Z421" s="27"/>
      <c r="AA421" s="27"/>
      <c r="AB421" s="27"/>
      <c r="AC421" s="27"/>
      <c r="AD421" s="27"/>
      <c r="AE421" s="27"/>
      <c r="AF421" s="27"/>
      <c r="AG421" s="27"/>
      <c r="AH421" s="27"/>
      <c r="AI421" s="27"/>
      <c r="AJ421" s="27"/>
      <c r="AK421" s="27"/>
      <c r="AL421" s="27"/>
      <c r="AM421" s="27"/>
      <c r="AN421" s="27"/>
      <c r="AO421" s="27"/>
      <c r="AP421" s="27"/>
      <c r="AQ421" s="27"/>
      <c r="AR421" s="27"/>
      <c r="AS421" s="27"/>
      <c r="AT421" s="27"/>
      <c r="AU421" s="27"/>
      <c r="AV421" s="27"/>
      <c r="AW421" s="27"/>
      <c r="AX421" s="27"/>
      <c r="AY421" s="27"/>
      <c r="AZ421" s="27"/>
      <c r="BA421" s="27"/>
      <c r="BB421" s="27"/>
      <c r="BC421" s="27"/>
      <c r="BD421" s="27"/>
      <c r="BE421" s="27"/>
      <c r="BF421" s="27"/>
      <c r="BG421" s="27"/>
      <c r="BH421" s="27"/>
      <c r="BI421" s="27"/>
      <c r="BJ421" s="27"/>
      <c r="BK421" s="27"/>
      <c r="BL421" s="27"/>
      <c r="BM421" s="27"/>
      <c r="BN421" s="27"/>
      <c r="BO421" s="27"/>
      <c r="BP421" s="27"/>
      <c r="BQ421" s="27"/>
      <c r="BR421" s="27"/>
      <c r="BS421" s="27"/>
      <c r="BT421" s="27"/>
      <c r="BU421" s="27"/>
      <c r="BV421" s="27"/>
      <c r="BW421" s="27"/>
      <c r="BX421" s="27"/>
      <c r="BY421" s="27"/>
      <c r="BZ421" s="27"/>
      <c r="CA421" s="27"/>
      <c r="CB421" s="27"/>
      <c r="CC421" s="27"/>
      <c r="CD421" s="27"/>
      <c r="CE421" s="27"/>
      <c r="CF421" s="27"/>
      <c r="CG421" s="27"/>
      <c r="CH421" s="27"/>
      <c r="CI421" s="27"/>
      <c r="CJ421" s="27"/>
      <c r="CK421" s="27"/>
      <c r="CL421" s="27"/>
      <c r="CM421" s="27"/>
      <c r="CN421" s="27"/>
      <c r="CO421" s="27"/>
      <c r="CP421" s="27"/>
      <c r="CQ421" s="27"/>
      <c r="CR421" s="27"/>
      <c r="CS421" s="27"/>
      <c r="CT421" s="27"/>
      <c r="CU421" s="27"/>
      <c r="CV421" s="27"/>
      <c r="CW421" s="27"/>
      <c r="CX421" s="27"/>
      <c r="CY421" s="27"/>
      <c r="CZ421" s="27"/>
      <c r="DA421" s="27"/>
      <c r="DB421" s="27"/>
      <c r="DC421" s="27"/>
      <c r="DD421" s="27"/>
      <c r="DE421" s="27"/>
      <c r="DF421" s="27"/>
      <c r="DG421" s="27"/>
      <c r="DH421" s="27"/>
      <c r="DI421" s="27"/>
      <c r="DJ421" s="27"/>
      <c r="DK421" s="27"/>
      <c r="DL421" s="27"/>
      <c r="DM421" s="27"/>
      <c r="DN421" s="27"/>
      <c r="DO421" s="27"/>
      <c r="DP421" s="27"/>
      <c r="DQ421" s="27"/>
      <c r="DR421" s="27"/>
      <c r="DS421" s="27"/>
      <c r="DT421" s="27"/>
    </row>
    <row r="422" spans="2:124" x14ac:dyDescent="0.2">
      <c r="B422" s="27"/>
      <c r="C422" s="27"/>
      <c r="D422" s="27"/>
      <c r="E422" s="27"/>
      <c r="F422" s="27"/>
      <c r="G422" s="27"/>
      <c r="H422" s="27"/>
      <c r="I422" s="27"/>
      <c r="J422" s="27"/>
      <c r="K422" s="27"/>
      <c r="L422" s="27"/>
      <c r="M422" s="27"/>
      <c r="N422" s="27"/>
      <c r="O422" s="27"/>
      <c r="P422" s="27"/>
      <c r="Q422" s="27"/>
      <c r="R422" s="27"/>
      <c r="S422" s="27"/>
      <c r="T422" s="27"/>
      <c r="U422" s="27"/>
      <c r="V422" s="27"/>
      <c r="W422" s="27"/>
      <c r="X422" s="27"/>
      <c r="Y422" s="27"/>
      <c r="Z422" s="27"/>
      <c r="AA422" s="27"/>
      <c r="AB422" s="27"/>
      <c r="AC422" s="27"/>
      <c r="AD422" s="27"/>
      <c r="AE422" s="27"/>
      <c r="AF422" s="27"/>
      <c r="AG422" s="27"/>
      <c r="AH422" s="27"/>
      <c r="AI422" s="27"/>
      <c r="AJ422" s="27"/>
      <c r="AK422" s="27"/>
      <c r="AL422" s="27"/>
      <c r="AM422" s="27"/>
      <c r="AN422" s="27"/>
      <c r="AO422" s="27"/>
      <c r="AP422" s="27"/>
      <c r="AQ422" s="27"/>
      <c r="AR422" s="27"/>
      <c r="AS422" s="27"/>
      <c r="AT422" s="27"/>
      <c r="AU422" s="27"/>
      <c r="AV422" s="27"/>
      <c r="AW422" s="27"/>
      <c r="AX422" s="27"/>
      <c r="AY422" s="27"/>
      <c r="AZ422" s="27"/>
      <c r="BA422" s="27"/>
      <c r="BB422" s="27"/>
      <c r="BC422" s="27"/>
      <c r="BD422" s="27"/>
      <c r="BE422" s="27"/>
      <c r="BF422" s="27"/>
      <c r="BG422" s="27"/>
      <c r="BH422" s="27"/>
      <c r="BI422" s="27"/>
      <c r="BJ422" s="27"/>
      <c r="BK422" s="27"/>
      <c r="BL422" s="27"/>
      <c r="BM422" s="27"/>
      <c r="BN422" s="27"/>
      <c r="BO422" s="27"/>
      <c r="BP422" s="27"/>
      <c r="BQ422" s="27"/>
      <c r="BR422" s="27"/>
      <c r="BS422" s="27"/>
      <c r="BT422" s="27"/>
      <c r="BU422" s="27"/>
      <c r="BV422" s="27"/>
      <c r="BW422" s="27"/>
      <c r="BX422" s="27"/>
      <c r="BY422" s="27"/>
      <c r="BZ422" s="27"/>
      <c r="CA422" s="27"/>
      <c r="CB422" s="27"/>
      <c r="CC422" s="27"/>
      <c r="CD422" s="27"/>
      <c r="CE422" s="27"/>
      <c r="CF422" s="27"/>
      <c r="CG422" s="27"/>
      <c r="CH422" s="27"/>
      <c r="CI422" s="27"/>
      <c r="CJ422" s="27"/>
      <c r="CK422" s="27"/>
      <c r="CL422" s="27"/>
      <c r="CM422" s="27"/>
      <c r="CN422" s="27"/>
      <c r="CO422" s="27"/>
      <c r="CP422" s="27"/>
      <c r="CQ422" s="27"/>
      <c r="CR422" s="27"/>
      <c r="CS422" s="27"/>
      <c r="CT422" s="27"/>
      <c r="CU422" s="27"/>
      <c r="CV422" s="27"/>
      <c r="CW422" s="27"/>
      <c r="CX422" s="27"/>
      <c r="CY422" s="27"/>
      <c r="CZ422" s="27"/>
      <c r="DA422" s="27"/>
      <c r="DB422" s="27"/>
      <c r="DC422" s="27"/>
      <c r="DD422" s="27"/>
      <c r="DE422" s="27"/>
      <c r="DF422" s="27"/>
      <c r="DG422" s="27"/>
      <c r="DH422" s="27"/>
      <c r="DI422" s="27"/>
      <c r="DJ422" s="27"/>
      <c r="DK422" s="27"/>
      <c r="DL422" s="27"/>
      <c r="DM422" s="27"/>
      <c r="DN422" s="27"/>
      <c r="DO422" s="27"/>
      <c r="DP422" s="27"/>
      <c r="DQ422" s="27"/>
      <c r="DR422" s="27"/>
      <c r="DS422" s="27"/>
      <c r="DT422" s="27"/>
    </row>
    <row r="423" spans="2:124" x14ac:dyDescent="0.2">
      <c r="B423" s="27"/>
      <c r="C423" s="27"/>
      <c r="D423" s="27"/>
      <c r="E423" s="27"/>
      <c r="F423" s="27"/>
      <c r="G423" s="27"/>
      <c r="H423" s="27"/>
      <c r="I423" s="27"/>
      <c r="J423" s="27"/>
      <c r="K423" s="27"/>
      <c r="L423" s="27"/>
      <c r="M423" s="27"/>
      <c r="N423" s="27"/>
      <c r="O423" s="27"/>
      <c r="P423" s="27"/>
      <c r="Q423" s="27"/>
      <c r="R423" s="27"/>
      <c r="S423" s="27"/>
      <c r="T423" s="27"/>
      <c r="U423" s="27"/>
      <c r="V423" s="27"/>
      <c r="W423" s="27"/>
      <c r="X423" s="27"/>
      <c r="Y423" s="27"/>
      <c r="Z423" s="27"/>
      <c r="AA423" s="27"/>
      <c r="AB423" s="27"/>
      <c r="AC423" s="27"/>
      <c r="AD423" s="27"/>
      <c r="AE423" s="27"/>
      <c r="AF423" s="27"/>
      <c r="AG423" s="27"/>
      <c r="AH423" s="27"/>
      <c r="AI423" s="27"/>
      <c r="AJ423" s="27"/>
      <c r="AK423" s="27"/>
      <c r="AL423" s="27"/>
      <c r="AM423" s="27"/>
      <c r="AN423" s="27"/>
      <c r="AO423" s="27"/>
      <c r="AP423" s="27"/>
      <c r="AQ423" s="27"/>
      <c r="AR423" s="27"/>
      <c r="AS423" s="27"/>
      <c r="AT423" s="27"/>
      <c r="AU423" s="27"/>
      <c r="AV423" s="27"/>
      <c r="AW423" s="27"/>
      <c r="AX423" s="27"/>
      <c r="AY423" s="27"/>
      <c r="AZ423" s="27"/>
      <c r="BA423" s="27"/>
      <c r="BB423" s="27"/>
      <c r="BC423" s="27"/>
      <c r="BD423" s="27"/>
      <c r="BE423" s="27"/>
      <c r="BF423" s="27"/>
      <c r="BG423" s="27"/>
      <c r="BH423" s="27"/>
      <c r="BI423" s="27"/>
      <c r="BJ423" s="27"/>
      <c r="BK423" s="27"/>
      <c r="BL423" s="27"/>
      <c r="BM423" s="27"/>
      <c r="BN423" s="27"/>
      <c r="BO423" s="27"/>
      <c r="BP423" s="27"/>
      <c r="BQ423" s="27"/>
      <c r="BR423" s="27"/>
      <c r="BS423" s="27"/>
      <c r="BT423" s="27"/>
      <c r="BU423" s="27"/>
      <c r="BV423" s="27"/>
      <c r="BW423" s="27"/>
      <c r="BX423" s="27"/>
      <c r="BY423" s="27"/>
      <c r="BZ423" s="27"/>
      <c r="CA423" s="27"/>
      <c r="CB423" s="27"/>
      <c r="CC423" s="27"/>
      <c r="CD423" s="27"/>
      <c r="CE423" s="27"/>
      <c r="CF423" s="27"/>
      <c r="CG423" s="27"/>
      <c r="CH423" s="27"/>
      <c r="CI423" s="27"/>
      <c r="CJ423" s="27"/>
      <c r="CK423" s="27"/>
      <c r="CL423" s="27"/>
      <c r="CM423" s="27"/>
      <c r="CN423" s="27"/>
      <c r="CO423" s="27"/>
      <c r="CP423" s="27"/>
      <c r="CQ423" s="27"/>
      <c r="CR423" s="27"/>
      <c r="CS423" s="27"/>
      <c r="CT423" s="27"/>
      <c r="CU423" s="27"/>
      <c r="CV423" s="27"/>
      <c r="CW423" s="27"/>
      <c r="CX423" s="27"/>
      <c r="CY423" s="27"/>
      <c r="CZ423" s="27"/>
      <c r="DA423" s="27"/>
      <c r="DB423" s="27"/>
      <c r="DC423" s="27"/>
      <c r="DD423" s="27"/>
      <c r="DE423" s="27"/>
      <c r="DF423" s="27"/>
      <c r="DG423" s="27"/>
      <c r="DH423" s="27"/>
      <c r="DI423" s="27"/>
      <c r="DJ423" s="27"/>
      <c r="DK423" s="27"/>
      <c r="DL423" s="27"/>
      <c r="DM423" s="27"/>
      <c r="DN423" s="27"/>
      <c r="DO423" s="27"/>
      <c r="DP423" s="27"/>
      <c r="DQ423" s="27"/>
      <c r="DR423" s="27"/>
      <c r="DS423" s="27"/>
      <c r="DT423" s="27"/>
    </row>
    <row r="424" spans="2:124" x14ac:dyDescent="0.2">
      <c r="B424" s="27"/>
      <c r="C424" s="27"/>
      <c r="D424" s="27"/>
      <c r="E424" s="27"/>
      <c r="F424" s="27"/>
      <c r="G424" s="27"/>
      <c r="H424" s="27"/>
      <c r="I424" s="27"/>
      <c r="J424" s="27"/>
      <c r="K424" s="27"/>
      <c r="L424" s="27"/>
      <c r="M424" s="27"/>
      <c r="N424" s="27"/>
      <c r="O424" s="27"/>
      <c r="P424" s="27"/>
      <c r="Q424" s="27"/>
      <c r="R424" s="27"/>
      <c r="S424" s="27"/>
      <c r="T424" s="27"/>
      <c r="U424" s="27"/>
      <c r="V424" s="27"/>
      <c r="W424" s="27"/>
      <c r="X424" s="27"/>
      <c r="Y424" s="27"/>
      <c r="Z424" s="27"/>
      <c r="AA424" s="27"/>
      <c r="AB424" s="27"/>
      <c r="AC424" s="27"/>
      <c r="AD424" s="27"/>
      <c r="AE424" s="27"/>
      <c r="AF424" s="27"/>
      <c r="AG424" s="27"/>
      <c r="AH424" s="27"/>
      <c r="AI424" s="27"/>
      <c r="AJ424" s="27"/>
      <c r="AK424" s="27"/>
      <c r="AL424" s="27"/>
      <c r="AM424" s="27"/>
      <c r="AN424" s="27"/>
      <c r="AO424" s="27"/>
      <c r="AP424" s="27"/>
      <c r="AQ424" s="27"/>
      <c r="AR424" s="27"/>
      <c r="AS424" s="27"/>
      <c r="AT424" s="27"/>
      <c r="AU424" s="27"/>
      <c r="AV424" s="27"/>
      <c r="AW424" s="27"/>
      <c r="AX424" s="27"/>
      <c r="AY424" s="27"/>
      <c r="AZ424" s="27"/>
      <c r="BA424" s="27"/>
      <c r="BB424" s="27"/>
      <c r="BC424" s="27"/>
      <c r="BD424" s="27"/>
      <c r="BE424" s="27"/>
      <c r="BF424" s="27"/>
      <c r="BG424" s="27"/>
      <c r="BH424" s="27"/>
      <c r="BI424" s="27"/>
      <c r="BJ424" s="27"/>
      <c r="BK424" s="27"/>
      <c r="BL424" s="27"/>
      <c r="BM424" s="27"/>
      <c r="BN424" s="27"/>
      <c r="BO424" s="27"/>
      <c r="BP424" s="27"/>
      <c r="BQ424" s="27"/>
      <c r="BR424" s="27"/>
      <c r="BS424" s="27"/>
      <c r="BT424" s="27"/>
      <c r="BU424" s="27"/>
      <c r="BV424" s="27"/>
      <c r="BW424" s="27"/>
      <c r="BX424" s="27"/>
      <c r="BY424" s="27"/>
      <c r="BZ424" s="27"/>
      <c r="CA424" s="27"/>
      <c r="CB424" s="27"/>
      <c r="CC424" s="27"/>
      <c r="CD424" s="27"/>
      <c r="CE424" s="27"/>
      <c r="CF424" s="27"/>
      <c r="CG424" s="27"/>
      <c r="CH424" s="27"/>
      <c r="CI424" s="27"/>
      <c r="CJ424" s="27"/>
      <c r="CK424" s="27"/>
      <c r="CL424" s="27"/>
      <c r="CM424" s="27"/>
      <c r="CN424" s="27"/>
      <c r="CO424" s="27"/>
      <c r="CP424" s="27"/>
      <c r="CQ424" s="27"/>
      <c r="CR424" s="27"/>
      <c r="CS424" s="27"/>
      <c r="CT424" s="27"/>
      <c r="CU424" s="27"/>
      <c r="CV424" s="27"/>
      <c r="CW424" s="27"/>
      <c r="CX424" s="27"/>
      <c r="CY424" s="27"/>
      <c r="CZ424" s="27"/>
      <c r="DA424" s="27"/>
      <c r="DB424" s="27"/>
      <c r="DC424" s="27"/>
      <c r="DD424" s="27"/>
      <c r="DE424" s="27"/>
      <c r="DF424" s="27"/>
      <c r="DG424" s="27"/>
      <c r="DH424" s="27"/>
      <c r="DI424" s="27"/>
      <c r="DJ424" s="27"/>
      <c r="DK424" s="27"/>
      <c r="DL424" s="27"/>
      <c r="DM424" s="27"/>
      <c r="DN424" s="27"/>
      <c r="DO424" s="27"/>
      <c r="DP424" s="27"/>
      <c r="DQ424" s="27"/>
      <c r="DR424" s="27"/>
      <c r="DS424" s="27"/>
      <c r="DT424" s="27"/>
    </row>
    <row r="425" spans="2:124" x14ac:dyDescent="0.2">
      <c r="B425" s="27"/>
      <c r="C425" s="27"/>
      <c r="D425" s="27"/>
      <c r="E425" s="27"/>
      <c r="F425" s="27"/>
      <c r="G425" s="27"/>
      <c r="H425" s="27"/>
      <c r="I425" s="27"/>
      <c r="J425" s="27"/>
      <c r="K425" s="27"/>
      <c r="L425" s="27"/>
      <c r="M425" s="27"/>
      <c r="N425" s="27"/>
      <c r="O425" s="27"/>
      <c r="P425" s="27"/>
      <c r="Q425" s="27"/>
      <c r="R425" s="27"/>
      <c r="S425" s="27"/>
      <c r="T425" s="27"/>
      <c r="U425" s="27"/>
      <c r="V425" s="27"/>
      <c r="W425" s="27"/>
      <c r="X425" s="27"/>
      <c r="Y425" s="27"/>
      <c r="Z425" s="27"/>
      <c r="AA425" s="27"/>
      <c r="AB425" s="27"/>
      <c r="AC425" s="27"/>
      <c r="AD425" s="27"/>
      <c r="AE425" s="27"/>
      <c r="AF425" s="27"/>
      <c r="AG425" s="27"/>
      <c r="AH425" s="27"/>
      <c r="AI425" s="27"/>
      <c r="AJ425" s="27"/>
      <c r="AK425" s="27"/>
      <c r="AL425" s="27"/>
      <c r="AM425" s="27"/>
      <c r="AN425" s="27"/>
      <c r="AO425" s="27"/>
      <c r="AP425" s="27"/>
      <c r="AQ425" s="27"/>
      <c r="AR425" s="27"/>
      <c r="AS425" s="27"/>
      <c r="AT425" s="27"/>
      <c r="AU425" s="27"/>
      <c r="AV425" s="27"/>
      <c r="AW425" s="27"/>
      <c r="AX425" s="27"/>
      <c r="AY425" s="27"/>
      <c r="AZ425" s="27"/>
      <c r="BA425" s="27"/>
      <c r="BB425" s="27"/>
      <c r="BC425" s="27"/>
      <c r="BD425" s="27"/>
      <c r="BE425" s="27"/>
      <c r="BF425" s="27"/>
      <c r="BG425" s="27"/>
      <c r="BH425" s="27"/>
      <c r="BI425" s="27"/>
      <c r="BJ425" s="27"/>
      <c r="BK425" s="27"/>
      <c r="BL425" s="27"/>
      <c r="BM425" s="27"/>
      <c r="BN425" s="27"/>
      <c r="BO425" s="27"/>
      <c r="BP425" s="27"/>
      <c r="BQ425" s="27"/>
      <c r="BR425" s="27"/>
      <c r="BS425" s="27"/>
      <c r="BT425" s="27"/>
      <c r="BU425" s="27"/>
      <c r="BV425" s="27"/>
      <c r="BW425" s="27"/>
      <c r="BX425" s="27"/>
      <c r="BY425" s="27"/>
      <c r="BZ425" s="27"/>
      <c r="CA425" s="27"/>
      <c r="CB425" s="27"/>
      <c r="CC425" s="27"/>
      <c r="CD425" s="27"/>
      <c r="CE425" s="27"/>
      <c r="CF425" s="27"/>
      <c r="CG425" s="27"/>
      <c r="CH425" s="27"/>
      <c r="CI425" s="27"/>
      <c r="CJ425" s="27"/>
      <c r="CK425" s="27"/>
      <c r="CL425" s="27"/>
      <c r="CM425" s="27"/>
      <c r="CN425" s="27"/>
      <c r="CO425" s="27"/>
      <c r="CP425" s="27"/>
      <c r="CQ425" s="27"/>
      <c r="CR425" s="27"/>
      <c r="CS425" s="27"/>
      <c r="CT425" s="27"/>
      <c r="CU425" s="27"/>
      <c r="CV425" s="27"/>
      <c r="CW425" s="27"/>
      <c r="CX425" s="27"/>
      <c r="CY425" s="27"/>
      <c r="CZ425" s="27"/>
      <c r="DA425" s="27"/>
      <c r="DB425" s="27"/>
      <c r="DC425" s="27"/>
      <c r="DD425" s="27"/>
      <c r="DE425" s="27"/>
      <c r="DF425" s="27"/>
      <c r="DG425" s="27"/>
      <c r="DH425" s="27"/>
      <c r="DI425" s="27"/>
      <c r="DJ425" s="27"/>
      <c r="DK425" s="27"/>
      <c r="DL425" s="27"/>
      <c r="DM425" s="27"/>
      <c r="DN425" s="27"/>
      <c r="DO425" s="27"/>
      <c r="DP425" s="27"/>
      <c r="DQ425" s="27"/>
      <c r="DR425" s="27"/>
      <c r="DS425" s="27"/>
      <c r="DT425" s="27"/>
    </row>
    <row r="426" spans="2:124" x14ac:dyDescent="0.2">
      <c r="B426" s="27"/>
      <c r="C426" s="27"/>
      <c r="D426" s="27"/>
      <c r="E426" s="27"/>
      <c r="F426" s="27"/>
      <c r="G426" s="27"/>
      <c r="H426" s="27"/>
      <c r="I426" s="27"/>
      <c r="J426" s="27"/>
      <c r="K426" s="27"/>
      <c r="L426" s="27"/>
      <c r="M426" s="27"/>
      <c r="N426" s="27"/>
      <c r="O426" s="27"/>
      <c r="P426" s="27"/>
      <c r="Q426" s="27"/>
      <c r="R426" s="27"/>
      <c r="S426" s="27"/>
      <c r="T426" s="27"/>
      <c r="U426" s="27"/>
      <c r="V426" s="27"/>
      <c r="W426" s="27"/>
      <c r="X426" s="27"/>
      <c r="Y426" s="27"/>
      <c r="Z426" s="27"/>
      <c r="AA426" s="27"/>
      <c r="AB426" s="27"/>
      <c r="AC426" s="27"/>
      <c r="AD426" s="27"/>
      <c r="AE426" s="27"/>
      <c r="AF426" s="27"/>
      <c r="AG426" s="27"/>
      <c r="AH426" s="27"/>
      <c r="AI426" s="27"/>
      <c r="AJ426" s="27"/>
      <c r="AK426" s="27"/>
      <c r="AL426" s="27"/>
      <c r="AM426" s="27"/>
      <c r="AN426" s="27"/>
      <c r="AO426" s="27"/>
      <c r="AP426" s="27"/>
      <c r="AQ426" s="27"/>
      <c r="AR426" s="27"/>
      <c r="AS426" s="27"/>
      <c r="AT426" s="27"/>
      <c r="AU426" s="27"/>
      <c r="AV426" s="27"/>
      <c r="AW426" s="27"/>
      <c r="AX426" s="27"/>
      <c r="AY426" s="27"/>
      <c r="AZ426" s="27"/>
      <c r="BA426" s="27"/>
      <c r="BB426" s="27"/>
      <c r="BC426" s="27"/>
      <c r="BD426" s="27"/>
      <c r="BE426" s="27"/>
      <c r="BF426" s="27"/>
      <c r="BG426" s="27"/>
      <c r="BH426" s="27"/>
      <c r="BI426" s="27"/>
      <c r="BJ426" s="27"/>
      <c r="BK426" s="27"/>
      <c r="BL426" s="27"/>
      <c r="BM426" s="27"/>
      <c r="BN426" s="27"/>
      <c r="BO426" s="27"/>
      <c r="BP426" s="27"/>
      <c r="BQ426" s="27"/>
      <c r="BR426" s="27"/>
      <c r="BS426" s="27"/>
      <c r="BT426" s="27"/>
      <c r="BU426" s="27"/>
      <c r="BV426" s="27"/>
      <c r="BW426" s="27"/>
      <c r="BX426" s="27"/>
      <c r="BY426" s="27"/>
      <c r="BZ426" s="27"/>
      <c r="CA426" s="27"/>
      <c r="CB426" s="27"/>
      <c r="CC426" s="27"/>
      <c r="CD426" s="27"/>
      <c r="CE426" s="27"/>
      <c r="CF426" s="27"/>
      <c r="CG426" s="27"/>
      <c r="CH426" s="27"/>
      <c r="CI426" s="27"/>
      <c r="CJ426" s="27"/>
      <c r="CK426" s="27"/>
      <c r="CL426" s="27"/>
      <c r="CM426" s="27"/>
      <c r="CN426" s="27"/>
      <c r="CO426" s="27"/>
      <c r="CP426" s="27"/>
      <c r="CQ426" s="27"/>
      <c r="CR426" s="27"/>
      <c r="CS426" s="27"/>
      <c r="CT426" s="27"/>
      <c r="CU426" s="27"/>
      <c r="CV426" s="27"/>
      <c r="CW426" s="27"/>
      <c r="CX426" s="27"/>
      <c r="CY426" s="27"/>
      <c r="CZ426" s="27"/>
      <c r="DA426" s="27"/>
      <c r="DB426" s="27"/>
      <c r="DC426" s="27"/>
      <c r="DD426" s="27"/>
      <c r="DE426" s="27"/>
      <c r="DF426" s="27"/>
      <c r="DG426" s="27"/>
      <c r="DH426" s="27"/>
      <c r="DI426" s="27"/>
      <c r="DJ426" s="27"/>
      <c r="DK426" s="27"/>
      <c r="DL426" s="27"/>
      <c r="DM426" s="27"/>
      <c r="DN426" s="27"/>
      <c r="DO426" s="27"/>
      <c r="DP426" s="27"/>
      <c r="DQ426" s="27"/>
      <c r="DR426" s="27"/>
      <c r="DS426" s="27"/>
      <c r="DT426" s="27"/>
    </row>
    <row r="427" spans="2:124" x14ac:dyDescent="0.2">
      <c r="B427" s="27"/>
      <c r="C427" s="27"/>
      <c r="D427" s="27"/>
      <c r="E427" s="27"/>
      <c r="F427" s="27"/>
      <c r="G427" s="27"/>
      <c r="H427" s="27"/>
      <c r="I427" s="27"/>
      <c r="J427" s="27"/>
      <c r="K427" s="27"/>
      <c r="L427" s="27"/>
      <c r="M427" s="27"/>
      <c r="N427" s="27"/>
      <c r="O427" s="27"/>
      <c r="P427" s="27"/>
      <c r="Q427" s="27"/>
      <c r="R427" s="27"/>
      <c r="S427" s="27"/>
      <c r="T427" s="27"/>
      <c r="U427" s="27"/>
      <c r="V427" s="27"/>
      <c r="W427" s="27"/>
      <c r="X427" s="27"/>
      <c r="Y427" s="27"/>
      <c r="Z427" s="27"/>
      <c r="AA427" s="27"/>
      <c r="AB427" s="27"/>
      <c r="AC427" s="27"/>
      <c r="AD427" s="27"/>
      <c r="AE427" s="27"/>
      <c r="AF427" s="27"/>
      <c r="AG427" s="27"/>
      <c r="AH427" s="27"/>
      <c r="AI427" s="27"/>
      <c r="AJ427" s="27"/>
      <c r="AK427" s="27"/>
      <c r="AL427" s="27"/>
      <c r="AM427" s="27"/>
      <c r="AN427" s="27"/>
      <c r="AO427" s="27"/>
      <c r="AP427" s="27"/>
      <c r="AQ427" s="27"/>
      <c r="AR427" s="27"/>
      <c r="AS427" s="27"/>
      <c r="AT427" s="27"/>
      <c r="AU427" s="27"/>
      <c r="AV427" s="27"/>
      <c r="AW427" s="27"/>
      <c r="AX427" s="27"/>
      <c r="AY427" s="27"/>
      <c r="AZ427" s="27"/>
      <c r="BA427" s="27"/>
      <c r="BB427" s="27"/>
      <c r="BC427" s="27"/>
      <c r="BD427" s="27"/>
      <c r="BE427" s="27"/>
      <c r="BF427" s="27"/>
      <c r="BG427" s="27"/>
      <c r="BH427" s="27"/>
      <c r="BI427" s="27"/>
      <c r="BJ427" s="27"/>
      <c r="BK427" s="27"/>
      <c r="BL427" s="27"/>
      <c r="BM427" s="27"/>
      <c r="BN427" s="27"/>
      <c r="BO427" s="27"/>
      <c r="BP427" s="27"/>
      <c r="BQ427" s="27"/>
      <c r="BR427" s="27"/>
      <c r="BS427" s="27"/>
      <c r="BT427" s="27"/>
      <c r="BU427" s="27"/>
      <c r="BV427" s="27"/>
      <c r="BW427" s="27"/>
      <c r="BX427" s="27"/>
      <c r="BY427" s="27"/>
      <c r="BZ427" s="27"/>
      <c r="CA427" s="27"/>
      <c r="CB427" s="27"/>
      <c r="CC427" s="27"/>
      <c r="CD427" s="27"/>
      <c r="CE427" s="27"/>
      <c r="CF427" s="27"/>
      <c r="CG427" s="27"/>
      <c r="CH427" s="27"/>
      <c r="CI427" s="27"/>
      <c r="CJ427" s="27"/>
      <c r="CK427" s="27"/>
      <c r="CL427" s="27"/>
      <c r="CM427" s="27"/>
      <c r="CN427" s="27"/>
      <c r="CO427" s="27"/>
      <c r="CP427" s="27"/>
      <c r="CQ427" s="27"/>
      <c r="CR427" s="27"/>
      <c r="CS427" s="27"/>
      <c r="CT427" s="27"/>
      <c r="CU427" s="27"/>
      <c r="CV427" s="27"/>
      <c r="CW427" s="27"/>
      <c r="CX427" s="27"/>
      <c r="CY427" s="27"/>
      <c r="CZ427" s="27"/>
      <c r="DA427" s="27"/>
      <c r="DB427" s="27"/>
      <c r="DC427" s="27"/>
      <c r="DD427" s="27"/>
      <c r="DE427" s="27"/>
      <c r="DF427" s="27"/>
      <c r="DG427" s="27"/>
      <c r="DH427" s="27"/>
      <c r="DI427" s="27"/>
      <c r="DJ427" s="27"/>
      <c r="DK427" s="27"/>
      <c r="DL427" s="27"/>
      <c r="DM427" s="27"/>
      <c r="DN427" s="27"/>
      <c r="DO427" s="27"/>
      <c r="DP427" s="27"/>
      <c r="DQ427" s="27"/>
      <c r="DR427" s="27"/>
      <c r="DS427" s="27"/>
      <c r="DT427" s="27"/>
    </row>
    <row r="428" spans="2:124" x14ac:dyDescent="0.2">
      <c r="B428" s="27"/>
      <c r="C428" s="27"/>
      <c r="D428" s="27"/>
      <c r="E428" s="27"/>
      <c r="F428" s="27"/>
      <c r="G428" s="27"/>
      <c r="H428" s="27"/>
      <c r="I428" s="27"/>
      <c r="J428" s="27"/>
      <c r="K428" s="27"/>
      <c r="L428" s="27"/>
      <c r="M428" s="27"/>
      <c r="N428" s="27"/>
      <c r="O428" s="27"/>
      <c r="P428" s="27"/>
      <c r="Q428" s="27"/>
      <c r="R428" s="27"/>
      <c r="S428" s="27"/>
      <c r="T428" s="27"/>
      <c r="U428" s="27"/>
      <c r="V428" s="27"/>
      <c r="W428" s="27"/>
      <c r="X428" s="27"/>
      <c r="Y428" s="27"/>
      <c r="Z428" s="27"/>
      <c r="AA428" s="27"/>
      <c r="AB428" s="27"/>
      <c r="AC428" s="27"/>
      <c r="AD428" s="27"/>
      <c r="AE428" s="27"/>
      <c r="AF428" s="27"/>
      <c r="AG428" s="27"/>
      <c r="AH428" s="27"/>
      <c r="AI428" s="27"/>
      <c r="AJ428" s="27"/>
      <c r="AK428" s="27"/>
      <c r="AL428" s="27"/>
      <c r="AM428" s="27"/>
      <c r="AN428" s="27"/>
      <c r="AO428" s="27"/>
      <c r="AP428" s="27"/>
      <c r="AQ428" s="27"/>
      <c r="AR428" s="27"/>
      <c r="AS428" s="27"/>
      <c r="AT428" s="27"/>
      <c r="AU428" s="27"/>
      <c r="AV428" s="27"/>
      <c r="AW428" s="27"/>
      <c r="AX428" s="27"/>
      <c r="AY428" s="27"/>
      <c r="AZ428" s="27"/>
      <c r="BA428" s="27"/>
      <c r="BB428" s="27"/>
      <c r="BC428" s="27"/>
      <c r="BD428" s="27"/>
      <c r="BE428" s="27"/>
      <c r="BF428" s="27"/>
      <c r="BG428" s="27"/>
      <c r="BH428" s="27"/>
      <c r="BI428" s="27"/>
      <c r="BJ428" s="27"/>
      <c r="BK428" s="27"/>
      <c r="BL428" s="27"/>
      <c r="BM428" s="27"/>
      <c r="BN428" s="27"/>
      <c r="BO428" s="27"/>
      <c r="BP428" s="27"/>
      <c r="BQ428" s="27"/>
      <c r="BR428" s="27"/>
      <c r="BS428" s="27"/>
      <c r="BT428" s="27"/>
      <c r="BU428" s="27"/>
      <c r="BV428" s="27"/>
      <c r="BW428" s="27"/>
      <c r="BX428" s="27"/>
      <c r="BY428" s="27"/>
      <c r="BZ428" s="27"/>
      <c r="CA428" s="27"/>
      <c r="CB428" s="27"/>
      <c r="CC428" s="27"/>
      <c r="CD428" s="27"/>
      <c r="CE428" s="27"/>
      <c r="CF428" s="27"/>
      <c r="CG428" s="27"/>
      <c r="CH428" s="27"/>
      <c r="CI428" s="27"/>
      <c r="CJ428" s="27"/>
      <c r="CK428" s="27"/>
      <c r="CL428" s="27"/>
      <c r="CM428" s="27"/>
      <c r="CN428" s="27"/>
      <c r="CO428" s="27"/>
      <c r="CP428" s="27"/>
      <c r="CQ428" s="27"/>
      <c r="CR428" s="27"/>
      <c r="CS428" s="27"/>
      <c r="CT428" s="27"/>
      <c r="CU428" s="27"/>
      <c r="CV428" s="27"/>
      <c r="CW428" s="27"/>
      <c r="CX428" s="27"/>
      <c r="CY428" s="27"/>
      <c r="CZ428" s="27"/>
      <c r="DA428" s="27"/>
      <c r="DB428" s="27"/>
      <c r="DC428" s="27"/>
      <c r="DD428" s="27"/>
      <c r="DE428" s="27"/>
      <c r="DF428" s="27"/>
      <c r="DG428" s="27"/>
      <c r="DH428" s="27"/>
      <c r="DI428" s="27"/>
      <c r="DJ428" s="27"/>
      <c r="DK428" s="27"/>
      <c r="DL428" s="27"/>
      <c r="DM428" s="27"/>
      <c r="DN428" s="27"/>
      <c r="DO428" s="27"/>
      <c r="DP428" s="27"/>
      <c r="DQ428" s="27"/>
      <c r="DR428" s="27"/>
      <c r="DS428" s="27"/>
      <c r="DT428" s="27"/>
    </row>
    <row r="429" spans="2:124" x14ac:dyDescent="0.2">
      <c r="B429" s="27"/>
      <c r="C429" s="27"/>
      <c r="D429" s="27"/>
      <c r="E429" s="27"/>
      <c r="F429" s="27"/>
      <c r="G429" s="27"/>
      <c r="H429" s="27"/>
      <c r="I429" s="27"/>
      <c r="J429" s="27"/>
      <c r="K429" s="27"/>
      <c r="L429" s="27"/>
      <c r="M429" s="27"/>
      <c r="N429" s="27"/>
      <c r="O429" s="27"/>
      <c r="P429" s="27"/>
      <c r="Q429" s="27"/>
      <c r="R429" s="27"/>
      <c r="S429" s="27"/>
      <c r="T429" s="27"/>
      <c r="U429" s="27"/>
      <c r="V429" s="27"/>
      <c r="W429" s="27"/>
      <c r="X429" s="27"/>
      <c r="Y429" s="27"/>
      <c r="Z429" s="27"/>
      <c r="AA429" s="27"/>
      <c r="AB429" s="27"/>
      <c r="AC429" s="27"/>
      <c r="AD429" s="27"/>
      <c r="AE429" s="27"/>
      <c r="AF429" s="27"/>
      <c r="AG429" s="27"/>
      <c r="AH429" s="27"/>
      <c r="AI429" s="27"/>
      <c r="AJ429" s="27"/>
      <c r="AK429" s="27"/>
      <c r="AL429" s="27"/>
      <c r="AM429" s="27"/>
      <c r="AN429" s="27"/>
      <c r="AO429" s="27"/>
      <c r="AP429" s="27"/>
      <c r="AQ429" s="27"/>
      <c r="AR429" s="27"/>
      <c r="AS429" s="27"/>
      <c r="AT429" s="27"/>
      <c r="AU429" s="27"/>
      <c r="AV429" s="27"/>
      <c r="AW429" s="27"/>
      <c r="AX429" s="27"/>
      <c r="AY429" s="27"/>
      <c r="AZ429" s="27"/>
      <c r="BA429" s="27"/>
      <c r="BB429" s="27"/>
      <c r="BC429" s="27"/>
      <c r="BD429" s="27"/>
      <c r="BE429" s="27"/>
      <c r="BF429" s="27"/>
      <c r="BG429" s="27"/>
      <c r="BH429" s="27"/>
      <c r="BI429" s="27"/>
      <c r="BJ429" s="27"/>
      <c r="BK429" s="27"/>
      <c r="BL429" s="27"/>
      <c r="BM429" s="27"/>
      <c r="BN429" s="27"/>
      <c r="BO429" s="27"/>
      <c r="BP429" s="27"/>
      <c r="BQ429" s="27"/>
      <c r="BR429" s="27"/>
      <c r="BS429" s="27"/>
      <c r="BT429" s="27"/>
      <c r="BU429" s="27"/>
      <c r="BV429" s="27"/>
      <c r="BW429" s="27"/>
      <c r="BX429" s="27"/>
      <c r="BY429" s="27"/>
      <c r="BZ429" s="27"/>
      <c r="CA429" s="27"/>
      <c r="CB429" s="27"/>
      <c r="CC429" s="27"/>
      <c r="CD429" s="27"/>
      <c r="CE429" s="27"/>
      <c r="CF429" s="27"/>
      <c r="CG429" s="27"/>
      <c r="CH429" s="27"/>
      <c r="CI429" s="27"/>
      <c r="CJ429" s="27"/>
      <c r="CK429" s="27"/>
      <c r="CL429" s="27"/>
      <c r="CM429" s="27"/>
      <c r="CN429" s="27"/>
      <c r="CO429" s="27"/>
      <c r="CP429" s="27"/>
      <c r="CQ429" s="27"/>
      <c r="CR429" s="27"/>
      <c r="CS429" s="27"/>
      <c r="CT429" s="27"/>
      <c r="CU429" s="27"/>
      <c r="CV429" s="27"/>
      <c r="CW429" s="27"/>
      <c r="CX429" s="27"/>
      <c r="CY429" s="27"/>
      <c r="CZ429" s="27"/>
      <c r="DA429" s="27"/>
      <c r="DB429" s="27"/>
      <c r="DC429" s="27"/>
      <c r="DD429" s="27"/>
      <c r="DE429" s="27"/>
      <c r="DF429" s="27"/>
      <c r="DG429" s="27"/>
      <c r="DH429" s="27"/>
      <c r="DI429" s="27"/>
      <c r="DJ429" s="27"/>
      <c r="DK429" s="27"/>
      <c r="DL429" s="27"/>
      <c r="DM429" s="27"/>
      <c r="DN429" s="27"/>
      <c r="DO429" s="27"/>
      <c r="DP429" s="27"/>
      <c r="DQ429" s="27"/>
      <c r="DR429" s="27"/>
      <c r="DS429" s="27"/>
      <c r="DT429" s="27"/>
    </row>
    <row r="430" spans="2:124" x14ac:dyDescent="0.2">
      <c r="B430" s="27"/>
      <c r="C430" s="27"/>
      <c r="D430" s="27"/>
      <c r="E430" s="27"/>
      <c r="F430" s="27"/>
      <c r="G430" s="27"/>
      <c r="H430" s="27"/>
      <c r="I430" s="27"/>
      <c r="J430" s="27"/>
      <c r="K430" s="27"/>
      <c r="L430" s="27"/>
      <c r="M430" s="27"/>
      <c r="N430" s="27"/>
      <c r="O430" s="27"/>
      <c r="P430" s="27"/>
      <c r="Q430" s="27"/>
      <c r="R430" s="27"/>
      <c r="S430" s="27"/>
      <c r="T430" s="27"/>
      <c r="U430" s="27"/>
      <c r="V430" s="27"/>
      <c r="W430" s="27"/>
      <c r="X430" s="27"/>
      <c r="Y430" s="27"/>
      <c r="Z430" s="27"/>
      <c r="AA430" s="27"/>
      <c r="AB430" s="27"/>
      <c r="AC430" s="27"/>
      <c r="AD430" s="27"/>
      <c r="AE430" s="27"/>
      <c r="AF430" s="27"/>
      <c r="AG430" s="27"/>
      <c r="AH430" s="27"/>
      <c r="AI430" s="27"/>
      <c r="AJ430" s="27"/>
      <c r="AK430" s="27"/>
      <c r="AL430" s="27"/>
      <c r="AM430" s="27"/>
      <c r="AN430" s="27"/>
      <c r="AO430" s="27"/>
      <c r="AP430" s="27"/>
      <c r="AQ430" s="27"/>
      <c r="AR430" s="27"/>
      <c r="AS430" s="27"/>
      <c r="AT430" s="27"/>
      <c r="AU430" s="27"/>
      <c r="AV430" s="27"/>
      <c r="AW430" s="27"/>
      <c r="AX430" s="27"/>
      <c r="AY430" s="27"/>
      <c r="AZ430" s="27"/>
      <c r="BA430" s="27"/>
      <c r="BB430" s="27"/>
      <c r="BC430" s="27"/>
      <c r="BD430" s="27"/>
      <c r="BE430" s="27"/>
      <c r="BF430" s="27"/>
      <c r="BG430" s="27"/>
      <c r="BH430" s="27"/>
      <c r="BI430" s="27"/>
      <c r="BJ430" s="27"/>
      <c r="BK430" s="27"/>
      <c r="BL430" s="27"/>
      <c r="BM430" s="27"/>
      <c r="BN430" s="27"/>
      <c r="BO430" s="27"/>
      <c r="BP430" s="27"/>
      <c r="BQ430" s="27"/>
      <c r="BR430" s="27"/>
      <c r="BS430" s="27"/>
      <c r="BT430" s="27"/>
      <c r="BU430" s="27"/>
      <c r="BV430" s="27"/>
      <c r="BW430" s="27"/>
      <c r="BX430" s="27"/>
      <c r="BY430" s="27"/>
      <c r="BZ430" s="27"/>
      <c r="CA430" s="27"/>
      <c r="CB430" s="27"/>
      <c r="CC430" s="27"/>
      <c r="CD430" s="27"/>
      <c r="CE430" s="27"/>
      <c r="CF430" s="27"/>
      <c r="CG430" s="27"/>
      <c r="CH430" s="27"/>
      <c r="CI430" s="27"/>
      <c r="CJ430" s="27"/>
      <c r="CK430" s="27"/>
      <c r="CL430" s="27"/>
      <c r="CM430" s="27"/>
      <c r="CN430" s="27"/>
      <c r="CO430" s="27"/>
      <c r="CP430" s="27"/>
      <c r="CQ430" s="27"/>
      <c r="CR430" s="27"/>
      <c r="CS430" s="27"/>
      <c r="CT430" s="27"/>
      <c r="CU430" s="27"/>
      <c r="CV430" s="27"/>
      <c r="CW430" s="27"/>
      <c r="CX430" s="27"/>
      <c r="CY430" s="27"/>
      <c r="CZ430" s="27"/>
      <c r="DA430" s="27"/>
      <c r="DB430" s="27"/>
      <c r="DC430" s="27"/>
      <c r="DD430" s="27"/>
      <c r="DE430" s="27"/>
      <c r="DF430" s="27"/>
      <c r="DG430" s="27"/>
      <c r="DH430" s="27"/>
      <c r="DI430" s="27"/>
      <c r="DJ430" s="27"/>
      <c r="DK430" s="27"/>
      <c r="DL430" s="27"/>
      <c r="DM430" s="27"/>
      <c r="DN430" s="27"/>
      <c r="DO430" s="27"/>
      <c r="DP430" s="27"/>
      <c r="DQ430" s="27"/>
      <c r="DR430" s="27"/>
      <c r="DS430" s="27"/>
      <c r="DT430" s="27"/>
    </row>
    <row r="431" spans="2:124" x14ac:dyDescent="0.2">
      <c r="B431" s="27"/>
      <c r="C431" s="27"/>
      <c r="D431" s="27"/>
      <c r="E431" s="27"/>
      <c r="F431" s="27"/>
      <c r="G431" s="27"/>
      <c r="H431" s="27"/>
      <c r="I431" s="27"/>
      <c r="J431" s="27"/>
      <c r="K431" s="27"/>
      <c r="L431" s="27"/>
      <c r="M431" s="27"/>
      <c r="N431" s="27"/>
      <c r="O431" s="27"/>
      <c r="P431" s="27"/>
      <c r="Q431" s="27"/>
      <c r="R431" s="27"/>
      <c r="S431" s="27"/>
      <c r="T431" s="27"/>
      <c r="U431" s="27"/>
      <c r="V431" s="27"/>
      <c r="W431" s="27"/>
      <c r="X431" s="27"/>
      <c r="Y431" s="27"/>
      <c r="Z431" s="27"/>
      <c r="AA431" s="27"/>
      <c r="AB431" s="27"/>
      <c r="AC431" s="27"/>
      <c r="AD431" s="27"/>
      <c r="AE431" s="27"/>
      <c r="AF431" s="27"/>
      <c r="AG431" s="27"/>
      <c r="AH431" s="27"/>
      <c r="AI431" s="27"/>
      <c r="AJ431" s="27"/>
      <c r="AK431" s="27"/>
      <c r="AL431" s="27"/>
      <c r="AM431" s="27"/>
      <c r="AN431" s="27"/>
      <c r="AO431" s="27"/>
      <c r="AP431" s="27"/>
      <c r="AQ431" s="27"/>
      <c r="AR431" s="27"/>
      <c r="AS431" s="27"/>
      <c r="AT431" s="27"/>
      <c r="AU431" s="27"/>
      <c r="AV431" s="27"/>
      <c r="AW431" s="27"/>
      <c r="AX431" s="27"/>
      <c r="AY431" s="27"/>
      <c r="AZ431" s="27"/>
      <c r="BA431" s="27"/>
      <c r="BB431" s="27"/>
      <c r="BC431" s="27"/>
      <c r="BD431" s="27"/>
      <c r="BE431" s="27"/>
      <c r="BF431" s="27"/>
      <c r="BG431" s="27"/>
      <c r="BH431" s="27"/>
      <c r="BI431" s="27"/>
      <c r="BJ431" s="27"/>
      <c r="BK431" s="27"/>
      <c r="BL431" s="27"/>
      <c r="BM431" s="27"/>
      <c r="BN431" s="27"/>
      <c r="BO431" s="27"/>
      <c r="BP431" s="27"/>
      <c r="BQ431" s="27"/>
      <c r="BR431" s="27"/>
      <c r="BS431" s="27"/>
      <c r="BT431" s="27"/>
      <c r="BU431" s="27"/>
      <c r="BV431" s="27"/>
      <c r="BW431" s="27"/>
      <c r="BX431" s="27"/>
      <c r="BY431" s="27"/>
      <c r="BZ431" s="27"/>
      <c r="CA431" s="27"/>
      <c r="CB431" s="27"/>
      <c r="CC431" s="27"/>
      <c r="CD431" s="27"/>
      <c r="CE431" s="27"/>
      <c r="CF431" s="27"/>
      <c r="CG431" s="27"/>
      <c r="CH431" s="27"/>
      <c r="CI431" s="27"/>
      <c r="CJ431" s="27"/>
      <c r="CK431" s="27"/>
      <c r="CL431" s="27"/>
      <c r="CM431" s="27"/>
      <c r="CN431" s="27"/>
      <c r="CO431" s="27"/>
      <c r="CP431" s="27"/>
      <c r="CQ431" s="27"/>
      <c r="CR431" s="27"/>
      <c r="CS431" s="27"/>
      <c r="CT431" s="27"/>
      <c r="CU431" s="27"/>
      <c r="CV431" s="27"/>
      <c r="CW431" s="27"/>
      <c r="CX431" s="27"/>
      <c r="CY431" s="27"/>
      <c r="CZ431" s="27"/>
      <c r="DA431" s="27"/>
      <c r="DB431" s="27"/>
      <c r="DC431" s="27"/>
      <c r="DD431" s="27"/>
      <c r="DE431" s="27"/>
      <c r="DF431" s="27"/>
      <c r="DG431" s="27"/>
      <c r="DH431" s="27"/>
      <c r="DI431" s="27"/>
      <c r="DJ431" s="27"/>
      <c r="DK431" s="27"/>
      <c r="DL431" s="27"/>
      <c r="DM431" s="27"/>
      <c r="DN431" s="27"/>
      <c r="DO431" s="27"/>
      <c r="DP431" s="27"/>
      <c r="DQ431" s="27"/>
      <c r="DR431" s="27"/>
      <c r="DS431" s="27"/>
      <c r="DT431" s="27"/>
    </row>
    <row r="432" spans="2:124" x14ac:dyDescent="0.2">
      <c r="B432" s="27"/>
      <c r="C432" s="27"/>
      <c r="D432" s="27"/>
      <c r="E432" s="27"/>
      <c r="F432" s="27"/>
      <c r="G432" s="27"/>
      <c r="H432" s="27"/>
      <c r="I432" s="27"/>
      <c r="J432" s="27"/>
      <c r="K432" s="27"/>
      <c r="L432" s="27"/>
      <c r="M432" s="27"/>
      <c r="N432" s="27"/>
      <c r="O432" s="27"/>
      <c r="P432" s="27"/>
      <c r="Q432" s="27"/>
      <c r="R432" s="27"/>
      <c r="S432" s="27"/>
      <c r="T432" s="27"/>
      <c r="U432" s="27"/>
      <c r="V432" s="27"/>
      <c r="W432" s="27"/>
      <c r="X432" s="27"/>
      <c r="Y432" s="27"/>
      <c r="Z432" s="27"/>
      <c r="AA432" s="27"/>
      <c r="AB432" s="27"/>
      <c r="AC432" s="27"/>
      <c r="AD432" s="27"/>
      <c r="AE432" s="27"/>
      <c r="AF432" s="27"/>
      <c r="AG432" s="27"/>
      <c r="AH432" s="27"/>
      <c r="AI432" s="27"/>
      <c r="AJ432" s="27"/>
      <c r="AK432" s="27"/>
      <c r="AL432" s="27"/>
      <c r="AM432" s="27"/>
      <c r="AN432" s="27"/>
      <c r="AO432" s="27"/>
      <c r="AP432" s="27"/>
      <c r="AQ432" s="27"/>
      <c r="AR432" s="27"/>
      <c r="AS432" s="27"/>
      <c r="AT432" s="27"/>
      <c r="AU432" s="27"/>
      <c r="AV432" s="27"/>
      <c r="AW432" s="27"/>
      <c r="AX432" s="27"/>
      <c r="AY432" s="27"/>
      <c r="AZ432" s="27"/>
      <c r="BA432" s="27"/>
      <c r="BB432" s="27"/>
      <c r="BC432" s="27"/>
      <c r="BD432" s="27"/>
      <c r="BE432" s="27"/>
      <c r="BF432" s="27"/>
      <c r="BG432" s="27"/>
      <c r="BH432" s="27"/>
      <c r="BI432" s="27"/>
      <c r="BJ432" s="27"/>
      <c r="BK432" s="27"/>
      <c r="BL432" s="27"/>
      <c r="BM432" s="27"/>
      <c r="BN432" s="27"/>
      <c r="BO432" s="27"/>
      <c r="BP432" s="27"/>
      <c r="BQ432" s="27"/>
      <c r="BR432" s="27"/>
      <c r="BS432" s="27"/>
      <c r="BT432" s="27"/>
      <c r="BU432" s="27"/>
      <c r="BV432" s="27"/>
      <c r="BW432" s="27"/>
      <c r="BX432" s="27"/>
      <c r="BY432" s="27"/>
      <c r="BZ432" s="27"/>
      <c r="CA432" s="27"/>
      <c r="CB432" s="27"/>
      <c r="CC432" s="27"/>
      <c r="CD432" s="27"/>
      <c r="CE432" s="27"/>
      <c r="CF432" s="27"/>
      <c r="CG432" s="27"/>
      <c r="CH432" s="27"/>
      <c r="CI432" s="27"/>
      <c r="CJ432" s="27"/>
      <c r="CK432" s="27"/>
      <c r="CL432" s="27"/>
      <c r="CM432" s="27"/>
      <c r="CN432" s="27"/>
      <c r="CO432" s="27"/>
      <c r="CP432" s="27"/>
      <c r="CQ432" s="27"/>
      <c r="CR432" s="27"/>
      <c r="CS432" s="27"/>
      <c r="CT432" s="27"/>
      <c r="CU432" s="27"/>
      <c r="CV432" s="27"/>
      <c r="CW432" s="27"/>
      <c r="CX432" s="27"/>
      <c r="CY432" s="27"/>
      <c r="CZ432" s="27"/>
      <c r="DA432" s="27"/>
      <c r="DB432" s="27"/>
      <c r="DC432" s="27"/>
      <c r="DD432" s="27"/>
      <c r="DE432" s="27"/>
      <c r="DF432" s="27"/>
      <c r="DG432" s="27"/>
      <c r="DH432" s="27"/>
      <c r="DI432" s="27"/>
      <c r="DJ432" s="27"/>
      <c r="DK432" s="27"/>
      <c r="DL432" s="27"/>
      <c r="DM432" s="27"/>
      <c r="DN432" s="27"/>
      <c r="DO432" s="27"/>
      <c r="DP432" s="27"/>
      <c r="DQ432" s="27"/>
      <c r="DR432" s="27"/>
      <c r="DS432" s="27"/>
      <c r="DT432" s="27"/>
    </row>
    <row r="433" spans="2:124" x14ac:dyDescent="0.2">
      <c r="B433" s="27"/>
      <c r="C433" s="27"/>
      <c r="D433" s="27"/>
      <c r="E433" s="27"/>
      <c r="F433" s="27"/>
      <c r="G433" s="27"/>
      <c r="H433" s="27"/>
      <c r="I433" s="27"/>
      <c r="J433" s="27"/>
      <c r="K433" s="27"/>
      <c r="L433" s="27"/>
      <c r="M433" s="27"/>
      <c r="N433" s="27"/>
      <c r="O433" s="27"/>
      <c r="P433" s="27"/>
      <c r="Q433" s="27"/>
      <c r="R433" s="27"/>
      <c r="S433" s="27"/>
      <c r="T433" s="27"/>
      <c r="U433" s="27"/>
      <c r="V433" s="27"/>
      <c r="W433" s="27"/>
      <c r="X433" s="27"/>
      <c r="Y433" s="27"/>
      <c r="Z433" s="27"/>
      <c r="AA433" s="27"/>
      <c r="AB433" s="27"/>
      <c r="AC433" s="27"/>
      <c r="AD433" s="27"/>
      <c r="AE433" s="27"/>
      <c r="AF433" s="27"/>
      <c r="AG433" s="27"/>
      <c r="AH433" s="27"/>
      <c r="AI433" s="27"/>
      <c r="AJ433" s="27"/>
      <c r="AK433" s="27"/>
      <c r="AL433" s="27"/>
      <c r="AM433" s="27"/>
      <c r="AN433" s="27"/>
      <c r="AO433" s="27"/>
      <c r="AP433" s="27"/>
      <c r="AQ433" s="27"/>
      <c r="AR433" s="27"/>
      <c r="AS433" s="27"/>
      <c r="AT433" s="27"/>
      <c r="AU433" s="27"/>
      <c r="AV433" s="27"/>
      <c r="AW433" s="27"/>
      <c r="AX433" s="27"/>
      <c r="AY433" s="27"/>
      <c r="AZ433" s="27"/>
      <c r="BA433" s="27"/>
      <c r="BB433" s="27"/>
      <c r="BC433" s="27"/>
      <c r="BD433" s="27"/>
      <c r="BE433" s="27"/>
      <c r="BF433" s="27"/>
      <c r="BG433" s="27"/>
      <c r="BH433" s="27"/>
      <c r="BI433" s="27"/>
      <c r="BJ433" s="27"/>
      <c r="BK433" s="27"/>
      <c r="BL433" s="27"/>
      <c r="BM433" s="27"/>
      <c r="BN433" s="27"/>
      <c r="BO433" s="27"/>
      <c r="BP433" s="27"/>
      <c r="BQ433" s="27"/>
      <c r="BR433" s="27"/>
      <c r="BS433" s="27"/>
      <c r="BT433" s="27"/>
      <c r="BU433" s="27"/>
      <c r="BV433" s="27"/>
      <c r="BW433" s="27"/>
      <c r="BX433" s="27"/>
      <c r="BY433" s="27"/>
      <c r="BZ433" s="27"/>
      <c r="CA433" s="27"/>
      <c r="CB433" s="27"/>
      <c r="CC433" s="27"/>
      <c r="CD433" s="27"/>
      <c r="CE433" s="27"/>
      <c r="CF433" s="27"/>
      <c r="CG433" s="27"/>
      <c r="CH433" s="27"/>
      <c r="CI433" s="27"/>
      <c r="CJ433" s="27"/>
      <c r="CK433" s="27"/>
      <c r="CL433" s="27"/>
      <c r="CM433" s="27"/>
      <c r="CN433" s="27"/>
      <c r="CO433" s="27"/>
      <c r="CP433" s="27"/>
      <c r="CQ433" s="27"/>
      <c r="CR433" s="27"/>
      <c r="CS433" s="27"/>
      <c r="CT433" s="27"/>
      <c r="CU433" s="27"/>
      <c r="CV433" s="27"/>
      <c r="CW433" s="27"/>
      <c r="CX433" s="27"/>
      <c r="CY433" s="27"/>
      <c r="CZ433" s="27"/>
      <c r="DA433" s="27"/>
      <c r="DB433" s="27"/>
      <c r="DC433" s="27"/>
      <c r="DD433" s="27"/>
      <c r="DE433" s="27"/>
      <c r="DF433" s="27"/>
      <c r="DG433" s="27"/>
      <c r="DH433" s="27"/>
      <c r="DI433" s="27"/>
      <c r="DJ433" s="27"/>
      <c r="DK433" s="27"/>
      <c r="DL433" s="27"/>
      <c r="DM433" s="27"/>
      <c r="DN433" s="27"/>
      <c r="DO433" s="27"/>
      <c r="DP433" s="27"/>
      <c r="DQ433" s="27"/>
      <c r="DR433" s="27"/>
      <c r="DS433" s="27"/>
      <c r="DT433" s="27"/>
    </row>
    <row r="434" spans="2:124" x14ac:dyDescent="0.2">
      <c r="B434" s="27"/>
      <c r="C434" s="27"/>
      <c r="D434" s="27"/>
      <c r="E434" s="27"/>
      <c r="F434" s="27"/>
      <c r="G434" s="27"/>
      <c r="H434" s="27"/>
      <c r="I434" s="27"/>
      <c r="J434" s="27"/>
      <c r="K434" s="27"/>
      <c r="L434" s="27"/>
      <c r="M434" s="27"/>
      <c r="N434" s="27"/>
      <c r="O434" s="27"/>
      <c r="P434" s="27"/>
      <c r="Q434" s="27"/>
      <c r="R434" s="27"/>
      <c r="S434" s="27"/>
      <c r="T434" s="27"/>
      <c r="U434" s="27"/>
      <c r="V434" s="27"/>
      <c r="W434" s="27"/>
      <c r="X434" s="27"/>
      <c r="Y434" s="27"/>
      <c r="Z434" s="27"/>
      <c r="AA434" s="27"/>
      <c r="AB434" s="27"/>
      <c r="AC434" s="27"/>
      <c r="AD434" s="27"/>
      <c r="AE434" s="27"/>
      <c r="AF434" s="27"/>
      <c r="AG434" s="27"/>
      <c r="AH434" s="27"/>
      <c r="AI434" s="27"/>
      <c r="AJ434" s="27"/>
      <c r="AK434" s="27"/>
      <c r="AL434" s="27"/>
      <c r="AM434" s="27"/>
      <c r="AN434" s="27"/>
      <c r="AO434" s="27"/>
      <c r="AP434" s="27"/>
      <c r="AQ434" s="27"/>
      <c r="AR434" s="27"/>
      <c r="AS434" s="27"/>
      <c r="AT434" s="27"/>
      <c r="AU434" s="27"/>
      <c r="AV434" s="27"/>
      <c r="AW434" s="27"/>
      <c r="AX434" s="27"/>
      <c r="AY434" s="27"/>
      <c r="AZ434" s="27"/>
      <c r="BA434" s="27"/>
      <c r="BB434" s="27"/>
      <c r="BC434" s="27"/>
      <c r="BD434" s="27"/>
      <c r="BE434" s="27"/>
      <c r="BF434" s="27"/>
      <c r="BG434" s="27"/>
      <c r="BH434" s="27"/>
      <c r="BI434" s="27"/>
      <c r="BJ434" s="27"/>
      <c r="BK434" s="27"/>
      <c r="BL434" s="27"/>
      <c r="BM434" s="27"/>
      <c r="BN434" s="27"/>
      <c r="BO434" s="27"/>
      <c r="BP434" s="27"/>
      <c r="BQ434" s="27"/>
      <c r="BR434" s="27"/>
      <c r="BS434" s="27"/>
      <c r="BT434" s="27"/>
      <c r="BU434" s="27"/>
      <c r="BV434" s="27"/>
      <c r="BW434" s="27"/>
      <c r="BX434" s="27"/>
      <c r="BY434" s="27"/>
      <c r="BZ434" s="27"/>
      <c r="CA434" s="27"/>
      <c r="CB434" s="27"/>
      <c r="CC434" s="27"/>
      <c r="CD434" s="27"/>
      <c r="CE434" s="27"/>
      <c r="CF434" s="27"/>
      <c r="CG434" s="27"/>
      <c r="CH434" s="27"/>
      <c r="CI434" s="27"/>
      <c r="CJ434" s="27"/>
      <c r="CK434" s="27"/>
      <c r="CL434" s="27"/>
      <c r="CM434" s="27"/>
      <c r="CN434" s="27"/>
      <c r="CO434" s="27"/>
      <c r="CP434" s="27"/>
      <c r="CQ434" s="27"/>
      <c r="CR434" s="27"/>
      <c r="CS434" s="27"/>
      <c r="CT434" s="27"/>
      <c r="CU434" s="27"/>
      <c r="CV434" s="27"/>
      <c r="CW434" s="27"/>
      <c r="CX434" s="27"/>
      <c r="CY434" s="27"/>
      <c r="CZ434" s="27"/>
      <c r="DA434" s="27"/>
      <c r="DB434" s="27"/>
      <c r="DC434" s="27"/>
      <c r="DD434" s="27"/>
      <c r="DE434" s="27"/>
      <c r="DF434" s="27"/>
      <c r="DG434" s="27"/>
      <c r="DH434" s="27"/>
      <c r="DI434" s="27"/>
      <c r="DJ434" s="27"/>
      <c r="DK434" s="27"/>
      <c r="DL434" s="27"/>
      <c r="DM434" s="27"/>
      <c r="DN434" s="27"/>
      <c r="DO434" s="27"/>
      <c r="DP434" s="27"/>
      <c r="DQ434" s="27"/>
      <c r="DR434" s="27"/>
      <c r="DS434" s="27"/>
      <c r="DT434" s="27"/>
    </row>
    <row r="435" spans="2:124" x14ac:dyDescent="0.2">
      <c r="B435" s="27"/>
      <c r="C435" s="27"/>
      <c r="D435" s="27"/>
      <c r="E435" s="27"/>
      <c r="F435" s="27"/>
      <c r="G435" s="27"/>
      <c r="H435" s="27"/>
      <c r="I435" s="27"/>
      <c r="J435" s="27"/>
      <c r="K435" s="27"/>
      <c r="L435" s="27"/>
      <c r="M435" s="27"/>
      <c r="N435" s="27"/>
      <c r="O435" s="27"/>
      <c r="P435" s="27"/>
      <c r="Q435" s="27"/>
      <c r="R435" s="27"/>
      <c r="S435" s="27"/>
      <c r="T435" s="27"/>
      <c r="U435" s="27"/>
      <c r="V435" s="27"/>
      <c r="W435" s="27"/>
      <c r="X435" s="27"/>
      <c r="Y435" s="27"/>
      <c r="Z435" s="27"/>
      <c r="AA435" s="27"/>
      <c r="AB435" s="27"/>
      <c r="AC435" s="27"/>
      <c r="AD435" s="27"/>
      <c r="AE435" s="27"/>
      <c r="AF435" s="27"/>
      <c r="AG435" s="27"/>
      <c r="AH435" s="27"/>
      <c r="AI435" s="27"/>
      <c r="AJ435" s="27"/>
      <c r="AK435" s="27"/>
      <c r="AL435" s="27"/>
      <c r="AM435" s="27"/>
      <c r="AN435" s="27"/>
      <c r="AO435" s="27"/>
      <c r="AP435" s="27"/>
      <c r="AQ435" s="27"/>
      <c r="AR435" s="27"/>
      <c r="AS435" s="27"/>
      <c r="AT435" s="27"/>
      <c r="AU435" s="27"/>
      <c r="AV435" s="27"/>
      <c r="AW435" s="27"/>
      <c r="AX435" s="27"/>
      <c r="AY435" s="27"/>
      <c r="AZ435" s="27"/>
      <c r="BA435" s="27"/>
      <c r="BB435" s="27"/>
      <c r="BC435" s="27"/>
      <c r="BD435" s="27"/>
      <c r="BE435" s="27"/>
      <c r="BF435" s="27"/>
      <c r="BG435" s="27"/>
      <c r="BH435" s="27"/>
      <c r="BI435" s="27"/>
      <c r="BJ435" s="27"/>
      <c r="BK435" s="27"/>
      <c r="BL435" s="27"/>
      <c r="BM435" s="27"/>
      <c r="BN435" s="27"/>
      <c r="BO435" s="27"/>
      <c r="BP435" s="27"/>
      <c r="BQ435" s="27"/>
      <c r="BR435" s="27"/>
      <c r="BS435" s="27"/>
      <c r="BT435" s="27"/>
      <c r="BU435" s="27"/>
      <c r="BV435" s="27"/>
      <c r="BW435" s="27"/>
      <c r="BX435" s="27"/>
      <c r="BY435" s="27"/>
      <c r="BZ435" s="27"/>
      <c r="CA435" s="27"/>
      <c r="CB435" s="27"/>
      <c r="CC435" s="27"/>
      <c r="CD435" s="27"/>
      <c r="CE435" s="27"/>
      <c r="CF435" s="27"/>
      <c r="CG435" s="27"/>
      <c r="CH435" s="27"/>
      <c r="CI435" s="27"/>
      <c r="CJ435" s="27"/>
      <c r="CK435" s="27"/>
      <c r="CL435" s="27"/>
      <c r="CM435" s="27"/>
      <c r="CN435" s="27"/>
      <c r="CO435" s="27"/>
      <c r="CP435" s="27"/>
      <c r="CQ435" s="27"/>
      <c r="CR435" s="27"/>
      <c r="CS435" s="27"/>
      <c r="CT435" s="27"/>
      <c r="CU435" s="27"/>
      <c r="CV435" s="27"/>
      <c r="CW435" s="27"/>
      <c r="CX435" s="27"/>
      <c r="CY435" s="27"/>
      <c r="CZ435" s="27"/>
      <c r="DA435" s="27"/>
      <c r="DB435" s="27"/>
      <c r="DC435" s="27"/>
      <c r="DD435" s="27"/>
      <c r="DE435" s="27"/>
      <c r="DF435" s="27"/>
      <c r="DG435" s="27"/>
      <c r="DH435" s="27"/>
      <c r="DI435" s="27"/>
      <c r="DJ435" s="27"/>
      <c r="DK435" s="27"/>
      <c r="DL435" s="27"/>
      <c r="DM435" s="27"/>
      <c r="DN435" s="27"/>
      <c r="DO435" s="27"/>
      <c r="DP435" s="27"/>
      <c r="DQ435" s="27"/>
      <c r="DR435" s="27"/>
      <c r="DS435" s="27"/>
      <c r="DT435" s="27"/>
    </row>
    <row r="436" spans="2:124" x14ac:dyDescent="0.2">
      <c r="B436" s="27"/>
      <c r="C436" s="27"/>
      <c r="D436" s="27"/>
      <c r="E436" s="27"/>
      <c r="F436" s="27"/>
      <c r="G436" s="27"/>
      <c r="H436" s="27"/>
      <c r="I436" s="27"/>
      <c r="J436" s="27"/>
      <c r="K436" s="27"/>
      <c r="L436" s="27"/>
      <c r="M436" s="27"/>
      <c r="N436" s="27"/>
      <c r="O436" s="27"/>
      <c r="P436" s="27"/>
      <c r="Q436" s="27"/>
      <c r="R436" s="27"/>
      <c r="S436" s="27"/>
      <c r="T436" s="27"/>
      <c r="U436" s="27"/>
      <c r="V436" s="27"/>
      <c r="W436" s="27"/>
      <c r="X436" s="27"/>
      <c r="Y436" s="27"/>
      <c r="Z436" s="27"/>
      <c r="AA436" s="27"/>
      <c r="AB436" s="27"/>
      <c r="AC436" s="27"/>
      <c r="AD436" s="27"/>
      <c r="AE436" s="27"/>
      <c r="AF436" s="27"/>
      <c r="AG436" s="27"/>
      <c r="AH436" s="27"/>
      <c r="AI436" s="27"/>
      <c r="AJ436" s="27"/>
      <c r="AK436" s="27"/>
      <c r="AL436" s="27"/>
      <c r="AM436" s="27"/>
      <c r="AN436" s="27"/>
      <c r="AO436" s="27"/>
      <c r="AP436" s="27"/>
      <c r="AQ436" s="27"/>
      <c r="AR436" s="27"/>
      <c r="AS436" s="27"/>
      <c r="AT436" s="27"/>
      <c r="AU436" s="27"/>
      <c r="AV436" s="27"/>
      <c r="AW436" s="27"/>
      <c r="AX436" s="27"/>
      <c r="AY436" s="27"/>
      <c r="AZ436" s="27"/>
      <c r="BA436" s="27"/>
      <c r="BB436" s="27"/>
      <c r="BC436" s="27"/>
      <c r="BD436" s="27"/>
      <c r="BE436" s="27"/>
      <c r="BF436" s="27"/>
      <c r="BG436" s="27"/>
      <c r="BH436" s="27"/>
      <c r="BI436" s="27"/>
      <c r="BJ436" s="27"/>
      <c r="BK436" s="27"/>
      <c r="BL436" s="27"/>
      <c r="BM436" s="27"/>
      <c r="BN436" s="27"/>
      <c r="BO436" s="27"/>
      <c r="BP436" s="27"/>
      <c r="BQ436" s="27"/>
      <c r="BR436" s="27"/>
      <c r="BS436" s="27"/>
      <c r="BT436" s="27"/>
      <c r="BU436" s="27"/>
      <c r="BV436" s="27"/>
      <c r="BW436" s="27"/>
      <c r="BX436" s="27"/>
      <c r="BY436" s="27"/>
      <c r="BZ436" s="27"/>
      <c r="CA436" s="27"/>
      <c r="CB436" s="27"/>
      <c r="CC436" s="27"/>
      <c r="CD436" s="27"/>
      <c r="CE436" s="27"/>
      <c r="CF436" s="27"/>
      <c r="CG436" s="27"/>
      <c r="CH436" s="27"/>
      <c r="CI436" s="27"/>
      <c r="CJ436" s="27"/>
      <c r="CK436" s="27"/>
      <c r="CL436" s="27"/>
      <c r="CM436" s="27"/>
      <c r="CN436" s="27"/>
      <c r="CO436" s="27"/>
      <c r="CP436" s="27"/>
      <c r="CQ436" s="27"/>
      <c r="CR436" s="27"/>
      <c r="CS436" s="27"/>
      <c r="CT436" s="27"/>
      <c r="CU436" s="27"/>
      <c r="CV436" s="27"/>
      <c r="CW436" s="27"/>
      <c r="CX436" s="27"/>
      <c r="CY436" s="27"/>
      <c r="CZ436" s="27"/>
      <c r="DA436" s="27"/>
      <c r="DB436" s="27"/>
      <c r="DC436" s="27"/>
      <c r="DD436" s="27"/>
      <c r="DE436" s="27"/>
      <c r="DF436" s="27"/>
      <c r="DG436" s="27"/>
      <c r="DH436" s="27"/>
      <c r="DI436" s="27"/>
      <c r="DJ436" s="27"/>
      <c r="DK436" s="27"/>
      <c r="DL436" s="27"/>
      <c r="DM436" s="27"/>
      <c r="DN436" s="27"/>
      <c r="DO436" s="27"/>
      <c r="DP436" s="27"/>
      <c r="DQ436" s="27"/>
      <c r="DR436" s="27"/>
      <c r="DS436" s="27"/>
      <c r="DT436" s="27"/>
    </row>
    <row r="437" spans="2:124" x14ac:dyDescent="0.2">
      <c r="B437" s="27"/>
      <c r="C437" s="27"/>
      <c r="D437" s="27"/>
      <c r="E437" s="27"/>
      <c r="F437" s="27"/>
      <c r="G437" s="27"/>
      <c r="H437" s="27"/>
      <c r="I437" s="27"/>
      <c r="J437" s="27"/>
      <c r="K437" s="27"/>
      <c r="L437" s="27"/>
      <c r="M437" s="27"/>
      <c r="N437" s="27"/>
      <c r="O437" s="27"/>
      <c r="P437" s="27"/>
      <c r="Q437" s="27"/>
      <c r="R437" s="27"/>
      <c r="S437" s="27"/>
      <c r="T437" s="27"/>
      <c r="U437" s="27"/>
      <c r="V437" s="27"/>
      <c r="W437" s="27"/>
      <c r="X437" s="27"/>
      <c r="Y437" s="27"/>
      <c r="Z437" s="27"/>
      <c r="AA437" s="27"/>
      <c r="AB437" s="27"/>
      <c r="AC437" s="27"/>
      <c r="AD437" s="27"/>
      <c r="AE437" s="27"/>
      <c r="AF437" s="27"/>
      <c r="AG437" s="27"/>
      <c r="AH437" s="27"/>
      <c r="AI437" s="27"/>
      <c r="AJ437" s="27"/>
      <c r="AK437" s="27"/>
      <c r="AL437" s="27"/>
      <c r="AM437" s="27"/>
      <c r="AN437" s="27"/>
      <c r="AO437" s="27"/>
      <c r="AP437" s="27"/>
      <c r="AQ437" s="27"/>
      <c r="AR437" s="27"/>
      <c r="AS437" s="27"/>
      <c r="AT437" s="27"/>
      <c r="AU437" s="27"/>
      <c r="AV437" s="27"/>
      <c r="AW437" s="27"/>
      <c r="AX437" s="27"/>
      <c r="AY437" s="27"/>
      <c r="AZ437" s="27"/>
      <c r="BA437" s="27"/>
      <c r="BB437" s="27"/>
      <c r="BC437" s="27"/>
      <c r="BD437" s="27"/>
      <c r="BE437" s="27"/>
      <c r="BF437" s="27"/>
      <c r="BG437" s="27"/>
      <c r="BH437" s="27"/>
      <c r="BI437" s="27"/>
      <c r="BJ437" s="27"/>
      <c r="BK437" s="27"/>
      <c r="BL437" s="27"/>
      <c r="BM437" s="27"/>
      <c r="BN437" s="27"/>
      <c r="BO437" s="27"/>
      <c r="BP437" s="27"/>
      <c r="BQ437" s="27"/>
      <c r="BR437" s="27"/>
      <c r="BS437" s="27"/>
      <c r="BT437" s="27"/>
      <c r="BU437" s="27"/>
      <c r="BV437" s="27"/>
      <c r="BW437" s="27"/>
      <c r="BX437" s="27"/>
      <c r="BY437" s="27"/>
      <c r="BZ437" s="27"/>
      <c r="CA437" s="27"/>
      <c r="CB437" s="27"/>
      <c r="CC437" s="27"/>
      <c r="CD437" s="27"/>
      <c r="CE437" s="27"/>
      <c r="CF437" s="27"/>
      <c r="CG437" s="27"/>
      <c r="CH437" s="27"/>
      <c r="CI437" s="27"/>
      <c r="CJ437" s="27"/>
      <c r="CK437" s="27"/>
      <c r="CL437" s="27"/>
      <c r="CM437" s="27"/>
      <c r="CN437" s="27"/>
      <c r="CO437" s="27"/>
      <c r="CP437" s="27"/>
      <c r="CQ437" s="27"/>
      <c r="CR437" s="27"/>
      <c r="CS437" s="27"/>
      <c r="CT437" s="27"/>
      <c r="CU437" s="27"/>
      <c r="CV437" s="27"/>
      <c r="CW437" s="27"/>
      <c r="CX437" s="27"/>
      <c r="CY437" s="27"/>
      <c r="CZ437" s="27"/>
      <c r="DA437" s="27"/>
      <c r="DB437" s="27"/>
      <c r="DC437" s="27"/>
      <c r="DD437" s="27"/>
      <c r="DE437" s="27"/>
      <c r="DF437" s="27"/>
      <c r="DG437" s="27"/>
      <c r="DH437" s="27"/>
      <c r="DI437" s="27"/>
      <c r="DJ437" s="27"/>
      <c r="DK437" s="27"/>
      <c r="DL437" s="27"/>
      <c r="DM437" s="27"/>
      <c r="DN437" s="27"/>
      <c r="DO437" s="27"/>
      <c r="DP437" s="27"/>
      <c r="DQ437" s="27"/>
      <c r="DR437" s="27"/>
      <c r="DS437" s="27"/>
      <c r="DT437" s="27"/>
    </row>
    <row r="438" spans="2:124" x14ac:dyDescent="0.2">
      <c r="B438" s="27"/>
      <c r="C438" s="27"/>
      <c r="D438" s="27"/>
      <c r="E438" s="27"/>
      <c r="F438" s="27"/>
      <c r="G438" s="27"/>
      <c r="H438" s="27"/>
      <c r="I438" s="27"/>
      <c r="J438" s="27"/>
      <c r="K438" s="27"/>
      <c r="L438" s="27"/>
      <c r="M438" s="27"/>
      <c r="N438" s="27"/>
      <c r="O438" s="27"/>
      <c r="P438" s="27"/>
      <c r="Q438" s="27"/>
      <c r="R438" s="27"/>
      <c r="S438" s="27"/>
      <c r="T438" s="27"/>
      <c r="U438" s="27"/>
      <c r="V438" s="27"/>
      <c r="W438" s="27"/>
      <c r="X438" s="27"/>
      <c r="Y438" s="27"/>
      <c r="Z438" s="27"/>
      <c r="AA438" s="27"/>
      <c r="AB438" s="27"/>
      <c r="AC438" s="27"/>
      <c r="AD438" s="27"/>
      <c r="AE438" s="27"/>
      <c r="AF438" s="27"/>
      <c r="AG438" s="27"/>
      <c r="AH438" s="27"/>
      <c r="AI438" s="27"/>
      <c r="AJ438" s="27"/>
      <c r="AK438" s="27"/>
      <c r="AL438" s="27"/>
      <c r="AM438" s="27"/>
      <c r="AN438" s="27"/>
      <c r="AO438" s="27"/>
      <c r="AP438" s="27"/>
      <c r="AQ438" s="27"/>
      <c r="AR438" s="27"/>
      <c r="AS438" s="27"/>
      <c r="AT438" s="27"/>
      <c r="AU438" s="27"/>
      <c r="AV438" s="27"/>
      <c r="AW438" s="27"/>
      <c r="AX438" s="27"/>
      <c r="AY438" s="27"/>
      <c r="AZ438" s="27"/>
      <c r="BA438" s="27"/>
      <c r="BB438" s="27"/>
      <c r="BC438" s="27"/>
      <c r="BD438" s="27"/>
      <c r="BE438" s="27"/>
      <c r="BF438" s="27"/>
      <c r="BG438" s="27"/>
      <c r="BH438" s="27"/>
      <c r="BI438" s="27"/>
      <c r="BJ438" s="27"/>
      <c r="BK438" s="27"/>
      <c r="BL438" s="27"/>
      <c r="BM438" s="27"/>
      <c r="BN438" s="27"/>
      <c r="BO438" s="27"/>
      <c r="BP438" s="27"/>
      <c r="BQ438" s="27"/>
      <c r="BR438" s="27"/>
      <c r="BS438" s="27"/>
      <c r="BT438" s="27"/>
      <c r="BU438" s="27"/>
      <c r="BV438" s="27"/>
      <c r="BW438" s="27"/>
      <c r="BX438" s="27"/>
      <c r="BY438" s="27"/>
      <c r="BZ438" s="27"/>
      <c r="CA438" s="27"/>
      <c r="CB438" s="27"/>
      <c r="CC438" s="27"/>
      <c r="CD438" s="27"/>
      <c r="CE438" s="27"/>
      <c r="CF438" s="27"/>
      <c r="CG438" s="27"/>
      <c r="CH438" s="27"/>
      <c r="CI438" s="27"/>
      <c r="CJ438" s="27"/>
      <c r="CK438" s="27"/>
      <c r="CL438" s="27"/>
      <c r="CM438" s="27"/>
      <c r="CN438" s="27"/>
      <c r="CO438" s="27"/>
      <c r="CP438" s="27"/>
      <c r="CQ438" s="27"/>
      <c r="CR438" s="27"/>
      <c r="CS438" s="27"/>
      <c r="CT438" s="27"/>
      <c r="CU438" s="27"/>
      <c r="CV438" s="27"/>
      <c r="CW438" s="27"/>
      <c r="CX438" s="27"/>
      <c r="CY438" s="27"/>
      <c r="CZ438" s="27"/>
      <c r="DA438" s="27"/>
      <c r="DB438" s="27"/>
      <c r="DC438" s="27"/>
      <c r="DD438" s="27"/>
      <c r="DE438" s="27"/>
      <c r="DF438" s="27"/>
      <c r="DG438" s="27"/>
      <c r="DH438" s="27"/>
      <c r="DI438" s="27"/>
      <c r="DJ438" s="27"/>
      <c r="DK438" s="27"/>
      <c r="DL438" s="27"/>
      <c r="DM438" s="27"/>
      <c r="DN438" s="27"/>
      <c r="DO438" s="27"/>
      <c r="DP438" s="27"/>
      <c r="DQ438" s="27"/>
      <c r="DR438" s="27"/>
      <c r="DS438" s="27"/>
      <c r="DT438" s="27"/>
    </row>
    <row r="439" spans="2:124" x14ac:dyDescent="0.2">
      <c r="B439" s="27"/>
      <c r="C439" s="27"/>
      <c r="D439" s="27"/>
      <c r="E439" s="27"/>
      <c r="F439" s="27"/>
      <c r="G439" s="27"/>
      <c r="H439" s="27"/>
      <c r="I439" s="27"/>
      <c r="J439" s="27"/>
      <c r="K439" s="27"/>
      <c r="L439" s="27"/>
      <c r="M439" s="27"/>
      <c r="N439" s="27"/>
      <c r="O439" s="27"/>
      <c r="P439" s="27"/>
      <c r="Q439" s="27"/>
      <c r="R439" s="27"/>
      <c r="S439" s="27"/>
      <c r="T439" s="27"/>
      <c r="U439" s="27"/>
      <c r="V439" s="27"/>
      <c r="W439" s="27"/>
      <c r="X439" s="27"/>
      <c r="Y439" s="27"/>
      <c r="Z439" s="27"/>
      <c r="AA439" s="27"/>
      <c r="AB439" s="27"/>
      <c r="AC439" s="27"/>
      <c r="AD439" s="27"/>
      <c r="AE439" s="27"/>
      <c r="AF439" s="27"/>
      <c r="AG439" s="27"/>
      <c r="AH439" s="27"/>
      <c r="AI439" s="27"/>
      <c r="AJ439" s="27"/>
      <c r="AK439" s="27"/>
      <c r="AL439" s="27"/>
      <c r="AM439" s="27"/>
      <c r="AN439" s="27"/>
      <c r="AO439" s="27"/>
      <c r="AP439" s="27"/>
      <c r="AQ439" s="27"/>
      <c r="AR439" s="27"/>
      <c r="AS439" s="27"/>
      <c r="AT439" s="27"/>
      <c r="AU439" s="27"/>
      <c r="AV439" s="27"/>
      <c r="AW439" s="27"/>
      <c r="AX439" s="27"/>
      <c r="AY439" s="27"/>
      <c r="AZ439" s="27"/>
      <c r="BA439" s="27"/>
      <c r="BB439" s="27"/>
      <c r="BC439" s="27"/>
      <c r="BD439" s="27"/>
      <c r="BE439" s="27"/>
      <c r="BF439" s="27"/>
      <c r="BG439" s="27"/>
      <c r="BH439" s="27"/>
      <c r="BI439" s="27"/>
      <c r="BJ439" s="27"/>
      <c r="BK439" s="27"/>
      <c r="BL439" s="27"/>
      <c r="BM439" s="27"/>
      <c r="BN439" s="27"/>
      <c r="BO439" s="27"/>
      <c r="BP439" s="27"/>
      <c r="BQ439" s="27"/>
      <c r="BR439" s="27"/>
      <c r="BS439" s="27"/>
      <c r="BT439" s="27"/>
      <c r="BU439" s="27"/>
      <c r="BV439" s="27"/>
      <c r="BW439" s="27"/>
      <c r="BX439" s="27"/>
      <c r="BY439" s="27"/>
      <c r="BZ439" s="27"/>
      <c r="CA439" s="27"/>
      <c r="CB439" s="27"/>
      <c r="CC439" s="27"/>
      <c r="CD439" s="27"/>
      <c r="CE439" s="27"/>
      <c r="CF439" s="27"/>
      <c r="CG439" s="27"/>
      <c r="CH439" s="27"/>
      <c r="CI439" s="27"/>
      <c r="CJ439" s="27"/>
      <c r="CK439" s="27"/>
      <c r="CL439" s="27"/>
      <c r="CM439" s="27"/>
      <c r="CN439" s="27"/>
      <c r="CO439" s="27"/>
      <c r="CP439" s="27"/>
      <c r="CQ439" s="27"/>
      <c r="CR439" s="27"/>
      <c r="CS439" s="27"/>
      <c r="CT439" s="27"/>
      <c r="CU439" s="27"/>
      <c r="CV439" s="27"/>
      <c r="CW439" s="27"/>
      <c r="CX439" s="27"/>
      <c r="CY439" s="27"/>
      <c r="CZ439" s="27"/>
      <c r="DA439" s="27"/>
      <c r="DB439" s="27"/>
      <c r="DC439" s="27"/>
      <c r="DD439" s="27"/>
      <c r="DE439" s="27"/>
      <c r="DF439" s="27"/>
      <c r="DG439" s="27"/>
      <c r="DH439" s="27"/>
      <c r="DI439" s="27"/>
      <c r="DJ439" s="27"/>
      <c r="DK439" s="27"/>
      <c r="DL439" s="27"/>
      <c r="DM439" s="27"/>
      <c r="DN439" s="27"/>
      <c r="DO439" s="27"/>
      <c r="DP439" s="27"/>
      <c r="DQ439" s="27"/>
      <c r="DR439" s="27"/>
      <c r="DS439" s="27"/>
      <c r="DT439" s="27"/>
    </row>
    <row r="440" spans="2:124" x14ac:dyDescent="0.2">
      <c r="B440" s="27"/>
      <c r="C440" s="27"/>
      <c r="D440" s="27"/>
      <c r="E440" s="27"/>
      <c r="F440" s="27"/>
      <c r="G440" s="27"/>
      <c r="H440" s="27"/>
      <c r="I440" s="27"/>
      <c r="J440" s="27"/>
      <c r="K440" s="27"/>
      <c r="L440" s="27"/>
      <c r="M440" s="27"/>
      <c r="N440" s="27"/>
      <c r="O440" s="27"/>
      <c r="P440" s="27"/>
      <c r="Q440" s="27"/>
      <c r="R440" s="27"/>
      <c r="S440" s="27"/>
      <c r="T440" s="27"/>
      <c r="U440" s="27"/>
      <c r="V440" s="27"/>
      <c r="W440" s="27"/>
      <c r="X440" s="27"/>
      <c r="Y440" s="27"/>
      <c r="Z440" s="27"/>
      <c r="AA440" s="27"/>
      <c r="AB440" s="27"/>
      <c r="AC440" s="27"/>
      <c r="AD440" s="27"/>
      <c r="AE440" s="27"/>
      <c r="AF440" s="27"/>
      <c r="AG440" s="27"/>
      <c r="AH440" s="27"/>
      <c r="AI440" s="27"/>
      <c r="AJ440" s="27"/>
      <c r="AK440" s="27"/>
      <c r="AL440" s="27"/>
      <c r="AM440" s="27"/>
      <c r="AN440" s="27"/>
      <c r="AO440" s="27"/>
      <c r="AP440" s="27"/>
      <c r="AQ440" s="27"/>
      <c r="AR440" s="27"/>
      <c r="AS440" s="27"/>
      <c r="AT440" s="27"/>
      <c r="AU440" s="27"/>
      <c r="AV440" s="27"/>
      <c r="AW440" s="27"/>
      <c r="AX440" s="27"/>
      <c r="AY440" s="27"/>
      <c r="AZ440" s="27"/>
      <c r="BA440" s="27"/>
      <c r="BB440" s="27"/>
      <c r="BC440" s="27"/>
      <c r="BD440" s="27"/>
      <c r="BE440" s="27"/>
      <c r="BF440" s="27"/>
      <c r="BG440" s="27"/>
      <c r="BH440" s="27"/>
      <c r="BI440" s="27"/>
      <c r="BJ440" s="27"/>
      <c r="BK440" s="27"/>
      <c r="BL440" s="27"/>
      <c r="BM440" s="27"/>
      <c r="BN440" s="27"/>
      <c r="BO440" s="27"/>
      <c r="BP440" s="27"/>
      <c r="BQ440" s="27"/>
      <c r="BR440" s="27"/>
      <c r="BS440" s="27"/>
      <c r="BT440" s="27"/>
      <c r="BU440" s="27"/>
      <c r="BV440" s="27"/>
      <c r="BW440" s="27"/>
      <c r="BX440" s="27"/>
      <c r="BY440" s="27"/>
      <c r="BZ440" s="27"/>
      <c r="CA440" s="27"/>
      <c r="CB440" s="27"/>
      <c r="CC440" s="27"/>
      <c r="CD440" s="27"/>
      <c r="CE440" s="27"/>
      <c r="CF440" s="27"/>
      <c r="CG440" s="27"/>
      <c r="CH440" s="27"/>
      <c r="CI440" s="27"/>
      <c r="CJ440" s="27"/>
      <c r="CK440" s="27"/>
      <c r="CL440" s="27"/>
      <c r="CM440" s="27"/>
      <c r="CN440" s="27"/>
      <c r="CO440" s="27"/>
      <c r="CP440" s="27"/>
      <c r="CQ440" s="27"/>
      <c r="CR440" s="27"/>
      <c r="CS440" s="27"/>
      <c r="CT440" s="27"/>
      <c r="CU440" s="27"/>
      <c r="CV440" s="27"/>
      <c r="CW440" s="27"/>
      <c r="CX440" s="27"/>
      <c r="CY440" s="27"/>
      <c r="CZ440" s="27"/>
      <c r="DA440" s="27"/>
      <c r="DB440" s="27"/>
      <c r="DC440" s="27"/>
      <c r="DD440" s="27"/>
      <c r="DE440" s="27"/>
      <c r="DF440" s="27"/>
      <c r="DG440" s="27"/>
      <c r="DH440" s="27"/>
      <c r="DI440" s="27"/>
      <c r="DJ440" s="27"/>
      <c r="DK440" s="27"/>
      <c r="DL440" s="27"/>
      <c r="DM440" s="27"/>
      <c r="DN440" s="27"/>
      <c r="DO440" s="27"/>
      <c r="DP440" s="27"/>
      <c r="DQ440" s="27"/>
      <c r="DR440" s="27"/>
      <c r="DS440" s="27"/>
      <c r="DT440" s="27"/>
    </row>
    <row r="441" spans="2:124" x14ac:dyDescent="0.2">
      <c r="B441" s="27"/>
      <c r="C441" s="27"/>
      <c r="D441" s="27"/>
      <c r="E441" s="27"/>
      <c r="F441" s="27"/>
      <c r="G441" s="27"/>
      <c r="H441" s="27"/>
      <c r="I441" s="27"/>
      <c r="J441" s="27"/>
      <c r="K441" s="27"/>
      <c r="L441" s="27"/>
      <c r="M441" s="27"/>
      <c r="N441" s="27"/>
      <c r="O441" s="27"/>
      <c r="P441" s="27"/>
      <c r="Q441" s="27"/>
      <c r="R441" s="27"/>
      <c r="S441" s="27"/>
      <c r="T441" s="27"/>
      <c r="U441" s="27"/>
      <c r="V441" s="27"/>
      <c r="W441" s="27"/>
      <c r="X441" s="27"/>
      <c r="Y441" s="27"/>
      <c r="Z441" s="27"/>
      <c r="AA441" s="27"/>
      <c r="AB441" s="27"/>
      <c r="AC441" s="27"/>
      <c r="AD441" s="27"/>
      <c r="AE441" s="27"/>
      <c r="AF441" s="27"/>
      <c r="AG441" s="27"/>
      <c r="AH441" s="27"/>
      <c r="AI441" s="27"/>
      <c r="AJ441" s="27"/>
      <c r="AK441" s="27"/>
      <c r="AL441" s="27"/>
      <c r="AM441" s="27"/>
      <c r="AN441" s="27"/>
      <c r="AO441" s="27"/>
      <c r="AP441" s="27"/>
      <c r="AQ441" s="27"/>
      <c r="AR441" s="27"/>
      <c r="AS441" s="27"/>
      <c r="AT441" s="27"/>
      <c r="AU441" s="27"/>
      <c r="AV441" s="27"/>
      <c r="AW441" s="27"/>
      <c r="AX441" s="27"/>
      <c r="AY441" s="27"/>
      <c r="AZ441" s="27"/>
      <c r="BA441" s="27"/>
      <c r="BB441" s="27"/>
      <c r="BC441" s="27"/>
      <c r="BD441" s="27"/>
      <c r="BE441" s="27"/>
      <c r="BF441" s="27"/>
      <c r="BG441" s="27"/>
      <c r="BH441" s="27"/>
      <c r="BI441" s="27"/>
      <c r="BJ441" s="27"/>
      <c r="BK441" s="27"/>
      <c r="BL441" s="27"/>
      <c r="BM441" s="27"/>
      <c r="BN441" s="27"/>
      <c r="BO441" s="27"/>
      <c r="BP441" s="27"/>
      <c r="BQ441" s="27"/>
      <c r="BR441" s="27"/>
      <c r="BS441" s="27"/>
      <c r="BT441" s="27"/>
      <c r="BU441" s="27"/>
      <c r="BV441" s="27"/>
      <c r="BW441" s="27"/>
      <c r="BX441" s="27"/>
      <c r="BY441" s="27"/>
      <c r="BZ441" s="27"/>
      <c r="CA441" s="27"/>
      <c r="CB441" s="27"/>
      <c r="CC441" s="27"/>
      <c r="CD441" s="27"/>
      <c r="CE441" s="27"/>
      <c r="CF441" s="27"/>
      <c r="CG441" s="27"/>
      <c r="CH441" s="27"/>
      <c r="CI441" s="27"/>
      <c r="CJ441" s="27"/>
      <c r="CK441" s="27"/>
      <c r="CL441" s="27"/>
      <c r="CM441" s="27"/>
      <c r="CN441" s="27"/>
      <c r="CO441" s="27"/>
      <c r="CP441" s="27"/>
      <c r="CQ441" s="27"/>
      <c r="CR441" s="27"/>
      <c r="CS441" s="27"/>
      <c r="CT441" s="27"/>
      <c r="CU441" s="27"/>
      <c r="CV441" s="27"/>
      <c r="CW441" s="27"/>
      <c r="CX441" s="27"/>
      <c r="CY441" s="27"/>
      <c r="CZ441" s="27"/>
      <c r="DA441" s="27"/>
      <c r="DB441" s="27"/>
      <c r="DC441" s="27"/>
      <c r="DD441" s="27"/>
      <c r="DE441" s="27"/>
      <c r="DF441" s="27"/>
      <c r="DG441" s="27"/>
      <c r="DH441" s="27"/>
      <c r="DI441" s="27"/>
      <c r="DJ441" s="27"/>
      <c r="DK441" s="27"/>
      <c r="DL441" s="27"/>
      <c r="DM441" s="27"/>
      <c r="DN441" s="27"/>
      <c r="DO441" s="27"/>
      <c r="DP441" s="27"/>
      <c r="DQ441" s="27"/>
      <c r="DR441" s="27"/>
      <c r="DS441" s="27"/>
      <c r="DT441" s="27"/>
    </row>
    <row r="442" spans="2:124" x14ac:dyDescent="0.2">
      <c r="B442" s="27"/>
      <c r="C442" s="27"/>
      <c r="D442" s="27"/>
      <c r="E442" s="27"/>
      <c r="F442" s="27"/>
      <c r="G442" s="27"/>
      <c r="H442" s="27"/>
      <c r="I442" s="27"/>
      <c r="J442" s="27"/>
      <c r="K442" s="27"/>
      <c r="L442" s="27"/>
      <c r="M442" s="27"/>
      <c r="N442" s="27"/>
      <c r="O442" s="27"/>
      <c r="P442" s="27"/>
      <c r="Q442" s="27"/>
      <c r="R442" s="27"/>
      <c r="S442" s="27"/>
      <c r="T442" s="27"/>
      <c r="U442" s="27"/>
      <c r="V442" s="27"/>
      <c r="W442" s="27"/>
      <c r="X442" s="27"/>
      <c r="Y442" s="27"/>
      <c r="Z442" s="27"/>
      <c r="AA442" s="27"/>
      <c r="AB442" s="27"/>
      <c r="AC442" s="27"/>
      <c r="AD442" s="27"/>
      <c r="AE442" s="27"/>
      <c r="AF442" s="27"/>
      <c r="AG442" s="27"/>
      <c r="AH442" s="27"/>
      <c r="AI442" s="27"/>
      <c r="AJ442" s="27"/>
      <c r="AK442" s="27"/>
      <c r="AL442" s="27"/>
      <c r="AM442" s="27"/>
      <c r="AN442" s="27"/>
      <c r="AO442" s="27"/>
      <c r="AP442" s="27"/>
      <c r="AQ442" s="27"/>
      <c r="AR442" s="27"/>
      <c r="AS442" s="27"/>
      <c r="AT442" s="27"/>
      <c r="AU442" s="27"/>
      <c r="AV442" s="27"/>
      <c r="AW442" s="27"/>
      <c r="AX442" s="27"/>
      <c r="AY442" s="27"/>
      <c r="AZ442" s="27"/>
      <c r="BA442" s="27"/>
      <c r="BB442" s="27"/>
      <c r="BC442" s="27"/>
      <c r="BD442" s="27"/>
      <c r="BE442" s="27"/>
      <c r="BF442" s="27"/>
      <c r="BG442" s="27"/>
      <c r="BH442" s="27"/>
      <c r="BI442" s="27"/>
      <c r="BJ442" s="27"/>
      <c r="BK442" s="27"/>
      <c r="BL442" s="27"/>
      <c r="BM442" s="27"/>
      <c r="BN442" s="27"/>
      <c r="BO442" s="27"/>
      <c r="BP442" s="27"/>
      <c r="BQ442" s="27"/>
      <c r="BR442" s="27"/>
      <c r="BS442" s="27"/>
      <c r="BT442" s="27"/>
      <c r="BU442" s="27"/>
      <c r="BV442" s="27"/>
      <c r="BW442" s="27"/>
      <c r="BX442" s="27"/>
      <c r="BY442" s="27"/>
      <c r="BZ442" s="27"/>
      <c r="CA442" s="27"/>
      <c r="CB442" s="27"/>
      <c r="CC442" s="27"/>
      <c r="CD442" s="27"/>
      <c r="CE442" s="27"/>
      <c r="CF442" s="27"/>
      <c r="CG442" s="27"/>
      <c r="CH442" s="27"/>
      <c r="CI442" s="27"/>
      <c r="CJ442" s="27"/>
      <c r="CK442" s="27"/>
      <c r="CL442" s="27"/>
      <c r="CM442" s="27"/>
      <c r="CN442" s="27"/>
      <c r="CO442" s="27"/>
      <c r="CP442" s="27"/>
      <c r="CQ442" s="27"/>
      <c r="CR442" s="27"/>
      <c r="CS442" s="27"/>
      <c r="CT442" s="27"/>
      <c r="CU442" s="27"/>
      <c r="CV442" s="27"/>
      <c r="CW442" s="27"/>
      <c r="CX442" s="27"/>
      <c r="CY442" s="27"/>
      <c r="CZ442" s="27"/>
      <c r="DA442" s="27"/>
      <c r="DB442" s="27"/>
      <c r="DC442" s="27"/>
      <c r="DD442" s="27"/>
      <c r="DE442" s="27"/>
      <c r="DF442" s="27"/>
      <c r="DG442" s="27"/>
      <c r="DH442" s="27"/>
      <c r="DI442" s="27"/>
      <c r="DJ442" s="27"/>
      <c r="DK442" s="27"/>
      <c r="DL442" s="27"/>
      <c r="DM442" s="27"/>
      <c r="DN442" s="27"/>
      <c r="DO442" s="27"/>
      <c r="DP442" s="27"/>
      <c r="DQ442" s="27"/>
      <c r="DR442" s="27"/>
      <c r="DS442" s="27"/>
      <c r="DT442" s="27"/>
    </row>
    <row r="443" spans="2:124" x14ac:dyDescent="0.2">
      <c r="B443" s="27"/>
      <c r="C443" s="27"/>
      <c r="D443" s="27"/>
      <c r="E443" s="27"/>
      <c r="F443" s="27"/>
      <c r="G443" s="27"/>
      <c r="H443" s="27"/>
      <c r="I443" s="27"/>
      <c r="J443" s="27"/>
      <c r="K443" s="27"/>
      <c r="L443" s="27"/>
      <c r="M443" s="27"/>
      <c r="N443" s="27"/>
      <c r="O443" s="27"/>
      <c r="P443" s="27"/>
      <c r="Q443" s="27"/>
      <c r="R443" s="27"/>
      <c r="S443" s="27"/>
      <c r="T443" s="27"/>
      <c r="U443" s="27"/>
      <c r="V443" s="27"/>
      <c r="W443" s="27"/>
      <c r="X443" s="27"/>
      <c r="Y443" s="27"/>
      <c r="Z443" s="27"/>
      <c r="AA443" s="27"/>
      <c r="AB443" s="27"/>
      <c r="AC443" s="27"/>
      <c r="AD443" s="27"/>
      <c r="AE443" s="27"/>
      <c r="AF443" s="27"/>
      <c r="AG443" s="27"/>
      <c r="AH443" s="27"/>
      <c r="AI443" s="27"/>
      <c r="AJ443" s="27"/>
      <c r="AK443" s="27"/>
      <c r="AL443" s="27"/>
      <c r="AM443" s="27"/>
      <c r="AN443" s="27"/>
      <c r="AO443" s="27"/>
      <c r="AP443" s="27"/>
      <c r="AQ443" s="27"/>
      <c r="AR443" s="27"/>
      <c r="AS443" s="27"/>
      <c r="AT443" s="27"/>
      <c r="AU443" s="27"/>
      <c r="AV443" s="27"/>
      <c r="AW443" s="27"/>
      <c r="AX443" s="27"/>
      <c r="AY443" s="27"/>
      <c r="AZ443" s="27"/>
      <c r="BA443" s="27"/>
      <c r="BB443" s="27"/>
      <c r="BC443" s="27"/>
      <c r="BD443" s="27"/>
      <c r="BE443" s="27"/>
      <c r="BF443" s="27"/>
      <c r="BG443" s="27"/>
      <c r="BH443" s="27"/>
      <c r="BI443" s="27"/>
      <c r="BJ443" s="27"/>
      <c r="BK443" s="27"/>
      <c r="BL443" s="27"/>
      <c r="BM443" s="27"/>
      <c r="BN443" s="27"/>
      <c r="BO443" s="27"/>
      <c r="BP443" s="27"/>
      <c r="BQ443" s="27"/>
      <c r="BR443" s="27"/>
      <c r="BS443" s="27"/>
      <c r="BT443" s="27"/>
      <c r="BU443" s="27"/>
      <c r="BV443" s="27"/>
      <c r="BW443" s="27"/>
      <c r="BX443" s="27"/>
      <c r="BY443" s="27"/>
      <c r="BZ443" s="27"/>
      <c r="CA443" s="27"/>
      <c r="CB443" s="27"/>
      <c r="CC443" s="27"/>
      <c r="CD443" s="27"/>
      <c r="CE443" s="27"/>
      <c r="CF443" s="27"/>
      <c r="CG443" s="27"/>
      <c r="CH443" s="27"/>
      <c r="CI443" s="27"/>
      <c r="CJ443" s="27"/>
      <c r="CK443" s="27"/>
      <c r="CL443" s="27"/>
      <c r="CM443" s="27"/>
      <c r="CN443" s="27"/>
      <c r="CO443" s="27"/>
      <c r="CP443" s="27"/>
      <c r="CQ443" s="27"/>
      <c r="CR443" s="27"/>
      <c r="CS443" s="27"/>
      <c r="CT443" s="27"/>
      <c r="CU443" s="27"/>
      <c r="CV443" s="27"/>
      <c r="CW443" s="27"/>
      <c r="CX443" s="27"/>
      <c r="CY443" s="27"/>
      <c r="CZ443" s="27"/>
      <c r="DA443" s="27"/>
      <c r="DB443" s="27"/>
      <c r="DC443" s="27"/>
      <c r="DD443" s="27"/>
      <c r="DE443" s="27"/>
      <c r="DF443" s="27"/>
      <c r="DG443" s="27"/>
      <c r="DH443" s="27"/>
      <c r="DI443" s="27"/>
      <c r="DJ443" s="27"/>
      <c r="DK443" s="27"/>
      <c r="DL443" s="27"/>
      <c r="DM443" s="27"/>
      <c r="DN443" s="27"/>
      <c r="DO443" s="27"/>
      <c r="DP443" s="27"/>
      <c r="DQ443" s="27"/>
      <c r="DR443" s="27"/>
      <c r="DS443" s="27"/>
      <c r="DT443" s="27"/>
    </row>
    <row r="444" spans="2:124" ht="41.25" customHeight="1" x14ac:dyDescent="0.2">
      <c r="B444" s="27"/>
      <c r="C444" s="27"/>
      <c r="D444" s="27"/>
      <c r="E444" s="27"/>
      <c r="F444" s="27"/>
      <c r="G444" s="27"/>
      <c r="H444" s="27"/>
      <c r="I444" s="27"/>
      <c r="J444" s="27"/>
      <c r="K444" s="27"/>
      <c r="L444" s="27"/>
      <c r="M444" s="27"/>
      <c r="N444" s="27"/>
      <c r="O444" s="27"/>
      <c r="P444" s="27"/>
      <c r="Q444" s="27"/>
      <c r="R444" s="27"/>
      <c r="S444" s="27"/>
      <c r="T444" s="27"/>
      <c r="U444" s="27"/>
      <c r="V444" s="27"/>
      <c r="W444" s="27"/>
      <c r="X444" s="27"/>
      <c r="Y444" s="27"/>
      <c r="Z444" s="27"/>
      <c r="AA444" s="27"/>
      <c r="AB444" s="27"/>
      <c r="AC444" s="27"/>
      <c r="AD444" s="27"/>
      <c r="AE444" s="27"/>
      <c r="AF444" s="27"/>
      <c r="AG444" s="27"/>
      <c r="AH444" s="27"/>
      <c r="AI444" s="27"/>
      <c r="AJ444" s="27"/>
      <c r="AK444" s="27"/>
      <c r="AL444" s="27"/>
      <c r="AM444" s="27"/>
      <c r="AN444" s="27"/>
      <c r="AO444" s="27"/>
      <c r="AP444" s="27"/>
      <c r="AQ444" s="27"/>
      <c r="AR444" s="27"/>
      <c r="AS444" s="27"/>
      <c r="AT444" s="27"/>
      <c r="AU444" s="27"/>
      <c r="AV444" s="27"/>
      <c r="AW444" s="27"/>
      <c r="AX444" s="27"/>
      <c r="AY444" s="27"/>
      <c r="AZ444" s="27"/>
      <c r="BA444" s="27"/>
      <c r="BB444" s="27"/>
      <c r="BC444" s="27"/>
      <c r="BD444" s="27"/>
      <c r="BE444" s="27"/>
      <c r="BF444" s="27"/>
      <c r="BG444" s="27"/>
      <c r="BH444" s="27"/>
      <c r="BI444" s="27"/>
      <c r="BJ444" s="27"/>
      <c r="BK444" s="27"/>
      <c r="BL444" s="27"/>
      <c r="BM444" s="27"/>
      <c r="BN444" s="27"/>
      <c r="BO444" s="27"/>
      <c r="BP444" s="27"/>
      <c r="BQ444" s="27"/>
      <c r="BR444" s="27"/>
      <c r="BS444" s="27"/>
      <c r="BT444" s="27"/>
      <c r="BU444" s="27"/>
      <c r="BV444" s="27"/>
      <c r="BW444" s="27"/>
      <c r="BX444" s="27"/>
      <c r="BY444" s="27"/>
      <c r="BZ444" s="27"/>
      <c r="CA444" s="27"/>
      <c r="CB444" s="27"/>
      <c r="CC444" s="27"/>
      <c r="CD444" s="27"/>
      <c r="CE444" s="27"/>
      <c r="CF444" s="27"/>
      <c r="CG444" s="27"/>
      <c r="CH444" s="27"/>
      <c r="CI444" s="27"/>
      <c r="CJ444" s="27"/>
      <c r="CK444" s="27"/>
      <c r="CL444" s="27"/>
      <c r="CM444" s="27"/>
      <c r="CN444" s="27"/>
      <c r="CO444" s="27"/>
      <c r="CP444" s="27"/>
      <c r="CQ444" s="27"/>
      <c r="CR444" s="27"/>
      <c r="CS444" s="27"/>
      <c r="CT444" s="27"/>
      <c r="CU444" s="27"/>
      <c r="CV444" s="27"/>
      <c r="CW444" s="27"/>
      <c r="CX444" s="27"/>
      <c r="CY444" s="27"/>
      <c r="CZ444" s="27"/>
      <c r="DA444" s="27"/>
      <c r="DB444" s="27"/>
      <c r="DC444" s="27"/>
      <c r="DD444" s="27"/>
      <c r="DE444" s="27"/>
      <c r="DF444" s="27"/>
      <c r="DG444" s="27"/>
      <c r="DH444" s="27"/>
      <c r="DI444" s="27"/>
      <c r="DJ444" s="27"/>
      <c r="DK444" s="27"/>
      <c r="DL444" s="27"/>
      <c r="DM444" s="27"/>
      <c r="DN444" s="27"/>
      <c r="DO444" s="27"/>
      <c r="DP444" s="27"/>
      <c r="DQ444" s="27"/>
      <c r="DR444" s="27"/>
      <c r="DS444" s="27"/>
      <c r="DT444" s="27"/>
    </row>
    <row r="445" spans="2:124" x14ac:dyDescent="0.2">
      <c r="B445" s="27"/>
      <c r="C445" s="27"/>
      <c r="D445" s="27"/>
      <c r="E445" s="27"/>
      <c r="F445" s="27"/>
      <c r="G445" s="27"/>
      <c r="H445" s="27"/>
      <c r="I445" s="27"/>
      <c r="J445" s="27"/>
      <c r="K445" s="27"/>
      <c r="L445" s="27"/>
      <c r="M445" s="27"/>
      <c r="N445" s="27"/>
      <c r="O445" s="27"/>
      <c r="P445" s="27"/>
      <c r="Q445" s="27"/>
      <c r="R445" s="27"/>
      <c r="S445" s="27"/>
      <c r="T445" s="27"/>
      <c r="U445" s="27"/>
      <c r="V445" s="27"/>
      <c r="W445" s="27"/>
      <c r="X445" s="27"/>
      <c r="Y445" s="27"/>
      <c r="Z445" s="27"/>
      <c r="AA445" s="27"/>
      <c r="AB445" s="27"/>
      <c r="AC445" s="27"/>
      <c r="AD445" s="27"/>
      <c r="AE445" s="27"/>
      <c r="AF445" s="27"/>
      <c r="AG445" s="27"/>
      <c r="AH445" s="27"/>
      <c r="AI445" s="27"/>
      <c r="AJ445" s="27"/>
      <c r="AK445" s="27"/>
      <c r="AL445" s="27"/>
      <c r="AM445" s="27"/>
      <c r="AN445" s="27"/>
      <c r="AO445" s="27"/>
      <c r="AP445" s="27"/>
      <c r="AQ445" s="27"/>
      <c r="AR445" s="27"/>
      <c r="AS445" s="27"/>
      <c r="AT445" s="27"/>
      <c r="AU445" s="27"/>
      <c r="AV445" s="27"/>
      <c r="AW445" s="27"/>
      <c r="AX445" s="27"/>
      <c r="AY445" s="27"/>
      <c r="AZ445" s="27"/>
      <c r="BA445" s="27"/>
      <c r="BB445" s="27"/>
      <c r="BC445" s="27"/>
      <c r="BD445" s="27"/>
      <c r="BE445" s="27"/>
      <c r="BF445" s="27"/>
      <c r="BG445" s="27"/>
      <c r="BH445" s="27"/>
      <c r="BI445" s="27"/>
      <c r="BJ445" s="27"/>
      <c r="BK445" s="27"/>
      <c r="BL445" s="27"/>
      <c r="BM445" s="27"/>
      <c r="BN445" s="27"/>
      <c r="BO445" s="27"/>
      <c r="BP445" s="27"/>
      <c r="BQ445" s="27"/>
      <c r="BR445" s="27"/>
      <c r="BS445" s="27"/>
      <c r="BT445" s="27"/>
      <c r="BU445" s="27"/>
      <c r="BV445" s="27"/>
      <c r="BW445" s="27"/>
      <c r="BX445" s="27"/>
      <c r="BY445" s="27"/>
      <c r="BZ445" s="27"/>
      <c r="CA445" s="27"/>
      <c r="CB445" s="27"/>
      <c r="CC445" s="27"/>
      <c r="CD445" s="27"/>
      <c r="CE445" s="27"/>
      <c r="CF445" s="27"/>
      <c r="CG445" s="27"/>
      <c r="CH445" s="27"/>
      <c r="CI445" s="27"/>
      <c r="CJ445" s="27"/>
      <c r="CK445" s="27"/>
      <c r="CL445" s="27"/>
      <c r="CM445" s="27"/>
      <c r="CN445" s="27"/>
      <c r="CO445" s="27"/>
      <c r="CP445" s="27"/>
      <c r="CQ445" s="27"/>
      <c r="CR445" s="27"/>
      <c r="CS445" s="27"/>
      <c r="CT445" s="27"/>
      <c r="CU445" s="27"/>
      <c r="CV445" s="27"/>
      <c r="CW445" s="27"/>
      <c r="CX445" s="27"/>
      <c r="CY445" s="27"/>
      <c r="CZ445" s="27"/>
      <c r="DA445" s="27"/>
      <c r="DB445" s="27"/>
      <c r="DC445" s="27"/>
      <c r="DD445" s="27"/>
      <c r="DE445" s="27"/>
      <c r="DF445" s="27"/>
      <c r="DG445" s="27"/>
      <c r="DH445" s="27"/>
      <c r="DI445" s="27"/>
      <c r="DJ445" s="27"/>
      <c r="DK445" s="27"/>
      <c r="DL445" s="27"/>
      <c r="DM445" s="27"/>
      <c r="DN445" s="27"/>
      <c r="DO445" s="27"/>
      <c r="DP445" s="27"/>
      <c r="DQ445" s="27"/>
      <c r="DR445" s="27"/>
      <c r="DS445" s="27"/>
      <c r="DT445" s="27"/>
    </row>
    <row r="446" spans="2:124" x14ac:dyDescent="0.2">
      <c r="B446" s="27"/>
      <c r="C446" s="27"/>
      <c r="D446" s="27"/>
      <c r="E446" s="27"/>
      <c r="F446" s="27"/>
      <c r="G446" s="27"/>
      <c r="H446" s="27"/>
      <c r="I446" s="27"/>
      <c r="J446" s="27"/>
      <c r="K446" s="27"/>
      <c r="L446" s="27"/>
      <c r="M446" s="27"/>
      <c r="N446" s="27"/>
      <c r="O446" s="27"/>
      <c r="P446" s="27"/>
      <c r="Q446" s="27"/>
      <c r="R446" s="27"/>
      <c r="S446" s="27"/>
      <c r="T446" s="27"/>
      <c r="U446" s="27"/>
      <c r="V446" s="27"/>
      <c r="W446" s="27"/>
      <c r="X446" s="27"/>
      <c r="Y446" s="27"/>
      <c r="Z446" s="27"/>
      <c r="AA446" s="27"/>
      <c r="AB446" s="27"/>
      <c r="AC446" s="27"/>
      <c r="AD446" s="27"/>
      <c r="AE446" s="27"/>
      <c r="AF446" s="27"/>
      <c r="AG446" s="27"/>
      <c r="AH446" s="27"/>
      <c r="AI446" s="27"/>
      <c r="AJ446" s="27"/>
      <c r="AK446" s="27"/>
      <c r="AL446" s="27"/>
      <c r="AM446" s="27"/>
      <c r="AN446" s="27"/>
      <c r="AO446" s="27"/>
      <c r="AP446" s="27"/>
      <c r="AQ446" s="27"/>
      <c r="AR446" s="27"/>
      <c r="AS446" s="27"/>
      <c r="AT446" s="27"/>
      <c r="AU446" s="27"/>
      <c r="AV446" s="27"/>
      <c r="AW446" s="27"/>
      <c r="AX446" s="27"/>
      <c r="AY446" s="27"/>
      <c r="AZ446" s="27"/>
      <c r="BA446" s="27"/>
      <c r="BB446" s="27"/>
      <c r="BC446" s="27"/>
      <c r="BD446" s="27"/>
      <c r="BE446" s="27"/>
      <c r="BF446" s="27"/>
      <c r="BG446" s="27"/>
      <c r="BH446" s="27"/>
      <c r="BI446" s="27"/>
      <c r="BJ446" s="27"/>
      <c r="BK446" s="27"/>
      <c r="BL446" s="27"/>
      <c r="BM446" s="27"/>
      <c r="BN446" s="27"/>
      <c r="BO446" s="27"/>
      <c r="BP446" s="27"/>
      <c r="BQ446" s="27"/>
      <c r="BR446" s="27"/>
      <c r="BS446" s="27"/>
      <c r="BT446" s="27"/>
      <c r="BU446" s="27"/>
      <c r="BV446" s="27"/>
      <c r="BW446" s="27"/>
      <c r="BX446" s="27"/>
      <c r="BY446" s="27"/>
      <c r="BZ446" s="27"/>
      <c r="CA446" s="27"/>
      <c r="CB446" s="27"/>
      <c r="CC446" s="27"/>
      <c r="CD446" s="27"/>
      <c r="CE446" s="27"/>
      <c r="CF446" s="27"/>
      <c r="CG446" s="27"/>
      <c r="CH446" s="27"/>
      <c r="CI446" s="27"/>
      <c r="CJ446" s="27"/>
      <c r="CK446" s="27"/>
      <c r="CL446" s="27"/>
      <c r="CM446" s="27"/>
      <c r="CN446" s="27"/>
      <c r="CO446" s="27"/>
      <c r="CP446" s="27"/>
      <c r="CQ446" s="27"/>
      <c r="CR446" s="27"/>
      <c r="CS446" s="27"/>
      <c r="CT446" s="27"/>
      <c r="CU446" s="27"/>
      <c r="CV446" s="27"/>
      <c r="CW446" s="27"/>
      <c r="CX446" s="27"/>
      <c r="CY446" s="27"/>
      <c r="CZ446" s="27"/>
      <c r="DA446" s="27"/>
      <c r="DB446" s="27"/>
      <c r="DC446" s="27"/>
      <c r="DD446" s="27"/>
      <c r="DE446" s="27"/>
      <c r="DF446" s="27"/>
      <c r="DG446" s="27"/>
      <c r="DH446" s="27"/>
      <c r="DI446" s="27"/>
      <c r="DJ446" s="27"/>
      <c r="DK446" s="27"/>
      <c r="DL446" s="27"/>
      <c r="DM446" s="27"/>
      <c r="DN446" s="27"/>
      <c r="DO446" s="27"/>
      <c r="DP446" s="27"/>
      <c r="DQ446" s="27"/>
      <c r="DR446" s="27"/>
      <c r="DS446" s="27"/>
      <c r="DT446" s="27"/>
    </row>
    <row r="447" spans="2:124" x14ac:dyDescent="0.2">
      <c r="B447" s="27"/>
      <c r="C447" s="27"/>
      <c r="D447" s="27"/>
      <c r="E447" s="27"/>
      <c r="F447" s="27"/>
      <c r="G447" s="27"/>
      <c r="H447" s="27"/>
      <c r="I447" s="27"/>
      <c r="J447" s="27"/>
      <c r="K447" s="27"/>
      <c r="L447" s="27"/>
      <c r="M447" s="27"/>
      <c r="N447" s="27"/>
      <c r="O447" s="27"/>
      <c r="P447" s="27"/>
      <c r="Q447" s="27"/>
      <c r="R447" s="27"/>
      <c r="S447" s="27"/>
      <c r="T447" s="27"/>
      <c r="U447" s="27"/>
      <c r="V447" s="27"/>
      <c r="W447" s="27"/>
      <c r="X447" s="27"/>
      <c r="Y447" s="27"/>
      <c r="Z447" s="27"/>
      <c r="AA447" s="27"/>
      <c r="AB447" s="27"/>
      <c r="AC447" s="27"/>
      <c r="AD447" s="27"/>
      <c r="AE447" s="27"/>
      <c r="AF447" s="27"/>
      <c r="AG447" s="27"/>
      <c r="AH447" s="27"/>
      <c r="AI447" s="27"/>
      <c r="AJ447" s="27"/>
      <c r="AK447" s="27"/>
      <c r="AL447" s="27"/>
      <c r="AM447" s="27"/>
      <c r="AN447" s="27"/>
      <c r="AO447" s="27"/>
      <c r="AP447" s="27"/>
      <c r="AQ447" s="27"/>
      <c r="AR447" s="27"/>
      <c r="AS447" s="27"/>
      <c r="AT447" s="27"/>
      <c r="AU447" s="27"/>
      <c r="AV447" s="27"/>
      <c r="AW447" s="27"/>
      <c r="AX447" s="27"/>
      <c r="AY447" s="27"/>
      <c r="AZ447" s="27"/>
      <c r="BA447" s="27"/>
      <c r="BB447" s="27"/>
      <c r="BC447" s="27"/>
      <c r="BD447" s="27"/>
      <c r="BE447" s="27"/>
      <c r="BF447" s="27"/>
      <c r="BG447" s="27"/>
      <c r="BH447" s="27"/>
      <c r="BI447" s="27"/>
      <c r="BJ447" s="27"/>
      <c r="BK447" s="27"/>
      <c r="BL447" s="27"/>
      <c r="BM447" s="27"/>
      <c r="BN447" s="27"/>
      <c r="BO447" s="27"/>
      <c r="BP447" s="27"/>
      <c r="BQ447" s="27"/>
      <c r="BR447" s="27"/>
      <c r="BS447" s="27"/>
      <c r="BT447" s="27"/>
      <c r="BU447" s="27"/>
      <c r="BV447" s="27"/>
      <c r="BW447" s="27"/>
      <c r="BX447" s="27"/>
      <c r="BY447" s="27"/>
      <c r="BZ447" s="27"/>
      <c r="CA447" s="27"/>
      <c r="CB447" s="27"/>
      <c r="CC447" s="27"/>
      <c r="CD447" s="27"/>
      <c r="CE447" s="27"/>
      <c r="CF447" s="27"/>
      <c r="CG447" s="27"/>
      <c r="CH447" s="27"/>
      <c r="CI447" s="27"/>
      <c r="CJ447" s="27"/>
      <c r="CK447" s="27"/>
      <c r="CL447" s="27"/>
      <c r="CM447" s="27"/>
      <c r="CN447" s="27"/>
      <c r="CO447" s="27"/>
      <c r="CP447" s="27"/>
      <c r="CQ447" s="27"/>
      <c r="CR447" s="27"/>
      <c r="CS447" s="27"/>
      <c r="CT447" s="27"/>
      <c r="CU447" s="27"/>
      <c r="CV447" s="27"/>
      <c r="CW447" s="27"/>
      <c r="CX447" s="27"/>
      <c r="CY447" s="27"/>
      <c r="CZ447" s="27"/>
      <c r="DA447" s="27"/>
      <c r="DB447" s="27"/>
      <c r="DC447" s="27"/>
      <c r="DD447" s="27"/>
      <c r="DE447" s="27"/>
      <c r="DF447" s="27"/>
      <c r="DG447" s="27"/>
      <c r="DH447" s="27"/>
      <c r="DI447" s="27"/>
      <c r="DJ447" s="27"/>
      <c r="DK447" s="27"/>
      <c r="DL447" s="27"/>
      <c r="DM447" s="27"/>
      <c r="DN447" s="27"/>
      <c r="DO447" s="27"/>
      <c r="DP447" s="27"/>
      <c r="DQ447" s="27"/>
      <c r="DR447" s="27"/>
      <c r="DS447" s="27"/>
      <c r="DT447" s="27"/>
    </row>
    <row r="448" spans="2:124" x14ac:dyDescent="0.2">
      <c r="B448" s="27"/>
      <c r="C448" s="27"/>
      <c r="D448" s="27"/>
      <c r="E448" s="27"/>
      <c r="F448" s="27"/>
      <c r="G448" s="27"/>
      <c r="H448" s="27"/>
      <c r="I448" s="27"/>
      <c r="J448" s="27"/>
      <c r="K448" s="27"/>
      <c r="L448" s="27"/>
      <c r="M448" s="27"/>
      <c r="N448" s="27"/>
      <c r="O448" s="27"/>
      <c r="P448" s="27"/>
      <c r="Q448" s="27"/>
      <c r="R448" s="27"/>
      <c r="S448" s="27"/>
      <c r="T448" s="27"/>
      <c r="U448" s="27"/>
      <c r="V448" s="27"/>
      <c r="W448" s="27"/>
      <c r="X448" s="27"/>
      <c r="Y448" s="27"/>
      <c r="Z448" s="27"/>
      <c r="AA448" s="27"/>
      <c r="AB448" s="27"/>
      <c r="AC448" s="27"/>
      <c r="AD448" s="27"/>
      <c r="AE448" s="27"/>
      <c r="AF448" s="27"/>
      <c r="AG448" s="27"/>
      <c r="AH448" s="27"/>
      <c r="AI448" s="27"/>
      <c r="AJ448" s="27"/>
      <c r="AK448" s="27"/>
      <c r="AL448" s="27"/>
      <c r="AM448" s="27"/>
      <c r="AN448" s="27"/>
      <c r="AO448" s="27"/>
      <c r="AP448" s="27"/>
      <c r="AQ448" s="27"/>
      <c r="AR448" s="27"/>
      <c r="AS448" s="27"/>
      <c r="AT448" s="27"/>
      <c r="AU448" s="27"/>
      <c r="AV448" s="27"/>
      <c r="AW448" s="27"/>
      <c r="AX448" s="27"/>
      <c r="AY448" s="27"/>
      <c r="AZ448" s="27"/>
      <c r="BA448" s="27"/>
      <c r="BB448" s="27"/>
      <c r="BC448" s="27"/>
      <c r="BD448" s="27"/>
      <c r="BE448" s="27"/>
      <c r="BF448" s="27"/>
      <c r="BG448" s="27"/>
      <c r="BH448" s="27"/>
      <c r="BI448" s="27"/>
      <c r="BJ448" s="27"/>
      <c r="BK448" s="27"/>
      <c r="BL448" s="27"/>
      <c r="BM448" s="27"/>
      <c r="BN448" s="27"/>
      <c r="BO448" s="27"/>
      <c r="BP448" s="27"/>
      <c r="BQ448" s="27"/>
      <c r="BR448" s="27"/>
      <c r="BS448" s="27"/>
      <c r="BT448" s="27"/>
      <c r="BU448" s="27"/>
      <c r="BV448" s="27"/>
      <c r="BW448" s="27"/>
      <c r="BX448" s="27"/>
      <c r="BY448" s="27"/>
      <c r="BZ448" s="27"/>
      <c r="CA448" s="27"/>
      <c r="CB448" s="27"/>
      <c r="CC448" s="27"/>
      <c r="CD448" s="27"/>
      <c r="CE448" s="27"/>
      <c r="CF448" s="27"/>
      <c r="CG448" s="27"/>
      <c r="CH448" s="27"/>
      <c r="CI448" s="27"/>
      <c r="CJ448" s="27"/>
      <c r="CK448" s="27"/>
      <c r="CL448" s="27"/>
      <c r="CM448" s="27"/>
      <c r="CN448" s="27"/>
      <c r="CO448" s="27"/>
      <c r="CP448" s="27"/>
      <c r="CQ448" s="27"/>
      <c r="CR448" s="27"/>
      <c r="CS448" s="27"/>
      <c r="CT448" s="27"/>
      <c r="CU448" s="27"/>
      <c r="CV448" s="27"/>
      <c r="CW448" s="27"/>
      <c r="CX448" s="27"/>
      <c r="CY448" s="27"/>
      <c r="CZ448" s="27"/>
      <c r="DA448" s="27"/>
      <c r="DB448" s="27"/>
      <c r="DC448" s="27"/>
      <c r="DD448" s="27"/>
      <c r="DE448" s="27"/>
      <c r="DF448" s="27"/>
      <c r="DG448" s="27"/>
      <c r="DH448" s="27"/>
      <c r="DI448" s="27"/>
      <c r="DJ448" s="27"/>
      <c r="DK448" s="27"/>
      <c r="DL448" s="27"/>
      <c r="DM448" s="27"/>
      <c r="DN448" s="27"/>
      <c r="DO448" s="27"/>
      <c r="DP448" s="27"/>
      <c r="DQ448" s="27"/>
      <c r="DR448" s="27"/>
      <c r="DS448" s="27"/>
      <c r="DT448" s="27"/>
    </row>
    <row r="449" spans="2:124" x14ac:dyDescent="0.2">
      <c r="B449" s="27"/>
      <c r="C449" s="27"/>
      <c r="D449" s="27"/>
      <c r="E449" s="27"/>
      <c r="F449" s="27"/>
      <c r="G449" s="27"/>
      <c r="H449" s="27"/>
      <c r="I449" s="27"/>
      <c r="J449" s="27"/>
      <c r="K449" s="27"/>
      <c r="L449" s="27"/>
      <c r="M449" s="27"/>
      <c r="N449" s="27"/>
      <c r="O449" s="27"/>
      <c r="P449" s="27"/>
      <c r="Q449" s="27"/>
      <c r="R449" s="27"/>
      <c r="S449" s="27"/>
      <c r="T449" s="27"/>
      <c r="U449" s="27"/>
      <c r="V449" s="27"/>
      <c r="W449" s="27"/>
      <c r="X449" s="27"/>
      <c r="Y449" s="27"/>
      <c r="Z449" s="27"/>
      <c r="AA449" s="27"/>
      <c r="AB449" s="27"/>
      <c r="AC449" s="27"/>
      <c r="AD449" s="27"/>
      <c r="AE449" s="27"/>
      <c r="AF449" s="27"/>
      <c r="AG449" s="27"/>
      <c r="AH449" s="27"/>
      <c r="AI449" s="27"/>
      <c r="AJ449" s="27"/>
      <c r="AK449" s="27"/>
      <c r="AL449" s="27"/>
      <c r="AM449" s="27"/>
      <c r="AN449" s="27"/>
      <c r="AO449" s="27"/>
      <c r="AP449" s="27"/>
      <c r="AQ449" s="27"/>
      <c r="AR449" s="27"/>
      <c r="AS449" s="27"/>
      <c r="AT449" s="27"/>
      <c r="AU449" s="27"/>
      <c r="AV449" s="27"/>
      <c r="AW449" s="27"/>
      <c r="AX449" s="27"/>
      <c r="AY449" s="27"/>
      <c r="AZ449" s="27"/>
      <c r="BA449" s="27"/>
      <c r="BB449" s="27"/>
      <c r="BC449" s="27"/>
      <c r="BD449" s="27"/>
      <c r="BE449" s="27"/>
      <c r="BF449" s="27"/>
      <c r="BG449" s="27"/>
      <c r="BH449" s="27"/>
      <c r="BI449" s="27"/>
      <c r="BJ449" s="27"/>
      <c r="BK449" s="27"/>
      <c r="BL449" s="27"/>
      <c r="BM449" s="27"/>
      <c r="BN449" s="27"/>
      <c r="BO449" s="27"/>
      <c r="BP449" s="27"/>
      <c r="BQ449" s="27"/>
      <c r="BR449" s="27"/>
      <c r="BS449" s="27"/>
      <c r="BT449" s="27"/>
      <c r="BU449" s="27"/>
      <c r="BV449" s="27"/>
      <c r="BW449" s="27"/>
      <c r="BX449" s="27"/>
      <c r="BY449" s="27"/>
      <c r="BZ449" s="27"/>
      <c r="CA449" s="27"/>
      <c r="CB449" s="27"/>
      <c r="CC449" s="27"/>
      <c r="CD449" s="27"/>
      <c r="CE449" s="27"/>
      <c r="CF449" s="27"/>
      <c r="CG449" s="27"/>
      <c r="CH449" s="27"/>
      <c r="CI449" s="27"/>
      <c r="CJ449" s="27"/>
      <c r="CK449" s="27"/>
      <c r="CL449" s="27"/>
      <c r="CM449" s="27"/>
      <c r="CN449" s="27"/>
      <c r="CO449" s="27"/>
      <c r="CP449" s="27"/>
      <c r="CQ449" s="27"/>
      <c r="CR449" s="27"/>
      <c r="CS449" s="27"/>
      <c r="CT449" s="27"/>
      <c r="CU449" s="27"/>
      <c r="CV449" s="27"/>
      <c r="CW449" s="27"/>
      <c r="CX449" s="27"/>
      <c r="CY449" s="27"/>
      <c r="CZ449" s="27"/>
      <c r="DA449" s="27"/>
      <c r="DB449" s="27"/>
      <c r="DC449" s="27"/>
      <c r="DD449" s="27"/>
      <c r="DE449" s="27"/>
      <c r="DF449" s="27"/>
      <c r="DG449" s="27"/>
      <c r="DH449" s="27"/>
      <c r="DI449" s="27"/>
      <c r="DJ449" s="27"/>
      <c r="DK449" s="27"/>
      <c r="DL449" s="27"/>
      <c r="DM449" s="27"/>
      <c r="DN449" s="27"/>
      <c r="DO449" s="27"/>
      <c r="DP449" s="27"/>
      <c r="DQ449" s="27"/>
      <c r="DR449" s="27"/>
      <c r="DS449" s="27"/>
      <c r="DT449" s="27"/>
    </row>
    <row r="450" spans="2:124" x14ac:dyDescent="0.2">
      <c r="B450" s="27"/>
      <c r="C450" s="27"/>
      <c r="D450" s="27"/>
      <c r="E450" s="27"/>
      <c r="F450" s="27"/>
      <c r="G450" s="27"/>
      <c r="H450" s="27"/>
      <c r="I450" s="27"/>
      <c r="J450" s="27"/>
      <c r="K450" s="27"/>
      <c r="L450" s="27"/>
      <c r="M450" s="27"/>
      <c r="N450" s="27"/>
      <c r="O450" s="27"/>
      <c r="P450" s="27"/>
      <c r="Q450" s="27"/>
      <c r="R450" s="27"/>
      <c r="S450" s="27"/>
      <c r="T450" s="27"/>
      <c r="U450" s="27"/>
      <c r="V450" s="27"/>
      <c r="W450" s="27"/>
      <c r="X450" s="27"/>
      <c r="Y450" s="27"/>
      <c r="Z450" s="27"/>
      <c r="AA450" s="27"/>
      <c r="AB450" s="27"/>
      <c r="AC450" s="27"/>
      <c r="AD450" s="27"/>
      <c r="AE450" s="27"/>
      <c r="AF450" s="27"/>
      <c r="AG450" s="27"/>
      <c r="AH450" s="27"/>
      <c r="AI450" s="27"/>
      <c r="AJ450" s="27"/>
      <c r="AK450" s="27"/>
      <c r="AL450" s="27"/>
      <c r="AM450" s="27"/>
      <c r="AN450" s="27"/>
      <c r="AO450" s="27"/>
      <c r="AP450" s="27"/>
      <c r="AQ450" s="27"/>
      <c r="AR450" s="27"/>
      <c r="AS450" s="27"/>
      <c r="AT450" s="27"/>
      <c r="AU450" s="27"/>
      <c r="AV450" s="27"/>
      <c r="AW450" s="27"/>
      <c r="AX450" s="27"/>
      <c r="AY450" s="27"/>
      <c r="AZ450" s="27"/>
      <c r="BA450" s="27"/>
      <c r="BB450" s="27"/>
      <c r="BC450" s="27"/>
      <c r="BD450" s="27"/>
      <c r="BE450" s="27"/>
      <c r="BF450" s="27"/>
      <c r="BG450" s="27"/>
      <c r="BH450" s="27"/>
      <c r="BI450" s="27"/>
      <c r="BJ450" s="27"/>
      <c r="BK450" s="27"/>
      <c r="BL450" s="27"/>
      <c r="BM450" s="27"/>
      <c r="BN450" s="27"/>
      <c r="BO450" s="27"/>
      <c r="BP450" s="27"/>
      <c r="BQ450" s="27"/>
      <c r="BR450" s="27"/>
      <c r="BS450" s="27"/>
      <c r="BT450" s="27"/>
      <c r="BU450" s="27"/>
      <c r="BV450" s="27"/>
      <c r="BW450" s="27"/>
      <c r="BX450" s="27"/>
      <c r="BY450" s="27"/>
      <c r="BZ450" s="27"/>
      <c r="CA450" s="27"/>
      <c r="CB450" s="27"/>
      <c r="CC450" s="27"/>
      <c r="CD450" s="27"/>
      <c r="CE450" s="27"/>
      <c r="CF450" s="27"/>
      <c r="CG450" s="27"/>
      <c r="CH450" s="27"/>
      <c r="CI450" s="27"/>
      <c r="CJ450" s="27"/>
      <c r="CK450" s="27"/>
      <c r="CL450" s="27"/>
      <c r="CM450" s="27"/>
      <c r="CN450" s="27"/>
      <c r="CO450" s="27"/>
      <c r="CP450" s="27"/>
      <c r="CQ450" s="27"/>
      <c r="CR450" s="27"/>
      <c r="CS450" s="27"/>
      <c r="CT450" s="27"/>
      <c r="CU450" s="27"/>
      <c r="CV450" s="27"/>
      <c r="CW450" s="27"/>
      <c r="CX450" s="27"/>
      <c r="CY450" s="27"/>
      <c r="CZ450" s="27"/>
      <c r="DA450" s="27"/>
      <c r="DB450" s="27"/>
      <c r="DC450" s="27"/>
      <c r="DD450" s="27"/>
      <c r="DE450" s="27"/>
      <c r="DF450" s="27"/>
      <c r="DG450" s="27"/>
      <c r="DH450" s="27"/>
      <c r="DI450" s="27"/>
      <c r="DJ450" s="27"/>
      <c r="DK450" s="27"/>
      <c r="DL450" s="27"/>
      <c r="DM450" s="27"/>
      <c r="DN450" s="27"/>
      <c r="DO450" s="27"/>
      <c r="DP450" s="27"/>
      <c r="DQ450" s="27"/>
      <c r="DR450" s="27"/>
      <c r="DS450" s="27"/>
      <c r="DT450" s="27"/>
    </row>
    <row r="451" spans="2:124" x14ac:dyDescent="0.2">
      <c r="B451" s="27"/>
      <c r="C451" s="27"/>
      <c r="D451" s="27"/>
      <c r="E451" s="27"/>
      <c r="F451" s="27"/>
      <c r="G451" s="27"/>
      <c r="H451" s="27"/>
      <c r="I451" s="27"/>
      <c r="J451" s="27"/>
      <c r="K451" s="27"/>
      <c r="L451" s="27"/>
      <c r="M451" s="27"/>
      <c r="N451" s="27"/>
      <c r="O451" s="27"/>
      <c r="P451" s="27"/>
      <c r="Q451" s="27"/>
      <c r="R451" s="27"/>
      <c r="S451" s="27"/>
      <c r="T451" s="27"/>
      <c r="U451" s="27"/>
      <c r="V451" s="27"/>
      <c r="W451" s="27"/>
      <c r="X451" s="27"/>
      <c r="Y451" s="27"/>
      <c r="Z451" s="27"/>
      <c r="AA451" s="27"/>
      <c r="AB451" s="27"/>
      <c r="AC451" s="27"/>
      <c r="AD451" s="27"/>
      <c r="AE451" s="27"/>
      <c r="AF451" s="27"/>
      <c r="AG451" s="27"/>
      <c r="AH451" s="27"/>
      <c r="AI451" s="27"/>
      <c r="AJ451" s="27"/>
      <c r="AK451" s="27"/>
      <c r="AL451" s="27"/>
      <c r="AM451" s="27"/>
      <c r="AN451" s="27"/>
      <c r="AO451" s="27"/>
      <c r="AP451" s="27"/>
      <c r="AQ451" s="27"/>
      <c r="AR451" s="27"/>
      <c r="AS451" s="27"/>
      <c r="AT451" s="27"/>
      <c r="AU451" s="27"/>
      <c r="AV451" s="27"/>
      <c r="AW451" s="27"/>
      <c r="AX451" s="27"/>
      <c r="AY451" s="27"/>
      <c r="AZ451" s="27"/>
      <c r="BA451" s="27"/>
      <c r="BB451" s="27"/>
      <c r="BC451" s="27"/>
      <c r="BD451" s="27"/>
      <c r="BE451" s="27"/>
      <c r="BF451" s="27"/>
      <c r="BG451" s="27"/>
      <c r="BH451" s="27"/>
      <c r="BI451" s="27"/>
      <c r="BJ451" s="27"/>
      <c r="BK451" s="27"/>
      <c r="BL451" s="27"/>
      <c r="BM451" s="27"/>
      <c r="BN451" s="27"/>
      <c r="BO451" s="27"/>
      <c r="BP451" s="27"/>
      <c r="BQ451" s="27"/>
      <c r="BR451" s="27"/>
      <c r="BS451" s="27"/>
      <c r="BT451" s="27"/>
      <c r="BU451" s="27"/>
      <c r="BV451" s="27"/>
      <c r="BW451" s="27"/>
      <c r="BX451" s="27"/>
      <c r="BY451" s="27"/>
      <c r="BZ451" s="27"/>
      <c r="CA451" s="27"/>
      <c r="CB451" s="27"/>
      <c r="CC451" s="27"/>
      <c r="CD451" s="27"/>
      <c r="CE451" s="27"/>
      <c r="CF451" s="27"/>
      <c r="CG451" s="27"/>
      <c r="CH451" s="27"/>
      <c r="CI451" s="27"/>
      <c r="CJ451" s="27"/>
      <c r="CK451" s="27"/>
      <c r="CL451" s="27"/>
      <c r="CM451" s="27"/>
      <c r="CN451" s="27"/>
      <c r="CO451" s="27"/>
      <c r="CP451" s="27"/>
      <c r="CQ451" s="27"/>
      <c r="CR451" s="27"/>
      <c r="CS451" s="27"/>
      <c r="CT451" s="27"/>
      <c r="CU451" s="27"/>
      <c r="CV451" s="27"/>
      <c r="CW451" s="27"/>
      <c r="CX451" s="27"/>
      <c r="CY451" s="27"/>
      <c r="CZ451" s="27"/>
      <c r="DA451" s="27"/>
      <c r="DB451" s="27"/>
      <c r="DC451" s="27"/>
      <c r="DD451" s="27"/>
      <c r="DE451" s="27"/>
      <c r="DF451" s="27"/>
      <c r="DG451" s="27"/>
      <c r="DH451" s="27"/>
      <c r="DI451" s="27"/>
      <c r="DJ451" s="27"/>
      <c r="DK451" s="27"/>
      <c r="DL451" s="27"/>
      <c r="DM451" s="27"/>
      <c r="DN451" s="27"/>
      <c r="DO451" s="27"/>
      <c r="DP451" s="27"/>
      <c r="DQ451" s="27"/>
      <c r="DR451" s="27"/>
      <c r="DS451" s="27"/>
      <c r="DT451" s="27"/>
    </row>
    <row r="452" spans="2:124" x14ac:dyDescent="0.2">
      <c r="B452" s="27"/>
      <c r="C452" s="27"/>
      <c r="D452" s="27"/>
      <c r="E452" s="27"/>
      <c r="F452" s="27"/>
      <c r="G452" s="27"/>
      <c r="H452" s="27"/>
      <c r="I452" s="27"/>
      <c r="J452" s="27"/>
      <c r="K452" s="27"/>
      <c r="L452" s="27"/>
      <c r="M452" s="27"/>
      <c r="N452" s="27"/>
      <c r="O452" s="27"/>
      <c r="P452" s="27"/>
      <c r="Q452" s="27"/>
      <c r="R452" s="27"/>
      <c r="S452" s="27"/>
      <c r="T452" s="27"/>
      <c r="U452" s="27"/>
      <c r="V452" s="27"/>
      <c r="W452" s="27"/>
      <c r="X452" s="27"/>
      <c r="Y452" s="27"/>
      <c r="Z452" s="27"/>
      <c r="AA452" s="27"/>
      <c r="AB452" s="27"/>
      <c r="AC452" s="27"/>
      <c r="AD452" s="27"/>
      <c r="AE452" s="27"/>
      <c r="AF452" s="27"/>
      <c r="AG452" s="27"/>
      <c r="AH452" s="27"/>
      <c r="AI452" s="27"/>
      <c r="AJ452" s="27"/>
      <c r="AK452" s="27"/>
      <c r="AL452" s="27"/>
      <c r="AM452" s="27"/>
      <c r="AN452" s="27"/>
      <c r="AO452" s="27"/>
      <c r="AP452" s="27"/>
      <c r="AQ452" s="27"/>
      <c r="AR452" s="27"/>
      <c r="AS452" s="27"/>
      <c r="AT452" s="27"/>
      <c r="AU452" s="27"/>
      <c r="AV452" s="27"/>
      <c r="AW452" s="27"/>
      <c r="AX452" s="27"/>
      <c r="AY452" s="27"/>
      <c r="AZ452" s="27"/>
      <c r="BA452" s="27"/>
      <c r="BB452" s="27"/>
      <c r="BC452" s="27"/>
      <c r="BD452" s="27"/>
      <c r="BE452" s="27"/>
      <c r="BF452" s="27"/>
      <c r="BG452" s="27"/>
      <c r="BH452" s="27"/>
      <c r="BI452" s="27"/>
      <c r="BJ452" s="27"/>
      <c r="BK452" s="27"/>
      <c r="BL452" s="27"/>
      <c r="BM452" s="27"/>
      <c r="BN452" s="27"/>
      <c r="BO452" s="27"/>
      <c r="BP452" s="27"/>
      <c r="BQ452" s="27"/>
      <c r="BR452" s="27"/>
      <c r="BS452" s="27"/>
      <c r="BT452" s="27"/>
      <c r="BU452" s="27"/>
      <c r="BV452" s="27"/>
      <c r="BW452" s="27"/>
      <c r="BX452" s="27"/>
      <c r="BY452" s="27"/>
      <c r="BZ452" s="27"/>
      <c r="CA452" s="27"/>
      <c r="CB452" s="27"/>
      <c r="CC452" s="27"/>
      <c r="CD452" s="27"/>
      <c r="CE452" s="27"/>
      <c r="CF452" s="27"/>
      <c r="CG452" s="27"/>
      <c r="CH452" s="27"/>
      <c r="CI452" s="27"/>
      <c r="CJ452" s="27"/>
      <c r="CK452" s="27"/>
      <c r="CL452" s="27"/>
      <c r="CM452" s="27"/>
      <c r="CN452" s="27"/>
      <c r="CO452" s="27"/>
      <c r="CP452" s="27"/>
      <c r="CQ452" s="27"/>
      <c r="CR452" s="27"/>
      <c r="CS452" s="27"/>
      <c r="CT452" s="27"/>
      <c r="CU452" s="27"/>
      <c r="CV452" s="27"/>
      <c r="CW452" s="27"/>
      <c r="CX452" s="27"/>
      <c r="CY452" s="27"/>
      <c r="CZ452" s="27"/>
      <c r="DA452" s="27"/>
      <c r="DB452" s="27"/>
      <c r="DC452" s="27"/>
      <c r="DD452" s="27"/>
      <c r="DE452" s="27"/>
      <c r="DF452" s="27"/>
      <c r="DG452" s="27"/>
      <c r="DH452" s="27"/>
      <c r="DI452" s="27"/>
      <c r="DJ452" s="27"/>
      <c r="DK452" s="27"/>
      <c r="DL452" s="27"/>
      <c r="DM452" s="27"/>
      <c r="DN452" s="27"/>
      <c r="DO452" s="27"/>
      <c r="DP452" s="27"/>
      <c r="DQ452" s="27"/>
      <c r="DR452" s="27"/>
      <c r="DS452" s="27"/>
      <c r="DT452" s="27"/>
    </row>
    <row r="453" spans="2:124" x14ac:dyDescent="0.2">
      <c r="B453" s="27"/>
      <c r="C453" s="27"/>
      <c r="D453" s="27"/>
      <c r="E453" s="27"/>
      <c r="F453" s="27"/>
      <c r="G453" s="27"/>
      <c r="H453" s="27"/>
      <c r="I453" s="27"/>
      <c r="J453" s="27"/>
      <c r="K453" s="27"/>
      <c r="L453" s="27"/>
      <c r="M453" s="27"/>
      <c r="N453" s="27"/>
      <c r="O453" s="27"/>
      <c r="P453" s="27"/>
      <c r="Q453" s="27"/>
      <c r="R453" s="27"/>
      <c r="S453" s="27"/>
      <c r="T453" s="27"/>
      <c r="U453" s="27"/>
      <c r="V453" s="27"/>
      <c r="W453" s="27"/>
      <c r="X453" s="27"/>
      <c r="Y453" s="27"/>
      <c r="Z453" s="27"/>
      <c r="AA453" s="27"/>
      <c r="AB453" s="27"/>
      <c r="AC453" s="27"/>
      <c r="AD453" s="27"/>
      <c r="AE453" s="27"/>
      <c r="AF453" s="27"/>
      <c r="AG453" s="27"/>
      <c r="AH453" s="27"/>
      <c r="AI453" s="27"/>
      <c r="AJ453" s="27"/>
      <c r="AK453" s="27"/>
      <c r="AL453" s="27"/>
      <c r="AM453" s="27"/>
      <c r="AN453" s="27"/>
      <c r="AO453" s="27"/>
      <c r="AP453" s="27"/>
      <c r="AQ453" s="27"/>
      <c r="AR453" s="27"/>
      <c r="AS453" s="27"/>
      <c r="AT453" s="27"/>
      <c r="AU453" s="27"/>
      <c r="AV453" s="27"/>
      <c r="AW453" s="27"/>
      <c r="AX453" s="27"/>
      <c r="AY453" s="27"/>
      <c r="AZ453" s="27"/>
      <c r="BA453" s="27"/>
      <c r="BB453" s="27"/>
      <c r="BC453" s="27"/>
      <c r="BD453" s="27"/>
      <c r="BE453" s="27"/>
      <c r="BF453" s="27"/>
      <c r="BG453" s="27"/>
      <c r="BH453" s="27"/>
      <c r="BI453" s="27"/>
      <c r="BJ453" s="27"/>
      <c r="BK453" s="27"/>
      <c r="BL453" s="27"/>
      <c r="BM453" s="27"/>
      <c r="BN453" s="27"/>
      <c r="BO453" s="27"/>
      <c r="BP453" s="27"/>
      <c r="BQ453" s="27"/>
      <c r="BR453" s="27"/>
      <c r="BS453" s="27"/>
      <c r="BT453" s="27"/>
      <c r="BU453" s="27"/>
      <c r="BV453" s="27"/>
      <c r="BW453" s="27"/>
      <c r="BX453" s="27"/>
      <c r="BY453" s="27"/>
      <c r="BZ453" s="27"/>
      <c r="CA453" s="27"/>
      <c r="CB453" s="27"/>
      <c r="CC453" s="27"/>
      <c r="CD453" s="27"/>
      <c r="CE453" s="27"/>
      <c r="CF453" s="27"/>
      <c r="CG453" s="27"/>
      <c r="CH453" s="27"/>
      <c r="CI453" s="27"/>
      <c r="CJ453" s="27"/>
      <c r="CK453" s="27"/>
      <c r="CL453" s="27"/>
      <c r="CM453" s="27"/>
      <c r="CN453" s="27"/>
      <c r="CO453" s="27"/>
      <c r="CP453" s="27"/>
      <c r="CQ453" s="27"/>
      <c r="CR453" s="27"/>
      <c r="CS453" s="27"/>
      <c r="CT453" s="27"/>
      <c r="CU453" s="27"/>
      <c r="CV453" s="27"/>
      <c r="CW453" s="27"/>
      <c r="CX453" s="27"/>
      <c r="CY453" s="27"/>
      <c r="CZ453" s="27"/>
      <c r="DA453" s="27"/>
      <c r="DB453" s="27"/>
      <c r="DC453" s="27"/>
      <c r="DD453" s="27"/>
      <c r="DE453" s="27"/>
      <c r="DF453" s="27"/>
      <c r="DG453" s="27"/>
      <c r="DH453" s="27"/>
      <c r="DI453" s="27"/>
      <c r="DJ453" s="27"/>
      <c r="DK453" s="27"/>
      <c r="DL453" s="27"/>
      <c r="DM453" s="27"/>
      <c r="DN453" s="27"/>
      <c r="DO453" s="27"/>
      <c r="DP453" s="27"/>
      <c r="DQ453" s="27"/>
      <c r="DR453" s="27"/>
      <c r="DS453" s="27"/>
      <c r="DT453" s="27"/>
    </row>
    <row r="454" spans="2:124" x14ac:dyDescent="0.2">
      <c r="B454" s="27"/>
      <c r="C454" s="27"/>
      <c r="D454" s="27"/>
      <c r="E454" s="27"/>
      <c r="F454" s="27"/>
      <c r="G454" s="27"/>
      <c r="H454" s="27"/>
      <c r="I454" s="27"/>
      <c r="J454" s="27"/>
      <c r="K454" s="27"/>
      <c r="L454" s="27"/>
      <c r="M454" s="27"/>
      <c r="N454" s="27"/>
      <c r="O454" s="27"/>
      <c r="P454" s="27"/>
      <c r="Q454" s="27"/>
      <c r="R454" s="27"/>
      <c r="S454" s="27"/>
      <c r="T454" s="27"/>
      <c r="U454" s="27"/>
      <c r="V454" s="27"/>
      <c r="W454" s="27"/>
      <c r="X454" s="27"/>
      <c r="Y454" s="27"/>
      <c r="Z454" s="27"/>
      <c r="AA454" s="27"/>
      <c r="AB454" s="27"/>
      <c r="AC454" s="27"/>
      <c r="AD454" s="27"/>
      <c r="AE454" s="27"/>
      <c r="AF454" s="27"/>
      <c r="AG454" s="27"/>
      <c r="AH454" s="27"/>
      <c r="AI454" s="27"/>
      <c r="AJ454" s="27"/>
      <c r="AK454" s="27"/>
      <c r="AL454" s="27"/>
      <c r="AM454" s="27"/>
      <c r="AN454" s="27"/>
      <c r="AO454" s="27"/>
      <c r="AP454" s="27"/>
      <c r="AQ454" s="27"/>
      <c r="AR454" s="27"/>
      <c r="AS454" s="27"/>
      <c r="AT454" s="27"/>
      <c r="AU454" s="27"/>
      <c r="AV454" s="27"/>
      <c r="AW454" s="27"/>
      <c r="AX454" s="27"/>
      <c r="AY454" s="27"/>
      <c r="AZ454" s="27"/>
      <c r="BA454" s="27"/>
      <c r="BB454" s="27"/>
      <c r="BC454" s="27"/>
      <c r="BD454" s="27"/>
      <c r="BE454" s="27"/>
      <c r="BF454" s="27"/>
      <c r="BG454" s="27"/>
      <c r="BH454" s="27"/>
      <c r="BI454" s="27"/>
      <c r="BJ454" s="27"/>
      <c r="BK454" s="27"/>
      <c r="BL454" s="27"/>
      <c r="BM454" s="27"/>
      <c r="BN454" s="27"/>
      <c r="BO454" s="27"/>
      <c r="BP454" s="27"/>
      <c r="BQ454" s="27"/>
      <c r="BR454" s="27"/>
      <c r="BS454" s="27"/>
      <c r="BT454" s="27"/>
      <c r="BU454" s="27"/>
      <c r="BV454" s="27"/>
      <c r="BW454" s="27"/>
      <c r="BX454" s="27"/>
      <c r="BY454" s="27"/>
      <c r="BZ454" s="27"/>
      <c r="CA454" s="27"/>
      <c r="CB454" s="27"/>
      <c r="CC454" s="27"/>
      <c r="CD454" s="27"/>
      <c r="CE454" s="27"/>
      <c r="CF454" s="27"/>
      <c r="CG454" s="27"/>
      <c r="CH454" s="27"/>
      <c r="CI454" s="27"/>
      <c r="CJ454" s="27"/>
      <c r="CK454" s="27"/>
      <c r="CL454" s="27"/>
      <c r="CM454" s="27"/>
      <c r="CN454" s="27"/>
      <c r="CO454" s="27"/>
      <c r="CP454" s="27"/>
      <c r="CQ454" s="27"/>
      <c r="CR454" s="27"/>
      <c r="CS454" s="27"/>
      <c r="CT454" s="27"/>
      <c r="CU454" s="27"/>
      <c r="CV454" s="27"/>
      <c r="CW454" s="27"/>
      <c r="CX454" s="27"/>
      <c r="CY454" s="27"/>
      <c r="CZ454" s="27"/>
      <c r="DA454" s="27"/>
      <c r="DB454" s="27"/>
      <c r="DC454" s="27"/>
      <c r="DD454" s="27"/>
      <c r="DE454" s="27"/>
      <c r="DF454" s="27"/>
      <c r="DG454" s="27"/>
      <c r="DH454" s="27"/>
      <c r="DI454" s="27"/>
      <c r="DJ454" s="27"/>
      <c r="DK454" s="27"/>
      <c r="DL454" s="27"/>
      <c r="DM454" s="27"/>
      <c r="DN454" s="27"/>
      <c r="DO454" s="27"/>
      <c r="DP454" s="27"/>
      <c r="DQ454" s="27"/>
      <c r="DR454" s="27"/>
      <c r="DS454" s="27"/>
      <c r="DT454" s="27"/>
    </row>
    <row r="455" spans="2:124" x14ac:dyDescent="0.2">
      <c r="B455" s="27"/>
      <c r="C455" s="27"/>
      <c r="D455" s="27"/>
      <c r="E455" s="27"/>
      <c r="F455" s="27"/>
      <c r="G455" s="27"/>
      <c r="H455" s="27"/>
      <c r="I455" s="27"/>
      <c r="J455" s="27"/>
      <c r="K455" s="27"/>
      <c r="L455" s="27"/>
      <c r="M455" s="27"/>
      <c r="N455" s="27"/>
      <c r="O455" s="27"/>
      <c r="P455" s="27"/>
      <c r="Q455" s="27"/>
      <c r="R455" s="27"/>
      <c r="S455" s="27"/>
      <c r="T455" s="27"/>
      <c r="U455" s="27"/>
      <c r="V455" s="27"/>
      <c r="W455" s="27"/>
      <c r="X455" s="27"/>
      <c r="Y455" s="27"/>
      <c r="Z455" s="27"/>
      <c r="AA455" s="27"/>
      <c r="AB455" s="27"/>
      <c r="AC455" s="27"/>
      <c r="AD455" s="27"/>
      <c r="AE455" s="27"/>
      <c r="AF455" s="27"/>
      <c r="AG455" s="27"/>
      <c r="AH455" s="27"/>
      <c r="AI455" s="27"/>
      <c r="AJ455" s="27"/>
      <c r="AK455" s="27"/>
      <c r="AL455" s="27"/>
      <c r="AM455" s="27"/>
      <c r="AN455" s="27"/>
      <c r="AO455" s="27"/>
      <c r="AP455" s="27"/>
      <c r="AQ455" s="27"/>
      <c r="AR455" s="27"/>
      <c r="AS455" s="27"/>
      <c r="AT455" s="27"/>
      <c r="AU455" s="27"/>
      <c r="AV455" s="27"/>
      <c r="AW455" s="27"/>
      <c r="AX455" s="27"/>
      <c r="AY455" s="27"/>
      <c r="AZ455" s="27"/>
      <c r="BA455" s="27"/>
      <c r="BB455" s="27"/>
      <c r="BC455" s="27"/>
      <c r="BD455" s="27"/>
      <c r="BE455" s="27"/>
      <c r="BF455" s="27"/>
      <c r="BG455" s="27"/>
      <c r="BH455" s="27"/>
      <c r="BI455" s="27"/>
      <c r="BJ455" s="27"/>
      <c r="BK455" s="27"/>
      <c r="BL455" s="27"/>
      <c r="BM455" s="27"/>
      <c r="BN455" s="27"/>
      <c r="BO455" s="27"/>
      <c r="BP455" s="27"/>
      <c r="BQ455" s="27"/>
      <c r="BR455" s="27"/>
      <c r="BS455" s="27"/>
      <c r="BT455" s="27"/>
      <c r="BU455" s="27"/>
      <c r="BV455" s="27"/>
      <c r="BW455" s="27"/>
      <c r="BX455" s="27"/>
      <c r="BY455" s="27"/>
      <c r="BZ455" s="27"/>
      <c r="CA455" s="27"/>
      <c r="CB455" s="27"/>
      <c r="CC455" s="27"/>
      <c r="CD455" s="27"/>
      <c r="CE455" s="27"/>
      <c r="CF455" s="27"/>
      <c r="CG455" s="27"/>
      <c r="CH455" s="27"/>
      <c r="CI455" s="27"/>
      <c r="CJ455" s="27"/>
      <c r="CK455" s="27"/>
      <c r="CL455" s="27"/>
      <c r="CM455" s="27"/>
      <c r="CN455" s="27"/>
      <c r="CO455" s="27"/>
      <c r="CP455" s="27"/>
      <c r="CQ455" s="27"/>
      <c r="CR455" s="27"/>
      <c r="CS455" s="27"/>
      <c r="CT455" s="27"/>
      <c r="CU455" s="27"/>
      <c r="CV455" s="27"/>
      <c r="CW455" s="27"/>
      <c r="CX455" s="27"/>
      <c r="CY455" s="27"/>
      <c r="CZ455" s="27"/>
      <c r="DA455" s="27"/>
      <c r="DB455" s="27"/>
      <c r="DC455" s="27"/>
      <c r="DD455" s="27"/>
      <c r="DE455" s="27"/>
      <c r="DF455" s="27"/>
      <c r="DG455" s="27"/>
      <c r="DH455" s="27"/>
      <c r="DI455" s="27"/>
      <c r="DJ455" s="27"/>
      <c r="DK455" s="27"/>
      <c r="DL455" s="27"/>
      <c r="DM455" s="27"/>
      <c r="DN455" s="27"/>
      <c r="DO455" s="27"/>
      <c r="DP455" s="27"/>
      <c r="DQ455" s="27"/>
      <c r="DR455" s="27"/>
      <c r="DS455" s="27"/>
      <c r="DT455" s="27"/>
    </row>
    <row r="456" spans="2:124" x14ac:dyDescent="0.2">
      <c r="B456" s="27"/>
      <c r="C456" s="27"/>
      <c r="D456" s="27"/>
      <c r="E456" s="27"/>
      <c r="F456" s="27"/>
      <c r="G456" s="27"/>
      <c r="H456" s="27"/>
      <c r="I456" s="27"/>
      <c r="J456" s="27"/>
      <c r="K456" s="27"/>
      <c r="L456" s="27"/>
      <c r="M456" s="27"/>
      <c r="N456" s="27"/>
      <c r="O456" s="27"/>
      <c r="P456" s="27"/>
      <c r="Q456" s="27"/>
      <c r="R456" s="27"/>
      <c r="S456" s="27"/>
      <c r="T456" s="27"/>
      <c r="U456" s="27"/>
      <c r="V456" s="27"/>
      <c r="W456" s="27"/>
      <c r="X456" s="27"/>
      <c r="Y456" s="27"/>
      <c r="Z456" s="27"/>
      <c r="AA456" s="27"/>
      <c r="AB456" s="27"/>
      <c r="AC456" s="27"/>
      <c r="AD456" s="27"/>
      <c r="AE456" s="27"/>
      <c r="AF456" s="27"/>
      <c r="AG456" s="27"/>
      <c r="AH456" s="27"/>
      <c r="AI456" s="27"/>
      <c r="AJ456" s="27"/>
      <c r="AK456" s="27"/>
      <c r="AL456" s="27"/>
      <c r="AM456" s="27"/>
      <c r="AN456" s="27"/>
      <c r="AO456" s="27"/>
      <c r="AP456" s="27"/>
      <c r="AQ456" s="27"/>
      <c r="AR456" s="27"/>
      <c r="AS456" s="27"/>
      <c r="AT456" s="27"/>
      <c r="AU456" s="27"/>
      <c r="AV456" s="27"/>
      <c r="AW456" s="27"/>
      <c r="AX456" s="27"/>
      <c r="AY456" s="27"/>
      <c r="AZ456" s="27"/>
      <c r="BA456" s="27"/>
      <c r="BB456" s="27"/>
      <c r="BC456" s="27"/>
      <c r="BD456" s="27"/>
      <c r="BE456" s="27"/>
      <c r="BF456" s="27"/>
      <c r="BG456" s="27"/>
      <c r="BH456" s="27"/>
      <c r="BI456" s="27"/>
      <c r="BJ456" s="27"/>
      <c r="BK456" s="27"/>
      <c r="BL456" s="27"/>
      <c r="BM456" s="27"/>
      <c r="BN456" s="27"/>
      <c r="BO456" s="27"/>
      <c r="BP456" s="27"/>
      <c r="BQ456" s="27"/>
      <c r="BR456" s="27"/>
      <c r="BS456" s="27"/>
      <c r="BT456" s="27"/>
      <c r="BU456" s="27"/>
      <c r="BV456" s="27"/>
      <c r="BW456" s="27"/>
      <c r="BX456" s="27"/>
      <c r="BY456" s="27"/>
      <c r="BZ456" s="27"/>
      <c r="CA456" s="27"/>
      <c r="CB456" s="27"/>
      <c r="CC456" s="27"/>
      <c r="CD456" s="27"/>
      <c r="CE456" s="27"/>
      <c r="CF456" s="27"/>
      <c r="CG456" s="27"/>
      <c r="CH456" s="27"/>
      <c r="CI456" s="27"/>
      <c r="CJ456" s="27"/>
      <c r="CK456" s="27"/>
      <c r="CL456" s="27"/>
      <c r="CM456" s="27"/>
      <c r="CN456" s="27"/>
      <c r="CO456" s="27"/>
      <c r="CP456" s="27"/>
      <c r="CQ456" s="27"/>
      <c r="CR456" s="27"/>
      <c r="CS456" s="27"/>
      <c r="CT456" s="27"/>
      <c r="CU456" s="27"/>
      <c r="CV456" s="27"/>
      <c r="CW456" s="27"/>
      <c r="CX456" s="27"/>
      <c r="CY456" s="27"/>
      <c r="CZ456" s="27"/>
      <c r="DA456" s="27"/>
      <c r="DB456" s="27"/>
      <c r="DC456" s="27"/>
      <c r="DD456" s="27"/>
      <c r="DE456" s="27"/>
      <c r="DF456" s="27"/>
      <c r="DG456" s="27"/>
      <c r="DH456" s="27"/>
      <c r="DI456" s="27"/>
      <c r="DJ456" s="27"/>
      <c r="DK456" s="27"/>
      <c r="DL456" s="27"/>
      <c r="DM456" s="27"/>
      <c r="DN456" s="27"/>
      <c r="DO456" s="27"/>
      <c r="DP456" s="27"/>
      <c r="DQ456" s="27"/>
      <c r="DR456" s="27"/>
      <c r="DS456" s="27"/>
      <c r="DT456" s="27"/>
    </row>
    <row r="457" spans="2:124" x14ac:dyDescent="0.2">
      <c r="B457" s="27"/>
      <c r="C457" s="27"/>
      <c r="D457" s="27"/>
      <c r="E457" s="27"/>
      <c r="F457" s="27"/>
      <c r="G457" s="27"/>
      <c r="H457" s="27"/>
      <c r="I457" s="27"/>
      <c r="J457" s="27"/>
      <c r="K457" s="27"/>
      <c r="L457" s="27"/>
      <c r="M457" s="27"/>
      <c r="N457" s="27"/>
      <c r="O457" s="27"/>
      <c r="P457" s="27"/>
      <c r="Q457" s="27"/>
      <c r="R457" s="27"/>
      <c r="S457" s="27"/>
      <c r="T457" s="27"/>
      <c r="U457" s="27"/>
      <c r="V457" s="27"/>
      <c r="W457" s="27"/>
      <c r="X457" s="27"/>
      <c r="Y457" s="27"/>
      <c r="Z457" s="27"/>
      <c r="AA457" s="27"/>
      <c r="AB457" s="27"/>
      <c r="AC457" s="27"/>
      <c r="AD457" s="27"/>
      <c r="AE457" s="27"/>
      <c r="AF457" s="27"/>
      <c r="AG457" s="27"/>
      <c r="AH457" s="27"/>
      <c r="AI457" s="27"/>
      <c r="AJ457" s="27"/>
      <c r="AK457" s="27"/>
      <c r="AL457" s="27"/>
      <c r="AM457" s="27"/>
      <c r="AN457" s="27"/>
      <c r="AO457" s="27"/>
      <c r="AP457" s="27"/>
      <c r="AQ457" s="27"/>
      <c r="AR457" s="27"/>
      <c r="AS457" s="27"/>
      <c r="AT457" s="27"/>
      <c r="AU457" s="27"/>
      <c r="AV457" s="27"/>
      <c r="AW457" s="27"/>
      <c r="AX457" s="27"/>
      <c r="AY457" s="27"/>
      <c r="AZ457" s="27"/>
      <c r="BA457" s="27"/>
      <c r="BB457" s="27"/>
      <c r="BC457" s="27"/>
      <c r="BD457" s="27"/>
      <c r="BE457" s="27"/>
      <c r="BF457" s="27"/>
      <c r="BG457" s="27"/>
      <c r="BH457" s="27"/>
      <c r="BI457" s="27"/>
      <c r="BJ457" s="27"/>
      <c r="BK457" s="27"/>
      <c r="BL457" s="27"/>
      <c r="BM457" s="27"/>
      <c r="BN457" s="27"/>
      <c r="BO457" s="27"/>
      <c r="BP457" s="27"/>
      <c r="BQ457" s="27"/>
      <c r="BR457" s="27"/>
      <c r="BS457" s="27"/>
      <c r="BT457" s="27"/>
      <c r="BU457" s="27"/>
      <c r="BV457" s="27"/>
      <c r="BW457" s="27"/>
      <c r="BX457" s="27"/>
      <c r="BY457" s="27"/>
      <c r="BZ457" s="27"/>
      <c r="CA457" s="27"/>
      <c r="CB457" s="27"/>
      <c r="CC457" s="27"/>
      <c r="CD457" s="27"/>
      <c r="CE457" s="27"/>
      <c r="CF457" s="27"/>
      <c r="CG457" s="27"/>
      <c r="CH457" s="27"/>
      <c r="CI457" s="27"/>
      <c r="CJ457" s="27"/>
      <c r="CK457" s="27"/>
      <c r="CL457" s="27"/>
      <c r="CM457" s="27"/>
      <c r="CN457" s="27"/>
      <c r="CO457" s="27"/>
      <c r="CP457" s="27"/>
      <c r="CQ457" s="27"/>
      <c r="CR457" s="27"/>
      <c r="CS457" s="27"/>
      <c r="CT457" s="27"/>
      <c r="CU457" s="27"/>
      <c r="CV457" s="27"/>
      <c r="CW457" s="27"/>
      <c r="CX457" s="27"/>
      <c r="CY457" s="27"/>
      <c r="CZ457" s="27"/>
      <c r="DA457" s="27"/>
      <c r="DB457" s="27"/>
      <c r="DC457" s="27"/>
      <c r="DD457" s="27"/>
      <c r="DE457" s="27"/>
      <c r="DF457" s="27"/>
      <c r="DG457" s="27"/>
      <c r="DH457" s="27"/>
      <c r="DI457" s="27"/>
      <c r="DJ457" s="27"/>
      <c r="DK457" s="27"/>
      <c r="DL457" s="27"/>
      <c r="DM457" s="27"/>
      <c r="DN457" s="27"/>
      <c r="DO457" s="27"/>
      <c r="DP457" s="27"/>
      <c r="DQ457" s="27"/>
      <c r="DR457" s="27"/>
      <c r="DS457" s="27"/>
      <c r="DT457" s="27"/>
    </row>
    <row r="458" spans="2:124" x14ac:dyDescent="0.2">
      <c r="B458" s="27"/>
      <c r="C458" s="27"/>
      <c r="D458" s="27"/>
      <c r="E458" s="27"/>
      <c r="F458" s="27"/>
      <c r="G458" s="27"/>
      <c r="H458" s="27"/>
      <c r="I458" s="27"/>
      <c r="J458" s="27"/>
      <c r="K458" s="27"/>
      <c r="L458" s="27"/>
      <c r="M458" s="27"/>
      <c r="N458" s="27"/>
      <c r="O458" s="27"/>
      <c r="P458" s="27"/>
      <c r="Q458" s="27"/>
      <c r="R458" s="27"/>
      <c r="S458" s="27"/>
      <c r="T458" s="27"/>
      <c r="U458" s="27"/>
      <c r="V458" s="27"/>
      <c r="W458" s="27"/>
      <c r="X458" s="27"/>
      <c r="Y458" s="27"/>
      <c r="Z458" s="27"/>
      <c r="AA458" s="27"/>
      <c r="AB458" s="27"/>
      <c r="AC458" s="27"/>
      <c r="AD458" s="27"/>
      <c r="AE458" s="27"/>
      <c r="AF458" s="27"/>
      <c r="AG458" s="27"/>
      <c r="AH458" s="27"/>
      <c r="AI458" s="27"/>
      <c r="AJ458" s="27"/>
      <c r="AK458" s="27"/>
      <c r="AL458" s="27"/>
      <c r="AM458" s="27"/>
      <c r="AN458" s="27"/>
      <c r="AO458" s="27"/>
      <c r="AP458" s="27"/>
      <c r="AQ458" s="27"/>
      <c r="AR458" s="27"/>
      <c r="AS458" s="27"/>
      <c r="AT458" s="27"/>
      <c r="AU458" s="27"/>
      <c r="AV458" s="27"/>
      <c r="AW458" s="27"/>
      <c r="AX458" s="27"/>
      <c r="AY458" s="27"/>
      <c r="AZ458" s="27"/>
      <c r="BA458" s="27"/>
      <c r="BB458" s="27"/>
      <c r="BC458" s="27"/>
      <c r="BD458" s="27"/>
      <c r="BE458" s="27"/>
      <c r="BF458" s="27"/>
      <c r="BG458" s="27"/>
      <c r="BH458" s="27"/>
      <c r="BI458" s="27"/>
      <c r="BJ458" s="27"/>
      <c r="BK458" s="27"/>
      <c r="BL458" s="27"/>
      <c r="BM458" s="27"/>
      <c r="BN458" s="27"/>
      <c r="BO458" s="27"/>
      <c r="BP458" s="27"/>
      <c r="BQ458" s="27"/>
      <c r="BR458" s="27"/>
      <c r="BS458" s="27"/>
      <c r="BT458" s="27"/>
      <c r="BU458" s="27"/>
      <c r="BV458" s="27"/>
      <c r="BW458" s="27"/>
      <c r="BX458" s="27"/>
      <c r="BY458" s="27"/>
      <c r="BZ458" s="27"/>
      <c r="CA458" s="27"/>
      <c r="CB458" s="27"/>
      <c r="CC458" s="27"/>
      <c r="CD458" s="27"/>
      <c r="CE458" s="27"/>
      <c r="CF458" s="27"/>
      <c r="CG458" s="27"/>
      <c r="CH458" s="27"/>
      <c r="CI458" s="27"/>
      <c r="CJ458" s="27"/>
      <c r="CK458" s="27"/>
      <c r="CL458" s="27"/>
      <c r="CM458" s="27"/>
      <c r="CN458" s="27"/>
      <c r="CO458" s="27"/>
      <c r="CP458" s="27"/>
      <c r="CQ458" s="27"/>
      <c r="CR458" s="27"/>
      <c r="CS458" s="27"/>
      <c r="CT458" s="27"/>
      <c r="CU458" s="27"/>
      <c r="CV458" s="27"/>
      <c r="CW458" s="27"/>
      <c r="CX458" s="27"/>
      <c r="CY458" s="27"/>
      <c r="CZ458" s="27"/>
      <c r="DA458" s="27"/>
      <c r="DB458" s="27"/>
      <c r="DC458" s="27"/>
      <c r="DD458" s="27"/>
      <c r="DE458" s="27"/>
      <c r="DF458" s="27"/>
      <c r="DG458" s="27"/>
      <c r="DH458" s="27"/>
      <c r="DI458" s="27"/>
      <c r="DJ458" s="27"/>
      <c r="DK458" s="27"/>
      <c r="DL458" s="27"/>
      <c r="DM458" s="27"/>
      <c r="DN458" s="27"/>
      <c r="DO458" s="27"/>
      <c r="DP458" s="27"/>
      <c r="DQ458" s="27"/>
      <c r="DR458" s="27"/>
      <c r="DS458" s="27"/>
      <c r="DT458" s="27"/>
    </row>
    <row r="459" spans="2:124" x14ac:dyDescent="0.2">
      <c r="B459" s="27"/>
      <c r="C459" s="27"/>
      <c r="D459" s="27"/>
      <c r="E459" s="27"/>
      <c r="F459" s="27"/>
      <c r="G459" s="27"/>
      <c r="H459" s="27"/>
      <c r="I459" s="27"/>
      <c r="J459" s="27"/>
      <c r="K459" s="27"/>
      <c r="L459" s="27"/>
      <c r="M459" s="27"/>
      <c r="N459" s="27"/>
      <c r="O459" s="27"/>
      <c r="P459" s="27"/>
      <c r="Q459" s="27"/>
      <c r="R459" s="27"/>
      <c r="S459" s="27"/>
      <c r="T459" s="27"/>
      <c r="U459" s="27"/>
      <c r="V459" s="27"/>
      <c r="W459" s="27"/>
      <c r="X459" s="27"/>
      <c r="Y459" s="27"/>
      <c r="Z459" s="27"/>
      <c r="AA459" s="27"/>
      <c r="AB459" s="27"/>
      <c r="AC459" s="27"/>
      <c r="AD459" s="27"/>
      <c r="AE459" s="27"/>
      <c r="AF459" s="27"/>
      <c r="AG459" s="27"/>
      <c r="AH459" s="27"/>
      <c r="AI459" s="27"/>
      <c r="AJ459" s="27"/>
      <c r="AK459" s="27"/>
      <c r="AL459" s="27"/>
      <c r="AM459" s="27"/>
      <c r="AN459" s="27"/>
      <c r="AO459" s="27"/>
      <c r="AP459" s="27"/>
      <c r="AQ459" s="27"/>
      <c r="AR459" s="27"/>
      <c r="AS459" s="27"/>
      <c r="AT459" s="27"/>
      <c r="AU459" s="27"/>
      <c r="AV459" s="27"/>
      <c r="AW459" s="27"/>
      <c r="AX459" s="27"/>
      <c r="AY459" s="27"/>
      <c r="AZ459" s="27"/>
      <c r="BA459" s="27"/>
      <c r="BB459" s="27"/>
      <c r="BC459" s="27"/>
      <c r="BD459" s="27"/>
      <c r="BE459" s="27"/>
      <c r="BF459" s="27"/>
      <c r="BG459" s="27"/>
      <c r="BH459" s="27"/>
      <c r="BI459" s="27"/>
      <c r="BJ459" s="27"/>
      <c r="BK459" s="27"/>
      <c r="BL459" s="27"/>
      <c r="BM459" s="27"/>
      <c r="BN459" s="27"/>
      <c r="BO459" s="27"/>
      <c r="BP459" s="27"/>
      <c r="BQ459" s="27"/>
      <c r="BR459" s="27"/>
      <c r="BS459" s="27"/>
      <c r="BT459" s="27"/>
      <c r="BU459" s="27"/>
      <c r="BV459" s="27"/>
      <c r="BW459" s="27"/>
      <c r="BX459" s="27"/>
      <c r="BY459" s="27"/>
      <c r="BZ459" s="27"/>
      <c r="CA459" s="27"/>
      <c r="CB459" s="27"/>
      <c r="CC459" s="27"/>
      <c r="CD459" s="27"/>
      <c r="CE459" s="27"/>
      <c r="CF459" s="27"/>
      <c r="CG459" s="27"/>
      <c r="CH459" s="27"/>
      <c r="CI459" s="27"/>
      <c r="CJ459" s="27"/>
      <c r="CK459" s="27"/>
      <c r="CL459" s="27"/>
      <c r="CM459" s="27"/>
      <c r="CN459" s="27"/>
      <c r="CO459" s="27"/>
      <c r="CP459" s="27"/>
      <c r="CQ459" s="27"/>
      <c r="CR459" s="27"/>
      <c r="CS459" s="27"/>
      <c r="CT459" s="27"/>
      <c r="CU459" s="27"/>
      <c r="CV459" s="27"/>
      <c r="CW459" s="27"/>
      <c r="CX459" s="27"/>
      <c r="CY459" s="27"/>
      <c r="CZ459" s="27"/>
      <c r="DA459" s="27"/>
      <c r="DB459" s="27"/>
      <c r="DC459" s="27"/>
      <c r="DD459" s="27"/>
      <c r="DE459" s="27"/>
      <c r="DF459" s="27"/>
      <c r="DG459" s="27"/>
      <c r="DH459" s="27"/>
      <c r="DI459" s="27"/>
      <c r="DJ459" s="27"/>
      <c r="DK459" s="27"/>
      <c r="DL459" s="27"/>
      <c r="DM459" s="27"/>
      <c r="DN459" s="27"/>
      <c r="DO459" s="27"/>
      <c r="DP459" s="27"/>
      <c r="DQ459" s="27"/>
      <c r="DR459" s="27"/>
      <c r="DS459" s="27"/>
      <c r="DT459" s="27"/>
    </row>
    <row r="460" spans="2:124" x14ac:dyDescent="0.2">
      <c r="B460" s="27"/>
      <c r="C460" s="27"/>
      <c r="D460" s="27"/>
      <c r="E460" s="27"/>
      <c r="F460" s="27"/>
      <c r="G460" s="27"/>
      <c r="H460" s="27"/>
      <c r="I460" s="27"/>
      <c r="J460" s="27"/>
      <c r="K460" s="27"/>
      <c r="L460" s="27"/>
      <c r="M460" s="27"/>
      <c r="N460" s="27"/>
      <c r="O460" s="27"/>
      <c r="P460" s="27"/>
      <c r="Q460" s="27"/>
      <c r="R460" s="27"/>
      <c r="S460" s="27"/>
      <c r="T460" s="27"/>
      <c r="U460" s="27"/>
      <c r="V460" s="27"/>
      <c r="W460" s="27"/>
      <c r="X460" s="27"/>
      <c r="Y460" s="27"/>
      <c r="Z460" s="27"/>
      <c r="AA460" s="27"/>
      <c r="AB460" s="27"/>
      <c r="AC460" s="27"/>
      <c r="AD460" s="27"/>
      <c r="AE460" s="27"/>
      <c r="AF460" s="27"/>
      <c r="AG460" s="27"/>
      <c r="AH460" s="27"/>
      <c r="AI460" s="27"/>
      <c r="AJ460" s="27"/>
      <c r="AK460" s="27"/>
      <c r="AL460" s="27"/>
      <c r="AM460" s="27"/>
      <c r="AN460" s="27"/>
      <c r="AO460" s="27"/>
      <c r="AP460" s="27"/>
      <c r="AQ460" s="27"/>
      <c r="AR460" s="27"/>
      <c r="AS460" s="27"/>
      <c r="AT460" s="27"/>
      <c r="AU460" s="27"/>
      <c r="AV460" s="27"/>
      <c r="AW460" s="27"/>
      <c r="AX460" s="27"/>
      <c r="AY460" s="27"/>
      <c r="AZ460" s="27"/>
      <c r="BA460" s="27"/>
      <c r="BB460" s="27"/>
      <c r="BC460" s="27"/>
      <c r="BD460" s="27"/>
      <c r="BE460" s="27"/>
      <c r="BF460" s="27"/>
      <c r="BG460" s="27"/>
      <c r="BH460" s="27"/>
      <c r="BI460" s="27"/>
      <c r="BJ460" s="27"/>
      <c r="BK460" s="27"/>
      <c r="BL460" s="27"/>
      <c r="BM460" s="27"/>
      <c r="BN460" s="27"/>
      <c r="BO460" s="27"/>
      <c r="BP460" s="27"/>
      <c r="BQ460" s="27"/>
      <c r="BR460" s="27"/>
      <c r="BS460" s="27"/>
      <c r="BT460" s="27"/>
      <c r="BU460" s="27"/>
      <c r="BV460" s="27"/>
      <c r="BW460" s="27"/>
      <c r="BX460" s="27"/>
      <c r="BY460" s="27"/>
      <c r="BZ460" s="27"/>
      <c r="CA460" s="27"/>
      <c r="CB460" s="27"/>
      <c r="CC460" s="27"/>
      <c r="CD460" s="27"/>
      <c r="CE460" s="27"/>
      <c r="CF460" s="27"/>
      <c r="CG460" s="27"/>
      <c r="CH460" s="27"/>
      <c r="CI460" s="27"/>
      <c r="CJ460" s="27"/>
      <c r="CK460" s="27"/>
      <c r="CL460" s="27"/>
      <c r="CM460" s="27"/>
      <c r="CN460" s="27"/>
      <c r="CO460" s="27"/>
      <c r="CP460" s="27"/>
      <c r="CQ460" s="27"/>
      <c r="CR460" s="27"/>
      <c r="CS460" s="27"/>
      <c r="CT460" s="27"/>
      <c r="CU460" s="27"/>
      <c r="CV460" s="27"/>
      <c r="CW460" s="27"/>
      <c r="CX460" s="27"/>
      <c r="CY460" s="27"/>
      <c r="CZ460" s="27"/>
      <c r="DA460" s="27"/>
      <c r="DB460" s="27"/>
      <c r="DC460" s="27"/>
      <c r="DD460" s="27"/>
      <c r="DE460" s="27"/>
      <c r="DF460" s="27"/>
      <c r="DG460" s="27"/>
      <c r="DH460" s="27"/>
      <c r="DI460" s="27"/>
      <c r="DJ460" s="27"/>
      <c r="DK460" s="27"/>
      <c r="DL460" s="27"/>
      <c r="DM460" s="27"/>
      <c r="DN460" s="27"/>
      <c r="DO460" s="27"/>
      <c r="DP460" s="27"/>
      <c r="DQ460" s="27"/>
      <c r="DR460" s="27"/>
      <c r="DS460" s="27"/>
      <c r="DT460" s="27"/>
    </row>
    <row r="461" spans="2:124" x14ac:dyDescent="0.2">
      <c r="B461" s="27"/>
      <c r="C461" s="27"/>
      <c r="D461" s="27"/>
      <c r="E461" s="27"/>
      <c r="F461" s="27"/>
      <c r="G461" s="27"/>
      <c r="H461" s="27"/>
      <c r="I461" s="27"/>
      <c r="J461" s="27"/>
      <c r="K461" s="27"/>
      <c r="L461" s="27"/>
      <c r="M461" s="27"/>
      <c r="N461" s="27"/>
      <c r="O461" s="27"/>
      <c r="P461" s="27"/>
      <c r="Q461" s="27"/>
      <c r="R461" s="27"/>
      <c r="S461" s="27"/>
      <c r="T461" s="27"/>
      <c r="U461" s="27"/>
      <c r="V461" s="27"/>
      <c r="W461" s="27"/>
      <c r="X461" s="27"/>
      <c r="Y461" s="27"/>
      <c r="Z461" s="27"/>
      <c r="AA461" s="27"/>
      <c r="AB461" s="27"/>
      <c r="AC461" s="27"/>
      <c r="AD461" s="27"/>
      <c r="AE461" s="27"/>
      <c r="AF461" s="27"/>
      <c r="AG461" s="27"/>
      <c r="AH461" s="27"/>
      <c r="AI461" s="27"/>
      <c r="AJ461" s="27"/>
      <c r="AK461" s="27"/>
      <c r="AL461" s="27"/>
      <c r="AM461" s="27"/>
      <c r="AN461" s="27"/>
      <c r="AO461" s="27"/>
      <c r="AP461" s="27"/>
      <c r="AQ461" s="27"/>
      <c r="AR461" s="27"/>
      <c r="AS461" s="27"/>
      <c r="AT461" s="27"/>
      <c r="AU461" s="27"/>
      <c r="AV461" s="27"/>
      <c r="AW461" s="27"/>
      <c r="AX461" s="27"/>
      <c r="AY461" s="27"/>
      <c r="AZ461" s="27"/>
      <c r="BA461" s="27"/>
      <c r="BB461" s="27"/>
      <c r="BC461" s="27"/>
      <c r="BD461" s="27"/>
      <c r="BE461" s="27"/>
      <c r="BF461" s="27"/>
      <c r="BG461" s="27"/>
      <c r="BH461" s="27"/>
      <c r="BI461" s="27"/>
      <c r="BJ461" s="27"/>
      <c r="BK461" s="27"/>
      <c r="BL461" s="27"/>
      <c r="BM461" s="27"/>
      <c r="BN461" s="27"/>
      <c r="BO461" s="27"/>
      <c r="BP461" s="27"/>
      <c r="BQ461" s="27"/>
      <c r="BR461" s="27"/>
      <c r="BS461" s="27"/>
      <c r="BT461" s="27"/>
      <c r="BU461" s="27"/>
      <c r="BV461" s="27"/>
      <c r="BW461" s="27"/>
      <c r="BX461" s="27"/>
      <c r="BY461" s="27"/>
      <c r="BZ461" s="27"/>
      <c r="CA461" s="27"/>
      <c r="CB461" s="27"/>
      <c r="CC461" s="27"/>
      <c r="CD461" s="27"/>
      <c r="CE461" s="27"/>
      <c r="CF461" s="27"/>
      <c r="CG461" s="27"/>
      <c r="CH461" s="27"/>
      <c r="CI461" s="27"/>
      <c r="CJ461" s="27"/>
      <c r="CK461" s="27"/>
      <c r="CL461" s="27"/>
      <c r="CM461" s="27"/>
      <c r="CN461" s="27"/>
      <c r="CO461" s="27"/>
      <c r="CP461" s="27"/>
      <c r="CQ461" s="27"/>
      <c r="CR461" s="27"/>
      <c r="CS461" s="27"/>
      <c r="CT461" s="27"/>
      <c r="CU461" s="27"/>
      <c r="CV461" s="27"/>
      <c r="CW461" s="27"/>
      <c r="CX461" s="27"/>
      <c r="CY461" s="27"/>
      <c r="CZ461" s="27"/>
      <c r="DA461" s="27"/>
      <c r="DB461" s="27"/>
      <c r="DC461" s="27"/>
      <c r="DD461" s="27"/>
      <c r="DE461" s="27"/>
      <c r="DF461" s="27"/>
      <c r="DG461" s="27"/>
      <c r="DH461" s="27"/>
      <c r="DI461" s="27"/>
      <c r="DJ461" s="27"/>
      <c r="DK461" s="27"/>
      <c r="DL461" s="27"/>
      <c r="DM461" s="27"/>
      <c r="DN461" s="27"/>
      <c r="DO461" s="27"/>
      <c r="DP461" s="27"/>
      <c r="DQ461" s="27"/>
      <c r="DR461" s="27"/>
      <c r="DS461" s="27"/>
      <c r="DT461" s="27"/>
    </row>
    <row r="462" spans="2:124" x14ac:dyDescent="0.2">
      <c r="B462" s="27"/>
      <c r="C462" s="27"/>
      <c r="D462" s="27"/>
      <c r="E462" s="27"/>
      <c r="F462" s="27"/>
      <c r="G462" s="27"/>
      <c r="H462" s="27"/>
      <c r="I462" s="27"/>
      <c r="J462" s="27"/>
      <c r="K462" s="27"/>
      <c r="L462" s="27"/>
      <c r="M462" s="27"/>
      <c r="N462" s="27"/>
      <c r="O462" s="27"/>
      <c r="P462" s="27"/>
      <c r="Q462" s="27"/>
      <c r="R462" s="27"/>
      <c r="S462" s="27"/>
      <c r="T462" s="27"/>
      <c r="U462" s="27"/>
      <c r="V462" s="27"/>
      <c r="W462" s="27"/>
      <c r="X462" s="27"/>
      <c r="Y462" s="27"/>
      <c r="Z462" s="27"/>
      <c r="AA462" s="27"/>
      <c r="AB462" s="27"/>
      <c r="AC462" s="27"/>
      <c r="AD462" s="27"/>
      <c r="AE462" s="27"/>
      <c r="AF462" s="27"/>
      <c r="AG462" s="27"/>
      <c r="AH462" s="27"/>
      <c r="AI462" s="27"/>
      <c r="AJ462" s="27"/>
      <c r="AK462" s="27"/>
      <c r="AL462" s="27"/>
      <c r="AM462" s="27"/>
      <c r="AN462" s="27"/>
      <c r="AO462" s="27"/>
      <c r="AP462" s="27"/>
      <c r="AQ462" s="27"/>
      <c r="AR462" s="27"/>
      <c r="AS462" s="27"/>
      <c r="AT462" s="27"/>
      <c r="AU462" s="27"/>
      <c r="AV462" s="27"/>
      <c r="AW462" s="27"/>
      <c r="AX462" s="27"/>
      <c r="AY462" s="27"/>
      <c r="AZ462" s="27"/>
      <c r="BA462" s="27"/>
      <c r="BB462" s="27"/>
      <c r="BC462" s="27"/>
      <c r="BD462" s="27"/>
      <c r="BE462" s="27"/>
      <c r="BF462" s="27"/>
      <c r="BG462" s="27"/>
      <c r="BH462" s="27"/>
      <c r="BI462" s="27"/>
      <c r="BJ462" s="27"/>
      <c r="BK462" s="27"/>
      <c r="BL462" s="27"/>
      <c r="BM462" s="27"/>
      <c r="BN462" s="27"/>
      <c r="BO462" s="27"/>
      <c r="BP462" s="27"/>
      <c r="BQ462" s="27"/>
      <c r="BR462" s="27"/>
      <c r="BS462" s="27"/>
      <c r="BT462" s="27"/>
      <c r="BU462" s="27"/>
      <c r="BV462" s="27"/>
      <c r="BW462" s="27"/>
      <c r="BX462" s="27"/>
      <c r="BY462" s="27"/>
      <c r="BZ462" s="27"/>
      <c r="CA462" s="27"/>
      <c r="CB462" s="27"/>
      <c r="CC462" s="27"/>
      <c r="CD462" s="27"/>
      <c r="CE462" s="27"/>
      <c r="CF462" s="27"/>
      <c r="CG462" s="27"/>
      <c r="CH462" s="27"/>
      <c r="CI462" s="27"/>
      <c r="CJ462" s="27"/>
      <c r="CK462" s="27"/>
      <c r="CL462" s="27"/>
      <c r="CM462" s="27"/>
      <c r="CN462" s="27"/>
      <c r="CO462" s="27"/>
      <c r="CP462" s="27"/>
      <c r="CQ462" s="27"/>
      <c r="CR462" s="27"/>
      <c r="CS462" s="27"/>
      <c r="CT462" s="27"/>
      <c r="CU462" s="27"/>
      <c r="CV462" s="27"/>
      <c r="CW462" s="27"/>
      <c r="CX462" s="27"/>
      <c r="CY462" s="27"/>
      <c r="CZ462" s="27"/>
      <c r="DA462" s="27"/>
      <c r="DB462" s="27"/>
      <c r="DC462" s="27"/>
      <c r="DD462" s="27"/>
      <c r="DE462" s="27"/>
      <c r="DF462" s="27"/>
      <c r="DG462" s="27"/>
      <c r="DH462" s="27"/>
      <c r="DI462" s="27"/>
      <c r="DJ462" s="27"/>
      <c r="DK462" s="27"/>
      <c r="DL462" s="27"/>
      <c r="DM462" s="27"/>
      <c r="DN462" s="27"/>
      <c r="DO462" s="27"/>
      <c r="DP462" s="27"/>
      <c r="DQ462" s="27"/>
      <c r="DR462" s="27"/>
      <c r="DS462" s="27"/>
      <c r="DT462" s="27"/>
    </row>
    <row r="463" spans="2:124" x14ac:dyDescent="0.2">
      <c r="B463" s="27"/>
      <c r="C463" s="27"/>
      <c r="D463" s="27"/>
      <c r="E463" s="27"/>
      <c r="F463" s="27"/>
      <c r="G463" s="27"/>
      <c r="H463" s="27"/>
      <c r="I463" s="27"/>
      <c r="J463" s="27"/>
      <c r="K463" s="27"/>
      <c r="L463" s="27"/>
      <c r="M463" s="27"/>
      <c r="N463" s="27"/>
      <c r="O463" s="27"/>
      <c r="P463" s="27"/>
      <c r="Q463" s="27"/>
      <c r="R463" s="27"/>
      <c r="S463" s="27"/>
      <c r="T463" s="27"/>
      <c r="U463" s="27"/>
      <c r="V463" s="27"/>
      <c r="W463" s="27"/>
      <c r="X463" s="27"/>
      <c r="Y463" s="27"/>
      <c r="Z463" s="27"/>
      <c r="AA463" s="27"/>
      <c r="AB463" s="27"/>
      <c r="AC463" s="27"/>
      <c r="AD463" s="27"/>
      <c r="AE463" s="27"/>
      <c r="AF463" s="27"/>
      <c r="AG463" s="27"/>
      <c r="AH463" s="27"/>
      <c r="AI463" s="27"/>
      <c r="AJ463" s="27"/>
      <c r="AK463" s="27"/>
      <c r="AL463" s="27"/>
      <c r="AM463" s="27"/>
      <c r="AN463" s="27"/>
      <c r="AO463" s="27"/>
      <c r="AP463" s="27"/>
      <c r="AQ463" s="27"/>
      <c r="AR463" s="27"/>
      <c r="AS463" s="27"/>
      <c r="AT463" s="27"/>
      <c r="AU463" s="27"/>
      <c r="AV463" s="27"/>
      <c r="AW463" s="27"/>
      <c r="AX463" s="27"/>
      <c r="AY463" s="27"/>
      <c r="AZ463" s="27"/>
      <c r="BA463" s="27"/>
      <c r="BB463" s="27"/>
      <c r="BC463" s="27"/>
      <c r="BD463" s="27"/>
      <c r="BE463" s="27"/>
      <c r="BF463" s="27"/>
      <c r="BG463" s="27"/>
      <c r="BH463" s="27"/>
      <c r="BI463" s="27"/>
      <c r="BJ463" s="27"/>
      <c r="BK463" s="27"/>
      <c r="BL463" s="27"/>
      <c r="BM463" s="27"/>
      <c r="BN463" s="27"/>
      <c r="BO463" s="27"/>
      <c r="BP463" s="27"/>
      <c r="BQ463" s="27"/>
      <c r="BR463" s="27"/>
      <c r="BS463" s="27"/>
      <c r="BT463" s="27"/>
      <c r="BU463" s="27"/>
      <c r="BV463" s="27"/>
      <c r="BW463" s="27"/>
      <c r="BX463" s="27"/>
      <c r="BY463" s="27"/>
      <c r="BZ463" s="27"/>
      <c r="CA463" s="27"/>
      <c r="CB463" s="27"/>
      <c r="CC463" s="27"/>
      <c r="CD463" s="27"/>
      <c r="CE463" s="27"/>
      <c r="CF463" s="27"/>
      <c r="CG463" s="27"/>
      <c r="CH463" s="27"/>
      <c r="CI463" s="27"/>
      <c r="CJ463" s="27"/>
      <c r="CK463" s="27"/>
      <c r="CL463" s="27"/>
      <c r="CM463" s="27"/>
      <c r="CN463" s="27"/>
      <c r="CO463" s="27"/>
      <c r="CP463" s="27"/>
      <c r="CQ463" s="27"/>
      <c r="CR463" s="27"/>
      <c r="CS463" s="27"/>
      <c r="CT463" s="27"/>
      <c r="CU463" s="27"/>
      <c r="CV463" s="27"/>
      <c r="CW463" s="27"/>
      <c r="CX463" s="27"/>
      <c r="CY463" s="27"/>
      <c r="CZ463" s="27"/>
      <c r="DA463" s="27"/>
      <c r="DB463" s="27"/>
      <c r="DC463" s="27"/>
      <c r="DD463" s="27"/>
      <c r="DE463" s="27"/>
      <c r="DF463" s="27"/>
      <c r="DG463" s="27"/>
      <c r="DH463" s="27"/>
      <c r="DI463" s="27"/>
      <c r="DJ463" s="27"/>
      <c r="DK463" s="27"/>
      <c r="DL463" s="27"/>
      <c r="DM463" s="27"/>
      <c r="DN463" s="27"/>
      <c r="DO463" s="27"/>
      <c r="DP463" s="27"/>
      <c r="DQ463" s="27"/>
      <c r="DR463" s="27"/>
      <c r="DS463" s="27"/>
      <c r="DT463" s="27"/>
    </row>
    <row r="464" spans="2:124" x14ac:dyDescent="0.2">
      <c r="B464" s="27"/>
      <c r="C464" s="27"/>
      <c r="D464" s="27"/>
      <c r="E464" s="27"/>
      <c r="F464" s="27"/>
      <c r="G464" s="27"/>
      <c r="H464" s="27"/>
      <c r="I464" s="27"/>
      <c r="J464" s="27"/>
      <c r="K464" s="27"/>
      <c r="L464" s="27"/>
      <c r="M464" s="27"/>
      <c r="N464" s="27"/>
      <c r="O464" s="27"/>
      <c r="P464" s="27"/>
      <c r="Q464" s="27"/>
      <c r="R464" s="27"/>
      <c r="S464" s="27"/>
      <c r="T464" s="27"/>
      <c r="U464" s="27"/>
      <c r="V464" s="27"/>
      <c r="W464" s="27"/>
      <c r="X464" s="27"/>
      <c r="Y464" s="27"/>
      <c r="Z464" s="27"/>
      <c r="AA464" s="27"/>
      <c r="AB464" s="27"/>
      <c r="AC464" s="27"/>
      <c r="AD464" s="27"/>
      <c r="AE464" s="27"/>
      <c r="AF464" s="27"/>
      <c r="AG464" s="27"/>
      <c r="AH464" s="27"/>
      <c r="AI464" s="27"/>
      <c r="AJ464" s="27"/>
      <c r="AK464" s="27"/>
      <c r="AL464" s="27"/>
      <c r="AM464" s="27"/>
      <c r="AN464" s="27"/>
      <c r="AO464" s="27"/>
      <c r="AP464" s="27"/>
      <c r="AQ464" s="27"/>
      <c r="AR464" s="27"/>
      <c r="AS464" s="27"/>
      <c r="AT464" s="27"/>
      <c r="AU464" s="27"/>
      <c r="AV464" s="27"/>
      <c r="AW464" s="27"/>
      <c r="AX464" s="27"/>
      <c r="AY464" s="27"/>
      <c r="AZ464" s="27"/>
      <c r="BA464" s="27"/>
      <c r="BB464" s="27"/>
      <c r="BC464" s="27"/>
      <c r="BD464" s="27"/>
      <c r="BE464" s="27"/>
      <c r="BF464" s="27"/>
      <c r="BG464" s="27"/>
      <c r="BH464" s="27"/>
      <c r="BI464" s="27"/>
      <c r="BJ464" s="27"/>
      <c r="BK464" s="27"/>
      <c r="BL464" s="27"/>
      <c r="BM464" s="27"/>
      <c r="BN464" s="27"/>
      <c r="BO464" s="27"/>
      <c r="BP464" s="27"/>
      <c r="BQ464" s="27"/>
      <c r="BR464" s="27"/>
      <c r="BS464" s="27"/>
      <c r="BT464" s="27"/>
      <c r="BU464" s="27"/>
      <c r="BV464" s="27"/>
      <c r="BW464" s="27"/>
      <c r="BX464" s="27"/>
      <c r="BY464" s="27"/>
      <c r="BZ464" s="27"/>
      <c r="CA464" s="27"/>
      <c r="CB464" s="27"/>
      <c r="CC464" s="27"/>
      <c r="CD464" s="27"/>
      <c r="CE464" s="27"/>
      <c r="CF464" s="27"/>
      <c r="CG464" s="27"/>
      <c r="CH464" s="27"/>
      <c r="CI464" s="27"/>
      <c r="CJ464" s="27"/>
      <c r="CK464" s="27"/>
      <c r="CL464" s="27"/>
      <c r="CM464" s="27"/>
      <c r="CN464" s="27"/>
      <c r="CO464" s="27"/>
      <c r="CP464" s="27"/>
      <c r="CQ464" s="27"/>
      <c r="CR464" s="27"/>
      <c r="CS464" s="27"/>
      <c r="CT464" s="27"/>
      <c r="CU464" s="27"/>
      <c r="CV464" s="27"/>
      <c r="CW464" s="27"/>
      <c r="CX464" s="27"/>
      <c r="CY464" s="27"/>
      <c r="CZ464" s="27"/>
      <c r="DA464" s="27"/>
      <c r="DB464" s="27"/>
      <c r="DC464" s="27"/>
      <c r="DD464" s="27"/>
      <c r="DE464" s="27"/>
      <c r="DF464" s="27"/>
      <c r="DG464" s="27"/>
      <c r="DH464" s="27"/>
      <c r="DI464" s="27"/>
      <c r="DJ464" s="27"/>
      <c r="DK464" s="27"/>
      <c r="DL464" s="27"/>
      <c r="DM464" s="27"/>
      <c r="DN464" s="27"/>
      <c r="DO464" s="27"/>
      <c r="DP464" s="27"/>
      <c r="DQ464" s="27"/>
      <c r="DR464" s="27"/>
      <c r="DS464" s="27"/>
      <c r="DT464" s="27"/>
    </row>
    <row r="465" spans="2:124" x14ac:dyDescent="0.2">
      <c r="B465" s="27"/>
      <c r="C465" s="27"/>
      <c r="D465" s="27"/>
      <c r="E465" s="27"/>
      <c r="F465" s="27"/>
      <c r="G465" s="27"/>
      <c r="H465" s="27"/>
      <c r="I465" s="27"/>
      <c r="J465" s="27"/>
      <c r="K465" s="27"/>
      <c r="L465" s="27"/>
      <c r="M465" s="27"/>
      <c r="N465" s="27"/>
      <c r="O465" s="27"/>
      <c r="P465" s="27"/>
      <c r="Q465" s="27"/>
      <c r="R465" s="27"/>
      <c r="S465" s="27"/>
      <c r="T465" s="27"/>
      <c r="U465" s="27"/>
      <c r="V465" s="27"/>
      <c r="W465" s="27"/>
      <c r="X465" s="27"/>
      <c r="Y465" s="27"/>
      <c r="Z465" s="27"/>
      <c r="AA465" s="27"/>
      <c r="AB465" s="27"/>
      <c r="AC465" s="27"/>
      <c r="AD465" s="27"/>
      <c r="AE465" s="27"/>
      <c r="AF465" s="27"/>
      <c r="AG465" s="27"/>
      <c r="AH465" s="27"/>
      <c r="AI465" s="27"/>
      <c r="AJ465" s="27"/>
      <c r="AK465" s="27"/>
      <c r="AL465" s="27"/>
      <c r="AM465" s="27"/>
      <c r="AN465" s="27"/>
      <c r="AO465" s="27"/>
      <c r="AP465" s="27"/>
      <c r="AQ465" s="27"/>
      <c r="AR465" s="27"/>
      <c r="AS465" s="27"/>
      <c r="AT465" s="27"/>
      <c r="AU465" s="27"/>
      <c r="AV465" s="27"/>
      <c r="AW465" s="27"/>
      <c r="AX465" s="27"/>
      <c r="AY465" s="27"/>
      <c r="AZ465" s="27"/>
      <c r="BA465" s="27"/>
      <c r="BB465" s="27"/>
      <c r="BC465" s="27"/>
      <c r="BD465" s="27"/>
      <c r="BE465" s="27"/>
      <c r="BF465" s="27"/>
      <c r="BG465" s="27"/>
      <c r="BH465" s="27"/>
      <c r="BI465" s="27"/>
      <c r="BJ465" s="27"/>
      <c r="BK465" s="27"/>
      <c r="BL465" s="27"/>
      <c r="BM465" s="27"/>
      <c r="BN465" s="27"/>
      <c r="BO465" s="27"/>
      <c r="BP465" s="27"/>
      <c r="BQ465" s="27"/>
      <c r="BR465" s="27"/>
      <c r="BS465" s="27"/>
      <c r="BT465" s="27"/>
      <c r="BU465" s="27"/>
      <c r="BV465" s="27"/>
      <c r="BW465" s="27"/>
      <c r="BX465" s="27"/>
      <c r="BY465" s="27"/>
      <c r="BZ465" s="27"/>
      <c r="CA465" s="27"/>
      <c r="CB465" s="27"/>
      <c r="CC465" s="27"/>
      <c r="CD465" s="27"/>
      <c r="CE465" s="27"/>
      <c r="CF465" s="27"/>
      <c r="CG465" s="27"/>
      <c r="CH465" s="27"/>
      <c r="CI465" s="27"/>
      <c r="CJ465" s="27"/>
      <c r="CK465" s="27"/>
      <c r="CL465" s="27"/>
      <c r="CM465" s="27"/>
      <c r="CN465" s="27"/>
      <c r="CO465" s="27"/>
      <c r="CP465" s="27"/>
      <c r="CQ465" s="27"/>
      <c r="CR465" s="27"/>
      <c r="CS465" s="27"/>
      <c r="CT465" s="27"/>
      <c r="CU465" s="27"/>
      <c r="CV465" s="27"/>
      <c r="CW465" s="27"/>
      <c r="CX465" s="27"/>
      <c r="CY465" s="27"/>
      <c r="CZ465" s="27"/>
      <c r="DA465" s="27"/>
      <c r="DB465" s="27"/>
      <c r="DC465" s="27"/>
      <c r="DD465" s="27"/>
      <c r="DE465" s="27"/>
      <c r="DF465" s="27"/>
      <c r="DG465" s="27"/>
      <c r="DH465" s="27"/>
      <c r="DI465" s="27"/>
      <c r="DJ465" s="27"/>
      <c r="DK465" s="27"/>
      <c r="DL465" s="27"/>
      <c r="DM465" s="27"/>
      <c r="DN465" s="27"/>
      <c r="DO465" s="27"/>
      <c r="DP465" s="27"/>
      <c r="DQ465" s="27"/>
      <c r="DR465" s="27"/>
      <c r="DS465" s="27"/>
      <c r="DT465" s="27"/>
    </row>
    <row r="466" spans="2:124" x14ac:dyDescent="0.2">
      <c r="B466" s="27"/>
      <c r="C466" s="27"/>
      <c r="D466" s="27"/>
      <c r="E466" s="27"/>
      <c r="F466" s="27"/>
      <c r="G466" s="27"/>
      <c r="H466" s="27"/>
      <c r="I466" s="27"/>
      <c r="J466" s="27"/>
      <c r="K466" s="27"/>
      <c r="L466" s="27"/>
      <c r="M466" s="27"/>
      <c r="N466" s="27"/>
      <c r="O466" s="27"/>
      <c r="P466" s="27"/>
      <c r="Q466" s="27"/>
      <c r="R466" s="27"/>
      <c r="S466" s="27"/>
      <c r="T466" s="27"/>
      <c r="U466" s="27"/>
      <c r="V466" s="27"/>
      <c r="W466" s="27"/>
      <c r="X466" s="27"/>
      <c r="Y466" s="27"/>
      <c r="Z466" s="27"/>
      <c r="AA466" s="27"/>
      <c r="AB466" s="27"/>
      <c r="AC466" s="27"/>
      <c r="AD466" s="27"/>
      <c r="AE466" s="27"/>
      <c r="AF466" s="27"/>
      <c r="AG466" s="27"/>
      <c r="AH466" s="27"/>
      <c r="AI466" s="27"/>
      <c r="AJ466" s="27"/>
      <c r="AK466" s="27"/>
      <c r="AL466" s="27"/>
      <c r="AM466" s="27"/>
      <c r="AN466" s="27"/>
      <c r="AO466" s="27"/>
      <c r="AP466" s="27"/>
      <c r="AQ466" s="27"/>
      <c r="AR466" s="27"/>
      <c r="AS466" s="27"/>
      <c r="AT466" s="27"/>
      <c r="AU466" s="27"/>
      <c r="AV466" s="27"/>
      <c r="AW466" s="27"/>
      <c r="AX466" s="27"/>
      <c r="AY466" s="27"/>
      <c r="AZ466" s="27"/>
      <c r="BA466" s="27"/>
      <c r="BB466" s="27"/>
      <c r="BC466" s="27"/>
      <c r="BD466" s="27"/>
      <c r="BE466" s="27"/>
      <c r="BF466" s="27"/>
      <c r="BG466" s="27"/>
      <c r="BH466" s="27"/>
      <c r="BI466" s="27"/>
      <c r="BJ466" s="27"/>
      <c r="BK466" s="27"/>
      <c r="BL466" s="27"/>
      <c r="BM466" s="27"/>
      <c r="BN466" s="27"/>
      <c r="BO466" s="27"/>
      <c r="BP466" s="27"/>
      <c r="BQ466" s="27"/>
      <c r="BR466" s="27"/>
      <c r="BS466" s="27"/>
      <c r="BT466" s="27"/>
      <c r="BU466" s="27"/>
      <c r="BV466" s="27"/>
      <c r="BW466" s="27"/>
      <c r="BX466" s="27"/>
      <c r="BY466" s="27"/>
      <c r="BZ466" s="27"/>
      <c r="CA466" s="27"/>
      <c r="CB466" s="27"/>
      <c r="CC466" s="27"/>
      <c r="CD466" s="27"/>
      <c r="CE466" s="27"/>
      <c r="CF466" s="27"/>
      <c r="CG466" s="27"/>
      <c r="CH466" s="27"/>
      <c r="CI466" s="27"/>
      <c r="CJ466" s="27"/>
      <c r="CK466" s="27"/>
      <c r="CL466" s="27"/>
      <c r="CM466" s="27"/>
      <c r="CN466" s="27"/>
      <c r="CO466" s="27"/>
      <c r="CP466" s="27"/>
      <c r="CQ466" s="27"/>
      <c r="CR466" s="27"/>
      <c r="CS466" s="27"/>
      <c r="CT466" s="27"/>
      <c r="CU466" s="27"/>
      <c r="CV466" s="27"/>
      <c r="CW466" s="27"/>
      <c r="CX466" s="27"/>
      <c r="CY466" s="27"/>
      <c r="CZ466" s="27"/>
      <c r="DA466" s="27"/>
      <c r="DB466" s="27"/>
      <c r="DC466" s="27"/>
      <c r="DD466" s="27"/>
      <c r="DE466" s="27"/>
      <c r="DF466" s="27"/>
      <c r="DG466" s="27"/>
      <c r="DH466" s="27"/>
      <c r="DI466" s="27"/>
      <c r="DJ466" s="27"/>
      <c r="DK466" s="27"/>
      <c r="DL466" s="27"/>
      <c r="DM466" s="27"/>
      <c r="DN466" s="27"/>
      <c r="DO466" s="27"/>
      <c r="DP466" s="27"/>
      <c r="DQ466" s="27"/>
      <c r="DR466" s="27"/>
      <c r="DS466" s="27"/>
      <c r="DT466" s="27"/>
    </row>
    <row r="467" spans="2:124" x14ac:dyDescent="0.2">
      <c r="B467" s="27"/>
      <c r="C467" s="27"/>
      <c r="D467" s="27"/>
      <c r="E467" s="27"/>
      <c r="F467" s="27"/>
      <c r="G467" s="27"/>
      <c r="H467" s="27"/>
      <c r="I467" s="27"/>
      <c r="J467" s="27"/>
      <c r="K467" s="27"/>
      <c r="L467" s="27"/>
      <c r="M467" s="27"/>
      <c r="N467" s="27"/>
      <c r="O467" s="27"/>
      <c r="P467" s="27"/>
      <c r="Q467" s="27"/>
      <c r="R467" s="27"/>
      <c r="S467" s="27"/>
      <c r="T467" s="27"/>
      <c r="U467" s="27"/>
      <c r="V467" s="27"/>
      <c r="W467" s="27"/>
      <c r="X467" s="27"/>
      <c r="Y467" s="27"/>
      <c r="Z467" s="27"/>
      <c r="AA467" s="27"/>
      <c r="AB467" s="27"/>
      <c r="AC467" s="27"/>
      <c r="AD467" s="27"/>
      <c r="AE467" s="27"/>
      <c r="AF467" s="27"/>
      <c r="AG467" s="27"/>
      <c r="AH467" s="27"/>
      <c r="AI467" s="27"/>
      <c r="AJ467" s="27"/>
      <c r="AK467" s="27"/>
      <c r="AL467" s="27"/>
      <c r="AM467" s="27"/>
      <c r="AN467" s="27"/>
      <c r="AO467" s="27"/>
      <c r="AP467" s="27"/>
      <c r="AQ467" s="27"/>
      <c r="AR467" s="27"/>
      <c r="AS467" s="27"/>
      <c r="AT467" s="27"/>
      <c r="AU467" s="27"/>
      <c r="AV467" s="27"/>
      <c r="AW467" s="27"/>
      <c r="AX467" s="27"/>
      <c r="AY467" s="27"/>
      <c r="AZ467" s="27"/>
      <c r="BA467" s="27"/>
      <c r="BB467" s="27"/>
      <c r="BC467" s="27"/>
      <c r="BD467" s="27"/>
      <c r="BE467" s="27"/>
      <c r="BF467" s="27"/>
      <c r="BG467" s="27"/>
      <c r="BH467" s="27"/>
      <c r="BI467" s="27"/>
      <c r="BJ467" s="27"/>
      <c r="BK467" s="27"/>
      <c r="BL467" s="27"/>
      <c r="BM467" s="27"/>
      <c r="BN467" s="27"/>
      <c r="BO467" s="27"/>
      <c r="BP467" s="27"/>
      <c r="BQ467" s="27"/>
      <c r="BR467" s="27"/>
      <c r="BS467" s="27"/>
      <c r="BT467" s="27"/>
      <c r="BU467" s="27"/>
      <c r="BV467" s="27"/>
      <c r="BW467" s="27"/>
      <c r="BX467" s="27"/>
      <c r="BY467" s="27"/>
      <c r="BZ467" s="27"/>
      <c r="CA467" s="27"/>
      <c r="CB467" s="27"/>
      <c r="CC467" s="27"/>
      <c r="CD467" s="27"/>
      <c r="CE467" s="27"/>
      <c r="CF467" s="27"/>
      <c r="CG467" s="27"/>
      <c r="CH467" s="27"/>
      <c r="CI467" s="27"/>
      <c r="CJ467" s="27"/>
      <c r="CK467" s="27"/>
      <c r="CL467" s="27"/>
      <c r="CM467" s="27"/>
      <c r="CN467" s="27"/>
      <c r="CO467" s="27"/>
      <c r="CP467" s="27"/>
      <c r="CQ467" s="27"/>
      <c r="CR467" s="27"/>
      <c r="CS467" s="27"/>
      <c r="CT467" s="27"/>
      <c r="CU467" s="27"/>
      <c r="CV467" s="27"/>
      <c r="CW467" s="27"/>
      <c r="CX467" s="27"/>
      <c r="CY467" s="27"/>
      <c r="CZ467" s="27"/>
      <c r="DA467" s="27"/>
      <c r="DB467" s="27"/>
      <c r="DC467" s="27"/>
      <c r="DD467" s="27"/>
      <c r="DE467" s="27"/>
      <c r="DF467" s="27"/>
      <c r="DG467" s="27"/>
      <c r="DH467" s="27"/>
      <c r="DI467" s="27"/>
      <c r="DJ467" s="27"/>
      <c r="DK467" s="27"/>
      <c r="DL467" s="27"/>
      <c r="DM467" s="27"/>
      <c r="DN467" s="27"/>
      <c r="DO467" s="27"/>
      <c r="DP467" s="27"/>
      <c r="DQ467" s="27"/>
      <c r="DR467" s="27"/>
      <c r="DS467" s="27"/>
      <c r="DT467" s="27"/>
    </row>
    <row r="468" spans="2:124" x14ac:dyDescent="0.2">
      <c r="B468" s="27"/>
      <c r="C468" s="27"/>
      <c r="D468" s="27"/>
      <c r="E468" s="27"/>
      <c r="F468" s="27"/>
      <c r="G468" s="27"/>
      <c r="H468" s="27"/>
      <c r="I468" s="27"/>
      <c r="J468" s="27"/>
      <c r="K468" s="27"/>
      <c r="L468" s="27"/>
      <c r="M468" s="27"/>
      <c r="N468" s="27"/>
      <c r="O468" s="27"/>
      <c r="P468" s="27"/>
      <c r="Q468" s="27"/>
      <c r="R468" s="27"/>
      <c r="S468" s="27"/>
      <c r="T468" s="27"/>
      <c r="U468" s="27"/>
      <c r="V468" s="27"/>
      <c r="W468" s="27"/>
      <c r="X468" s="27"/>
      <c r="Y468" s="27"/>
      <c r="Z468" s="27"/>
      <c r="AA468" s="27"/>
      <c r="AB468" s="27"/>
      <c r="AC468" s="27"/>
      <c r="AD468" s="27"/>
      <c r="AE468" s="27"/>
      <c r="AF468" s="27"/>
      <c r="AG468" s="27"/>
      <c r="AH468" s="27"/>
      <c r="AI468" s="27"/>
      <c r="AJ468" s="27"/>
      <c r="AK468" s="27"/>
      <c r="AL468" s="27"/>
      <c r="AM468" s="27"/>
      <c r="AN468" s="27"/>
      <c r="AO468" s="27"/>
      <c r="AP468" s="27"/>
      <c r="AQ468" s="27"/>
      <c r="AR468" s="27"/>
      <c r="AS468" s="27"/>
      <c r="AT468" s="27"/>
      <c r="AU468" s="27"/>
      <c r="AV468" s="27"/>
      <c r="AW468" s="27"/>
      <c r="AX468" s="27"/>
      <c r="AY468" s="27"/>
      <c r="AZ468" s="27"/>
      <c r="BA468" s="27"/>
      <c r="BB468" s="27"/>
      <c r="BC468" s="27"/>
      <c r="BD468" s="27"/>
      <c r="BE468" s="27"/>
      <c r="BF468" s="27"/>
      <c r="BG468" s="27"/>
      <c r="BH468" s="27"/>
      <c r="BI468" s="27"/>
      <c r="BJ468" s="27"/>
      <c r="BK468" s="27"/>
      <c r="BL468" s="27"/>
      <c r="BM468" s="27"/>
      <c r="BN468" s="27"/>
      <c r="BO468" s="27"/>
      <c r="BP468" s="27"/>
      <c r="BQ468" s="27"/>
      <c r="BR468" s="27"/>
      <c r="BS468" s="27"/>
      <c r="BT468" s="27"/>
      <c r="BU468" s="27"/>
      <c r="BV468" s="27"/>
      <c r="BW468" s="27"/>
      <c r="BX468" s="27"/>
      <c r="BY468" s="27"/>
      <c r="BZ468" s="27"/>
      <c r="CA468" s="27"/>
      <c r="CB468" s="27"/>
      <c r="CC468" s="27"/>
      <c r="CD468" s="27"/>
      <c r="CE468" s="27"/>
      <c r="CF468" s="27"/>
      <c r="CG468" s="27"/>
      <c r="CH468" s="27"/>
      <c r="CI468" s="27"/>
      <c r="CJ468" s="27"/>
      <c r="CK468" s="27"/>
      <c r="CL468" s="27"/>
      <c r="CM468" s="27"/>
      <c r="CN468" s="27"/>
      <c r="CO468" s="27"/>
      <c r="CP468" s="27"/>
      <c r="CQ468" s="27"/>
      <c r="CR468" s="27"/>
      <c r="CS468" s="27"/>
      <c r="CT468" s="27"/>
      <c r="CU468" s="27"/>
      <c r="CV468" s="27"/>
      <c r="CW468" s="27"/>
      <c r="CX468" s="27"/>
      <c r="CY468" s="27"/>
      <c r="CZ468" s="27"/>
      <c r="DA468" s="27"/>
      <c r="DB468" s="27"/>
      <c r="DC468" s="27"/>
      <c r="DD468" s="27"/>
      <c r="DE468" s="27"/>
      <c r="DF468" s="27"/>
      <c r="DG468" s="27"/>
      <c r="DH468" s="27"/>
      <c r="DI468" s="27"/>
      <c r="DJ468" s="27"/>
      <c r="DK468" s="27"/>
      <c r="DL468" s="27"/>
      <c r="DM468" s="27"/>
      <c r="DN468" s="27"/>
      <c r="DO468" s="27"/>
      <c r="DP468" s="27"/>
      <c r="DQ468" s="27"/>
      <c r="DR468" s="27"/>
      <c r="DS468" s="27"/>
      <c r="DT468" s="27"/>
    </row>
    <row r="469" spans="2:124" x14ac:dyDescent="0.2">
      <c r="B469" s="27"/>
      <c r="C469" s="27"/>
      <c r="D469" s="27"/>
      <c r="E469" s="27"/>
      <c r="F469" s="27"/>
      <c r="G469" s="27"/>
      <c r="H469" s="27"/>
      <c r="I469" s="27"/>
      <c r="J469" s="27"/>
      <c r="K469" s="27"/>
      <c r="L469" s="27"/>
      <c r="M469" s="27"/>
      <c r="N469" s="27"/>
      <c r="O469" s="27"/>
      <c r="P469" s="27"/>
      <c r="Q469" s="27"/>
      <c r="R469" s="27"/>
      <c r="S469" s="27"/>
      <c r="T469" s="27"/>
      <c r="U469" s="27"/>
      <c r="V469" s="27"/>
      <c r="W469" s="27"/>
      <c r="X469" s="27"/>
      <c r="Y469" s="27"/>
      <c r="Z469" s="27"/>
      <c r="AA469" s="27"/>
      <c r="AB469" s="27"/>
      <c r="AC469" s="27"/>
      <c r="AD469" s="27"/>
      <c r="AE469" s="27"/>
      <c r="AF469" s="27"/>
      <c r="AG469" s="27"/>
      <c r="AH469" s="27"/>
      <c r="AI469" s="27"/>
      <c r="AJ469" s="27"/>
      <c r="AK469" s="27"/>
      <c r="AL469" s="27"/>
      <c r="AM469" s="27"/>
      <c r="AN469" s="27"/>
      <c r="AO469" s="27"/>
      <c r="AP469" s="27"/>
      <c r="AQ469" s="27"/>
      <c r="AR469" s="27"/>
      <c r="AS469" s="27"/>
      <c r="AT469" s="27"/>
      <c r="AU469" s="27"/>
      <c r="AV469" s="27"/>
      <c r="AW469" s="27"/>
      <c r="AX469" s="27"/>
      <c r="AY469" s="27"/>
      <c r="AZ469" s="27"/>
      <c r="BA469" s="27"/>
      <c r="BB469" s="27"/>
      <c r="BC469" s="27"/>
      <c r="BD469" s="27"/>
      <c r="BE469" s="27"/>
      <c r="BF469" s="27"/>
      <c r="BG469" s="27"/>
      <c r="BH469" s="27"/>
      <c r="BI469" s="27"/>
      <c r="BJ469" s="27"/>
      <c r="BK469" s="27"/>
      <c r="BL469" s="27"/>
      <c r="BM469" s="27"/>
      <c r="BN469" s="27"/>
      <c r="BO469" s="27"/>
      <c r="BP469" s="27"/>
      <c r="BQ469" s="27"/>
      <c r="BR469" s="27"/>
      <c r="BS469" s="27"/>
      <c r="BT469" s="27"/>
      <c r="BU469" s="27"/>
      <c r="BV469" s="27"/>
      <c r="BW469" s="27"/>
      <c r="BX469" s="27"/>
      <c r="BY469" s="27"/>
      <c r="BZ469" s="27"/>
      <c r="CA469" s="27"/>
      <c r="CB469" s="27"/>
      <c r="CC469" s="27"/>
      <c r="CD469" s="27"/>
      <c r="CE469" s="27"/>
      <c r="CF469" s="27"/>
      <c r="CG469" s="27"/>
      <c r="CH469" s="27"/>
      <c r="CI469" s="27"/>
      <c r="CJ469" s="27"/>
      <c r="CK469" s="27"/>
      <c r="CL469" s="27"/>
      <c r="CM469" s="27"/>
      <c r="CN469" s="27"/>
      <c r="CO469" s="27"/>
      <c r="CP469" s="27"/>
      <c r="CQ469" s="27"/>
      <c r="CR469" s="27"/>
      <c r="CS469" s="27"/>
      <c r="CT469" s="27"/>
      <c r="CU469" s="27"/>
      <c r="CV469" s="27"/>
      <c r="CW469" s="27"/>
      <c r="CX469" s="27"/>
      <c r="CY469" s="27"/>
      <c r="CZ469" s="27"/>
      <c r="DA469" s="27"/>
      <c r="DB469" s="27"/>
      <c r="DC469" s="27"/>
      <c r="DD469" s="27"/>
      <c r="DE469" s="27"/>
      <c r="DF469" s="27"/>
      <c r="DG469" s="27"/>
      <c r="DH469" s="27"/>
      <c r="DI469" s="27"/>
      <c r="DJ469" s="27"/>
      <c r="DK469" s="27"/>
      <c r="DL469" s="27"/>
      <c r="DM469" s="27"/>
      <c r="DN469" s="27"/>
      <c r="DO469" s="27"/>
      <c r="DP469" s="27"/>
      <c r="DQ469" s="27"/>
      <c r="DR469" s="27"/>
      <c r="DS469" s="27"/>
      <c r="DT469" s="27"/>
    </row>
    <row r="470" spans="2:124" x14ac:dyDescent="0.2">
      <c r="B470" s="27"/>
      <c r="C470" s="27"/>
      <c r="D470" s="27"/>
      <c r="E470" s="27"/>
      <c r="F470" s="27"/>
      <c r="G470" s="27"/>
      <c r="H470" s="27"/>
      <c r="I470" s="27"/>
      <c r="J470" s="27"/>
      <c r="K470" s="27"/>
      <c r="L470" s="27"/>
      <c r="M470" s="27"/>
      <c r="N470" s="27"/>
      <c r="O470" s="27"/>
      <c r="P470" s="27"/>
      <c r="Q470" s="27"/>
      <c r="R470" s="27"/>
      <c r="S470" s="27"/>
      <c r="T470" s="27"/>
      <c r="U470" s="27"/>
      <c r="V470" s="27"/>
      <c r="W470" s="27"/>
      <c r="X470" s="27"/>
      <c r="Y470" s="27"/>
      <c r="Z470" s="27"/>
      <c r="AA470" s="27"/>
      <c r="AB470" s="27"/>
      <c r="AC470" s="27"/>
      <c r="AD470" s="27"/>
      <c r="AE470" s="27"/>
      <c r="AF470" s="27"/>
      <c r="AG470" s="27"/>
      <c r="AH470" s="27"/>
      <c r="AI470" s="27"/>
      <c r="AJ470" s="27"/>
      <c r="AK470" s="27"/>
      <c r="AL470" s="27"/>
      <c r="AM470" s="27"/>
      <c r="AN470" s="27"/>
      <c r="AO470" s="27"/>
      <c r="AP470" s="27"/>
      <c r="AQ470" s="27"/>
      <c r="AR470" s="27"/>
      <c r="AS470" s="27"/>
      <c r="AT470" s="27"/>
      <c r="AU470" s="27"/>
      <c r="AV470" s="27"/>
      <c r="AW470" s="27"/>
      <c r="AX470" s="27"/>
      <c r="AY470" s="27"/>
      <c r="AZ470" s="27"/>
      <c r="BA470" s="27"/>
      <c r="BB470" s="27"/>
      <c r="BC470" s="27"/>
      <c r="BD470" s="27"/>
      <c r="BE470" s="27"/>
      <c r="BF470" s="27"/>
      <c r="BG470" s="27"/>
      <c r="BH470" s="27"/>
      <c r="BI470" s="27"/>
      <c r="BJ470" s="27"/>
      <c r="BK470" s="27"/>
      <c r="BL470" s="27"/>
      <c r="BM470" s="27"/>
      <c r="BN470" s="27"/>
      <c r="BO470" s="27"/>
      <c r="BP470" s="27"/>
      <c r="BQ470" s="27"/>
      <c r="BR470" s="27"/>
      <c r="BS470" s="27"/>
      <c r="BT470" s="27"/>
      <c r="BU470" s="27"/>
      <c r="BV470" s="27"/>
      <c r="BW470" s="27"/>
      <c r="BX470" s="27"/>
      <c r="BY470" s="27"/>
      <c r="BZ470" s="27"/>
      <c r="CA470" s="27"/>
      <c r="CB470" s="27"/>
      <c r="CC470" s="27"/>
      <c r="CD470" s="27"/>
      <c r="CE470" s="27"/>
      <c r="CF470" s="27"/>
      <c r="CG470" s="27"/>
      <c r="CH470" s="27"/>
      <c r="CI470" s="27"/>
      <c r="CJ470" s="27"/>
      <c r="CK470" s="27"/>
      <c r="CL470" s="27"/>
      <c r="CM470" s="27"/>
      <c r="CN470" s="27"/>
      <c r="CO470" s="27"/>
      <c r="CP470" s="27"/>
      <c r="CQ470" s="27"/>
      <c r="CR470" s="27"/>
      <c r="CS470" s="27"/>
      <c r="CT470" s="27"/>
      <c r="CU470" s="27"/>
      <c r="CV470" s="27"/>
      <c r="CW470" s="27"/>
      <c r="CX470" s="27"/>
      <c r="CY470" s="27"/>
      <c r="CZ470" s="27"/>
      <c r="DA470" s="27"/>
      <c r="DB470" s="27"/>
      <c r="DC470" s="27"/>
      <c r="DD470" s="27"/>
      <c r="DE470" s="27"/>
      <c r="DF470" s="27"/>
      <c r="DG470" s="27"/>
      <c r="DH470" s="27"/>
      <c r="DI470" s="27"/>
      <c r="DJ470" s="27"/>
      <c r="DK470" s="27"/>
      <c r="DL470" s="27"/>
      <c r="DM470" s="27"/>
      <c r="DN470" s="27"/>
      <c r="DO470" s="27"/>
      <c r="DP470" s="27"/>
      <c r="DQ470" s="27"/>
      <c r="DR470" s="27"/>
      <c r="DS470" s="27"/>
      <c r="DT470" s="27"/>
    </row>
    <row r="471" spans="2:124" x14ac:dyDescent="0.2">
      <c r="B471" s="27"/>
      <c r="C471" s="27"/>
      <c r="D471" s="27"/>
      <c r="E471" s="27"/>
      <c r="F471" s="27"/>
      <c r="G471" s="27"/>
      <c r="H471" s="27"/>
      <c r="I471" s="27"/>
      <c r="J471" s="27"/>
      <c r="K471" s="27"/>
      <c r="L471" s="27"/>
      <c r="M471" s="27"/>
      <c r="N471" s="27"/>
      <c r="O471" s="27"/>
      <c r="P471" s="27"/>
      <c r="Q471" s="27"/>
      <c r="R471" s="27"/>
      <c r="S471" s="27"/>
      <c r="T471" s="27"/>
      <c r="U471" s="27"/>
      <c r="V471" s="27"/>
      <c r="W471" s="27"/>
      <c r="X471" s="27"/>
      <c r="Y471" s="27"/>
      <c r="Z471" s="27"/>
      <c r="AA471" s="27"/>
      <c r="AB471" s="27"/>
      <c r="AC471" s="27"/>
      <c r="AD471" s="27"/>
      <c r="AE471" s="27"/>
      <c r="AF471" s="27"/>
      <c r="AG471" s="27"/>
      <c r="AH471" s="27"/>
      <c r="AI471" s="27"/>
      <c r="AJ471" s="27"/>
      <c r="AK471" s="27"/>
      <c r="AL471" s="27"/>
      <c r="AM471" s="27"/>
      <c r="AN471" s="27"/>
      <c r="AO471" s="27"/>
      <c r="AP471" s="27"/>
      <c r="AQ471" s="27"/>
      <c r="AR471" s="27"/>
      <c r="AS471" s="27"/>
      <c r="AT471" s="27"/>
      <c r="AU471" s="27"/>
      <c r="AV471" s="27"/>
      <c r="AW471" s="27"/>
      <c r="AX471" s="27"/>
      <c r="AY471" s="27"/>
      <c r="AZ471" s="27"/>
      <c r="BA471" s="27"/>
      <c r="BB471" s="27"/>
      <c r="BC471" s="27"/>
      <c r="BD471" s="27"/>
      <c r="BE471" s="27"/>
      <c r="BF471" s="27"/>
      <c r="BG471" s="27"/>
      <c r="BH471" s="27"/>
      <c r="BI471" s="27"/>
      <c r="BJ471" s="27"/>
      <c r="BK471" s="27"/>
      <c r="BL471" s="27"/>
      <c r="BM471" s="27"/>
      <c r="BN471" s="27"/>
      <c r="BO471" s="27"/>
      <c r="BP471" s="27"/>
      <c r="BQ471" s="27"/>
      <c r="BR471" s="27"/>
      <c r="BS471" s="27"/>
      <c r="BT471" s="27"/>
      <c r="BU471" s="27"/>
      <c r="BV471" s="27"/>
      <c r="BW471" s="27"/>
      <c r="BX471" s="27"/>
      <c r="BY471" s="27"/>
      <c r="BZ471" s="27"/>
      <c r="CA471" s="27"/>
      <c r="CB471" s="27"/>
      <c r="CC471" s="27"/>
      <c r="CD471" s="27"/>
      <c r="CE471" s="27"/>
      <c r="CF471" s="27"/>
      <c r="CG471" s="27"/>
      <c r="CH471" s="27"/>
      <c r="CI471" s="27"/>
      <c r="CJ471" s="27"/>
      <c r="CK471" s="27"/>
      <c r="CL471" s="27"/>
      <c r="CM471" s="27"/>
      <c r="CN471" s="27"/>
      <c r="CO471" s="27"/>
      <c r="CP471" s="27"/>
      <c r="CQ471" s="27"/>
      <c r="CR471" s="27"/>
      <c r="CS471" s="27"/>
      <c r="CT471" s="27"/>
      <c r="CU471" s="27"/>
      <c r="CV471" s="27"/>
      <c r="CW471" s="27"/>
      <c r="CX471" s="27"/>
      <c r="CY471" s="27"/>
      <c r="CZ471" s="27"/>
      <c r="DA471" s="27"/>
      <c r="DB471" s="27"/>
      <c r="DC471" s="27"/>
      <c r="DD471" s="27"/>
      <c r="DE471" s="27"/>
      <c r="DF471" s="27"/>
      <c r="DG471" s="27"/>
      <c r="DH471" s="27"/>
      <c r="DI471" s="27"/>
      <c r="DJ471" s="27"/>
      <c r="DK471" s="27"/>
      <c r="DL471" s="27"/>
      <c r="DM471" s="27"/>
      <c r="DN471" s="27"/>
      <c r="DO471" s="27"/>
      <c r="DP471" s="27"/>
      <c r="DQ471" s="27"/>
      <c r="DR471" s="27"/>
      <c r="DS471" s="27"/>
      <c r="DT471" s="27"/>
    </row>
    <row r="472" spans="2:124" x14ac:dyDescent="0.2">
      <c r="B472" s="27"/>
      <c r="C472" s="27"/>
      <c r="D472" s="27"/>
      <c r="E472" s="27"/>
      <c r="F472" s="27"/>
      <c r="G472" s="27"/>
      <c r="H472" s="27"/>
      <c r="I472" s="27"/>
      <c r="J472" s="27"/>
      <c r="K472" s="27"/>
      <c r="L472" s="27"/>
      <c r="M472" s="27"/>
      <c r="N472" s="27"/>
      <c r="O472" s="27"/>
      <c r="P472" s="27"/>
      <c r="Q472" s="27"/>
      <c r="R472" s="27"/>
      <c r="S472" s="27"/>
      <c r="T472" s="27"/>
      <c r="U472" s="27"/>
      <c r="V472" s="27"/>
      <c r="W472" s="27"/>
      <c r="X472" s="27"/>
      <c r="Y472" s="27"/>
      <c r="Z472" s="27"/>
      <c r="AA472" s="27"/>
      <c r="AB472" s="27"/>
      <c r="AC472" s="27"/>
      <c r="AD472" s="27"/>
      <c r="AE472" s="27"/>
      <c r="AF472" s="27"/>
      <c r="AG472" s="27"/>
      <c r="AH472" s="27"/>
      <c r="AI472" s="27"/>
      <c r="AJ472" s="27"/>
      <c r="AK472" s="27"/>
      <c r="AL472" s="27"/>
      <c r="AM472" s="27"/>
      <c r="AN472" s="27"/>
      <c r="AO472" s="27"/>
      <c r="AP472" s="27"/>
      <c r="AQ472" s="27"/>
      <c r="AR472" s="27"/>
      <c r="AS472" s="27"/>
      <c r="AT472" s="27"/>
      <c r="AU472" s="27"/>
      <c r="AV472" s="27"/>
      <c r="AW472" s="27"/>
      <c r="AX472" s="27"/>
      <c r="AY472" s="27"/>
      <c r="AZ472" s="27"/>
      <c r="BA472" s="27"/>
      <c r="BB472" s="27"/>
      <c r="BC472" s="27"/>
      <c r="BD472" s="27"/>
      <c r="BE472" s="27"/>
      <c r="BF472" s="27"/>
      <c r="BG472" s="27"/>
      <c r="BH472" s="27"/>
      <c r="BI472" s="27"/>
      <c r="BJ472" s="27"/>
      <c r="BK472" s="27"/>
      <c r="BL472" s="27"/>
      <c r="BM472" s="27"/>
      <c r="BN472" s="27"/>
      <c r="BO472" s="27"/>
      <c r="BP472" s="27"/>
      <c r="BQ472" s="27"/>
      <c r="BR472" s="27"/>
      <c r="BS472" s="27"/>
      <c r="BT472" s="27"/>
      <c r="BU472" s="27"/>
      <c r="BV472" s="27"/>
      <c r="BW472" s="27"/>
      <c r="BX472" s="27"/>
      <c r="BY472" s="27"/>
      <c r="BZ472" s="27"/>
      <c r="CA472" s="27"/>
      <c r="CB472" s="27"/>
      <c r="CC472" s="27"/>
      <c r="CD472" s="27"/>
      <c r="CE472" s="27"/>
      <c r="CF472" s="27"/>
      <c r="CG472" s="27"/>
      <c r="CH472" s="27"/>
      <c r="CI472" s="27"/>
      <c r="CJ472" s="27"/>
      <c r="CK472" s="27"/>
      <c r="CL472" s="27"/>
      <c r="CM472" s="27"/>
      <c r="CN472" s="27"/>
      <c r="CO472" s="27"/>
      <c r="CP472" s="27"/>
      <c r="CQ472" s="27"/>
      <c r="CR472" s="27"/>
      <c r="CS472" s="27"/>
      <c r="CT472" s="27"/>
      <c r="CU472" s="27"/>
      <c r="CV472" s="27"/>
      <c r="CW472" s="27"/>
      <c r="CX472" s="27"/>
      <c r="CY472" s="27"/>
      <c r="CZ472" s="27"/>
      <c r="DA472" s="27"/>
      <c r="DB472" s="27"/>
      <c r="DC472" s="27"/>
      <c r="DD472" s="27"/>
      <c r="DE472" s="27"/>
      <c r="DF472" s="27"/>
      <c r="DG472" s="27"/>
      <c r="DH472" s="27"/>
      <c r="DI472" s="27"/>
      <c r="DJ472" s="27"/>
      <c r="DK472" s="27"/>
      <c r="DL472" s="27"/>
      <c r="DM472" s="27"/>
      <c r="DN472" s="27"/>
      <c r="DO472" s="27"/>
      <c r="DP472" s="27"/>
      <c r="DQ472" s="27"/>
      <c r="DR472" s="27"/>
      <c r="DS472" s="27"/>
      <c r="DT472" s="27"/>
    </row>
    <row r="473" spans="2:124" x14ac:dyDescent="0.2">
      <c r="B473" s="27"/>
      <c r="C473" s="27"/>
      <c r="D473" s="27"/>
      <c r="E473" s="27"/>
      <c r="F473" s="27"/>
      <c r="G473" s="27"/>
      <c r="H473" s="27"/>
      <c r="I473" s="27"/>
      <c r="J473" s="27"/>
      <c r="K473" s="27"/>
      <c r="L473" s="27"/>
      <c r="M473" s="27"/>
      <c r="N473" s="27"/>
      <c r="O473" s="27"/>
      <c r="P473" s="27"/>
      <c r="Q473" s="27"/>
      <c r="R473" s="27"/>
      <c r="S473" s="27"/>
      <c r="T473" s="27"/>
      <c r="U473" s="27"/>
      <c r="V473" s="27"/>
      <c r="W473" s="27"/>
      <c r="X473" s="27"/>
      <c r="Y473" s="27"/>
      <c r="Z473" s="27"/>
      <c r="AA473" s="27"/>
      <c r="AB473" s="27"/>
      <c r="AC473" s="27"/>
      <c r="AD473" s="27"/>
      <c r="AE473" s="27"/>
      <c r="AF473" s="27"/>
      <c r="AG473" s="27"/>
      <c r="AH473" s="27"/>
      <c r="AI473" s="27"/>
      <c r="AJ473" s="27"/>
      <c r="AK473" s="27"/>
      <c r="AL473" s="27"/>
      <c r="AM473" s="27"/>
      <c r="AN473" s="27"/>
      <c r="AO473" s="27"/>
      <c r="AP473" s="27"/>
      <c r="AQ473" s="27"/>
      <c r="AR473" s="27"/>
      <c r="AS473" s="27"/>
      <c r="AT473" s="27"/>
      <c r="AU473" s="27"/>
      <c r="AV473" s="27"/>
      <c r="AW473" s="27"/>
      <c r="AX473" s="27"/>
      <c r="AY473" s="27"/>
      <c r="AZ473" s="27"/>
      <c r="BA473" s="27"/>
      <c r="BB473" s="27"/>
      <c r="BC473" s="27"/>
      <c r="BD473" s="27"/>
      <c r="BE473" s="27"/>
      <c r="BF473" s="27"/>
      <c r="BG473" s="27"/>
      <c r="BH473" s="27"/>
      <c r="BI473" s="27"/>
      <c r="BJ473" s="27"/>
      <c r="BK473" s="27"/>
      <c r="BL473" s="27"/>
      <c r="BM473" s="27"/>
      <c r="BN473" s="27"/>
      <c r="BO473" s="27"/>
      <c r="BP473" s="27"/>
      <c r="BQ473" s="27"/>
      <c r="BR473" s="27"/>
      <c r="BS473" s="27"/>
      <c r="BT473" s="27"/>
      <c r="BU473" s="27"/>
      <c r="BV473" s="27"/>
      <c r="BW473" s="27"/>
      <c r="BX473" s="27"/>
      <c r="BY473" s="27"/>
      <c r="BZ473" s="27"/>
      <c r="CA473" s="27"/>
      <c r="CB473" s="27"/>
      <c r="CC473" s="27"/>
      <c r="CD473" s="27"/>
      <c r="CE473" s="27"/>
      <c r="CF473" s="27"/>
      <c r="CG473" s="27"/>
      <c r="CH473" s="27"/>
      <c r="CI473" s="27"/>
      <c r="CJ473" s="27"/>
      <c r="CK473" s="27"/>
      <c r="CL473" s="27"/>
      <c r="CM473" s="27"/>
      <c r="CN473" s="27"/>
      <c r="CO473" s="27"/>
      <c r="CP473" s="27"/>
      <c r="CQ473" s="27"/>
      <c r="CR473" s="27"/>
      <c r="CS473" s="27"/>
      <c r="CT473" s="27"/>
      <c r="CU473" s="27"/>
      <c r="CV473" s="27"/>
      <c r="CW473" s="27"/>
      <c r="CX473" s="27"/>
      <c r="CY473" s="27"/>
      <c r="CZ473" s="27"/>
      <c r="DA473" s="27"/>
      <c r="DB473" s="27"/>
      <c r="DC473" s="27"/>
      <c r="DD473" s="27"/>
      <c r="DE473" s="27"/>
      <c r="DF473" s="27"/>
      <c r="DG473" s="27"/>
      <c r="DH473" s="27"/>
      <c r="DI473" s="27"/>
      <c r="DJ473" s="27"/>
      <c r="DK473" s="27"/>
      <c r="DL473" s="27"/>
      <c r="DM473" s="27"/>
      <c r="DN473" s="27"/>
      <c r="DO473" s="27"/>
      <c r="DP473" s="27"/>
      <c r="DQ473" s="27"/>
      <c r="DR473" s="27"/>
      <c r="DS473" s="27"/>
      <c r="DT473" s="27"/>
    </row>
    <row r="474" spans="2:124" x14ac:dyDescent="0.2">
      <c r="B474" s="27"/>
      <c r="C474" s="27"/>
      <c r="D474" s="27"/>
      <c r="E474" s="27"/>
      <c r="F474" s="27"/>
      <c r="G474" s="27"/>
      <c r="H474" s="27"/>
      <c r="I474" s="27"/>
      <c r="J474" s="27"/>
      <c r="K474" s="27"/>
      <c r="L474" s="27"/>
      <c r="M474" s="27"/>
      <c r="N474" s="27"/>
      <c r="O474" s="27"/>
      <c r="P474" s="27"/>
      <c r="Q474" s="27"/>
      <c r="R474" s="27"/>
      <c r="S474" s="27"/>
      <c r="T474" s="27"/>
      <c r="U474" s="27"/>
      <c r="V474" s="27"/>
      <c r="W474" s="27"/>
      <c r="X474" s="27"/>
      <c r="Y474" s="27"/>
      <c r="Z474" s="27"/>
      <c r="AA474" s="27"/>
      <c r="AB474" s="27"/>
      <c r="AC474" s="27"/>
      <c r="AD474" s="27"/>
      <c r="AE474" s="27"/>
      <c r="AF474" s="27"/>
      <c r="AG474" s="27"/>
      <c r="AH474" s="27"/>
      <c r="AI474" s="27"/>
      <c r="AJ474" s="27"/>
      <c r="AK474" s="27"/>
      <c r="AL474" s="27"/>
      <c r="AM474" s="27"/>
      <c r="AN474" s="27"/>
      <c r="AO474" s="27"/>
      <c r="AP474" s="27"/>
      <c r="AQ474" s="27"/>
      <c r="AR474" s="27"/>
      <c r="AS474" s="27"/>
      <c r="AT474" s="27"/>
      <c r="AU474" s="27"/>
      <c r="AV474" s="27"/>
      <c r="AW474" s="27"/>
      <c r="AX474" s="27"/>
      <c r="AY474" s="27"/>
      <c r="AZ474" s="27"/>
      <c r="BA474" s="27"/>
      <c r="BB474" s="27"/>
      <c r="BC474" s="27"/>
      <c r="BD474" s="27"/>
      <c r="BE474" s="27"/>
      <c r="BF474" s="27"/>
      <c r="BG474" s="27"/>
      <c r="BH474" s="27"/>
      <c r="BI474" s="27"/>
      <c r="BJ474" s="27"/>
      <c r="BK474" s="27"/>
      <c r="BL474" s="27"/>
      <c r="BM474" s="27"/>
      <c r="BN474" s="27"/>
      <c r="BO474" s="27"/>
      <c r="BP474" s="27"/>
      <c r="BQ474" s="27"/>
      <c r="BR474" s="27"/>
      <c r="BS474" s="27"/>
      <c r="BT474" s="27"/>
      <c r="BU474" s="27"/>
      <c r="BV474" s="27"/>
      <c r="BW474" s="27"/>
      <c r="BX474" s="27"/>
      <c r="BY474" s="27"/>
      <c r="BZ474" s="27"/>
      <c r="CA474" s="27"/>
      <c r="CB474" s="27"/>
      <c r="CC474" s="27"/>
      <c r="CD474" s="27"/>
      <c r="CE474" s="27"/>
      <c r="CF474" s="27"/>
      <c r="CG474" s="27"/>
      <c r="CH474" s="27"/>
      <c r="CI474" s="27"/>
      <c r="CJ474" s="27"/>
      <c r="CK474" s="27"/>
      <c r="CL474" s="27"/>
      <c r="CM474" s="27"/>
      <c r="CN474" s="27"/>
      <c r="CO474" s="27"/>
      <c r="CP474" s="27"/>
      <c r="CQ474" s="27"/>
      <c r="CR474" s="27"/>
      <c r="CS474" s="27"/>
      <c r="CT474" s="27"/>
      <c r="CU474" s="27"/>
      <c r="CV474" s="27"/>
      <c r="CW474" s="27"/>
      <c r="CX474" s="27"/>
      <c r="CY474" s="27"/>
      <c r="CZ474" s="27"/>
      <c r="DA474" s="27"/>
      <c r="DB474" s="27"/>
      <c r="DC474" s="27"/>
      <c r="DD474" s="27"/>
      <c r="DE474" s="27"/>
      <c r="DF474" s="27"/>
      <c r="DG474" s="27"/>
      <c r="DH474" s="27"/>
      <c r="DI474" s="27"/>
      <c r="DJ474" s="27"/>
      <c r="DK474" s="27"/>
      <c r="DL474" s="27"/>
      <c r="DM474" s="27"/>
      <c r="DN474" s="27"/>
      <c r="DO474" s="27"/>
      <c r="DP474" s="27"/>
      <c r="DQ474" s="27"/>
      <c r="DR474" s="27"/>
      <c r="DS474" s="27"/>
      <c r="DT474" s="27"/>
    </row>
    <row r="475" spans="2:124" x14ac:dyDescent="0.2">
      <c r="B475" s="27"/>
      <c r="C475" s="27"/>
      <c r="D475" s="27"/>
      <c r="E475" s="27"/>
      <c r="F475" s="27"/>
      <c r="G475" s="27"/>
      <c r="H475" s="27"/>
      <c r="I475" s="27"/>
      <c r="J475" s="27"/>
      <c r="K475" s="27"/>
      <c r="L475" s="27"/>
      <c r="M475" s="27"/>
      <c r="N475" s="27"/>
      <c r="O475" s="27"/>
      <c r="P475" s="27"/>
      <c r="Q475" s="27"/>
      <c r="R475" s="27"/>
      <c r="S475" s="27"/>
      <c r="T475" s="27"/>
      <c r="U475" s="27"/>
      <c r="V475" s="27"/>
      <c r="W475" s="27"/>
      <c r="X475" s="27"/>
      <c r="Y475" s="27"/>
      <c r="Z475" s="27"/>
      <c r="AA475" s="27"/>
      <c r="AB475" s="27"/>
      <c r="AC475" s="27"/>
      <c r="AD475" s="27"/>
      <c r="AE475" s="27"/>
      <c r="AF475" s="27"/>
      <c r="AG475" s="27"/>
      <c r="AH475" s="27"/>
      <c r="AI475" s="27"/>
      <c r="AJ475" s="27"/>
      <c r="AK475" s="27"/>
      <c r="AL475" s="27"/>
      <c r="AM475" s="27"/>
      <c r="AN475" s="27"/>
      <c r="AO475" s="27"/>
      <c r="AP475" s="27"/>
      <c r="AQ475" s="27"/>
      <c r="AR475" s="27"/>
      <c r="AS475" s="27"/>
      <c r="AT475" s="27"/>
      <c r="AU475" s="27"/>
      <c r="AV475" s="27"/>
      <c r="AW475" s="27"/>
      <c r="AX475" s="27"/>
      <c r="AY475" s="27"/>
      <c r="AZ475" s="27"/>
      <c r="BA475" s="27"/>
      <c r="BB475" s="27"/>
      <c r="BC475" s="27"/>
      <c r="BD475" s="27"/>
      <c r="BE475" s="27"/>
      <c r="BF475" s="27"/>
      <c r="BG475" s="27"/>
      <c r="BH475" s="27"/>
      <c r="BI475" s="27"/>
      <c r="BJ475" s="27"/>
      <c r="BK475" s="27"/>
      <c r="BL475" s="27"/>
      <c r="BM475" s="27"/>
      <c r="BN475" s="27"/>
      <c r="BO475" s="27"/>
      <c r="BP475" s="27"/>
      <c r="BQ475" s="27"/>
      <c r="BR475" s="27"/>
      <c r="BS475" s="27"/>
      <c r="BT475" s="27"/>
      <c r="BU475" s="27"/>
      <c r="BV475" s="27"/>
      <c r="BW475" s="27"/>
      <c r="BX475" s="27"/>
      <c r="BY475" s="27"/>
      <c r="BZ475" s="27"/>
      <c r="CA475" s="27"/>
      <c r="CB475" s="27"/>
      <c r="CC475" s="27"/>
      <c r="CD475" s="27"/>
      <c r="CE475" s="27"/>
      <c r="CF475" s="27"/>
      <c r="CG475" s="27"/>
      <c r="CH475" s="27"/>
      <c r="CI475" s="27"/>
      <c r="CJ475" s="27"/>
      <c r="CK475" s="27"/>
      <c r="CL475" s="27"/>
      <c r="CM475" s="27"/>
      <c r="CN475" s="27"/>
      <c r="CO475" s="27"/>
      <c r="CP475" s="27"/>
      <c r="CQ475" s="27"/>
      <c r="CR475" s="27"/>
      <c r="CS475" s="27"/>
      <c r="CT475" s="27"/>
      <c r="CU475" s="27"/>
      <c r="CV475" s="27"/>
      <c r="CW475" s="27"/>
      <c r="CX475" s="27"/>
      <c r="CY475" s="27"/>
      <c r="CZ475" s="27"/>
      <c r="DA475" s="27"/>
      <c r="DB475" s="27"/>
      <c r="DC475" s="27"/>
      <c r="DD475" s="27"/>
      <c r="DE475" s="27"/>
      <c r="DF475" s="27"/>
      <c r="DG475" s="27"/>
      <c r="DH475" s="27"/>
      <c r="DI475" s="27"/>
      <c r="DJ475" s="27"/>
      <c r="DK475" s="27"/>
      <c r="DL475" s="27"/>
      <c r="DM475" s="27"/>
      <c r="DN475" s="27"/>
      <c r="DO475" s="27"/>
      <c r="DP475" s="27"/>
      <c r="DQ475" s="27"/>
      <c r="DR475" s="27"/>
      <c r="DS475" s="27"/>
      <c r="DT475" s="27"/>
    </row>
    <row r="476" spans="2:124" x14ac:dyDescent="0.2">
      <c r="B476" s="27"/>
      <c r="C476" s="27"/>
      <c r="D476" s="27"/>
      <c r="E476" s="27"/>
      <c r="F476" s="27"/>
      <c r="G476" s="27"/>
      <c r="H476" s="27"/>
      <c r="I476" s="27"/>
      <c r="J476" s="27"/>
      <c r="K476" s="27"/>
      <c r="L476" s="27"/>
      <c r="M476" s="27"/>
      <c r="N476" s="27"/>
      <c r="O476" s="27"/>
      <c r="P476" s="27"/>
      <c r="Q476" s="27"/>
      <c r="R476" s="27"/>
      <c r="S476" s="27"/>
      <c r="T476" s="27"/>
      <c r="U476" s="27"/>
      <c r="V476" s="27"/>
      <c r="W476" s="27"/>
      <c r="X476" s="27"/>
      <c r="Y476" s="27"/>
      <c r="Z476" s="27"/>
      <c r="AA476" s="27"/>
      <c r="AB476" s="27"/>
      <c r="AC476" s="27"/>
      <c r="AD476" s="27"/>
      <c r="AE476" s="27"/>
      <c r="AF476" s="27"/>
      <c r="AG476" s="27"/>
      <c r="AH476" s="27"/>
      <c r="AI476" s="27"/>
      <c r="AJ476" s="27"/>
      <c r="AK476" s="27"/>
      <c r="AL476" s="27"/>
      <c r="AM476" s="27"/>
      <c r="AN476" s="27"/>
      <c r="AO476" s="27"/>
      <c r="AP476" s="27"/>
      <c r="AQ476" s="27"/>
      <c r="AR476" s="27"/>
      <c r="AS476" s="27"/>
      <c r="AT476" s="27"/>
      <c r="AU476" s="27"/>
      <c r="AV476" s="27"/>
      <c r="AW476" s="27"/>
      <c r="AX476" s="27"/>
      <c r="AY476" s="27"/>
      <c r="AZ476" s="27"/>
      <c r="BA476" s="27"/>
      <c r="BB476" s="27"/>
      <c r="BC476" s="27"/>
      <c r="BD476" s="27"/>
      <c r="BE476" s="27"/>
      <c r="BF476" s="27"/>
      <c r="BG476" s="27"/>
      <c r="BH476" s="27"/>
      <c r="BI476" s="27"/>
      <c r="BJ476" s="27"/>
      <c r="BK476" s="27"/>
      <c r="BL476" s="27"/>
      <c r="BM476" s="27"/>
      <c r="BN476" s="27"/>
      <c r="BO476" s="27"/>
      <c r="BP476" s="27"/>
      <c r="BQ476" s="27"/>
      <c r="BR476" s="27"/>
      <c r="BS476" s="27"/>
      <c r="BT476" s="27"/>
      <c r="BU476" s="27"/>
      <c r="BV476" s="27"/>
      <c r="BW476" s="27"/>
      <c r="BX476" s="27"/>
      <c r="BY476" s="27"/>
      <c r="BZ476" s="27"/>
      <c r="CA476" s="27"/>
      <c r="CB476" s="27"/>
      <c r="CC476" s="27"/>
      <c r="CD476" s="27"/>
      <c r="CE476" s="27"/>
      <c r="CF476" s="27"/>
      <c r="CG476" s="27"/>
      <c r="CH476" s="27"/>
      <c r="CI476" s="27"/>
      <c r="CJ476" s="27"/>
      <c r="CK476" s="27"/>
      <c r="CL476" s="27"/>
      <c r="CM476" s="27"/>
      <c r="CN476" s="27"/>
      <c r="CO476" s="27"/>
      <c r="CP476" s="27"/>
      <c r="CQ476" s="27"/>
      <c r="CR476" s="27"/>
      <c r="CS476" s="27"/>
      <c r="CT476" s="27"/>
      <c r="CU476" s="27"/>
      <c r="CV476" s="27"/>
      <c r="CW476" s="27"/>
      <c r="CX476" s="27"/>
      <c r="CY476" s="27"/>
      <c r="CZ476" s="27"/>
      <c r="DA476" s="27"/>
      <c r="DB476" s="27"/>
      <c r="DC476" s="27"/>
      <c r="DD476" s="27"/>
      <c r="DE476" s="27"/>
      <c r="DF476" s="27"/>
      <c r="DG476" s="27"/>
      <c r="DH476" s="27"/>
      <c r="DI476" s="27"/>
      <c r="DJ476" s="27"/>
      <c r="DK476" s="27"/>
      <c r="DL476" s="27"/>
      <c r="DM476" s="27"/>
      <c r="DN476" s="27"/>
      <c r="DO476" s="27"/>
      <c r="DP476" s="27"/>
      <c r="DQ476" s="27"/>
      <c r="DR476" s="27"/>
      <c r="DS476" s="27"/>
      <c r="DT476" s="27"/>
    </row>
    <row r="477" spans="2:124" x14ac:dyDescent="0.2">
      <c r="B477" s="27"/>
      <c r="C477" s="27"/>
      <c r="D477" s="27"/>
      <c r="E477" s="27"/>
      <c r="F477" s="27"/>
      <c r="G477" s="27"/>
      <c r="H477" s="27"/>
      <c r="I477" s="27"/>
      <c r="J477" s="27"/>
      <c r="K477" s="27"/>
      <c r="L477" s="27"/>
      <c r="M477" s="27"/>
      <c r="N477" s="27"/>
      <c r="O477" s="27"/>
      <c r="P477" s="27"/>
      <c r="Q477" s="27"/>
      <c r="R477" s="27"/>
      <c r="S477" s="27"/>
      <c r="T477" s="27"/>
      <c r="U477" s="27"/>
      <c r="V477" s="27"/>
      <c r="W477" s="27"/>
      <c r="X477" s="27"/>
      <c r="Y477" s="27"/>
      <c r="Z477" s="27"/>
      <c r="AA477" s="27"/>
      <c r="AB477" s="27"/>
      <c r="AC477" s="27"/>
      <c r="AD477" s="27"/>
      <c r="AE477" s="27"/>
      <c r="AF477" s="27"/>
      <c r="AG477" s="27"/>
      <c r="AH477" s="27"/>
      <c r="AI477" s="27"/>
      <c r="AJ477" s="27"/>
      <c r="AK477" s="27"/>
      <c r="AL477" s="27"/>
      <c r="AM477" s="27"/>
      <c r="AN477" s="27"/>
      <c r="AO477" s="27"/>
      <c r="AP477" s="27"/>
      <c r="AQ477" s="27"/>
      <c r="AR477" s="27"/>
      <c r="AS477" s="27"/>
      <c r="AT477" s="27"/>
      <c r="AU477" s="27"/>
      <c r="AV477" s="27"/>
      <c r="AW477" s="27"/>
      <c r="AX477" s="27"/>
      <c r="AY477" s="27"/>
      <c r="AZ477" s="27"/>
      <c r="BA477" s="27"/>
      <c r="BB477" s="27"/>
      <c r="BC477" s="27"/>
      <c r="BD477" s="27"/>
      <c r="BE477" s="27"/>
      <c r="BF477" s="27"/>
      <c r="BG477" s="27"/>
      <c r="BH477" s="27"/>
      <c r="BI477" s="27"/>
      <c r="BJ477" s="27"/>
      <c r="BK477" s="27"/>
      <c r="BL477" s="27"/>
      <c r="BM477" s="27"/>
      <c r="BN477" s="27"/>
      <c r="BO477" s="27"/>
      <c r="BP477" s="27"/>
      <c r="BQ477" s="27"/>
      <c r="BR477" s="27"/>
      <c r="BS477" s="27"/>
      <c r="BT477" s="27"/>
      <c r="BU477" s="27"/>
      <c r="BV477" s="27"/>
      <c r="BW477" s="27"/>
      <c r="BX477" s="27"/>
      <c r="BY477" s="27"/>
      <c r="BZ477" s="27"/>
      <c r="CA477" s="27"/>
      <c r="CB477" s="27"/>
      <c r="CC477" s="27"/>
      <c r="CD477" s="27"/>
      <c r="CE477" s="27"/>
      <c r="CF477" s="27"/>
      <c r="CG477" s="27"/>
      <c r="CH477" s="27"/>
      <c r="CI477" s="27"/>
      <c r="CJ477" s="27"/>
      <c r="CK477" s="27"/>
      <c r="CL477" s="27"/>
      <c r="CM477" s="27"/>
      <c r="CN477" s="27"/>
      <c r="CO477" s="27"/>
      <c r="CP477" s="27"/>
      <c r="CQ477" s="27"/>
      <c r="CR477" s="27"/>
      <c r="CS477" s="27"/>
      <c r="CT477" s="27"/>
      <c r="CU477" s="27"/>
      <c r="CV477" s="27"/>
      <c r="CW477" s="27"/>
      <c r="CX477" s="27"/>
      <c r="CY477" s="27"/>
      <c r="CZ477" s="27"/>
      <c r="DA477" s="27"/>
      <c r="DB477" s="27"/>
      <c r="DC477" s="27"/>
      <c r="DD477" s="27"/>
      <c r="DE477" s="27"/>
      <c r="DF477" s="27"/>
      <c r="DG477" s="27"/>
      <c r="DH477" s="27"/>
      <c r="DI477" s="27"/>
      <c r="DJ477" s="27"/>
      <c r="DK477" s="27"/>
      <c r="DL477" s="27"/>
      <c r="DM477" s="27"/>
      <c r="DN477" s="27"/>
      <c r="DO477" s="27"/>
      <c r="DP477" s="27"/>
      <c r="DQ477" s="27"/>
      <c r="DR477" s="27"/>
      <c r="DS477" s="27"/>
      <c r="DT477" s="27"/>
    </row>
    <row r="478" spans="2:124" x14ac:dyDescent="0.2">
      <c r="B478" s="27"/>
      <c r="C478" s="27"/>
      <c r="D478" s="27"/>
      <c r="E478" s="27"/>
      <c r="F478" s="27"/>
      <c r="G478" s="27"/>
      <c r="H478" s="27"/>
      <c r="I478" s="27"/>
      <c r="J478" s="27"/>
      <c r="K478" s="27"/>
      <c r="L478" s="27"/>
      <c r="M478" s="27"/>
      <c r="N478" s="27"/>
      <c r="O478" s="27"/>
      <c r="P478" s="27"/>
      <c r="Q478" s="27"/>
      <c r="R478" s="27"/>
      <c r="S478" s="27"/>
      <c r="T478" s="27"/>
      <c r="U478" s="27"/>
      <c r="V478" s="27"/>
      <c r="W478" s="27"/>
      <c r="X478" s="27"/>
      <c r="Y478" s="27"/>
      <c r="Z478" s="27"/>
      <c r="AA478" s="27"/>
      <c r="AB478" s="27"/>
      <c r="AC478" s="27"/>
      <c r="AD478" s="27"/>
      <c r="AE478" s="27"/>
      <c r="AF478" s="27"/>
      <c r="AG478" s="27"/>
      <c r="AH478" s="27"/>
      <c r="AI478" s="27"/>
      <c r="AJ478" s="27"/>
      <c r="AK478" s="27"/>
      <c r="AL478" s="27"/>
      <c r="AM478" s="27"/>
      <c r="AN478" s="27"/>
      <c r="AO478" s="27"/>
      <c r="AP478" s="27"/>
      <c r="AQ478" s="27"/>
      <c r="AR478" s="27"/>
      <c r="AS478" s="27"/>
      <c r="AT478" s="27"/>
      <c r="AU478" s="27"/>
      <c r="AV478" s="27"/>
      <c r="AW478" s="27"/>
      <c r="AX478" s="27"/>
      <c r="AY478" s="27"/>
      <c r="AZ478" s="27"/>
      <c r="BA478" s="27"/>
      <c r="BB478" s="27"/>
      <c r="BC478" s="27"/>
      <c r="BD478" s="27"/>
      <c r="BE478" s="27"/>
      <c r="BF478" s="27"/>
      <c r="BG478" s="27"/>
      <c r="BH478" s="27"/>
      <c r="BI478" s="27"/>
      <c r="BJ478" s="27"/>
      <c r="BK478" s="27"/>
      <c r="BL478" s="27"/>
      <c r="BM478" s="27"/>
      <c r="BN478" s="27"/>
      <c r="BO478" s="27"/>
      <c r="BP478" s="27"/>
      <c r="BQ478" s="27"/>
      <c r="BR478" s="27"/>
      <c r="BS478" s="27"/>
      <c r="BT478" s="27"/>
      <c r="BU478" s="27"/>
      <c r="BV478" s="27"/>
      <c r="BW478" s="27"/>
      <c r="BX478" s="27"/>
      <c r="BY478" s="27"/>
      <c r="BZ478" s="27"/>
      <c r="CA478" s="27"/>
      <c r="CB478" s="27"/>
      <c r="CC478" s="27"/>
      <c r="CD478" s="27"/>
      <c r="CE478" s="27"/>
      <c r="CF478" s="27"/>
      <c r="CG478" s="27"/>
      <c r="CH478" s="27"/>
      <c r="CI478" s="27"/>
      <c r="CJ478" s="27"/>
      <c r="CK478" s="27"/>
      <c r="CL478" s="27"/>
      <c r="CM478" s="27"/>
      <c r="CN478" s="27"/>
      <c r="CO478" s="27"/>
      <c r="CP478" s="27"/>
      <c r="CQ478" s="27"/>
      <c r="CR478" s="27"/>
      <c r="CS478" s="27"/>
      <c r="CT478" s="27"/>
      <c r="CU478" s="27"/>
      <c r="CV478" s="27"/>
      <c r="CW478" s="27"/>
      <c r="CX478" s="27"/>
      <c r="CY478" s="27"/>
      <c r="CZ478" s="27"/>
      <c r="DA478" s="27"/>
      <c r="DB478" s="27"/>
      <c r="DC478" s="27"/>
      <c r="DD478" s="27"/>
      <c r="DE478" s="27"/>
      <c r="DF478" s="27"/>
      <c r="DG478" s="27"/>
      <c r="DH478" s="27"/>
      <c r="DI478" s="27"/>
      <c r="DJ478" s="27"/>
      <c r="DK478" s="27"/>
      <c r="DL478" s="27"/>
      <c r="DM478" s="27"/>
      <c r="DN478" s="27"/>
      <c r="DO478" s="27"/>
      <c r="DP478" s="27"/>
      <c r="DQ478" s="27"/>
      <c r="DR478" s="27"/>
      <c r="DS478" s="27"/>
      <c r="DT478" s="27"/>
    </row>
    <row r="479" spans="2:124" x14ac:dyDescent="0.2">
      <c r="B479" s="27"/>
      <c r="C479" s="27"/>
      <c r="D479" s="27"/>
      <c r="E479" s="27"/>
      <c r="F479" s="27"/>
      <c r="G479" s="27"/>
      <c r="H479" s="27"/>
      <c r="I479" s="27"/>
      <c r="J479" s="27"/>
      <c r="K479" s="27"/>
      <c r="L479" s="27"/>
      <c r="M479" s="27"/>
      <c r="N479" s="27"/>
      <c r="O479" s="27"/>
      <c r="P479" s="27"/>
      <c r="Q479" s="27"/>
      <c r="R479" s="27"/>
      <c r="S479" s="27"/>
      <c r="T479" s="27"/>
      <c r="U479" s="27"/>
      <c r="V479" s="27"/>
      <c r="W479" s="27"/>
      <c r="X479" s="27"/>
      <c r="Y479" s="27"/>
      <c r="Z479" s="27"/>
      <c r="AA479" s="27"/>
      <c r="AB479" s="27"/>
      <c r="AC479" s="27"/>
      <c r="AD479" s="27"/>
      <c r="AE479" s="27"/>
      <c r="AF479" s="27"/>
      <c r="AG479" s="27"/>
      <c r="AH479" s="27"/>
      <c r="AI479" s="27"/>
      <c r="AJ479" s="27"/>
      <c r="AK479" s="27"/>
      <c r="AL479" s="27"/>
      <c r="AM479" s="27"/>
      <c r="AN479" s="27"/>
      <c r="AO479" s="27"/>
      <c r="AP479" s="27"/>
      <c r="AQ479" s="27"/>
      <c r="AR479" s="27"/>
      <c r="AS479" s="27"/>
      <c r="AT479" s="27"/>
      <c r="AU479" s="27"/>
      <c r="AV479" s="27"/>
      <c r="AW479" s="27"/>
      <c r="AX479" s="27"/>
      <c r="AY479" s="27"/>
      <c r="AZ479" s="27"/>
      <c r="BA479" s="27"/>
      <c r="BB479" s="27"/>
      <c r="BC479" s="27"/>
      <c r="BD479" s="27"/>
      <c r="BE479" s="27"/>
      <c r="BF479" s="27"/>
      <c r="BG479" s="27"/>
      <c r="BH479" s="27"/>
      <c r="BI479" s="27"/>
      <c r="BJ479" s="27"/>
      <c r="BK479" s="27"/>
      <c r="BL479" s="27"/>
      <c r="BM479" s="27"/>
      <c r="BN479" s="27"/>
      <c r="BO479" s="27"/>
      <c r="BP479" s="27"/>
      <c r="BQ479" s="27"/>
      <c r="BR479" s="27"/>
      <c r="BS479" s="27"/>
      <c r="BT479" s="27"/>
      <c r="BU479" s="27"/>
      <c r="BV479" s="27"/>
      <c r="BW479" s="27"/>
      <c r="BX479" s="27"/>
      <c r="BY479" s="27"/>
      <c r="BZ479" s="27"/>
      <c r="CA479" s="27"/>
      <c r="CB479" s="27"/>
      <c r="CC479" s="27"/>
      <c r="CD479" s="27"/>
      <c r="CE479" s="27"/>
      <c r="CF479" s="27"/>
      <c r="CG479" s="27"/>
      <c r="CH479" s="27"/>
      <c r="CI479" s="27"/>
      <c r="CJ479" s="27"/>
      <c r="CK479" s="27"/>
      <c r="CL479" s="27"/>
      <c r="CM479" s="27"/>
      <c r="CN479" s="27"/>
      <c r="CO479" s="27"/>
      <c r="CP479" s="27"/>
      <c r="CQ479" s="27"/>
      <c r="CR479" s="27"/>
      <c r="CS479" s="27"/>
      <c r="CT479" s="27"/>
      <c r="CU479" s="27"/>
      <c r="CV479" s="27"/>
      <c r="CW479" s="27"/>
      <c r="CX479" s="27"/>
      <c r="CY479" s="27"/>
      <c r="CZ479" s="27"/>
      <c r="DA479" s="27"/>
      <c r="DB479" s="27"/>
      <c r="DC479" s="27"/>
      <c r="DD479" s="27"/>
      <c r="DE479" s="27"/>
      <c r="DF479" s="27"/>
      <c r="DG479" s="27"/>
      <c r="DH479" s="27"/>
      <c r="DI479" s="27"/>
      <c r="DJ479" s="27"/>
      <c r="DK479" s="27"/>
      <c r="DL479" s="27"/>
      <c r="DM479" s="27"/>
      <c r="DN479" s="27"/>
      <c r="DO479" s="27"/>
      <c r="DP479" s="27"/>
      <c r="DQ479" s="27"/>
      <c r="DR479" s="27"/>
      <c r="DS479" s="27"/>
      <c r="DT479" s="27"/>
    </row>
    <row r="480" spans="2:124" x14ac:dyDescent="0.2">
      <c r="B480" s="27"/>
      <c r="C480" s="27"/>
      <c r="D480" s="27"/>
      <c r="E480" s="27"/>
      <c r="F480" s="27"/>
      <c r="G480" s="27"/>
      <c r="H480" s="27"/>
      <c r="I480" s="27"/>
      <c r="J480" s="27"/>
      <c r="K480" s="27"/>
      <c r="L480" s="27"/>
      <c r="M480" s="27"/>
      <c r="N480" s="27"/>
      <c r="O480" s="27"/>
      <c r="P480" s="27"/>
      <c r="Q480" s="27"/>
      <c r="R480" s="27"/>
      <c r="S480" s="27"/>
      <c r="T480" s="27"/>
      <c r="U480" s="27"/>
      <c r="V480" s="27"/>
      <c r="W480" s="27"/>
      <c r="X480" s="27"/>
      <c r="Y480" s="27"/>
      <c r="Z480" s="27"/>
      <c r="AA480" s="27"/>
      <c r="AB480" s="27"/>
      <c r="AC480" s="27"/>
      <c r="AD480" s="27"/>
      <c r="AE480" s="27"/>
      <c r="AF480" s="27"/>
      <c r="AG480" s="27"/>
      <c r="AH480" s="27"/>
      <c r="AI480" s="27"/>
      <c r="AJ480" s="27"/>
      <c r="AK480" s="27"/>
      <c r="AL480" s="27"/>
      <c r="AM480" s="27"/>
      <c r="AN480" s="27"/>
      <c r="AO480" s="27"/>
      <c r="AP480" s="27"/>
      <c r="AQ480" s="27"/>
      <c r="AR480" s="27"/>
      <c r="AS480" s="27"/>
      <c r="AT480" s="27"/>
      <c r="AU480" s="27"/>
      <c r="AV480" s="27"/>
      <c r="AW480" s="27"/>
      <c r="AX480" s="27"/>
      <c r="AY480" s="27"/>
      <c r="AZ480" s="27"/>
      <c r="BA480" s="27"/>
      <c r="BB480" s="27"/>
      <c r="BC480" s="27"/>
      <c r="BD480" s="27"/>
      <c r="BE480" s="27"/>
      <c r="BF480" s="27"/>
      <c r="BG480" s="27"/>
      <c r="BH480" s="27"/>
      <c r="BI480" s="27"/>
      <c r="BJ480" s="27"/>
      <c r="BK480" s="27"/>
      <c r="BL480" s="27"/>
      <c r="BM480" s="27"/>
      <c r="BN480" s="27"/>
      <c r="BO480" s="27"/>
      <c r="BP480" s="27"/>
      <c r="BQ480" s="27"/>
      <c r="BR480" s="27"/>
      <c r="BS480" s="27"/>
      <c r="BT480" s="27"/>
      <c r="BU480" s="27"/>
      <c r="BV480" s="27"/>
      <c r="BW480" s="27"/>
      <c r="BX480" s="27"/>
      <c r="BY480" s="27"/>
      <c r="BZ480" s="27"/>
      <c r="CA480" s="27"/>
      <c r="CB480" s="27"/>
      <c r="CC480" s="27"/>
      <c r="CD480" s="27"/>
      <c r="CE480" s="27"/>
      <c r="CF480" s="27"/>
      <c r="CG480" s="27"/>
      <c r="CH480" s="27"/>
      <c r="CI480" s="27"/>
      <c r="CJ480" s="27"/>
      <c r="CK480" s="27"/>
      <c r="CL480" s="27"/>
      <c r="CM480" s="27"/>
      <c r="CN480" s="27"/>
      <c r="CO480" s="27"/>
      <c r="CP480" s="27"/>
      <c r="CQ480" s="27"/>
      <c r="CR480" s="27"/>
      <c r="CS480" s="27"/>
      <c r="CT480" s="27"/>
      <c r="CU480" s="27"/>
      <c r="CV480" s="27"/>
      <c r="CW480" s="27"/>
      <c r="CX480" s="27"/>
      <c r="CY480" s="27"/>
      <c r="CZ480" s="27"/>
      <c r="DA480" s="27"/>
      <c r="DB480" s="27"/>
      <c r="DC480" s="27"/>
      <c r="DD480" s="27"/>
      <c r="DE480" s="27"/>
      <c r="DF480" s="27"/>
      <c r="DG480" s="27"/>
      <c r="DH480" s="27"/>
      <c r="DI480" s="27"/>
      <c r="DJ480" s="27"/>
      <c r="DK480" s="27"/>
      <c r="DL480" s="27"/>
      <c r="DM480" s="27"/>
      <c r="DN480" s="27"/>
      <c r="DO480" s="27"/>
      <c r="DP480" s="27"/>
      <c r="DQ480" s="27"/>
      <c r="DR480" s="27"/>
      <c r="DS480" s="27"/>
      <c r="DT480" s="27"/>
    </row>
    <row r="481" spans="2:124" x14ac:dyDescent="0.2">
      <c r="B481" s="27"/>
      <c r="C481" s="27"/>
      <c r="D481" s="27"/>
      <c r="E481" s="27"/>
      <c r="F481" s="27"/>
      <c r="G481" s="27"/>
      <c r="H481" s="27"/>
      <c r="I481" s="27"/>
      <c r="J481" s="27"/>
      <c r="K481" s="27"/>
      <c r="L481" s="27"/>
      <c r="M481" s="27"/>
      <c r="N481" s="27"/>
      <c r="O481" s="27"/>
      <c r="P481" s="27"/>
      <c r="Q481" s="27"/>
      <c r="R481" s="27"/>
      <c r="S481" s="27"/>
      <c r="T481" s="27"/>
      <c r="U481" s="27"/>
      <c r="V481" s="27"/>
      <c r="W481" s="27"/>
      <c r="X481" s="27"/>
      <c r="Y481" s="27"/>
      <c r="Z481" s="27"/>
      <c r="AA481" s="27"/>
      <c r="AB481" s="27"/>
      <c r="AC481" s="27"/>
      <c r="AD481" s="27"/>
      <c r="AE481" s="27"/>
      <c r="AF481" s="27"/>
      <c r="AG481" s="27"/>
      <c r="AH481" s="27"/>
      <c r="AI481" s="27"/>
      <c r="AJ481" s="27"/>
      <c r="AK481" s="27"/>
      <c r="AL481" s="27"/>
      <c r="AM481" s="27"/>
      <c r="AN481" s="27"/>
      <c r="AO481" s="27"/>
      <c r="AP481" s="27"/>
      <c r="AQ481" s="27"/>
      <c r="AR481" s="27"/>
      <c r="AS481" s="27"/>
      <c r="AT481" s="27"/>
      <c r="AU481" s="27"/>
      <c r="AV481" s="27"/>
      <c r="AW481" s="27"/>
      <c r="AX481" s="27"/>
      <c r="AY481" s="27"/>
      <c r="AZ481" s="27"/>
      <c r="BA481" s="27"/>
      <c r="BB481" s="27"/>
      <c r="BC481" s="27"/>
      <c r="BD481" s="27"/>
      <c r="BE481" s="27"/>
      <c r="BF481" s="27"/>
      <c r="BG481" s="27"/>
      <c r="BH481" s="27"/>
      <c r="BI481" s="27"/>
      <c r="BJ481" s="27"/>
      <c r="BK481" s="27"/>
      <c r="BL481" s="27"/>
      <c r="BM481" s="27"/>
      <c r="BN481" s="27"/>
      <c r="BO481" s="27"/>
      <c r="BP481" s="27"/>
      <c r="BQ481" s="27"/>
      <c r="BR481" s="27"/>
      <c r="BS481" s="27"/>
      <c r="BT481" s="27"/>
      <c r="BU481" s="27"/>
      <c r="BV481" s="27"/>
      <c r="BW481" s="27"/>
      <c r="BX481" s="27"/>
      <c r="BY481" s="27"/>
      <c r="BZ481" s="27"/>
      <c r="CA481" s="27"/>
      <c r="CB481" s="27"/>
      <c r="CC481" s="27"/>
      <c r="CD481" s="27"/>
      <c r="CE481" s="27"/>
      <c r="CF481" s="27"/>
      <c r="CG481" s="27"/>
      <c r="CH481" s="27"/>
      <c r="CI481" s="27"/>
      <c r="CJ481" s="27"/>
      <c r="CK481" s="27"/>
      <c r="CL481" s="27"/>
      <c r="CM481" s="27"/>
      <c r="CN481" s="27"/>
      <c r="CO481" s="27"/>
      <c r="CP481" s="27"/>
      <c r="CQ481" s="27"/>
      <c r="CR481" s="27"/>
      <c r="CS481" s="27"/>
      <c r="CT481" s="27"/>
      <c r="CU481" s="27"/>
      <c r="CV481" s="27"/>
      <c r="CW481" s="27"/>
      <c r="CX481" s="27"/>
      <c r="CY481" s="27"/>
      <c r="CZ481" s="27"/>
      <c r="DA481" s="27"/>
      <c r="DB481" s="27"/>
      <c r="DC481" s="27"/>
      <c r="DD481" s="27"/>
      <c r="DE481" s="27"/>
      <c r="DF481" s="27"/>
      <c r="DG481" s="27"/>
      <c r="DH481" s="27"/>
      <c r="DI481" s="27"/>
      <c r="DJ481" s="27"/>
      <c r="DK481" s="27"/>
      <c r="DL481" s="27"/>
      <c r="DM481" s="27"/>
      <c r="DN481" s="27"/>
      <c r="DO481" s="27"/>
      <c r="DP481" s="27"/>
      <c r="DQ481" s="27"/>
      <c r="DR481" s="27"/>
      <c r="DS481" s="27"/>
      <c r="DT481" s="27"/>
    </row>
    <row r="482" spans="2:124" x14ac:dyDescent="0.2">
      <c r="B482" s="27"/>
      <c r="C482" s="27"/>
      <c r="D482" s="27"/>
      <c r="E482" s="27"/>
      <c r="F482" s="27"/>
      <c r="G482" s="27"/>
      <c r="H482" s="27"/>
      <c r="I482" s="27"/>
      <c r="J482" s="27"/>
      <c r="K482" s="27"/>
      <c r="L482" s="27"/>
      <c r="M482" s="27"/>
      <c r="N482" s="27"/>
      <c r="O482" s="27"/>
      <c r="P482" s="27"/>
      <c r="Q482" s="27"/>
      <c r="R482" s="27"/>
      <c r="S482" s="27"/>
      <c r="T482" s="27"/>
      <c r="U482" s="27"/>
      <c r="V482" s="27"/>
      <c r="W482" s="27"/>
      <c r="X482" s="27"/>
      <c r="Y482" s="27"/>
      <c r="Z482" s="27"/>
      <c r="AA482" s="27"/>
      <c r="AB482" s="27"/>
      <c r="AC482" s="27"/>
      <c r="AD482" s="27"/>
      <c r="AE482" s="27"/>
      <c r="AF482" s="27"/>
      <c r="AG482" s="27"/>
      <c r="AH482" s="27"/>
      <c r="AI482" s="27"/>
      <c r="AJ482" s="27"/>
      <c r="AK482" s="27"/>
      <c r="AL482" s="27"/>
      <c r="AM482" s="27"/>
      <c r="AN482" s="27"/>
      <c r="AO482" s="27"/>
      <c r="AP482" s="27"/>
      <c r="AQ482" s="27"/>
      <c r="AR482" s="27"/>
      <c r="AS482" s="27"/>
      <c r="AT482" s="27"/>
      <c r="AU482" s="27"/>
      <c r="AV482" s="27"/>
      <c r="AW482" s="27"/>
      <c r="AX482" s="27"/>
      <c r="AY482" s="27"/>
      <c r="AZ482" s="27"/>
      <c r="BA482" s="27"/>
      <c r="BB482" s="27"/>
      <c r="BC482" s="27"/>
      <c r="BD482" s="27"/>
      <c r="BE482" s="27"/>
      <c r="BF482" s="27"/>
      <c r="BG482" s="27"/>
      <c r="BH482" s="27"/>
      <c r="BI482" s="27"/>
      <c r="BJ482" s="27"/>
      <c r="BK482" s="27"/>
      <c r="BL482" s="27"/>
      <c r="BM482" s="27"/>
      <c r="BN482" s="27"/>
      <c r="BO482" s="27"/>
      <c r="BP482" s="27"/>
      <c r="BQ482" s="27"/>
      <c r="BR482" s="27"/>
      <c r="BS482" s="27"/>
      <c r="BT482" s="27"/>
      <c r="BU482" s="27"/>
      <c r="BV482" s="27"/>
      <c r="BW482" s="27"/>
      <c r="BX482" s="27"/>
      <c r="BY482" s="27"/>
      <c r="BZ482" s="27"/>
      <c r="CA482" s="27"/>
      <c r="CB482" s="27"/>
      <c r="CC482" s="27"/>
      <c r="CD482" s="27"/>
      <c r="CE482" s="27"/>
      <c r="CF482" s="27"/>
      <c r="CG482" s="27"/>
      <c r="CH482" s="27"/>
      <c r="CI482" s="27"/>
      <c r="CJ482" s="27"/>
      <c r="CK482" s="27"/>
      <c r="CL482" s="27"/>
      <c r="CM482" s="27"/>
      <c r="CN482" s="27"/>
      <c r="CO482" s="27"/>
      <c r="CP482" s="27"/>
      <c r="CQ482" s="27"/>
      <c r="CR482" s="27"/>
      <c r="CS482" s="27"/>
      <c r="CT482" s="27"/>
      <c r="CU482" s="27"/>
      <c r="CV482" s="27"/>
      <c r="CW482" s="27"/>
      <c r="CX482" s="27"/>
      <c r="CY482" s="27"/>
      <c r="CZ482" s="27"/>
      <c r="DA482" s="27"/>
      <c r="DB482" s="27"/>
      <c r="DC482" s="27"/>
      <c r="DD482" s="27"/>
      <c r="DE482" s="27"/>
      <c r="DF482" s="27"/>
      <c r="DG482" s="27"/>
      <c r="DH482" s="27"/>
      <c r="DI482" s="27"/>
      <c r="DJ482" s="27"/>
      <c r="DK482" s="27"/>
      <c r="DL482" s="27"/>
      <c r="DM482" s="27"/>
      <c r="DN482" s="27"/>
      <c r="DO482" s="27"/>
      <c r="DP482" s="27"/>
      <c r="DQ482" s="27"/>
      <c r="DR482" s="27"/>
      <c r="DS482" s="27"/>
      <c r="DT482" s="27"/>
    </row>
    <row r="483" spans="2:124" x14ac:dyDescent="0.2">
      <c r="G483" s="27"/>
      <c r="H483" s="27"/>
      <c r="I483" s="27"/>
      <c r="J483" s="27"/>
      <c r="K483" s="27"/>
      <c r="L483" s="27"/>
      <c r="M483" s="27"/>
      <c r="N483" s="27"/>
      <c r="O483" s="27"/>
      <c r="P483" s="27"/>
      <c r="Q483" s="27"/>
      <c r="R483" s="27"/>
      <c r="S483" s="27"/>
      <c r="T483" s="27"/>
      <c r="U483" s="27"/>
      <c r="V483" s="27"/>
      <c r="W483" s="27"/>
      <c r="X483" s="27"/>
      <c r="Y483" s="27"/>
      <c r="Z483" s="27"/>
      <c r="AA483" s="27"/>
      <c r="AB483" s="27"/>
      <c r="AC483" s="27"/>
      <c r="AD483" s="27"/>
      <c r="AE483" s="27"/>
      <c r="AF483" s="27"/>
      <c r="AG483" s="27"/>
      <c r="AH483" s="27"/>
      <c r="AI483" s="27"/>
      <c r="AJ483" s="27"/>
      <c r="AK483" s="27"/>
      <c r="AL483" s="27"/>
      <c r="AM483" s="27"/>
      <c r="AN483" s="27"/>
      <c r="AO483" s="27"/>
      <c r="AP483" s="27"/>
      <c r="AQ483" s="27"/>
      <c r="AR483" s="27"/>
      <c r="AS483" s="27"/>
      <c r="AT483" s="27"/>
      <c r="AU483" s="27"/>
      <c r="AV483" s="27"/>
      <c r="AW483" s="27"/>
      <c r="AX483" s="27"/>
      <c r="AY483" s="27"/>
      <c r="AZ483" s="27"/>
      <c r="BA483" s="27"/>
      <c r="BB483" s="27"/>
      <c r="BC483" s="27"/>
      <c r="BD483" s="27"/>
      <c r="BE483" s="27"/>
      <c r="BF483" s="27"/>
      <c r="BG483" s="27"/>
      <c r="BH483" s="27"/>
      <c r="BI483" s="27"/>
      <c r="BJ483" s="27"/>
      <c r="BK483" s="27"/>
      <c r="BL483" s="27"/>
      <c r="BM483" s="27"/>
      <c r="BN483" s="27"/>
      <c r="BO483" s="27"/>
      <c r="BP483" s="27"/>
      <c r="BQ483" s="27"/>
      <c r="BR483" s="27"/>
      <c r="BS483" s="27"/>
      <c r="BT483" s="27"/>
      <c r="BU483" s="27"/>
      <c r="BV483" s="27"/>
      <c r="BW483" s="27"/>
      <c r="BX483" s="27"/>
      <c r="BY483" s="27"/>
      <c r="BZ483" s="27"/>
      <c r="CA483" s="27"/>
      <c r="CB483" s="27"/>
      <c r="CC483" s="27"/>
      <c r="CD483" s="27"/>
      <c r="CE483" s="27"/>
      <c r="CF483" s="27"/>
      <c r="CG483" s="27"/>
      <c r="CH483" s="27"/>
      <c r="CI483" s="27"/>
      <c r="CJ483" s="27"/>
      <c r="CK483" s="27"/>
      <c r="CL483" s="27"/>
      <c r="CM483" s="27"/>
      <c r="CN483" s="27"/>
      <c r="CO483" s="27"/>
      <c r="CP483" s="27"/>
      <c r="CQ483" s="27"/>
      <c r="CR483" s="27"/>
      <c r="CS483" s="27"/>
      <c r="CT483" s="27"/>
      <c r="CU483" s="27"/>
      <c r="CV483" s="27"/>
      <c r="CW483" s="27"/>
      <c r="CX483" s="27"/>
      <c r="CY483" s="27"/>
      <c r="CZ483" s="27"/>
      <c r="DA483" s="27"/>
      <c r="DB483" s="27"/>
      <c r="DC483" s="27"/>
      <c r="DD483" s="27"/>
      <c r="DE483" s="27"/>
      <c r="DF483" s="27"/>
      <c r="DG483" s="27"/>
      <c r="DH483" s="27"/>
      <c r="DI483" s="27"/>
      <c r="DJ483" s="27"/>
      <c r="DK483" s="27"/>
      <c r="DL483" s="27"/>
      <c r="DM483" s="27"/>
      <c r="DN483" s="27"/>
      <c r="DO483" s="27"/>
      <c r="DP483" s="27"/>
      <c r="DQ483" s="27"/>
      <c r="DR483" s="27"/>
      <c r="DS483" s="27"/>
      <c r="DT483" s="27"/>
    </row>
    <row r="484" spans="2:124" x14ac:dyDescent="0.2">
      <c r="G484" s="27"/>
      <c r="H484" s="27"/>
      <c r="I484" s="27"/>
      <c r="J484" s="27"/>
      <c r="K484" s="27"/>
      <c r="L484" s="27"/>
      <c r="M484" s="27"/>
      <c r="N484" s="27"/>
      <c r="O484" s="27"/>
      <c r="P484" s="27"/>
      <c r="Q484" s="27"/>
      <c r="R484" s="27"/>
      <c r="S484" s="27"/>
      <c r="T484" s="27"/>
      <c r="U484" s="27"/>
      <c r="V484" s="27"/>
      <c r="W484" s="27"/>
      <c r="X484" s="27"/>
      <c r="Y484" s="27"/>
      <c r="Z484" s="27"/>
      <c r="AA484" s="27"/>
      <c r="AB484" s="27"/>
      <c r="AC484" s="27"/>
      <c r="AD484" s="27"/>
      <c r="AE484" s="27"/>
      <c r="AF484" s="27"/>
      <c r="AG484" s="27"/>
      <c r="AH484" s="27"/>
      <c r="AI484" s="27"/>
      <c r="AJ484" s="27"/>
      <c r="AK484" s="27"/>
      <c r="AL484" s="27"/>
      <c r="AM484" s="27"/>
      <c r="AN484" s="27"/>
      <c r="AO484" s="27"/>
      <c r="AP484" s="27"/>
      <c r="AQ484" s="27"/>
      <c r="AR484" s="27"/>
      <c r="AS484" s="27"/>
      <c r="AT484" s="27"/>
      <c r="AU484" s="27"/>
      <c r="AV484" s="27"/>
      <c r="AW484" s="27"/>
      <c r="AX484" s="27"/>
      <c r="AY484" s="27"/>
      <c r="AZ484" s="27"/>
      <c r="BA484" s="27"/>
      <c r="BB484" s="27"/>
      <c r="BC484" s="27"/>
      <c r="BD484" s="27"/>
      <c r="BE484" s="27"/>
      <c r="BF484" s="27"/>
      <c r="BG484" s="27"/>
      <c r="BH484" s="27"/>
      <c r="BI484" s="27"/>
      <c r="BJ484" s="27"/>
      <c r="BK484" s="27"/>
      <c r="BL484" s="27"/>
      <c r="BM484" s="27"/>
      <c r="BN484" s="27"/>
      <c r="BO484" s="27"/>
      <c r="BP484" s="27"/>
      <c r="BQ484" s="27"/>
      <c r="BR484" s="27"/>
      <c r="BS484" s="27"/>
      <c r="BT484" s="27"/>
      <c r="BU484" s="27"/>
      <c r="BV484" s="27"/>
      <c r="BW484" s="27"/>
      <c r="BX484" s="27"/>
      <c r="BY484" s="27"/>
      <c r="BZ484" s="27"/>
      <c r="CA484" s="27"/>
      <c r="CB484" s="27"/>
      <c r="CC484" s="27"/>
      <c r="CD484" s="27"/>
      <c r="CE484" s="27"/>
      <c r="CF484" s="27"/>
      <c r="CG484" s="27"/>
      <c r="CH484" s="27"/>
      <c r="CI484" s="27"/>
      <c r="CJ484" s="27"/>
      <c r="CK484" s="27"/>
      <c r="CL484" s="27"/>
      <c r="CM484" s="27"/>
      <c r="CN484" s="27"/>
      <c r="CO484" s="27"/>
      <c r="CP484" s="27"/>
      <c r="CQ484" s="27"/>
      <c r="CR484" s="27"/>
      <c r="CS484" s="27"/>
      <c r="CT484" s="27"/>
      <c r="CU484" s="27"/>
      <c r="CV484" s="27"/>
      <c r="CW484" s="27"/>
      <c r="CX484" s="27"/>
      <c r="CY484" s="27"/>
      <c r="CZ484" s="27"/>
      <c r="DA484" s="27"/>
      <c r="DB484" s="27"/>
      <c r="DC484" s="27"/>
      <c r="DD484" s="27"/>
      <c r="DE484" s="27"/>
      <c r="DF484" s="27"/>
      <c r="DG484" s="27"/>
      <c r="DH484" s="27"/>
      <c r="DI484" s="27"/>
      <c r="DJ484" s="27"/>
      <c r="DK484" s="27"/>
      <c r="DL484" s="27"/>
      <c r="DM484" s="27"/>
      <c r="DN484" s="27"/>
      <c r="DO484" s="27"/>
      <c r="DP484" s="27"/>
      <c r="DQ484" s="27"/>
      <c r="DR484" s="27"/>
      <c r="DS484" s="27"/>
      <c r="DT484" s="27"/>
    </row>
    <row r="485" spans="2:124" x14ac:dyDescent="0.2">
      <c r="G485" s="27"/>
      <c r="H485" s="27"/>
      <c r="I485" s="27"/>
      <c r="J485" s="27"/>
      <c r="K485" s="27"/>
      <c r="L485" s="27"/>
      <c r="M485" s="27"/>
      <c r="N485" s="27"/>
      <c r="O485" s="27"/>
      <c r="P485" s="27"/>
      <c r="Q485" s="27"/>
      <c r="R485" s="27"/>
      <c r="S485" s="27"/>
      <c r="T485" s="27"/>
      <c r="U485" s="27"/>
      <c r="V485" s="27"/>
      <c r="W485" s="27"/>
      <c r="X485" s="27"/>
      <c r="Y485" s="27"/>
      <c r="Z485" s="27"/>
      <c r="AA485" s="27"/>
      <c r="AB485" s="27"/>
      <c r="AC485" s="27"/>
      <c r="AD485" s="27"/>
      <c r="AE485" s="27"/>
      <c r="AF485" s="27"/>
      <c r="AG485" s="27"/>
      <c r="AH485" s="27"/>
      <c r="AI485" s="27"/>
      <c r="AJ485" s="27"/>
      <c r="AK485" s="27"/>
      <c r="AL485" s="27"/>
      <c r="AM485" s="27"/>
      <c r="AN485" s="27"/>
      <c r="AO485" s="27"/>
      <c r="AP485" s="27"/>
      <c r="AQ485" s="27"/>
      <c r="AR485" s="27"/>
      <c r="AS485" s="27"/>
      <c r="AT485" s="27"/>
      <c r="AU485" s="27"/>
      <c r="AV485" s="27"/>
      <c r="AW485" s="27"/>
      <c r="AX485" s="27"/>
      <c r="AY485" s="27"/>
      <c r="AZ485" s="27"/>
      <c r="BA485" s="27"/>
      <c r="BB485" s="27"/>
      <c r="BC485" s="27"/>
      <c r="BD485" s="27"/>
      <c r="BE485" s="27"/>
      <c r="BF485" s="27"/>
      <c r="BG485" s="27"/>
      <c r="BH485" s="27"/>
      <c r="BI485" s="27"/>
      <c r="BJ485" s="27"/>
      <c r="BK485" s="27"/>
      <c r="BL485" s="27"/>
      <c r="BM485" s="27"/>
      <c r="BN485" s="27"/>
      <c r="BO485" s="27"/>
      <c r="BP485" s="27"/>
      <c r="BQ485" s="27"/>
      <c r="BR485" s="27"/>
      <c r="BS485" s="27"/>
      <c r="BT485" s="27"/>
      <c r="BU485" s="27"/>
      <c r="BV485" s="27"/>
      <c r="BW485" s="27"/>
      <c r="BX485" s="27"/>
      <c r="BY485" s="27"/>
      <c r="BZ485" s="27"/>
      <c r="CA485" s="27"/>
      <c r="CB485" s="27"/>
      <c r="CC485" s="27"/>
      <c r="CD485" s="27"/>
      <c r="CE485" s="27"/>
      <c r="CF485" s="27"/>
      <c r="CG485" s="27"/>
      <c r="CH485" s="27"/>
      <c r="CI485" s="27"/>
      <c r="CJ485" s="27"/>
      <c r="CK485" s="27"/>
      <c r="CL485" s="27"/>
      <c r="CM485" s="27"/>
      <c r="CN485" s="27"/>
      <c r="CO485" s="27"/>
      <c r="CP485" s="27"/>
      <c r="CQ485" s="27"/>
      <c r="CR485" s="27"/>
      <c r="CS485" s="27"/>
      <c r="CT485" s="27"/>
      <c r="CU485" s="27"/>
      <c r="CV485" s="27"/>
      <c r="CW485" s="27"/>
      <c r="CX485" s="27"/>
      <c r="CY485" s="27"/>
      <c r="CZ485" s="27"/>
      <c r="DA485" s="27"/>
      <c r="DB485" s="27"/>
      <c r="DC485" s="27"/>
      <c r="DD485" s="27"/>
      <c r="DE485" s="27"/>
      <c r="DF485" s="27"/>
      <c r="DG485" s="27"/>
      <c r="DH485" s="27"/>
      <c r="DI485" s="27"/>
      <c r="DJ485" s="27"/>
      <c r="DK485" s="27"/>
      <c r="DL485" s="27"/>
      <c r="DM485" s="27"/>
      <c r="DN485" s="27"/>
      <c r="DO485" s="27"/>
      <c r="DP485" s="27"/>
      <c r="DQ485" s="27"/>
      <c r="DR485" s="27"/>
      <c r="DS485" s="27"/>
      <c r="DT485" s="27"/>
    </row>
    <row r="486" spans="2:124" x14ac:dyDescent="0.2">
      <c r="G486" s="27"/>
      <c r="H486" s="27"/>
      <c r="I486" s="27"/>
      <c r="J486" s="27"/>
      <c r="K486" s="27"/>
      <c r="L486" s="27"/>
      <c r="M486" s="27"/>
      <c r="N486" s="27"/>
      <c r="O486" s="27"/>
      <c r="P486" s="27"/>
      <c r="Q486" s="27"/>
      <c r="R486" s="27"/>
      <c r="S486" s="27"/>
      <c r="T486" s="27"/>
      <c r="U486" s="27"/>
      <c r="V486" s="27"/>
      <c r="W486" s="27"/>
      <c r="X486" s="27"/>
      <c r="Y486" s="27"/>
      <c r="Z486" s="27"/>
      <c r="AA486" s="27"/>
      <c r="AB486" s="27"/>
      <c r="AC486" s="27"/>
      <c r="AD486" s="27"/>
      <c r="AE486" s="27"/>
      <c r="AF486" s="27"/>
      <c r="AG486" s="27"/>
      <c r="AH486" s="27"/>
      <c r="AI486" s="27"/>
      <c r="AJ486" s="27"/>
      <c r="AK486" s="27"/>
      <c r="AL486" s="27"/>
      <c r="AM486" s="27"/>
      <c r="AN486" s="27"/>
      <c r="AO486" s="27"/>
      <c r="AP486" s="27"/>
      <c r="AQ486" s="27"/>
      <c r="AR486" s="27"/>
      <c r="AS486" s="27"/>
      <c r="AT486" s="27"/>
      <c r="AU486" s="27"/>
      <c r="AV486" s="27"/>
      <c r="AW486" s="27"/>
      <c r="AX486" s="27"/>
      <c r="AY486" s="27"/>
      <c r="AZ486" s="27"/>
      <c r="BA486" s="27"/>
      <c r="BB486" s="27"/>
      <c r="BC486" s="27"/>
      <c r="BD486" s="27"/>
      <c r="BE486" s="27"/>
      <c r="BF486" s="27"/>
      <c r="BG486" s="27"/>
      <c r="BH486" s="27"/>
      <c r="BI486" s="27"/>
      <c r="BJ486" s="27"/>
      <c r="BK486" s="27"/>
      <c r="BL486" s="27"/>
      <c r="BM486" s="27"/>
      <c r="BN486" s="27"/>
      <c r="BO486" s="27"/>
      <c r="BP486" s="27"/>
      <c r="BQ486" s="27"/>
      <c r="BR486" s="27"/>
      <c r="BS486" s="27"/>
      <c r="BT486" s="27"/>
      <c r="BU486" s="27"/>
      <c r="BV486" s="27"/>
      <c r="BW486" s="27"/>
      <c r="BX486" s="27"/>
      <c r="BY486" s="27"/>
      <c r="BZ486" s="27"/>
      <c r="CA486" s="27"/>
      <c r="CB486" s="27"/>
      <c r="CC486" s="27"/>
      <c r="CD486" s="27"/>
      <c r="CE486" s="27"/>
      <c r="CF486" s="27"/>
      <c r="CG486" s="27"/>
      <c r="CH486" s="27"/>
      <c r="CI486" s="27"/>
      <c r="CJ486" s="27"/>
      <c r="CK486" s="27"/>
      <c r="CL486" s="27"/>
      <c r="CM486" s="27"/>
      <c r="CN486" s="27"/>
      <c r="CO486" s="27"/>
      <c r="CP486" s="27"/>
      <c r="CQ486" s="27"/>
      <c r="CR486" s="27"/>
      <c r="CS486" s="27"/>
      <c r="CT486" s="27"/>
      <c r="CU486" s="27"/>
      <c r="CV486" s="27"/>
      <c r="CW486" s="27"/>
      <c r="CX486" s="27"/>
      <c r="CY486" s="27"/>
      <c r="CZ486" s="27"/>
      <c r="DA486" s="27"/>
      <c r="DB486" s="27"/>
      <c r="DC486" s="27"/>
      <c r="DD486" s="27"/>
      <c r="DE486" s="27"/>
      <c r="DF486" s="27"/>
      <c r="DG486" s="27"/>
      <c r="DH486" s="27"/>
      <c r="DI486" s="27"/>
      <c r="DJ486" s="27"/>
      <c r="DK486" s="27"/>
      <c r="DL486" s="27"/>
      <c r="DM486" s="27"/>
      <c r="DN486" s="27"/>
      <c r="DO486" s="27"/>
      <c r="DP486" s="27"/>
      <c r="DQ486" s="27"/>
      <c r="DR486" s="27"/>
      <c r="DS486" s="27"/>
      <c r="DT486" s="27"/>
    </row>
    <row r="487" spans="2:124" x14ac:dyDescent="0.2">
      <c r="G487" s="27"/>
      <c r="H487" s="27"/>
      <c r="I487" s="27"/>
      <c r="J487" s="27"/>
      <c r="K487" s="27"/>
      <c r="L487" s="27"/>
      <c r="M487" s="27"/>
      <c r="N487" s="27"/>
      <c r="O487" s="27"/>
      <c r="P487" s="27"/>
      <c r="Q487" s="27"/>
      <c r="R487" s="27"/>
      <c r="S487" s="27"/>
      <c r="T487" s="27"/>
      <c r="U487" s="27"/>
      <c r="V487" s="27"/>
      <c r="W487" s="27"/>
      <c r="X487" s="27"/>
      <c r="Y487" s="27"/>
      <c r="Z487" s="27"/>
      <c r="AA487" s="27"/>
      <c r="AB487" s="27"/>
      <c r="AC487" s="27"/>
      <c r="AD487" s="27"/>
      <c r="AE487" s="27"/>
      <c r="AF487" s="27"/>
      <c r="AG487" s="27"/>
      <c r="AH487" s="27"/>
      <c r="AI487" s="27"/>
      <c r="AJ487" s="27"/>
      <c r="AK487" s="27"/>
      <c r="AL487" s="27"/>
      <c r="AM487" s="27"/>
      <c r="AN487" s="27"/>
      <c r="AO487" s="27"/>
      <c r="AP487" s="27"/>
      <c r="AQ487" s="27"/>
      <c r="AR487" s="27"/>
      <c r="AS487" s="27"/>
      <c r="AT487" s="27"/>
      <c r="AU487" s="27"/>
      <c r="AV487" s="27"/>
      <c r="AW487" s="27"/>
      <c r="AX487" s="27"/>
      <c r="AY487" s="27"/>
      <c r="AZ487" s="27"/>
      <c r="BA487" s="27"/>
      <c r="BB487" s="27"/>
      <c r="BC487" s="27"/>
      <c r="BD487" s="27"/>
      <c r="BE487" s="27"/>
      <c r="BF487" s="27"/>
      <c r="BG487" s="27"/>
      <c r="BH487" s="27"/>
      <c r="BI487" s="27"/>
      <c r="BJ487" s="27"/>
      <c r="BK487" s="27"/>
      <c r="BL487" s="27"/>
      <c r="BM487" s="27"/>
      <c r="BN487" s="27"/>
      <c r="BO487" s="27"/>
      <c r="BP487" s="27"/>
      <c r="BQ487" s="27"/>
      <c r="BR487" s="27"/>
      <c r="BS487" s="27"/>
      <c r="BT487" s="27"/>
      <c r="BU487" s="27"/>
      <c r="BV487" s="27"/>
      <c r="BW487" s="27"/>
      <c r="BX487" s="27"/>
      <c r="BY487" s="27"/>
      <c r="BZ487" s="27"/>
      <c r="CA487" s="27"/>
      <c r="CB487" s="27"/>
      <c r="CC487" s="27"/>
      <c r="CD487" s="27"/>
      <c r="CE487" s="27"/>
      <c r="CF487" s="27"/>
      <c r="CG487" s="27"/>
      <c r="CH487" s="27"/>
      <c r="CI487" s="27"/>
      <c r="CJ487" s="27"/>
      <c r="CK487" s="27"/>
      <c r="CL487" s="27"/>
      <c r="CM487" s="27"/>
      <c r="CN487" s="27"/>
      <c r="CO487" s="27"/>
      <c r="CP487" s="27"/>
      <c r="CQ487" s="27"/>
      <c r="CR487" s="27"/>
      <c r="CS487" s="27"/>
      <c r="CT487" s="27"/>
      <c r="CU487" s="27"/>
      <c r="CV487" s="27"/>
      <c r="CW487" s="27"/>
      <c r="CX487" s="27"/>
      <c r="CY487" s="27"/>
      <c r="CZ487" s="27"/>
      <c r="DA487" s="27"/>
      <c r="DB487" s="27"/>
      <c r="DC487" s="27"/>
      <c r="DD487" s="27"/>
      <c r="DE487" s="27"/>
      <c r="DF487" s="27"/>
      <c r="DG487" s="27"/>
      <c r="DH487" s="27"/>
      <c r="DI487" s="27"/>
      <c r="DJ487" s="27"/>
      <c r="DK487" s="27"/>
      <c r="DL487" s="27"/>
      <c r="DM487" s="27"/>
      <c r="DN487" s="27"/>
      <c r="DO487" s="27"/>
      <c r="DP487" s="27"/>
      <c r="DQ487" s="27"/>
      <c r="DR487" s="27"/>
      <c r="DS487" s="27"/>
      <c r="DT487" s="27"/>
    </row>
    <row r="488" spans="2:124" x14ac:dyDescent="0.2">
      <c r="G488" s="27"/>
      <c r="H488" s="27"/>
      <c r="I488" s="27"/>
      <c r="J488" s="27"/>
      <c r="K488" s="27"/>
      <c r="L488" s="27"/>
      <c r="M488" s="27"/>
      <c r="N488" s="27"/>
      <c r="O488" s="27"/>
      <c r="P488" s="27"/>
      <c r="Q488" s="27"/>
      <c r="R488" s="27"/>
      <c r="S488" s="27"/>
      <c r="T488" s="27"/>
      <c r="U488" s="27"/>
      <c r="V488" s="27"/>
      <c r="W488" s="27"/>
      <c r="X488" s="27"/>
      <c r="Y488" s="27"/>
      <c r="Z488" s="27"/>
      <c r="AA488" s="27"/>
      <c r="AB488" s="27"/>
      <c r="AC488" s="27"/>
      <c r="AD488" s="27"/>
      <c r="AE488" s="27"/>
      <c r="AF488" s="27"/>
      <c r="AG488" s="27"/>
      <c r="AH488" s="27"/>
      <c r="AI488" s="27"/>
      <c r="AJ488" s="27"/>
      <c r="AK488" s="27"/>
      <c r="AL488" s="27"/>
      <c r="AM488" s="27"/>
      <c r="AN488" s="27"/>
      <c r="AO488" s="27"/>
      <c r="AP488" s="27"/>
      <c r="AQ488" s="27"/>
      <c r="AR488" s="27"/>
      <c r="AS488" s="27"/>
      <c r="AT488" s="27"/>
      <c r="AU488" s="27"/>
      <c r="AV488" s="27"/>
      <c r="AW488" s="27"/>
      <c r="AX488" s="27"/>
      <c r="AY488" s="27"/>
      <c r="AZ488" s="27"/>
      <c r="BA488" s="27"/>
      <c r="BB488" s="27"/>
      <c r="BC488" s="27"/>
      <c r="BD488" s="27"/>
      <c r="BE488" s="27"/>
      <c r="BF488" s="27"/>
      <c r="BG488" s="27"/>
      <c r="BH488" s="27"/>
      <c r="BI488" s="27"/>
      <c r="BJ488" s="27"/>
      <c r="BK488" s="27"/>
      <c r="BL488" s="27"/>
      <c r="BM488" s="27"/>
      <c r="BN488" s="27"/>
      <c r="BO488" s="27"/>
      <c r="BP488" s="27"/>
      <c r="BQ488" s="27"/>
      <c r="BR488" s="27"/>
      <c r="BS488" s="27"/>
      <c r="BT488" s="27"/>
      <c r="BU488" s="27"/>
      <c r="BV488" s="27"/>
      <c r="BW488" s="27"/>
      <c r="BX488" s="27"/>
      <c r="BY488" s="27"/>
      <c r="BZ488" s="27"/>
      <c r="CA488" s="27"/>
      <c r="CB488" s="27"/>
      <c r="CC488" s="27"/>
      <c r="CD488" s="27"/>
      <c r="CE488" s="27"/>
      <c r="CF488" s="27"/>
      <c r="CG488" s="27"/>
      <c r="CH488" s="27"/>
      <c r="CI488" s="27"/>
      <c r="CJ488" s="27"/>
      <c r="CK488" s="27"/>
      <c r="CL488" s="27"/>
      <c r="CM488" s="27"/>
      <c r="CN488" s="27"/>
      <c r="CO488" s="27"/>
      <c r="CP488" s="27"/>
      <c r="CQ488" s="27"/>
      <c r="CR488" s="27"/>
      <c r="CS488" s="27"/>
      <c r="CT488" s="27"/>
      <c r="CU488" s="27"/>
      <c r="CV488" s="27"/>
      <c r="CW488" s="27"/>
      <c r="CX488" s="27"/>
      <c r="CY488" s="27"/>
      <c r="CZ488" s="27"/>
      <c r="DA488" s="27"/>
      <c r="DB488" s="27"/>
      <c r="DC488" s="27"/>
      <c r="DD488" s="27"/>
      <c r="DE488" s="27"/>
      <c r="DF488" s="27"/>
      <c r="DG488" s="27"/>
      <c r="DH488" s="27"/>
      <c r="DI488" s="27"/>
      <c r="DJ488" s="27"/>
      <c r="DK488" s="27"/>
      <c r="DL488" s="27"/>
      <c r="DM488" s="27"/>
      <c r="DN488" s="27"/>
      <c r="DO488" s="27"/>
      <c r="DP488" s="27"/>
      <c r="DQ488" s="27"/>
      <c r="DR488" s="27"/>
      <c r="DS488" s="27"/>
      <c r="DT488" s="27"/>
    </row>
    <row r="489" spans="2:124" x14ac:dyDescent="0.2">
      <c r="G489" s="27"/>
      <c r="H489" s="27"/>
      <c r="I489" s="27"/>
      <c r="J489" s="27"/>
      <c r="K489" s="27"/>
      <c r="L489" s="27"/>
      <c r="M489" s="27"/>
      <c r="N489" s="27"/>
      <c r="O489" s="27"/>
      <c r="P489" s="27"/>
      <c r="Q489" s="27"/>
      <c r="R489" s="27"/>
      <c r="S489" s="27"/>
      <c r="T489" s="27"/>
      <c r="U489" s="27"/>
      <c r="V489" s="27"/>
      <c r="W489" s="27"/>
      <c r="X489" s="27"/>
      <c r="Y489" s="27"/>
      <c r="Z489" s="27"/>
      <c r="AA489" s="27"/>
      <c r="AB489" s="27"/>
      <c r="AC489" s="27"/>
      <c r="AD489" s="27"/>
      <c r="AE489" s="27"/>
      <c r="AF489" s="27"/>
      <c r="AG489" s="27"/>
      <c r="AH489" s="27"/>
      <c r="AI489" s="27"/>
      <c r="AJ489" s="27"/>
      <c r="AK489" s="27"/>
      <c r="AL489" s="27"/>
      <c r="AM489" s="27"/>
      <c r="AN489" s="27"/>
      <c r="AO489" s="27"/>
      <c r="AP489" s="27"/>
      <c r="AQ489" s="27"/>
      <c r="AR489" s="27"/>
      <c r="AS489" s="27"/>
      <c r="AT489" s="27"/>
      <c r="AU489" s="27"/>
      <c r="AV489" s="27"/>
      <c r="AW489" s="27"/>
      <c r="AX489" s="27"/>
      <c r="AY489" s="27"/>
      <c r="AZ489" s="27"/>
      <c r="BA489" s="27"/>
      <c r="BB489" s="27"/>
      <c r="BC489" s="27"/>
      <c r="BD489" s="27"/>
      <c r="BE489" s="27"/>
      <c r="BF489" s="27"/>
      <c r="BG489" s="27"/>
      <c r="BH489" s="27"/>
      <c r="BI489" s="27"/>
      <c r="BJ489" s="27"/>
      <c r="BK489" s="27"/>
      <c r="BL489" s="27"/>
      <c r="BM489" s="27"/>
      <c r="BN489" s="27"/>
      <c r="BO489" s="27"/>
      <c r="BP489" s="27"/>
      <c r="BQ489" s="27"/>
      <c r="BR489" s="27"/>
      <c r="BS489" s="27"/>
      <c r="BT489" s="27"/>
      <c r="BU489" s="27"/>
      <c r="BV489" s="27"/>
      <c r="BW489" s="27"/>
      <c r="BX489" s="27"/>
      <c r="BY489" s="27"/>
      <c r="BZ489" s="27"/>
      <c r="CA489" s="27"/>
      <c r="CB489" s="27"/>
      <c r="CC489" s="27"/>
      <c r="CD489" s="27"/>
      <c r="CE489" s="27"/>
      <c r="CF489" s="27"/>
      <c r="CG489" s="27"/>
      <c r="CH489" s="27"/>
      <c r="CI489" s="27"/>
      <c r="CJ489" s="27"/>
      <c r="CK489" s="27"/>
      <c r="CL489" s="27"/>
      <c r="CM489" s="27"/>
      <c r="CN489" s="27"/>
      <c r="CO489" s="27"/>
      <c r="CP489" s="27"/>
      <c r="CQ489" s="27"/>
      <c r="CR489" s="27"/>
      <c r="CS489" s="27"/>
      <c r="CT489" s="27"/>
      <c r="CU489" s="27"/>
      <c r="CV489" s="27"/>
      <c r="CW489" s="27"/>
      <c r="CX489" s="27"/>
      <c r="CY489" s="27"/>
      <c r="CZ489" s="27"/>
      <c r="DA489" s="27"/>
      <c r="DB489" s="27"/>
      <c r="DC489" s="27"/>
      <c r="DD489" s="27"/>
      <c r="DE489" s="27"/>
      <c r="DF489" s="27"/>
      <c r="DG489" s="27"/>
      <c r="DH489" s="27"/>
      <c r="DI489" s="27"/>
      <c r="DJ489" s="27"/>
      <c r="DK489" s="27"/>
      <c r="DL489" s="27"/>
      <c r="DM489" s="27"/>
      <c r="DN489" s="27"/>
      <c r="DO489" s="27"/>
      <c r="DP489" s="27"/>
      <c r="DQ489" s="27"/>
      <c r="DR489" s="27"/>
      <c r="DS489" s="27"/>
      <c r="DT489" s="27"/>
    </row>
    <row r="490" spans="2:124" x14ac:dyDescent="0.2">
      <c r="G490" s="27"/>
      <c r="H490" s="27"/>
      <c r="I490" s="27"/>
      <c r="J490" s="27"/>
      <c r="K490" s="27"/>
      <c r="L490" s="27"/>
      <c r="M490" s="27"/>
      <c r="N490" s="27"/>
      <c r="O490" s="27"/>
      <c r="P490" s="27"/>
      <c r="Q490" s="27"/>
      <c r="R490" s="27"/>
      <c r="S490" s="27"/>
      <c r="T490" s="27"/>
      <c r="U490" s="27"/>
      <c r="V490" s="27"/>
      <c r="W490" s="27"/>
      <c r="X490" s="27"/>
      <c r="Y490" s="27"/>
      <c r="Z490" s="27"/>
      <c r="AA490" s="27"/>
      <c r="AB490" s="27"/>
      <c r="AC490" s="27"/>
      <c r="AD490" s="27"/>
      <c r="AE490" s="27"/>
      <c r="AF490" s="27"/>
      <c r="AG490" s="27"/>
      <c r="AH490" s="27"/>
      <c r="AI490" s="27"/>
      <c r="AJ490" s="27"/>
      <c r="AK490" s="27"/>
      <c r="AL490" s="27"/>
      <c r="AM490" s="27"/>
      <c r="AN490" s="27"/>
      <c r="AO490" s="27"/>
      <c r="AP490" s="27"/>
      <c r="AQ490" s="27"/>
      <c r="AR490" s="27"/>
      <c r="AS490" s="27"/>
      <c r="AT490" s="27"/>
      <c r="AU490" s="27"/>
      <c r="AV490" s="27"/>
      <c r="AW490" s="27"/>
      <c r="AX490" s="27"/>
      <c r="AY490" s="27"/>
      <c r="AZ490" s="27"/>
      <c r="BA490" s="27"/>
      <c r="BB490" s="27"/>
      <c r="BC490" s="27"/>
      <c r="BD490" s="27"/>
      <c r="BE490" s="27"/>
      <c r="BF490" s="27"/>
      <c r="BG490" s="27"/>
      <c r="BH490" s="27"/>
      <c r="BI490" s="27"/>
      <c r="BJ490" s="27"/>
      <c r="BK490" s="27"/>
      <c r="BL490" s="27"/>
      <c r="BM490" s="27"/>
      <c r="BN490" s="27"/>
      <c r="BO490" s="27"/>
      <c r="BP490" s="27"/>
      <c r="BQ490" s="27"/>
      <c r="BR490" s="27"/>
      <c r="BS490" s="27"/>
      <c r="BT490" s="27"/>
      <c r="BU490" s="27"/>
      <c r="BV490" s="27"/>
      <c r="BW490" s="27"/>
      <c r="BX490" s="27"/>
      <c r="BY490" s="27"/>
      <c r="BZ490" s="27"/>
      <c r="CA490" s="27"/>
      <c r="CB490" s="27"/>
      <c r="CC490" s="27"/>
      <c r="CD490" s="27"/>
      <c r="CE490" s="27"/>
      <c r="CF490" s="27"/>
      <c r="CG490" s="27"/>
      <c r="CH490" s="27"/>
      <c r="CI490" s="27"/>
      <c r="CJ490" s="27"/>
      <c r="CK490" s="27"/>
      <c r="CL490" s="27"/>
      <c r="CM490" s="27"/>
      <c r="CN490" s="27"/>
      <c r="CO490" s="27"/>
      <c r="CP490" s="27"/>
      <c r="CQ490" s="27"/>
      <c r="CR490" s="27"/>
      <c r="CS490" s="27"/>
      <c r="CT490" s="27"/>
      <c r="CU490" s="27"/>
      <c r="CV490" s="27"/>
      <c r="CW490" s="27"/>
      <c r="CX490" s="27"/>
      <c r="CY490" s="27"/>
      <c r="CZ490" s="27"/>
      <c r="DA490" s="27"/>
      <c r="DB490" s="27"/>
      <c r="DC490" s="27"/>
      <c r="DD490" s="27"/>
      <c r="DE490" s="27"/>
      <c r="DF490" s="27"/>
      <c r="DG490" s="27"/>
      <c r="DH490" s="27"/>
      <c r="DI490" s="27"/>
      <c r="DJ490" s="27"/>
      <c r="DK490" s="27"/>
      <c r="DL490" s="27"/>
      <c r="DM490" s="27"/>
      <c r="DN490" s="27"/>
      <c r="DO490" s="27"/>
      <c r="DP490" s="27"/>
      <c r="DQ490" s="27"/>
      <c r="DR490" s="27"/>
      <c r="DS490" s="27"/>
      <c r="DT490" s="27"/>
    </row>
    <row r="491" spans="2:124" x14ac:dyDescent="0.2">
      <c r="G491" s="27"/>
      <c r="H491" s="27"/>
      <c r="I491" s="27"/>
      <c r="J491" s="27"/>
      <c r="K491" s="27"/>
      <c r="L491" s="27"/>
      <c r="M491" s="27"/>
      <c r="N491" s="27"/>
      <c r="O491" s="27"/>
      <c r="P491" s="27"/>
      <c r="Q491" s="27"/>
      <c r="R491" s="27"/>
      <c r="S491" s="27"/>
      <c r="T491" s="27"/>
      <c r="U491" s="27"/>
      <c r="V491" s="27"/>
      <c r="W491" s="27"/>
      <c r="X491" s="27"/>
      <c r="Y491" s="27"/>
      <c r="Z491" s="27"/>
      <c r="AA491" s="27"/>
      <c r="AB491" s="27"/>
      <c r="AC491" s="27"/>
      <c r="AD491" s="27"/>
      <c r="AE491" s="27"/>
      <c r="AF491" s="27"/>
      <c r="AG491" s="27"/>
      <c r="AH491" s="27"/>
      <c r="AI491" s="27"/>
      <c r="AJ491" s="27"/>
      <c r="AK491" s="27"/>
      <c r="AL491" s="27"/>
      <c r="AM491" s="27"/>
      <c r="AN491" s="27"/>
      <c r="AO491" s="27"/>
      <c r="AP491" s="27"/>
      <c r="AQ491" s="27"/>
      <c r="AR491" s="27"/>
      <c r="AS491" s="27"/>
      <c r="AT491" s="27"/>
      <c r="AU491" s="27"/>
      <c r="AV491" s="27"/>
      <c r="AW491" s="27"/>
      <c r="AX491" s="27"/>
      <c r="AY491" s="27"/>
      <c r="AZ491" s="27"/>
      <c r="BA491" s="27"/>
      <c r="BB491" s="27"/>
      <c r="BC491" s="27"/>
      <c r="BD491" s="27"/>
      <c r="BE491" s="27"/>
      <c r="BF491" s="27"/>
      <c r="BG491" s="27"/>
      <c r="BH491" s="27"/>
      <c r="BI491" s="27"/>
      <c r="BJ491" s="27"/>
      <c r="BK491" s="27"/>
      <c r="BL491" s="27"/>
      <c r="BM491" s="27"/>
      <c r="BN491" s="27"/>
      <c r="BO491" s="27"/>
      <c r="BP491" s="27"/>
      <c r="BQ491" s="27"/>
      <c r="BR491" s="27"/>
      <c r="BS491" s="27"/>
      <c r="BT491" s="27"/>
      <c r="BU491" s="27"/>
      <c r="BV491" s="27"/>
      <c r="BW491" s="27"/>
      <c r="BX491" s="27"/>
      <c r="BY491" s="27"/>
      <c r="BZ491" s="27"/>
      <c r="CA491" s="27"/>
      <c r="CB491" s="27"/>
      <c r="CC491" s="27"/>
      <c r="CD491" s="27"/>
      <c r="CE491" s="27"/>
      <c r="CF491" s="27"/>
      <c r="CG491" s="27"/>
      <c r="CH491" s="27"/>
      <c r="CI491" s="27"/>
      <c r="CJ491" s="27"/>
      <c r="CK491" s="27"/>
      <c r="CL491" s="27"/>
      <c r="CM491" s="27"/>
      <c r="CN491" s="27"/>
      <c r="CO491" s="27"/>
      <c r="CP491" s="27"/>
      <c r="CQ491" s="27"/>
      <c r="CR491" s="27"/>
      <c r="CS491" s="27"/>
      <c r="CT491" s="27"/>
      <c r="CU491" s="27"/>
      <c r="CV491" s="27"/>
      <c r="CW491" s="27"/>
      <c r="CX491" s="27"/>
      <c r="CY491" s="27"/>
      <c r="CZ491" s="27"/>
      <c r="DA491" s="27"/>
      <c r="DB491" s="27"/>
      <c r="DC491" s="27"/>
      <c r="DD491" s="27"/>
      <c r="DE491" s="27"/>
      <c r="DF491" s="27"/>
      <c r="DG491" s="27"/>
      <c r="DH491" s="27"/>
      <c r="DI491" s="27"/>
      <c r="DJ491" s="27"/>
      <c r="DK491" s="27"/>
      <c r="DL491" s="27"/>
      <c r="DM491" s="27"/>
      <c r="DN491" s="27"/>
      <c r="DO491" s="27"/>
      <c r="DP491" s="27"/>
      <c r="DQ491" s="27"/>
      <c r="DR491" s="27"/>
      <c r="DS491" s="27"/>
      <c r="DT491" s="27"/>
    </row>
    <row r="492" spans="2:124" x14ac:dyDescent="0.2">
      <c r="G492" s="27"/>
      <c r="H492" s="27"/>
      <c r="I492" s="27"/>
      <c r="J492" s="27"/>
      <c r="K492" s="27"/>
      <c r="L492" s="27"/>
      <c r="M492" s="27"/>
      <c r="N492" s="27"/>
      <c r="O492" s="27"/>
      <c r="P492" s="27"/>
      <c r="Q492" s="27"/>
      <c r="R492" s="27"/>
      <c r="S492" s="27"/>
      <c r="T492" s="27"/>
      <c r="U492" s="27"/>
      <c r="V492" s="27"/>
      <c r="W492" s="27"/>
      <c r="X492" s="27"/>
      <c r="Y492" s="27"/>
      <c r="Z492" s="27"/>
      <c r="AA492" s="27"/>
      <c r="AB492" s="27"/>
      <c r="AC492" s="27"/>
      <c r="AD492" s="27"/>
      <c r="AE492" s="27"/>
      <c r="AF492" s="27"/>
      <c r="AG492" s="27"/>
      <c r="AH492" s="27"/>
      <c r="AI492" s="27"/>
      <c r="AJ492" s="27"/>
      <c r="AK492" s="27"/>
      <c r="AL492" s="27"/>
      <c r="AM492" s="27"/>
      <c r="AN492" s="27"/>
      <c r="AO492" s="27"/>
      <c r="AP492" s="27"/>
      <c r="AQ492" s="27"/>
      <c r="AR492" s="27"/>
      <c r="AS492" s="27"/>
      <c r="AT492" s="27"/>
      <c r="AU492" s="27"/>
      <c r="AV492" s="27"/>
      <c r="AW492" s="27"/>
      <c r="AX492" s="27"/>
      <c r="AY492" s="27"/>
      <c r="AZ492" s="27"/>
      <c r="BA492" s="27"/>
      <c r="BB492" s="27"/>
      <c r="BC492" s="27"/>
      <c r="BD492" s="27"/>
      <c r="BE492" s="27"/>
      <c r="BF492" s="27"/>
      <c r="BG492" s="27"/>
      <c r="BH492" s="27"/>
      <c r="BI492" s="27"/>
      <c r="BJ492" s="27"/>
      <c r="BK492" s="27"/>
      <c r="BL492" s="27"/>
      <c r="BM492" s="27"/>
      <c r="BN492" s="27"/>
      <c r="BO492" s="27"/>
      <c r="BP492" s="27"/>
      <c r="BQ492" s="27"/>
      <c r="BR492" s="27"/>
      <c r="BS492" s="27"/>
      <c r="BT492" s="27"/>
      <c r="BU492" s="27"/>
      <c r="BV492" s="27"/>
      <c r="BW492" s="27"/>
      <c r="BX492" s="27"/>
      <c r="BY492" s="27"/>
      <c r="BZ492" s="27"/>
      <c r="CA492" s="27"/>
      <c r="CB492" s="27"/>
      <c r="CC492" s="27"/>
      <c r="CD492" s="27"/>
      <c r="CE492" s="27"/>
      <c r="CF492" s="27"/>
      <c r="CG492" s="27"/>
      <c r="CH492" s="27"/>
      <c r="CI492" s="27"/>
      <c r="CJ492" s="27"/>
      <c r="CK492" s="27"/>
      <c r="CL492" s="27"/>
      <c r="CM492" s="27"/>
      <c r="CN492" s="27"/>
      <c r="CO492" s="27"/>
      <c r="CP492" s="27"/>
      <c r="CQ492" s="27"/>
      <c r="CR492" s="27"/>
      <c r="CS492" s="27"/>
      <c r="CT492" s="27"/>
      <c r="CU492" s="27"/>
      <c r="CV492" s="27"/>
      <c r="CW492" s="27"/>
      <c r="CX492" s="27"/>
      <c r="CY492" s="27"/>
      <c r="CZ492" s="27"/>
      <c r="DA492" s="27"/>
      <c r="DB492" s="27"/>
      <c r="DC492" s="27"/>
      <c r="DD492" s="27"/>
      <c r="DE492" s="27"/>
      <c r="DF492" s="27"/>
      <c r="DG492" s="27"/>
      <c r="DH492" s="27"/>
      <c r="DI492" s="27"/>
      <c r="DJ492" s="27"/>
      <c r="DK492" s="27"/>
      <c r="DL492" s="27"/>
      <c r="DM492" s="27"/>
      <c r="DN492" s="27"/>
      <c r="DO492" s="27"/>
      <c r="DP492" s="27"/>
      <c r="DQ492" s="27"/>
      <c r="DR492" s="27"/>
      <c r="DS492" s="27"/>
      <c r="DT492" s="27"/>
    </row>
    <row r="493" spans="2:124" x14ac:dyDescent="0.2">
      <c r="G493" s="27"/>
      <c r="H493" s="27"/>
      <c r="I493" s="27"/>
      <c r="J493" s="27"/>
      <c r="K493" s="27"/>
      <c r="L493" s="27"/>
      <c r="M493" s="27"/>
      <c r="N493" s="27"/>
      <c r="O493" s="27"/>
      <c r="P493" s="27"/>
      <c r="Q493" s="27"/>
      <c r="R493" s="27"/>
      <c r="S493" s="27"/>
      <c r="T493" s="27"/>
      <c r="U493" s="27"/>
      <c r="V493" s="27"/>
      <c r="W493" s="27"/>
      <c r="X493" s="27"/>
      <c r="Y493" s="27"/>
      <c r="Z493" s="27"/>
      <c r="AA493" s="27"/>
      <c r="AB493" s="27"/>
      <c r="AC493" s="27"/>
      <c r="AD493" s="27"/>
      <c r="AE493" s="27"/>
      <c r="AF493" s="27"/>
      <c r="AG493" s="27"/>
      <c r="AH493" s="27"/>
      <c r="AI493" s="27"/>
      <c r="AJ493" s="27"/>
      <c r="AK493" s="27"/>
      <c r="AL493" s="27"/>
      <c r="AM493" s="27"/>
      <c r="AN493" s="27"/>
      <c r="AO493" s="27"/>
      <c r="AP493" s="27"/>
      <c r="AQ493" s="27"/>
      <c r="AR493" s="27"/>
      <c r="AS493" s="27"/>
      <c r="AT493" s="27"/>
      <c r="AU493" s="27"/>
      <c r="AV493" s="27"/>
      <c r="AW493" s="27"/>
      <c r="AX493" s="27"/>
      <c r="AY493" s="27"/>
      <c r="AZ493" s="27"/>
      <c r="BA493" s="27"/>
      <c r="BB493" s="27"/>
      <c r="BC493" s="27"/>
      <c r="BD493" s="27"/>
      <c r="BE493" s="27"/>
      <c r="BF493" s="27"/>
      <c r="BG493" s="27"/>
      <c r="BH493" s="27"/>
      <c r="BI493" s="27"/>
      <c r="BJ493" s="27"/>
      <c r="BK493" s="27"/>
      <c r="BL493" s="27"/>
      <c r="BM493" s="27"/>
      <c r="BN493" s="27"/>
      <c r="BO493" s="27"/>
      <c r="BP493" s="27"/>
      <c r="BQ493" s="27"/>
      <c r="BR493" s="27"/>
      <c r="BS493" s="27"/>
      <c r="BT493" s="27"/>
      <c r="BU493" s="27"/>
      <c r="BV493" s="27"/>
      <c r="BW493" s="27"/>
      <c r="BX493" s="27"/>
      <c r="BY493" s="27"/>
      <c r="BZ493" s="27"/>
      <c r="CA493" s="27"/>
      <c r="CB493" s="27"/>
      <c r="CC493" s="27"/>
      <c r="CD493" s="27"/>
      <c r="CE493" s="27"/>
      <c r="CF493" s="27"/>
      <c r="CG493" s="27"/>
      <c r="CH493" s="27"/>
      <c r="CI493" s="27"/>
      <c r="CJ493" s="27"/>
      <c r="CK493" s="27"/>
      <c r="CL493" s="27"/>
      <c r="CM493" s="27"/>
      <c r="CN493" s="27"/>
      <c r="CO493" s="27"/>
      <c r="CP493" s="27"/>
      <c r="CQ493" s="27"/>
      <c r="CR493" s="27"/>
      <c r="CS493" s="27"/>
      <c r="CT493" s="27"/>
      <c r="CU493" s="27"/>
      <c r="CV493" s="27"/>
      <c r="CW493" s="27"/>
      <c r="CX493" s="27"/>
      <c r="CY493" s="27"/>
      <c r="CZ493" s="27"/>
      <c r="DA493" s="27"/>
      <c r="DB493" s="27"/>
      <c r="DC493" s="27"/>
      <c r="DD493" s="27"/>
      <c r="DE493" s="27"/>
      <c r="DF493" s="27"/>
      <c r="DG493" s="27"/>
      <c r="DH493" s="27"/>
      <c r="DI493" s="27"/>
      <c r="DJ493" s="27"/>
      <c r="DK493" s="27"/>
      <c r="DL493" s="27"/>
      <c r="DM493" s="27"/>
      <c r="DN493" s="27"/>
      <c r="DO493" s="27"/>
      <c r="DP493" s="27"/>
      <c r="DQ493" s="27"/>
      <c r="DR493" s="27"/>
      <c r="DS493" s="27"/>
      <c r="DT493" s="27"/>
    </row>
    <row r="494" spans="2:124" x14ac:dyDescent="0.2">
      <c r="G494" s="27"/>
      <c r="H494" s="27"/>
      <c r="I494" s="27"/>
      <c r="J494" s="27"/>
      <c r="K494" s="27"/>
      <c r="L494" s="27"/>
      <c r="M494" s="27"/>
      <c r="N494" s="27"/>
      <c r="O494" s="27"/>
      <c r="P494" s="27"/>
      <c r="Q494" s="27"/>
      <c r="R494" s="27"/>
      <c r="S494" s="27"/>
      <c r="T494" s="27"/>
      <c r="U494" s="27"/>
      <c r="V494" s="27"/>
      <c r="W494" s="27"/>
      <c r="X494" s="27"/>
      <c r="Y494" s="27"/>
      <c r="Z494" s="27"/>
      <c r="AA494" s="27"/>
      <c r="AB494" s="27"/>
      <c r="AC494" s="27"/>
      <c r="AD494" s="27"/>
      <c r="AE494" s="27"/>
      <c r="AF494" s="27"/>
      <c r="AG494" s="27"/>
      <c r="AH494" s="27"/>
      <c r="AI494" s="27"/>
      <c r="AJ494" s="27"/>
      <c r="AK494" s="27"/>
      <c r="AL494" s="27"/>
      <c r="AM494" s="27"/>
      <c r="AN494" s="27"/>
      <c r="AO494" s="27"/>
      <c r="AP494" s="27"/>
      <c r="AQ494" s="27"/>
      <c r="AR494" s="27"/>
      <c r="AS494" s="27"/>
      <c r="AT494" s="27"/>
      <c r="AU494" s="27"/>
      <c r="AV494" s="27"/>
      <c r="AW494" s="27"/>
      <c r="AX494" s="27"/>
      <c r="AY494" s="27"/>
      <c r="AZ494" s="27"/>
      <c r="BA494" s="27"/>
      <c r="BB494" s="27"/>
      <c r="BC494" s="27"/>
      <c r="BD494" s="27"/>
      <c r="BE494" s="27"/>
      <c r="BF494" s="27"/>
      <c r="BG494" s="27"/>
      <c r="BH494" s="27"/>
      <c r="BI494" s="27"/>
      <c r="BJ494" s="27"/>
      <c r="BK494" s="27"/>
      <c r="BL494" s="27"/>
      <c r="BM494" s="27"/>
      <c r="BN494" s="27"/>
      <c r="BO494" s="27"/>
      <c r="BP494" s="27"/>
      <c r="BQ494" s="27"/>
      <c r="BR494" s="27"/>
      <c r="BS494" s="27"/>
      <c r="BT494" s="27"/>
      <c r="BU494" s="27"/>
      <c r="BV494" s="27"/>
      <c r="BW494" s="27"/>
      <c r="BX494" s="27"/>
      <c r="BY494" s="27"/>
      <c r="BZ494" s="27"/>
      <c r="CA494" s="27"/>
      <c r="CB494" s="27"/>
      <c r="CC494" s="27"/>
      <c r="CD494" s="27"/>
      <c r="CE494" s="27"/>
      <c r="CF494" s="27"/>
      <c r="CG494" s="27"/>
      <c r="CH494" s="27"/>
      <c r="CI494" s="27"/>
      <c r="CJ494" s="27"/>
      <c r="CK494" s="27"/>
      <c r="CL494" s="27"/>
      <c r="CM494" s="27"/>
      <c r="CN494" s="27"/>
      <c r="CO494" s="27"/>
      <c r="CP494" s="27"/>
      <c r="CQ494" s="27"/>
      <c r="CR494" s="27"/>
      <c r="CS494" s="27"/>
      <c r="CT494" s="27"/>
      <c r="CU494" s="27"/>
      <c r="CV494" s="27"/>
      <c r="CW494" s="27"/>
      <c r="CX494" s="27"/>
      <c r="CY494" s="27"/>
      <c r="CZ494" s="27"/>
      <c r="DA494" s="27"/>
      <c r="DB494" s="27"/>
      <c r="DC494" s="27"/>
      <c r="DD494" s="27"/>
      <c r="DE494" s="27"/>
      <c r="DF494" s="27"/>
      <c r="DG494" s="27"/>
      <c r="DH494" s="27"/>
      <c r="DI494" s="27"/>
      <c r="DJ494" s="27"/>
      <c r="DK494" s="27"/>
      <c r="DL494" s="27"/>
      <c r="DM494" s="27"/>
      <c r="DN494" s="27"/>
      <c r="DO494" s="27"/>
      <c r="DP494" s="27"/>
      <c r="DQ494" s="27"/>
      <c r="DR494" s="27"/>
      <c r="DS494" s="27"/>
      <c r="DT494" s="27"/>
    </row>
    <row r="495" spans="2:124" x14ac:dyDescent="0.2">
      <c r="G495" s="27"/>
      <c r="H495" s="27"/>
      <c r="I495" s="27"/>
      <c r="J495" s="27"/>
      <c r="K495" s="27"/>
      <c r="L495" s="27"/>
      <c r="M495" s="27"/>
      <c r="N495" s="27"/>
      <c r="O495" s="27"/>
      <c r="P495" s="27"/>
      <c r="Q495" s="27"/>
      <c r="R495" s="27"/>
      <c r="S495" s="27"/>
      <c r="T495" s="27"/>
      <c r="U495" s="27"/>
      <c r="V495" s="27"/>
      <c r="W495" s="27"/>
      <c r="X495" s="27"/>
      <c r="Y495" s="27"/>
      <c r="Z495" s="27"/>
      <c r="AA495" s="27"/>
      <c r="AB495" s="27"/>
      <c r="AC495" s="27"/>
      <c r="AD495" s="27"/>
      <c r="AE495" s="27"/>
      <c r="AF495" s="27"/>
      <c r="AG495" s="27"/>
      <c r="AH495" s="27"/>
      <c r="AI495" s="27"/>
      <c r="AJ495" s="27"/>
      <c r="AK495" s="27"/>
      <c r="AL495" s="27"/>
      <c r="AM495" s="27"/>
      <c r="AN495" s="27"/>
      <c r="AO495" s="27"/>
      <c r="AP495" s="27"/>
      <c r="AQ495" s="27"/>
      <c r="AR495" s="27"/>
      <c r="AS495" s="27"/>
      <c r="AT495" s="27"/>
      <c r="AU495" s="27"/>
      <c r="AV495" s="27"/>
      <c r="AW495" s="27"/>
      <c r="AX495" s="27"/>
      <c r="AY495" s="27"/>
      <c r="AZ495" s="27"/>
      <c r="BA495" s="27"/>
      <c r="BB495" s="27"/>
      <c r="BC495" s="27"/>
      <c r="BD495" s="27"/>
      <c r="BE495" s="27"/>
      <c r="BF495" s="27"/>
      <c r="BG495" s="27"/>
      <c r="BH495" s="27"/>
      <c r="BI495" s="27"/>
      <c r="BJ495" s="27"/>
      <c r="BK495" s="27"/>
      <c r="BL495" s="27"/>
      <c r="BM495" s="27"/>
      <c r="BN495" s="27"/>
      <c r="BO495" s="27"/>
      <c r="BP495" s="27"/>
      <c r="BQ495" s="27"/>
      <c r="BR495" s="27"/>
      <c r="BS495" s="27"/>
      <c r="BT495" s="27"/>
      <c r="BU495" s="27"/>
      <c r="BV495" s="27"/>
      <c r="BW495" s="27"/>
      <c r="BX495" s="27"/>
      <c r="BY495" s="27"/>
      <c r="BZ495" s="27"/>
      <c r="CA495" s="27"/>
      <c r="CB495" s="27"/>
      <c r="CC495" s="27"/>
      <c r="CD495" s="27"/>
      <c r="CE495" s="27"/>
      <c r="CF495" s="27"/>
      <c r="CG495" s="27"/>
      <c r="CH495" s="27"/>
      <c r="CI495" s="27"/>
      <c r="CJ495" s="27"/>
      <c r="CK495" s="27"/>
      <c r="CL495" s="27"/>
      <c r="CM495" s="27"/>
      <c r="CN495" s="27"/>
      <c r="CO495" s="27"/>
      <c r="CP495" s="27"/>
      <c r="CQ495" s="27"/>
      <c r="CR495" s="27"/>
      <c r="CS495" s="27"/>
      <c r="CT495" s="27"/>
      <c r="CU495" s="27"/>
      <c r="CV495" s="27"/>
      <c r="CW495" s="27"/>
      <c r="CX495" s="27"/>
      <c r="CY495" s="27"/>
      <c r="CZ495" s="27"/>
      <c r="DA495" s="27"/>
      <c r="DB495" s="27"/>
      <c r="DC495" s="27"/>
      <c r="DD495" s="27"/>
      <c r="DE495" s="27"/>
      <c r="DF495" s="27"/>
      <c r="DG495" s="27"/>
      <c r="DH495" s="27"/>
      <c r="DI495" s="27"/>
      <c r="DJ495" s="27"/>
      <c r="DK495" s="27"/>
      <c r="DL495" s="27"/>
      <c r="DM495" s="27"/>
      <c r="DN495" s="27"/>
      <c r="DO495" s="27"/>
      <c r="DP495" s="27"/>
      <c r="DQ495" s="27"/>
      <c r="DR495" s="27"/>
      <c r="DS495" s="27"/>
      <c r="DT495" s="27"/>
    </row>
    <row r="496" spans="2:124" x14ac:dyDescent="0.2">
      <c r="G496" s="27"/>
      <c r="H496" s="27"/>
      <c r="I496" s="27"/>
      <c r="J496" s="27"/>
      <c r="K496" s="27"/>
      <c r="L496" s="27"/>
      <c r="M496" s="27"/>
      <c r="N496" s="27"/>
      <c r="O496" s="27"/>
      <c r="P496" s="27"/>
      <c r="Q496" s="27"/>
      <c r="R496" s="27"/>
      <c r="S496" s="27"/>
      <c r="T496" s="27"/>
      <c r="U496" s="27"/>
      <c r="V496" s="27"/>
      <c r="W496" s="27"/>
      <c r="X496" s="27"/>
      <c r="Y496" s="27"/>
      <c r="Z496" s="27"/>
      <c r="AA496" s="27"/>
      <c r="AB496" s="27"/>
      <c r="AC496" s="27"/>
      <c r="AD496" s="27"/>
      <c r="AE496" s="27"/>
      <c r="AF496" s="27"/>
      <c r="AG496" s="27"/>
      <c r="AH496" s="27"/>
      <c r="AI496" s="27"/>
      <c r="AJ496" s="27"/>
      <c r="AK496" s="27"/>
      <c r="AL496" s="27"/>
      <c r="AM496" s="27"/>
      <c r="AN496" s="27"/>
      <c r="AO496" s="27"/>
      <c r="AP496" s="27"/>
      <c r="AQ496" s="27"/>
      <c r="AR496" s="27"/>
      <c r="AS496" s="27"/>
      <c r="AT496" s="27"/>
      <c r="AU496" s="27"/>
      <c r="AV496" s="27"/>
      <c r="AW496" s="27"/>
      <c r="AX496" s="27"/>
      <c r="AY496" s="27"/>
      <c r="AZ496" s="27"/>
      <c r="BA496" s="27"/>
      <c r="BB496" s="27"/>
      <c r="BC496" s="27"/>
      <c r="BD496" s="27"/>
      <c r="BE496" s="27"/>
      <c r="BF496" s="27"/>
      <c r="BG496" s="27"/>
      <c r="BH496" s="27"/>
      <c r="BI496" s="27"/>
      <c r="BJ496" s="27"/>
      <c r="BK496" s="27"/>
      <c r="BL496" s="27"/>
      <c r="BM496" s="27"/>
      <c r="BN496" s="27"/>
      <c r="BO496" s="27"/>
      <c r="BP496" s="27"/>
      <c r="BQ496" s="27"/>
      <c r="BR496" s="27"/>
      <c r="BS496" s="27"/>
      <c r="BT496" s="27"/>
      <c r="BU496" s="27"/>
      <c r="BV496" s="27"/>
      <c r="BW496" s="27"/>
      <c r="BX496" s="27"/>
      <c r="BY496" s="27"/>
      <c r="BZ496" s="27"/>
      <c r="CA496" s="27"/>
      <c r="CB496" s="27"/>
      <c r="CC496" s="27"/>
      <c r="CD496" s="27"/>
      <c r="CE496" s="27"/>
      <c r="CF496" s="27"/>
      <c r="CG496" s="27"/>
      <c r="CH496" s="27"/>
      <c r="CI496" s="27"/>
      <c r="CJ496" s="27"/>
      <c r="CK496" s="27"/>
      <c r="CL496" s="27"/>
      <c r="CM496" s="27"/>
      <c r="CN496" s="27"/>
      <c r="CO496" s="27"/>
      <c r="CP496" s="27"/>
      <c r="CQ496" s="27"/>
      <c r="CR496" s="27"/>
      <c r="CS496" s="27"/>
      <c r="CT496" s="27"/>
      <c r="CU496" s="27"/>
      <c r="CV496" s="27"/>
      <c r="CW496" s="27"/>
      <c r="CX496" s="27"/>
      <c r="CY496" s="27"/>
      <c r="CZ496" s="27"/>
      <c r="DA496" s="27"/>
      <c r="DB496" s="27"/>
      <c r="DC496" s="27"/>
      <c r="DD496" s="27"/>
      <c r="DE496" s="27"/>
      <c r="DF496" s="27"/>
      <c r="DG496" s="27"/>
      <c r="DH496" s="27"/>
      <c r="DI496" s="27"/>
      <c r="DJ496" s="27"/>
      <c r="DK496" s="27"/>
      <c r="DL496" s="27"/>
      <c r="DM496" s="27"/>
      <c r="DN496" s="27"/>
      <c r="DO496" s="27"/>
      <c r="DP496" s="27"/>
      <c r="DQ496" s="27"/>
      <c r="DR496" s="27"/>
      <c r="DS496" s="27"/>
      <c r="DT496" s="27"/>
    </row>
    <row r="497" spans="7:124" x14ac:dyDescent="0.2">
      <c r="G497" s="27"/>
      <c r="H497" s="27"/>
      <c r="I497" s="27"/>
      <c r="J497" s="27"/>
      <c r="K497" s="27"/>
      <c r="L497" s="27"/>
      <c r="M497" s="27"/>
      <c r="N497" s="27"/>
      <c r="O497" s="27"/>
      <c r="P497" s="27"/>
      <c r="Q497" s="27"/>
      <c r="R497" s="27"/>
      <c r="S497" s="27"/>
      <c r="T497" s="27"/>
      <c r="U497" s="27"/>
      <c r="V497" s="27"/>
      <c r="W497" s="27"/>
      <c r="X497" s="27"/>
      <c r="Y497" s="27"/>
      <c r="Z497" s="27"/>
      <c r="AA497" s="27"/>
      <c r="AB497" s="27"/>
      <c r="AC497" s="27"/>
      <c r="AD497" s="27"/>
      <c r="AE497" s="27"/>
      <c r="AF497" s="27"/>
      <c r="AG497" s="27"/>
      <c r="AH497" s="27"/>
      <c r="AI497" s="27"/>
      <c r="AJ497" s="27"/>
      <c r="AK497" s="27"/>
      <c r="AL497" s="27"/>
      <c r="AM497" s="27"/>
      <c r="AN497" s="27"/>
      <c r="AO497" s="27"/>
      <c r="AP497" s="27"/>
      <c r="AQ497" s="27"/>
      <c r="AR497" s="27"/>
      <c r="AS497" s="27"/>
      <c r="AT497" s="27"/>
      <c r="AU497" s="27"/>
      <c r="AV497" s="27"/>
      <c r="AW497" s="27"/>
      <c r="AX497" s="27"/>
      <c r="AY497" s="27"/>
      <c r="AZ497" s="27"/>
      <c r="BA497" s="27"/>
      <c r="BB497" s="27"/>
      <c r="BC497" s="27"/>
      <c r="BD497" s="27"/>
      <c r="BE497" s="27"/>
      <c r="BF497" s="27"/>
      <c r="BG497" s="27"/>
      <c r="BH497" s="27"/>
      <c r="BI497" s="27"/>
      <c r="BJ497" s="27"/>
      <c r="BK497" s="27"/>
      <c r="BL497" s="27"/>
      <c r="BM497" s="27"/>
      <c r="BN497" s="27"/>
      <c r="BO497" s="27"/>
      <c r="BP497" s="27"/>
      <c r="BQ497" s="27"/>
      <c r="BR497" s="27"/>
      <c r="BS497" s="27"/>
      <c r="BT497" s="27"/>
      <c r="BU497" s="27"/>
      <c r="BV497" s="27"/>
      <c r="BW497" s="27"/>
      <c r="BX497" s="27"/>
      <c r="BY497" s="27"/>
      <c r="BZ497" s="27"/>
      <c r="CA497" s="27"/>
      <c r="CB497" s="27"/>
      <c r="CC497" s="27"/>
      <c r="CD497" s="27"/>
      <c r="CE497" s="27"/>
      <c r="CF497" s="27"/>
      <c r="CG497" s="27"/>
      <c r="CH497" s="27"/>
      <c r="CI497" s="27"/>
      <c r="CJ497" s="27"/>
      <c r="CK497" s="27"/>
      <c r="CL497" s="27"/>
      <c r="CM497" s="27"/>
      <c r="CN497" s="27"/>
      <c r="CO497" s="27"/>
      <c r="CP497" s="27"/>
      <c r="CQ497" s="27"/>
      <c r="CR497" s="27"/>
      <c r="CS497" s="27"/>
      <c r="CT497" s="27"/>
      <c r="CU497" s="27"/>
      <c r="CV497" s="27"/>
      <c r="CW497" s="27"/>
      <c r="CX497" s="27"/>
      <c r="CY497" s="27"/>
      <c r="CZ497" s="27"/>
      <c r="DA497" s="27"/>
      <c r="DB497" s="27"/>
      <c r="DC497" s="27"/>
      <c r="DD497" s="27"/>
      <c r="DE497" s="27"/>
      <c r="DF497" s="27"/>
      <c r="DG497" s="27"/>
      <c r="DH497" s="27"/>
      <c r="DI497" s="27"/>
      <c r="DJ497" s="27"/>
      <c r="DK497" s="27"/>
      <c r="DL497" s="27"/>
      <c r="DM497" s="27"/>
      <c r="DN497" s="27"/>
      <c r="DO497" s="27"/>
      <c r="DP497" s="27"/>
      <c r="DQ497" s="27"/>
      <c r="DR497" s="27"/>
      <c r="DS497" s="27"/>
      <c r="DT497" s="27"/>
    </row>
    <row r="498" spans="7:124" x14ac:dyDescent="0.2">
      <c r="G498" s="27"/>
      <c r="H498" s="27"/>
      <c r="I498" s="27"/>
      <c r="J498" s="27"/>
      <c r="K498" s="27"/>
      <c r="L498" s="27"/>
      <c r="M498" s="27"/>
      <c r="N498" s="27"/>
      <c r="O498" s="27"/>
      <c r="P498" s="27"/>
      <c r="Q498" s="27"/>
      <c r="R498" s="27"/>
      <c r="S498" s="27"/>
      <c r="T498" s="27"/>
      <c r="U498" s="27"/>
      <c r="V498" s="27"/>
      <c r="W498" s="27"/>
      <c r="X498" s="27"/>
      <c r="Y498" s="27"/>
      <c r="Z498" s="27"/>
      <c r="AA498" s="27"/>
      <c r="AB498" s="27"/>
      <c r="AC498" s="27"/>
      <c r="AD498" s="27"/>
      <c r="AE498" s="27"/>
      <c r="AF498" s="27"/>
      <c r="AG498" s="27"/>
      <c r="AH498" s="27"/>
      <c r="AI498" s="27"/>
      <c r="AJ498" s="27"/>
      <c r="AK498" s="27"/>
      <c r="AL498" s="27"/>
      <c r="AM498" s="27"/>
      <c r="AN498" s="27"/>
      <c r="AO498" s="27"/>
      <c r="AP498" s="27"/>
      <c r="AQ498" s="27"/>
      <c r="AR498" s="27"/>
      <c r="AS498" s="27"/>
      <c r="AT498" s="27"/>
      <c r="AU498" s="27"/>
      <c r="AV498" s="27"/>
      <c r="AW498" s="27"/>
      <c r="AX498" s="27"/>
      <c r="AY498" s="27"/>
      <c r="AZ498" s="27"/>
      <c r="BA498" s="27"/>
      <c r="BB498" s="27"/>
      <c r="BC498" s="27"/>
      <c r="BD498" s="27"/>
      <c r="BE498" s="27"/>
      <c r="BF498" s="27"/>
      <c r="BG498" s="27"/>
      <c r="BH498" s="27"/>
      <c r="BI498" s="27"/>
      <c r="BJ498" s="27"/>
      <c r="BK498" s="27"/>
      <c r="BL498" s="27"/>
      <c r="BM498" s="27"/>
      <c r="BN498" s="27"/>
      <c r="BO498" s="27"/>
      <c r="BP498" s="27"/>
      <c r="BQ498" s="27"/>
      <c r="BR498" s="27"/>
      <c r="BS498" s="27"/>
      <c r="BT498" s="27"/>
      <c r="BU498" s="27"/>
      <c r="BV498" s="27"/>
      <c r="BW498" s="27"/>
      <c r="BX498" s="27"/>
      <c r="BY498" s="27"/>
      <c r="BZ498" s="27"/>
      <c r="CA498" s="27"/>
      <c r="CB498" s="27"/>
      <c r="CC498" s="27"/>
      <c r="CD498" s="27"/>
      <c r="CE498" s="27"/>
      <c r="CF498" s="27"/>
      <c r="CG498" s="27"/>
      <c r="CH498" s="27"/>
      <c r="CI498" s="27"/>
      <c r="CJ498" s="27"/>
      <c r="CK498" s="27"/>
      <c r="CL498" s="27"/>
      <c r="CM498" s="27"/>
      <c r="CN498" s="27"/>
      <c r="CO498" s="27"/>
      <c r="CP498" s="27"/>
      <c r="CQ498" s="27"/>
      <c r="CR498" s="27"/>
      <c r="CS498" s="27"/>
      <c r="CT498" s="27"/>
      <c r="CU498" s="27"/>
      <c r="CV498" s="27"/>
      <c r="CW498" s="27"/>
      <c r="CX498" s="27"/>
      <c r="CY498" s="27"/>
      <c r="CZ498" s="27"/>
      <c r="DA498" s="27"/>
      <c r="DB498" s="27"/>
      <c r="DC498" s="27"/>
      <c r="DD498" s="27"/>
      <c r="DE498" s="27"/>
      <c r="DF498" s="27"/>
      <c r="DG498" s="27"/>
      <c r="DH498" s="27"/>
      <c r="DI498" s="27"/>
      <c r="DJ498" s="27"/>
      <c r="DK498" s="27"/>
      <c r="DL498" s="27"/>
      <c r="DM498" s="27"/>
      <c r="DN498" s="27"/>
      <c r="DO498" s="27"/>
      <c r="DP498" s="27"/>
      <c r="DQ498" s="27"/>
      <c r="DR498" s="27"/>
      <c r="DS498" s="27"/>
      <c r="DT498" s="27"/>
    </row>
    <row r="499" spans="7:124" x14ac:dyDescent="0.2">
      <c r="G499" s="27"/>
      <c r="H499" s="27"/>
      <c r="I499" s="27"/>
      <c r="J499" s="27"/>
      <c r="K499" s="27"/>
      <c r="L499" s="27"/>
      <c r="M499" s="27"/>
      <c r="N499" s="27"/>
      <c r="O499" s="27"/>
      <c r="P499" s="27"/>
      <c r="Q499" s="27"/>
      <c r="R499" s="27"/>
      <c r="S499" s="27"/>
      <c r="T499" s="27"/>
      <c r="U499" s="27"/>
      <c r="V499" s="27"/>
      <c r="W499" s="27"/>
      <c r="X499" s="27"/>
      <c r="Y499" s="27"/>
      <c r="Z499" s="27"/>
      <c r="AA499" s="27"/>
      <c r="AB499" s="27"/>
      <c r="AC499" s="27"/>
      <c r="AD499" s="27"/>
      <c r="AE499" s="27"/>
      <c r="AF499" s="27"/>
      <c r="AG499" s="27"/>
      <c r="AH499" s="27"/>
      <c r="AI499" s="27"/>
      <c r="AJ499" s="27"/>
      <c r="AK499" s="27"/>
      <c r="AL499" s="27"/>
      <c r="AM499" s="27"/>
      <c r="AN499" s="27"/>
      <c r="AO499" s="27"/>
      <c r="AP499" s="27"/>
      <c r="AQ499" s="27"/>
      <c r="AR499" s="27"/>
      <c r="AS499" s="27"/>
      <c r="AT499" s="27"/>
      <c r="AU499" s="27"/>
      <c r="AV499" s="27"/>
      <c r="AW499" s="27"/>
      <c r="AX499" s="27"/>
      <c r="AY499" s="27"/>
      <c r="AZ499" s="27"/>
      <c r="BA499" s="27"/>
      <c r="BB499" s="27"/>
      <c r="BC499" s="27"/>
      <c r="BD499" s="27"/>
      <c r="BE499" s="27"/>
      <c r="BF499" s="27"/>
      <c r="BG499" s="27"/>
      <c r="BH499" s="27"/>
      <c r="BI499" s="27"/>
      <c r="BJ499" s="27"/>
      <c r="BK499" s="27"/>
      <c r="BL499" s="27"/>
      <c r="BM499" s="27"/>
      <c r="BN499" s="27"/>
      <c r="BO499" s="27"/>
      <c r="BP499" s="27"/>
      <c r="BQ499" s="27"/>
      <c r="BR499" s="27"/>
      <c r="BS499" s="27"/>
      <c r="BT499" s="27"/>
      <c r="BU499" s="27"/>
      <c r="BV499" s="27"/>
      <c r="BW499" s="27"/>
      <c r="BX499" s="27"/>
      <c r="BY499" s="27"/>
      <c r="BZ499" s="27"/>
      <c r="CA499" s="27"/>
      <c r="CB499" s="27"/>
      <c r="CC499" s="27"/>
      <c r="CD499" s="27"/>
      <c r="CE499" s="27"/>
      <c r="CF499" s="27"/>
      <c r="CG499" s="27"/>
      <c r="CH499" s="27"/>
      <c r="CI499" s="27"/>
      <c r="CJ499" s="27"/>
      <c r="CK499" s="27"/>
      <c r="CL499" s="27"/>
      <c r="CM499" s="27"/>
      <c r="CN499" s="27"/>
      <c r="CO499" s="27"/>
      <c r="CP499" s="27"/>
      <c r="CQ499" s="27"/>
      <c r="CR499" s="27"/>
      <c r="CS499" s="27"/>
      <c r="CT499" s="27"/>
      <c r="CU499" s="27"/>
      <c r="CV499" s="27"/>
      <c r="CW499" s="27"/>
      <c r="CX499" s="27"/>
      <c r="CY499" s="27"/>
      <c r="CZ499" s="27"/>
      <c r="DA499" s="27"/>
      <c r="DB499" s="27"/>
      <c r="DC499" s="27"/>
      <c r="DD499" s="27"/>
      <c r="DE499" s="27"/>
      <c r="DF499" s="27"/>
      <c r="DG499" s="27"/>
      <c r="DH499" s="27"/>
      <c r="DI499" s="27"/>
      <c r="DJ499" s="27"/>
      <c r="DK499" s="27"/>
      <c r="DL499" s="27"/>
      <c r="DM499" s="27"/>
      <c r="DN499" s="27"/>
      <c r="DO499" s="27"/>
      <c r="DP499" s="27"/>
      <c r="DQ499" s="27"/>
      <c r="DR499" s="27"/>
      <c r="DS499" s="27"/>
      <c r="DT499" s="27"/>
    </row>
    <row r="500" spans="7:124" x14ac:dyDescent="0.2">
      <c r="G500" s="27"/>
      <c r="H500" s="27"/>
      <c r="I500" s="27"/>
      <c r="J500" s="27"/>
      <c r="K500" s="27"/>
      <c r="L500" s="27"/>
      <c r="M500" s="27"/>
      <c r="N500" s="27"/>
      <c r="O500" s="27"/>
      <c r="P500" s="27"/>
      <c r="Q500" s="27"/>
      <c r="R500" s="27"/>
      <c r="S500" s="27"/>
      <c r="T500" s="27"/>
      <c r="U500" s="27"/>
      <c r="V500" s="27"/>
      <c r="W500" s="27"/>
      <c r="X500" s="27"/>
      <c r="Y500" s="27"/>
      <c r="Z500" s="27"/>
      <c r="AA500" s="27"/>
      <c r="AB500" s="27"/>
      <c r="AC500" s="27"/>
      <c r="AD500" s="27"/>
      <c r="AE500" s="27"/>
      <c r="AF500" s="27"/>
      <c r="AG500" s="27"/>
      <c r="AH500" s="27"/>
      <c r="AI500" s="27"/>
      <c r="AJ500" s="27"/>
      <c r="AK500" s="27"/>
      <c r="AL500" s="27"/>
      <c r="AM500" s="27"/>
      <c r="AN500" s="27"/>
      <c r="AO500" s="27"/>
      <c r="AP500" s="27"/>
      <c r="AQ500" s="27"/>
      <c r="AR500" s="27"/>
      <c r="AS500" s="27"/>
      <c r="AT500" s="27"/>
      <c r="AU500" s="27"/>
      <c r="AV500" s="27"/>
      <c r="AW500" s="27"/>
      <c r="AX500" s="27"/>
      <c r="AY500" s="27"/>
      <c r="AZ500" s="27"/>
      <c r="BA500" s="27"/>
      <c r="BB500" s="27"/>
      <c r="BC500" s="27"/>
      <c r="BD500" s="27"/>
      <c r="BE500" s="27"/>
      <c r="BF500" s="27"/>
      <c r="BG500" s="27"/>
      <c r="BH500" s="27"/>
      <c r="BI500" s="27"/>
      <c r="BJ500" s="27"/>
      <c r="BK500" s="27"/>
      <c r="BL500" s="27"/>
      <c r="BM500" s="27"/>
      <c r="BN500" s="27"/>
      <c r="BO500" s="27"/>
      <c r="BP500" s="27"/>
      <c r="BQ500" s="27"/>
      <c r="BR500" s="27"/>
      <c r="BS500" s="27"/>
      <c r="BT500" s="27"/>
      <c r="BU500" s="27"/>
      <c r="BV500" s="27"/>
      <c r="BW500" s="27"/>
      <c r="BX500" s="27"/>
      <c r="BY500" s="27"/>
      <c r="BZ500" s="27"/>
      <c r="CA500" s="27"/>
      <c r="CB500" s="27"/>
      <c r="CC500" s="27"/>
      <c r="CD500" s="27"/>
      <c r="CE500" s="27"/>
      <c r="CF500" s="27"/>
      <c r="CG500" s="27"/>
      <c r="CH500" s="27"/>
      <c r="CI500" s="27"/>
      <c r="CJ500" s="27"/>
      <c r="CK500" s="27"/>
      <c r="CL500" s="27"/>
      <c r="CM500" s="27"/>
      <c r="CN500" s="27"/>
      <c r="CO500" s="27"/>
      <c r="CP500" s="27"/>
      <c r="CQ500" s="27"/>
      <c r="CR500" s="27"/>
      <c r="CS500" s="27"/>
      <c r="CT500" s="27"/>
      <c r="CU500" s="27"/>
      <c r="CV500" s="27"/>
      <c r="CW500" s="27"/>
      <c r="CX500" s="27"/>
      <c r="CY500" s="27"/>
      <c r="CZ500" s="27"/>
      <c r="DA500" s="27"/>
      <c r="DB500" s="27"/>
      <c r="DC500" s="27"/>
      <c r="DD500" s="27"/>
      <c r="DE500" s="27"/>
      <c r="DF500" s="27"/>
      <c r="DG500" s="27"/>
      <c r="DH500" s="27"/>
      <c r="DI500" s="27"/>
      <c r="DJ500" s="27"/>
      <c r="DK500" s="27"/>
      <c r="DL500" s="27"/>
      <c r="DM500" s="27"/>
      <c r="DN500" s="27"/>
      <c r="DO500" s="27"/>
      <c r="DP500" s="27"/>
      <c r="DQ500" s="27"/>
      <c r="DR500" s="27"/>
      <c r="DS500" s="27"/>
      <c r="DT500" s="27"/>
    </row>
    <row r="501" spans="7:124" x14ac:dyDescent="0.2">
      <c r="G501" s="27"/>
      <c r="H501" s="27"/>
      <c r="I501" s="27"/>
      <c r="J501" s="27"/>
      <c r="K501" s="27"/>
      <c r="L501" s="27"/>
      <c r="M501" s="27"/>
      <c r="N501" s="27"/>
      <c r="O501" s="27"/>
      <c r="P501" s="27"/>
      <c r="Q501" s="27"/>
      <c r="R501" s="27"/>
      <c r="S501" s="27"/>
      <c r="T501" s="27"/>
      <c r="U501" s="27"/>
      <c r="V501" s="27"/>
      <c r="W501" s="27"/>
      <c r="X501" s="27"/>
      <c r="Y501" s="27"/>
      <c r="Z501" s="27"/>
      <c r="AA501" s="27"/>
      <c r="AB501" s="27"/>
      <c r="AC501" s="27"/>
      <c r="AD501" s="27"/>
      <c r="AE501" s="27"/>
      <c r="AF501" s="27"/>
      <c r="AG501" s="27"/>
      <c r="AH501" s="27"/>
      <c r="AI501" s="27"/>
      <c r="AJ501" s="27"/>
      <c r="AK501" s="27"/>
      <c r="AL501" s="27"/>
      <c r="AM501" s="27"/>
      <c r="AN501" s="27"/>
      <c r="AO501" s="27"/>
      <c r="AP501" s="27"/>
      <c r="AQ501" s="27"/>
      <c r="AR501" s="27"/>
      <c r="AS501" s="27"/>
      <c r="AT501" s="27"/>
      <c r="AU501" s="27"/>
      <c r="AV501" s="27"/>
      <c r="AW501" s="27"/>
      <c r="AX501" s="27"/>
      <c r="AY501" s="27"/>
      <c r="AZ501" s="27"/>
      <c r="BA501" s="27"/>
      <c r="BB501" s="27"/>
      <c r="BC501" s="27"/>
      <c r="BD501" s="27"/>
      <c r="BE501" s="27"/>
      <c r="BF501" s="27"/>
      <c r="BG501" s="27"/>
      <c r="BH501" s="27"/>
      <c r="BI501" s="27"/>
      <c r="BJ501" s="27"/>
      <c r="BK501" s="27"/>
      <c r="BL501" s="27"/>
      <c r="BM501" s="27"/>
      <c r="BN501" s="27"/>
      <c r="BO501" s="27"/>
      <c r="BP501" s="27"/>
      <c r="BQ501" s="27"/>
      <c r="BR501" s="27"/>
      <c r="BS501" s="27"/>
      <c r="BT501" s="27"/>
      <c r="BU501" s="27"/>
      <c r="BV501" s="27"/>
      <c r="BW501" s="27"/>
      <c r="BX501" s="27"/>
      <c r="BY501" s="27"/>
      <c r="BZ501" s="27"/>
      <c r="CA501" s="27"/>
      <c r="CB501" s="27"/>
      <c r="CC501" s="27"/>
      <c r="CD501" s="27"/>
      <c r="CE501" s="27"/>
      <c r="CF501" s="27"/>
      <c r="CG501" s="27"/>
      <c r="CH501" s="27"/>
      <c r="CI501" s="27"/>
      <c r="CJ501" s="27"/>
      <c r="CK501" s="27"/>
      <c r="CL501" s="27"/>
      <c r="CM501" s="27"/>
      <c r="CN501" s="27"/>
      <c r="CO501" s="27"/>
      <c r="CP501" s="27"/>
      <c r="CQ501" s="27"/>
      <c r="CR501" s="27"/>
      <c r="CS501" s="27"/>
      <c r="CT501" s="27"/>
      <c r="CU501" s="27"/>
      <c r="CV501" s="27"/>
      <c r="CW501" s="27"/>
      <c r="CX501" s="27"/>
      <c r="CY501" s="27"/>
      <c r="CZ501" s="27"/>
      <c r="DA501" s="27"/>
      <c r="DB501" s="27"/>
      <c r="DC501" s="27"/>
      <c r="DD501" s="27"/>
      <c r="DE501" s="27"/>
      <c r="DF501" s="27"/>
      <c r="DG501" s="27"/>
      <c r="DH501" s="27"/>
      <c r="DI501" s="27"/>
      <c r="DJ501" s="27"/>
      <c r="DK501" s="27"/>
      <c r="DL501" s="27"/>
      <c r="DM501" s="27"/>
      <c r="DN501" s="27"/>
      <c r="DO501" s="27"/>
      <c r="DP501" s="27"/>
      <c r="DQ501" s="27"/>
      <c r="DR501" s="27"/>
      <c r="DS501" s="27"/>
      <c r="DT501" s="27"/>
    </row>
    <row r="502" spans="7:124" x14ac:dyDescent="0.2">
      <c r="G502" s="27"/>
      <c r="H502" s="27"/>
      <c r="I502" s="27"/>
      <c r="J502" s="27"/>
      <c r="K502" s="27"/>
      <c r="L502" s="27"/>
      <c r="M502" s="27"/>
      <c r="N502" s="27"/>
      <c r="O502" s="27"/>
      <c r="P502" s="27"/>
      <c r="Q502" s="27"/>
      <c r="R502" s="27"/>
      <c r="S502" s="27"/>
      <c r="T502" s="27"/>
      <c r="U502" s="27"/>
      <c r="V502" s="27"/>
      <c r="W502" s="27"/>
      <c r="X502" s="27"/>
      <c r="Y502" s="27"/>
      <c r="Z502" s="27"/>
      <c r="AA502" s="27"/>
      <c r="AB502" s="27"/>
      <c r="AC502" s="27"/>
      <c r="AD502" s="27"/>
      <c r="AE502" s="27"/>
      <c r="AF502" s="27"/>
      <c r="AG502" s="27"/>
      <c r="AH502" s="27"/>
      <c r="AI502" s="27"/>
      <c r="AJ502" s="27"/>
      <c r="AK502" s="27"/>
      <c r="AL502" s="27"/>
      <c r="AM502" s="27"/>
      <c r="AN502" s="27"/>
      <c r="AO502" s="27"/>
      <c r="AP502" s="27"/>
      <c r="AQ502" s="27"/>
      <c r="AR502" s="27"/>
      <c r="AS502" s="27"/>
      <c r="AT502" s="27"/>
      <c r="AU502" s="27"/>
      <c r="AV502" s="27"/>
      <c r="AW502" s="27"/>
      <c r="AX502" s="27"/>
      <c r="AY502" s="27"/>
      <c r="AZ502" s="27"/>
      <c r="BA502" s="27"/>
      <c r="BB502" s="27"/>
      <c r="BC502" s="27"/>
      <c r="BD502" s="27"/>
      <c r="BE502" s="27"/>
      <c r="BF502" s="27"/>
      <c r="BG502" s="27"/>
      <c r="BH502" s="27"/>
      <c r="BI502" s="27"/>
      <c r="BJ502" s="27"/>
      <c r="BK502" s="27"/>
      <c r="BL502" s="27"/>
      <c r="BM502" s="27"/>
      <c r="BN502" s="27"/>
      <c r="BO502" s="27"/>
      <c r="BP502" s="27"/>
      <c r="BQ502" s="27"/>
      <c r="BR502" s="27"/>
      <c r="BS502" s="27"/>
      <c r="BT502" s="27"/>
      <c r="BU502" s="27"/>
      <c r="BV502" s="27"/>
      <c r="BW502" s="27"/>
      <c r="BX502" s="27"/>
      <c r="BY502" s="27"/>
      <c r="BZ502" s="27"/>
      <c r="CA502" s="27"/>
      <c r="CB502" s="27"/>
      <c r="CC502" s="27"/>
      <c r="CD502" s="27"/>
      <c r="CE502" s="27"/>
      <c r="CF502" s="27"/>
      <c r="CG502" s="27"/>
      <c r="CH502" s="27"/>
      <c r="CI502" s="27"/>
      <c r="CJ502" s="27"/>
      <c r="CK502" s="27"/>
      <c r="CL502" s="27"/>
      <c r="CM502" s="27"/>
      <c r="CN502" s="27"/>
      <c r="CO502" s="27"/>
      <c r="CP502" s="27"/>
      <c r="CQ502" s="27"/>
      <c r="CR502" s="27"/>
      <c r="CS502" s="27"/>
      <c r="CT502" s="27"/>
      <c r="CU502" s="27"/>
      <c r="CV502" s="27"/>
      <c r="CW502" s="27"/>
      <c r="CX502" s="27"/>
      <c r="CY502" s="27"/>
      <c r="CZ502" s="27"/>
      <c r="DA502" s="27"/>
      <c r="DB502" s="27"/>
      <c r="DC502" s="27"/>
      <c r="DD502" s="27"/>
      <c r="DE502" s="27"/>
      <c r="DF502" s="27"/>
      <c r="DG502" s="27"/>
      <c r="DH502" s="27"/>
      <c r="DI502" s="27"/>
      <c r="DJ502" s="27"/>
      <c r="DK502" s="27"/>
      <c r="DL502" s="27"/>
      <c r="DM502" s="27"/>
      <c r="DN502" s="27"/>
      <c r="DO502" s="27"/>
      <c r="DP502" s="27"/>
      <c r="DQ502" s="27"/>
      <c r="DR502" s="27"/>
      <c r="DS502" s="27"/>
      <c r="DT502" s="27"/>
    </row>
    <row r="503" spans="7:124" x14ac:dyDescent="0.2">
      <c r="G503" s="27"/>
      <c r="H503" s="27"/>
      <c r="I503" s="27"/>
      <c r="J503" s="27"/>
      <c r="K503" s="27"/>
      <c r="L503" s="27"/>
      <c r="M503" s="27"/>
      <c r="N503" s="27"/>
      <c r="O503" s="27"/>
      <c r="P503" s="27"/>
      <c r="Q503" s="27"/>
      <c r="R503" s="27"/>
      <c r="S503" s="27"/>
      <c r="T503" s="27"/>
      <c r="U503" s="27"/>
      <c r="V503" s="27"/>
      <c r="W503" s="27"/>
      <c r="X503" s="27"/>
      <c r="Y503" s="27"/>
      <c r="Z503" s="27"/>
      <c r="AA503" s="27"/>
      <c r="AB503" s="27"/>
      <c r="AC503" s="27"/>
      <c r="AD503" s="27"/>
      <c r="AE503" s="27"/>
      <c r="AF503" s="27"/>
      <c r="AG503" s="27"/>
      <c r="AH503" s="27"/>
      <c r="AI503" s="27"/>
      <c r="AJ503" s="27"/>
      <c r="AK503" s="27"/>
      <c r="AL503" s="27"/>
      <c r="AM503" s="27"/>
      <c r="AN503" s="27"/>
      <c r="AO503" s="27"/>
      <c r="AP503" s="27"/>
      <c r="AQ503" s="27"/>
      <c r="AR503" s="27"/>
      <c r="AS503" s="27"/>
      <c r="AT503" s="27"/>
      <c r="AU503" s="27"/>
      <c r="AV503" s="27"/>
      <c r="AW503" s="27"/>
      <c r="AX503" s="27"/>
      <c r="AY503" s="27"/>
      <c r="AZ503" s="27"/>
      <c r="BA503" s="27"/>
      <c r="BB503" s="27"/>
      <c r="BC503" s="27"/>
      <c r="BD503" s="27"/>
      <c r="BE503" s="27"/>
      <c r="BF503" s="27"/>
      <c r="BG503" s="27"/>
      <c r="BH503" s="27"/>
      <c r="BI503" s="27"/>
      <c r="BJ503" s="27"/>
      <c r="BK503" s="27"/>
      <c r="BL503" s="27"/>
      <c r="BM503" s="27"/>
      <c r="BN503" s="27"/>
      <c r="BO503" s="27"/>
      <c r="BP503" s="27"/>
      <c r="BQ503" s="27"/>
      <c r="BR503" s="27"/>
      <c r="BS503" s="27"/>
      <c r="BT503" s="27"/>
      <c r="BU503" s="27"/>
      <c r="BV503" s="27"/>
      <c r="BW503" s="27"/>
      <c r="BX503" s="27"/>
      <c r="BY503" s="27"/>
      <c r="BZ503" s="27"/>
      <c r="CA503" s="27"/>
      <c r="CB503" s="27"/>
      <c r="CC503" s="27"/>
      <c r="CD503" s="27"/>
      <c r="CE503" s="27"/>
      <c r="CF503" s="27"/>
      <c r="CG503" s="27"/>
      <c r="CH503" s="27"/>
      <c r="CI503" s="27"/>
      <c r="CJ503" s="27"/>
      <c r="CK503" s="27"/>
      <c r="CL503" s="27"/>
      <c r="CM503" s="27"/>
      <c r="CN503" s="27"/>
      <c r="CO503" s="27"/>
      <c r="CP503" s="27"/>
      <c r="CQ503" s="27"/>
      <c r="CR503" s="27"/>
      <c r="CS503" s="27"/>
      <c r="CT503" s="27"/>
      <c r="CU503" s="27"/>
      <c r="CV503" s="27"/>
      <c r="CW503" s="27"/>
      <c r="CX503" s="27"/>
      <c r="CY503" s="27"/>
      <c r="CZ503" s="27"/>
      <c r="DA503" s="27"/>
      <c r="DB503" s="27"/>
      <c r="DC503" s="27"/>
      <c r="DD503" s="27"/>
      <c r="DE503" s="27"/>
      <c r="DF503" s="27"/>
      <c r="DG503" s="27"/>
      <c r="DH503" s="27"/>
      <c r="DI503" s="27"/>
      <c r="DJ503" s="27"/>
      <c r="DK503" s="27"/>
      <c r="DL503" s="27"/>
      <c r="DM503" s="27"/>
      <c r="DN503" s="27"/>
      <c r="DO503" s="27"/>
      <c r="DP503" s="27"/>
      <c r="DQ503" s="27"/>
      <c r="DR503" s="27"/>
      <c r="DS503" s="27"/>
      <c r="DT503" s="27"/>
    </row>
    <row r="504" spans="7:124" x14ac:dyDescent="0.2">
      <c r="G504" s="27"/>
      <c r="H504" s="27"/>
      <c r="I504" s="27"/>
      <c r="J504" s="27"/>
      <c r="K504" s="27"/>
      <c r="L504" s="27"/>
      <c r="M504" s="27"/>
      <c r="N504" s="27"/>
      <c r="O504" s="27"/>
      <c r="P504" s="27"/>
      <c r="Q504" s="27"/>
      <c r="R504" s="27"/>
      <c r="S504" s="27"/>
      <c r="T504" s="27"/>
      <c r="U504" s="27"/>
      <c r="V504" s="27"/>
      <c r="W504" s="27"/>
      <c r="X504" s="27"/>
      <c r="Y504" s="27"/>
      <c r="Z504" s="27"/>
      <c r="AA504" s="27"/>
      <c r="AB504" s="27"/>
      <c r="AC504" s="27"/>
      <c r="AD504" s="27"/>
      <c r="AE504" s="27"/>
      <c r="AF504" s="27"/>
      <c r="AG504" s="27"/>
      <c r="AH504" s="27"/>
      <c r="AI504" s="27"/>
      <c r="AJ504" s="27"/>
      <c r="AK504" s="27"/>
      <c r="AL504" s="27"/>
      <c r="AM504" s="27"/>
      <c r="AN504" s="27"/>
      <c r="AO504" s="27"/>
      <c r="AP504" s="27"/>
      <c r="AQ504" s="27"/>
      <c r="AR504" s="27"/>
      <c r="AS504" s="27"/>
      <c r="AT504" s="27"/>
      <c r="AU504" s="27"/>
      <c r="AV504" s="27"/>
      <c r="AW504" s="27"/>
      <c r="AX504" s="27"/>
      <c r="AY504" s="27"/>
      <c r="AZ504" s="27"/>
      <c r="BA504" s="27"/>
      <c r="BB504" s="27"/>
      <c r="BC504" s="27"/>
      <c r="BD504" s="27"/>
      <c r="BE504" s="27"/>
      <c r="BF504" s="27"/>
      <c r="BG504" s="27"/>
      <c r="BH504" s="27"/>
      <c r="BI504" s="27"/>
      <c r="BJ504" s="27"/>
      <c r="BK504" s="27"/>
      <c r="BL504" s="27"/>
      <c r="BM504" s="27"/>
      <c r="BN504" s="27"/>
      <c r="BO504" s="27"/>
      <c r="BP504" s="27"/>
      <c r="BQ504" s="27"/>
      <c r="BR504" s="27"/>
      <c r="BS504" s="27"/>
      <c r="BT504" s="27"/>
      <c r="BU504" s="27"/>
      <c r="BV504" s="27"/>
      <c r="BW504" s="27"/>
      <c r="BX504" s="27"/>
      <c r="BY504" s="27"/>
      <c r="BZ504" s="27"/>
      <c r="CA504" s="27"/>
      <c r="CB504" s="27"/>
      <c r="CC504" s="27"/>
      <c r="CD504" s="27"/>
      <c r="CE504" s="27"/>
      <c r="CF504" s="27"/>
      <c r="CG504" s="27"/>
      <c r="CH504" s="27"/>
      <c r="CI504" s="27"/>
      <c r="CJ504" s="27"/>
      <c r="CK504" s="27"/>
      <c r="CL504" s="27"/>
      <c r="CM504" s="27"/>
      <c r="CN504" s="27"/>
      <c r="CO504" s="27"/>
      <c r="CP504" s="27"/>
      <c r="CQ504" s="27"/>
      <c r="CR504" s="27"/>
      <c r="CS504" s="27"/>
      <c r="CT504" s="27"/>
      <c r="CU504" s="27"/>
      <c r="CV504" s="27"/>
      <c r="CW504" s="27"/>
      <c r="CX504" s="27"/>
      <c r="CY504" s="27"/>
      <c r="CZ504" s="27"/>
      <c r="DA504" s="27"/>
      <c r="DB504" s="27"/>
      <c r="DC504" s="27"/>
      <c r="DD504" s="27"/>
      <c r="DE504" s="27"/>
      <c r="DF504" s="27"/>
      <c r="DG504" s="27"/>
      <c r="DH504" s="27"/>
      <c r="DI504" s="27"/>
      <c r="DJ504" s="27"/>
      <c r="DK504" s="27"/>
      <c r="DL504" s="27"/>
      <c r="DM504" s="27"/>
      <c r="DN504" s="27"/>
      <c r="DO504" s="27"/>
      <c r="DP504" s="27"/>
      <c r="DQ504" s="27"/>
      <c r="DR504" s="27"/>
      <c r="DS504" s="27"/>
      <c r="DT504" s="27"/>
    </row>
    <row r="505" spans="7:124" x14ac:dyDescent="0.2">
      <c r="G505" s="27"/>
      <c r="H505" s="27"/>
      <c r="I505" s="27"/>
      <c r="J505" s="27"/>
      <c r="K505" s="27"/>
      <c r="L505" s="27"/>
      <c r="M505" s="27"/>
      <c r="N505" s="27"/>
      <c r="O505" s="27"/>
      <c r="P505" s="27"/>
      <c r="Q505" s="27"/>
      <c r="R505" s="27"/>
      <c r="S505" s="27"/>
      <c r="T505" s="27"/>
      <c r="U505" s="27"/>
      <c r="V505" s="27"/>
      <c r="W505" s="27"/>
      <c r="X505" s="27"/>
      <c r="Y505" s="27"/>
      <c r="Z505" s="27"/>
      <c r="AA505" s="27"/>
      <c r="AB505" s="27"/>
      <c r="AC505" s="27"/>
      <c r="AD505" s="27"/>
      <c r="AE505" s="27"/>
      <c r="AF505" s="27"/>
      <c r="AG505" s="27"/>
      <c r="AH505" s="27"/>
      <c r="AI505" s="27"/>
      <c r="AJ505" s="27"/>
      <c r="AK505" s="27"/>
      <c r="AL505" s="27"/>
      <c r="AM505" s="27"/>
      <c r="AN505" s="27"/>
      <c r="AO505" s="27"/>
      <c r="AP505" s="27"/>
      <c r="AQ505" s="27"/>
      <c r="AR505" s="27"/>
      <c r="AS505" s="27"/>
      <c r="AT505" s="27"/>
      <c r="AU505" s="27"/>
      <c r="AV505" s="27"/>
      <c r="AW505" s="27"/>
      <c r="AX505" s="27"/>
      <c r="AY505" s="27"/>
      <c r="AZ505" s="27"/>
      <c r="BA505" s="27"/>
      <c r="BB505" s="27"/>
      <c r="BC505" s="27"/>
      <c r="BD505" s="27"/>
      <c r="BE505" s="27"/>
      <c r="BF505" s="27"/>
      <c r="BG505" s="27"/>
      <c r="BH505" s="27"/>
      <c r="BI505" s="27"/>
      <c r="BJ505" s="27"/>
      <c r="BK505" s="27"/>
      <c r="BL505" s="27"/>
      <c r="BM505" s="27"/>
      <c r="BN505" s="27"/>
      <c r="BO505" s="27"/>
      <c r="BP505" s="27"/>
      <c r="BQ505" s="27"/>
      <c r="BR505" s="27"/>
      <c r="BS505" s="27"/>
      <c r="BT505" s="27"/>
      <c r="BU505" s="27"/>
      <c r="BV505" s="27"/>
      <c r="BW505" s="27"/>
      <c r="BX505" s="27"/>
      <c r="BY505" s="27"/>
      <c r="BZ505" s="27"/>
      <c r="CA505" s="27"/>
      <c r="CB505" s="27"/>
      <c r="CC505" s="27"/>
      <c r="CD505" s="27"/>
      <c r="CE505" s="27"/>
      <c r="CF505" s="27"/>
      <c r="CG505" s="27"/>
      <c r="CH505" s="27"/>
      <c r="CI505" s="27"/>
      <c r="CJ505" s="27"/>
      <c r="CK505" s="27"/>
      <c r="CL505" s="27"/>
      <c r="CM505" s="27"/>
      <c r="CN505" s="27"/>
      <c r="CO505" s="27"/>
      <c r="CP505" s="27"/>
      <c r="CQ505" s="27"/>
      <c r="CR505" s="27"/>
      <c r="CS505" s="27"/>
      <c r="CT505" s="27"/>
      <c r="CU505" s="27"/>
      <c r="CV505" s="27"/>
      <c r="CW505" s="27"/>
      <c r="CX505" s="27"/>
      <c r="CY505" s="27"/>
      <c r="CZ505" s="27"/>
      <c r="DA505" s="27"/>
      <c r="DB505" s="27"/>
      <c r="DC505" s="27"/>
      <c r="DD505" s="27"/>
      <c r="DE505" s="27"/>
      <c r="DF505" s="27"/>
      <c r="DG505" s="27"/>
      <c r="DH505" s="27"/>
      <c r="DI505" s="27"/>
      <c r="DJ505" s="27"/>
      <c r="DK505" s="27"/>
      <c r="DL505" s="27"/>
      <c r="DM505" s="27"/>
      <c r="DN505" s="27"/>
      <c r="DO505" s="27"/>
      <c r="DP505" s="27"/>
      <c r="DQ505" s="27"/>
      <c r="DR505" s="27"/>
      <c r="DS505" s="27"/>
      <c r="DT505" s="27"/>
    </row>
    <row r="506" spans="7:124" x14ac:dyDescent="0.2">
      <c r="G506" s="27"/>
      <c r="H506" s="27"/>
      <c r="I506" s="27"/>
      <c r="J506" s="27"/>
      <c r="K506" s="27"/>
      <c r="L506" s="27"/>
      <c r="M506" s="27"/>
      <c r="N506" s="27"/>
      <c r="O506" s="27"/>
      <c r="P506" s="27"/>
      <c r="Q506" s="27"/>
      <c r="R506" s="27"/>
      <c r="S506" s="27"/>
      <c r="T506" s="27"/>
      <c r="U506" s="27"/>
      <c r="V506" s="27"/>
      <c r="W506" s="27"/>
      <c r="X506" s="27"/>
      <c r="Y506" s="27"/>
      <c r="Z506" s="27"/>
      <c r="AA506" s="27"/>
      <c r="AB506" s="27"/>
      <c r="AC506" s="27"/>
      <c r="AD506" s="27"/>
      <c r="AE506" s="27"/>
      <c r="AF506" s="27"/>
      <c r="AG506" s="27"/>
      <c r="AH506" s="27"/>
      <c r="AI506" s="27"/>
      <c r="AJ506" s="27"/>
      <c r="AK506" s="27"/>
      <c r="AL506" s="27"/>
      <c r="AM506" s="27"/>
      <c r="AN506" s="27"/>
      <c r="AO506" s="27"/>
      <c r="AP506" s="27"/>
      <c r="AQ506" s="27"/>
      <c r="AR506" s="27"/>
      <c r="AS506" s="27"/>
      <c r="AT506" s="27"/>
      <c r="AU506" s="27"/>
      <c r="AV506" s="27"/>
      <c r="AW506" s="27"/>
      <c r="AX506" s="27"/>
      <c r="AY506" s="27"/>
      <c r="AZ506" s="27"/>
      <c r="BA506" s="27"/>
      <c r="BB506" s="27"/>
      <c r="BC506" s="27"/>
      <c r="BD506" s="27"/>
      <c r="BE506" s="27"/>
      <c r="BF506" s="27"/>
      <c r="BG506" s="27"/>
      <c r="BH506" s="27"/>
      <c r="BI506" s="27"/>
      <c r="BJ506" s="27"/>
      <c r="BK506" s="27"/>
      <c r="BL506" s="27"/>
      <c r="BM506" s="27"/>
      <c r="BN506" s="27"/>
      <c r="BO506" s="27"/>
      <c r="BP506" s="27"/>
      <c r="BQ506" s="27"/>
      <c r="BR506" s="27"/>
      <c r="BS506" s="27"/>
      <c r="BT506" s="27"/>
      <c r="BU506" s="27"/>
      <c r="BV506" s="27"/>
      <c r="BW506" s="27"/>
      <c r="BX506" s="27"/>
      <c r="BY506" s="27"/>
      <c r="BZ506" s="27"/>
      <c r="CA506" s="27"/>
      <c r="CB506" s="27"/>
      <c r="CC506" s="27"/>
      <c r="CD506" s="27"/>
      <c r="CE506" s="27"/>
      <c r="CF506" s="27"/>
      <c r="CG506" s="27"/>
      <c r="CH506" s="27"/>
      <c r="CI506" s="27"/>
      <c r="CJ506" s="27"/>
      <c r="CK506" s="27"/>
      <c r="CL506" s="27"/>
      <c r="CM506" s="27"/>
      <c r="CN506" s="27"/>
      <c r="CO506" s="27"/>
      <c r="CP506" s="27"/>
      <c r="CQ506" s="27"/>
      <c r="CR506" s="27"/>
      <c r="CS506" s="27"/>
      <c r="CT506" s="27"/>
      <c r="CU506" s="27"/>
      <c r="CV506" s="27"/>
      <c r="CW506" s="27"/>
      <c r="CX506" s="27"/>
      <c r="CY506" s="27"/>
      <c r="CZ506" s="27"/>
      <c r="DA506" s="27"/>
      <c r="DB506" s="27"/>
      <c r="DC506" s="27"/>
      <c r="DD506" s="27"/>
      <c r="DE506" s="27"/>
      <c r="DF506" s="27"/>
      <c r="DG506" s="27"/>
      <c r="DH506" s="27"/>
      <c r="DI506" s="27"/>
      <c r="DJ506" s="27"/>
      <c r="DK506" s="27"/>
      <c r="DL506" s="27"/>
      <c r="DM506" s="27"/>
      <c r="DN506" s="27"/>
      <c r="DO506" s="27"/>
      <c r="DP506" s="27"/>
      <c r="DQ506" s="27"/>
      <c r="DR506" s="27"/>
      <c r="DS506" s="27"/>
      <c r="DT506" s="27"/>
    </row>
    <row r="507" spans="7:124" x14ac:dyDescent="0.2">
      <c r="G507" s="27"/>
      <c r="H507" s="27"/>
      <c r="I507" s="27"/>
      <c r="J507" s="27"/>
      <c r="K507" s="27"/>
      <c r="L507" s="27"/>
      <c r="M507" s="27"/>
      <c r="N507" s="27"/>
      <c r="O507" s="27"/>
      <c r="P507" s="27"/>
      <c r="Q507" s="27"/>
      <c r="R507" s="27"/>
      <c r="S507" s="27"/>
      <c r="T507" s="27"/>
      <c r="U507" s="27"/>
      <c r="V507" s="27"/>
      <c r="W507" s="27"/>
      <c r="X507" s="27"/>
      <c r="Y507" s="27"/>
      <c r="Z507" s="27"/>
      <c r="AA507" s="27"/>
      <c r="AB507" s="27"/>
      <c r="AC507" s="27"/>
      <c r="AD507" s="27"/>
      <c r="AE507" s="27"/>
      <c r="AF507" s="27"/>
      <c r="AG507" s="27"/>
      <c r="AH507" s="27"/>
      <c r="AI507" s="27"/>
      <c r="AJ507" s="27"/>
      <c r="AK507" s="27"/>
      <c r="AL507" s="27"/>
      <c r="AM507" s="27"/>
      <c r="AN507" s="27"/>
      <c r="AO507" s="27"/>
      <c r="AP507" s="27"/>
      <c r="AQ507" s="27"/>
      <c r="AR507" s="27"/>
      <c r="AS507" s="27"/>
      <c r="AT507" s="27"/>
      <c r="AU507" s="27"/>
      <c r="AV507" s="27"/>
      <c r="AW507" s="27"/>
      <c r="AX507" s="27"/>
      <c r="AY507" s="27"/>
      <c r="AZ507" s="27"/>
      <c r="BA507" s="27"/>
      <c r="BB507" s="27"/>
      <c r="BC507" s="27"/>
      <c r="BD507" s="27"/>
      <c r="BE507" s="27"/>
      <c r="BF507" s="27"/>
      <c r="BG507" s="27"/>
      <c r="BH507" s="27"/>
      <c r="BI507" s="27"/>
      <c r="BJ507" s="27"/>
      <c r="BK507" s="27"/>
      <c r="BL507" s="27"/>
      <c r="BM507" s="27"/>
      <c r="BN507" s="27"/>
      <c r="BO507" s="27"/>
      <c r="BP507" s="27"/>
      <c r="BQ507" s="27"/>
      <c r="BR507" s="27"/>
      <c r="BS507" s="27"/>
      <c r="BT507" s="27"/>
      <c r="BU507" s="27"/>
      <c r="BV507" s="27"/>
      <c r="BW507" s="27"/>
      <c r="BX507" s="27"/>
      <c r="BY507" s="27"/>
      <c r="BZ507" s="27"/>
      <c r="CA507" s="27"/>
      <c r="CB507" s="27"/>
      <c r="CC507" s="27"/>
      <c r="CD507" s="27"/>
      <c r="CE507" s="27"/>
      <c r="CF507" s="27"/>
      <c r="CG507" s="27"/>
      <c r="CH507" s="27"/>
      <c r="CI507" s="27"/>
      <c r="CJ507" s="27"/>
      <c r="CK507" s="27"/>
      <c r="CL507" s="27"/>
      <c r="CM507" s="27"/>
      <c r="CN507" s="27"/>
      <c r="CO507" s="27"/>
      <c r="CP507" s="27"/>
      <c r="CQ507" s="27"/>
      <c r="CR507" s="27"/>
      <c r="CS507" s="27"/>
      <c r="CT507" s="27"/>
      <c r="CU507" s="27"/>
      <c r="CV507" s="27"/>
      <c r="CW507" s="27"/>
      <c r="CX507" s="27"/>
      <c r="CY507" s="27"/>
      <c r="CZ507" s="27"/>
      <c r="DA507" s="27"/>
      <c r="DB507" s="27"/>
      <c r="DC507" s="27"/>
      <c r="DD507" s="27"/>
      <c r="DE507" s="27"/>
      <c r="DF507" s="27"/>
      <c r="DG507" s="27"/>
      <c r="DH507" s="27"/>
      <c r="DI507" s="27"/>
      <c r="DJ507" s="27"/>
      <c r="DK507" s="27"/>
      <c r="DL507" s="27"/>
      <c r="DM507" s="27"/>
      <c r="DN507" s="27"/>
      <c r="DO507" s="27"/>
      <c r="DP507" s="27"/>
      <c r="DQ507" s="27"/>
      <c r="DR507" s="27"/>
      <c r="DS507" s="27"/>
      <c r="DT507" s="27"/>
    </row>
    <row r="508" spans="7:124" x14ac:dyDescent="0.2">
      <c r="G508" s="27"/>
      <c r="H508" s="27"/>
      <c r="I508" s="27"/>
      <c r="J508" s="27"/>
      <c r="K508" s="27"/>
      <c r="L508" s="27"/>
      <c r="M508" s="27"/>
      <c r="N508" s="27"/>
      <c r="O508" s="27"/>
      <c r="P508" s="27"/>
      <c r="Q508" s="27"/>
      <c r="R508" s="27"/>
      <c r="S508" s="27"/>
      <c r="T508" s="27"/>
      <c r="U508" s="27"/>
      <c r="V508" s="27"/>
      <c r="W508" s="27"/>
      <c r="X508" s="27"/>
      <c r="Y508" s="27"/>
      <c r="Z508" s="27"/>
      <c r="AA508" s="27"/>
      <c r="AB508" s="27"/>
      <c r="AC508" s="27"/>
      <c r="AD508" s="27"/>
      <c r="AE508" s="27"/>
      <c r="AF508" s="27"/>
      <c r="AG508" s="27"/>
      <c r="AH508" s="27"/>
      <c r="AI508" s="27"/>
      <c r="AJ508" s="27"/>
      <c r="AK508" s="27"/>
      <c r="AL508" s="27"/>
      <c r="AM508" s="27"/>
      <c r="AN508" s="27"/>
      <c r="AO508" s="27"/>
      <c r="AP508" s="27"/>
      <c r="AQ508" s="27"/>
      <c r="AR508" s="27"/>
      <c r="AS508" s="27"/>
      <c r="AT508" s="27"/>
      <c r="AU508" s="27"/>
      <c r="AV508" s="27"/>
      <c r="AW508" s="27"/>
      <c r="AX508" s="27"/>
      <c r="AY508" s="27"/>
      <c r="AZ508" s="27"/>
      <c r="BA508" s="27"/>
      <c r="BB508" s="27"/>
      <c r="BC508" s="27"/>
      <c r="BD508" s="27"/>
      <c r="BE508" s="27"/>
      <c r="BF508" s="27"/>
      <c r="BG508" s="27"/>
      <c r="BH508" s="27"/>
      <c r="BI508" s="27"/>
      <c r="BJ508" s="27"/>
      <c r="BK508" s="27"/>
      <c r="BL508" s="27"/>
      <c r="BM508" s="27"/>
      <c r="BN508" s="27"/>
      <c r="BO508" s="27"/>
      <c r="BP508" s="27"/>
      <c r="BQ508" s="27"/>
      <c r="BR508" s="27"/>
      <c r="BS508" s="27"/>
      <c r="BT508" s="27"/>
      <c r="BU508" s="27"/>
      <c r="BV508" s="27"/>
      <c r="BW508" s="27"/>
      <c r="BX508" s="27"/>
      <c r="BY508" s="27"/>
      <c r="BZ508" s="27"/>
      <c r="CA508" s="27"/>
      <c r="CB508" s="27"/>
      <c r="CC508" s="27"/>
      <c r="CD508" s="27"/>
      <c r="CE508" s="27"/>
      <c r="CF508" s="27"/>
      <c r="CG508" s="27"/>
      <c r="CH508" s="27"/>
      <c r="CI508" s="27"/>
      <c r="CJ508" s="27"/>
      <c r="CK508" s="27"/>
      <c r="CL508" s="27"/>
      <c r="CM508" s="27"/>
      <c r="CN508" s="27"/>
      <c r="CO508" s="27"/>
      <c r="CP508" s="27"/>
      <c r="CQ508" s="27"/>
      <c r="CR508" s="27"/>
      <c r="CS508" s="27"/>
      <c r="CT508" s="27"/>
      <c r="CU508" s="27"/>
      <c r="CV508" s="27"/>
      <c r="CW508" s="27"/>
      <c r="CX508" s="27"/>
      <c r="CY508" s="27"/>
      <c r="CZ508" s="27"/>
      <c r="DA508" s="27"/>
      <c r="DB508" s="27"/>
      <c r="DC508" s="27"/>
      <c r="DD508" s="27"/>
      <c r="DE508" s="27"/>
      <c r="DF508" s="27"/>
      <c r="DG508" s="27"/>
      <c r="DH508" s="27"/>
      <c r="DI508" s="27"/>
      <c r="DJ508" s="27"/>
      <c r="DK508" s="27"/>
      <c r="DL508" s="27"/>
      <c r="DM508" s="27"/>
      <c r="DN508" s="27"/>
      <c r="DO508" s="27"/>
      <c r="DP508" s="27"/>
      <c r="DQ508" s="27"/>
      <c r="DR508" s="27"/>
      <c r="DS508" s="27"/>
      <c r="DT508" s="27"/>
    </row>
    <row r="509" spans="7:124" x14ac:dyDescent="0.2">
      <c r="G509" s="27"/>
      <c r="H509" s="27"/>
      <c r="I509" s="27"/>
      <c r="J509" s="27"/>
      <c r="K509" s="27"/>
      <c r="L509" s="27"/>
      <c r="M509" s="27"/>
      <c r="N509" s="27"/>
      <c r="O509" s="27"/>
      <c r="P509" s="27"/>
      <c r="Q509" s="27"/>
      <c r="R509" s="27"/>
      <c r="S509" s="27"/>
      <c r="T509" s="27"/>
      <c r="U509" s="27"/>
      <c r="V509" s="27"/>
      <c r="W509" s="27"/>
      <c r="X509" s="27"/>
      <c r="Y509" s="27"/>
      <c r="Z509" s="27"/>
      <c r="AA509" s="27"/>
      <c r="AB509" s="27"/>
      <c r="AC509" s="27"/>
      <c r="AD509" s="27"/>
      <c r="AE509" s="27"/>
      <c r="AF509" s="27"/>
      <c r="AG509" s="27"/>
      <c r="AH509" s="27"/>
      <c r="AI509" s="27"/>
      <c r="AJ509" s="27"/>
      <c r="AK509" s="27"/>
      <c r="AL509" s="27"/>
      <c r="AM509" s="27"/>
      <c r="AN509" s="27"/>
      <c r="AO509" s="27"/>
      <c r="AP509" s="27"/>
      <c r="AQ509" s="27"/>
      <c r="AR509" s="27"/>
      <c r="AS509" s="27"/>
      <c r="AT509" s="27"/>
      <c r="AU509" s="27"/>
      <c r="AV509" s="27"/>
      <c r="AW509" s="27"/>
      <c r="AX509" s="27"/>
      <c r="AY509" s="27"/>
      <c r="AZ509" s="27"/>
      <c r="BA509" s="27"/>
      <c r="BB509" s="27"/>
      <c r="BC509" s="27"/>
      <c r="BD509" s="27"/>
      <c r="BE509" s="27"/>
      <c r="BF509" s="27"/>
      <c r="BG509" s="27"/>
      <c r="BH509" s="27"/>
      <c r="BI509" s="27"/>
      <c r="BJ509" s="27"/>
      <c r="BK509" s="27"/>
      <c r="BL509" s="27"/>
      <c r="BM509" s="27"/>
      <c r="BN509" s="27"/>
      <c r="BO509" s="27"/>
      <c r="BP509" s="27"/>
      <c r="BQ509" s="27"/>
      <c r="BR509" s="27"/>
      <c r="BS509" s="27"/>
      <c r="BT509" s="27"/>
      <c r="BU509" s="27"/>
      <c r="BV509" s="27"/>
      <c r="BW509" s="27"/>
      <c r="BX509" s="27"/>
      <c r="BY509" s="27"/>
      <c r="BZ509" s="27"/>
      <c r="CA509" s="27"/>
      <c r="CB509" s="27"/>
      <c r="CC509" s="27"/>
      <c r="CD509" s="27"/>
      <c r="CE509" s="27"/>
      <c r="CF509" s="27"/>
      <c r="CG509" s="27"/>
      <c r="CH509" s="27"/>
      <c r="CI509" s="27"/>
      <c r="CJ509" s="27"/>
      <c r="CK509" s="27"/>
      <c r="CL509" s="27"/>
      <c r="CM509" s="27"/>
      <c r="CN509" s="27"/>
      <c r="CO509" s="27"/>
      <c r="CP509" s="27"/>
      <c r="CQ509" s="27"/>
      <c r="CR509" s="27"/>
      <c r="CS509" s="27"/>
      <c r="CT509" s="27"/>
      <c r="CU509" s="27"/>
      <c r="CV509" s="27"/>
      <c r="CW509" s="27"/>
      <c r="CX509" s="27"/>
      <c r="CY509" s="27"/>
      <c r="CZ509" s="27"/>
      <c r="DA509" s="27"/>
      <c r="DB509" s="27"/>
      <c r="DC509" s="27"/>
      <c r="DD509" s="27"/>
      <c r="DE509" s="27"/>
      <c r="DF509" s="27"/>
      <c r="DG509" s="27"/>
      <c r="DH509" s="27"/>
      <c r="DI509" s="27"/>
      <c r="DJ509" s="27"/>
      <c r="DK509" s="27"/>
      <c r="DL509" s="27"/>
      <c r="DM509" s="27"/>
      <c r="DN509" s="27"/>
      <c r="DO509" s="27"/>
      <c r="DP509" s="27"/>
      <c r="DQ509" s="27"/>
      <c r="DR509" s="27"/>
      <c r="DS509" s="27"/>
      <c r="DT509" s="27"/>
    </row>
    <row r="510" spans="7:124" x14ac:dyDescent="0.2">
      <c r="G510" s="27"/>
      <c r="H510" s="27"/>
      <c r="I510" s="27"/>
      <c r="J510" s="27"/>
      <c r="K510" s="27"/>
      <c r="L510" s="27"/>
      <c r="M510" s="27"/>
      <c r="N510" s="27"/>
      <c r="O510" s="27"/>
      <c r="P510" s="27"/>
      <c r="Q510" s="27"/>
      <c r="R510" s="27"/>
      <c r="S510" s="27"/>
      <c r="T510" s="27"/>
      <c r="U510" s="27"/>
      <c r="V510" s="27"/>
      <c r="W510" s="27"/>
      <c r="X510" s="27"/>
      <c r="Y510" s="27"/>
      <c r="Z510" s="27"/>
      <c r="AA510" s="27"/>
      <c r="AB510" s="27"/>
      <c r="AC510" s="27"/>
      <c r="AD510" s="27"/>
      <c r="AE510" s="27"/>
      <c r="AF510" s="27"/>
      <c r="AG510" s="27"/>
      <c r="AH510" s="27"/>
      <c r="AI510" s="27"/>
      <c r="AJ510" s="27"/>
      <c r="AK510" s="27"/>
      <c r="AL510" s="27"/>
      <c r="AM510" s="27"/>
      <c r="AN510" s="27"/>
      <c r="AO510" s="27"/>
      <c r="AP510" s="27"/>
      <c r="AQ510" s="27"/>
      <c r="AR510" s="27"/>
      <c r="AS510" s="27"/>
      <c r="AT510" s="27"/>
      <c r="AU510" s="27"/>
      <c r="AV510" s="27"/>
      <c r="AW510" s="27"/>
      <c r="AX510" s="27"/>
      <c r="AY510" s="27"/>
      <c r="AZ510" s="27"/>
      <c r="BA510" s="27"/>
      <c r="BB510" s="27"/>
      <c r="BC510" s="27"/>
      <c r="BD510" s="27"/>
      <c r="BE510" s="27"/>
      <c r="BF510" s="27"/>
      <c r="BG510" s="27"/>
      <c r="BH510" s="27"/>
      <c r="BI510" s="27"/>
      <c r="BJ510" s="27"/>
      <c r="BK510" s="27"/>
      <c r="BL510" s="27"/>
      <c r="BM510" s="27"/>
      <c r="BN510" s="27"/>
      <c r="BO510" s="27"/>
      <c r="BP510" s="27"/>
      <c r="BQ510" s="27"/>
      <c r="BR510" s="27"/>
      <c r="BS510" s="27"/>
      <c r="BT510" s="27"/>
      <c r="BU510" s="27"/>
      <c r="BV510" s="27"/>
      <c r="BW510" s="27"/>
      <c r="BX510" s="27"/>
      <c r="BY510" s="27"/>
      <c r="BZ510" s="27"/>
      <c r="CA510" s="27"/>
      <c r="CB510" s="27"/>
      <c r="CC510" s="27"/>
      <c r="CD510" s="27"/>
      <c r="CE510" s="27"/>
      <c r="CF510" s="27"/>
      <c r="CG510" s="27"/>
      <c r="CH510" s="27"/>
      <c r="CI510" s="27"/>
      <c r="CJ510" s="27"/>
      <c r="CK510" s="27"/>
      <c r="CL510" s="27"/>
      <c r="CM510" s="27"/>
      <c r="CN510" s="27"/>
      <c r="CO510" s="27"/>
      <c r="CP510" s="27"/>
      <c r="CQ510" s="27"/>
      <c r="CR510" s="27"/>
      <c r="CS510" s="27"/>
      <c r="CT510" s="27"/>
      <c r="CU510" s="27"/>
      <c r="CV510" s="27"/>
      <c r="CW510" s="27"/>
      <c r="CX510" s="27"/>
      <c r="CY510" s="27"/>
      <c r="CZ510" s="27"/>
      <c r="DA510" s="27"/>
      <c r="DB510" s="27"/>
      <c r="DC510" s="27"/>
      <c r="DD510" s="27"/>
      <c r="DE510" s="27"/>
      <c r="DF510" s="27"/>
      <c r="DG510" s="27"/>
      <c r="DH510" s="27"/>
      <c r="DI510" s="27"/>
      <c r="DJ510" s="27"/>
      <c r="DK510" s="27"/>
      <c r="DL510" s="27"/>
      <c r="DM510" s="27"/>
      <c r="DN510" s="27"/>
      <c r="DO510" s="27"/>
      <c r="DP510" s="27"/>
      <c r="DQ510" s="27"/>
      <c r="DR510" s="27"/>
      <c r="DS510" s="27"/>
      <c r="DT510" s="27"/>
    </row>
    <row r="511" spans="7:124" x14ac:dyDescent="0.2">
      <c r="G511" s="27"/>
      <c r="H511" s="27"/>
      <c r="I511" s="27"/>
      <c r="J511" s="27"/>
      <c r="K511" s="27"/>
      <c r="L511" s="27"/>
      <c r="M511" s="27"/>
      <c r="N511" s="27"/>
      <c r="O511" s="27"/>
      <c r="P511" s="27"/>
      <c r="Q511" s="27"/>
      <c r="R511" s="27"/>
      <c r="S511" s="27"/>
      <c r="T511" s="27"/>
      <c r="U511" s="27"/>
      <c r="V511" s="27"/>
      <c r="W511" s="27"/>
      <c r="X511" s="27"/>
      <c r="Y511" s="27"/>
      <c r="Z511" s="27"/>
      <c r="AA511" s="27"/>
      <c r="AB511" s="27"/>
      <c r="AC511" s="27"/>
      <c r="AD511" s="27"/>
      <c r="AE511" s="27"/>
      <c r="AF511" s="27"/>
      <c r="AG511" s="27"/>
      <c r="AH511" s="27"/>
      <c r="AI511" s="27"/>
      <c r="AJ511" s="27"/>
      <c r="AK511" s="27"/>
      <c r="AL511" s="27"/>
      <c r="AM511" s="27"/>
      <c r="AN511" s="27"/>
      <c r="AO511" s="27"/>
      <c r="AP511" s="27"/>
      <c r="AQ511" s="27"/>
      <c r="AR511" s="27"/>
      <c r="AS511" s="27"/>
      <c r="AT511" s="27"/>
      <c r="AU511" s="27"/>
      <c r="AV511" s="27"/>
      <c r="AW511" s="27"/>
      <c r="AX511" s="27"/>
      <c r="AY511" s="27"/>
      <c r="AZ511" s="27"/>
      <c r="BA511" s="27"/>
      <c r="BB511" s="27"/>
      <c r="BC511" s="27"/>
      <c r="BD511" s="27"/>
      <c r="BE511" s="27"/>
      <c r="BF511" s="27"/>
      <c r="BG511" s="27"/>
      <c r="BH511" s="27"/>
      <c r="BI511" s="27"/>
      <c r="BJ511" s="27"/>
      <c r="BK511" s="27"/>
      <c r="BL511" s="27"/>
      <c r="BM511" s="27"/>
      <c r="BN511" s="27"/>
      <c r="BO511" s="27"/>
      <c r="BP511" s="27"/>
      <c r="BQ511" s="27"/>
      <c r="BR511" s="27"/>
      <c r="BS511" s="27"/>
      <c r="BT511" s="27"/>
      <c r="BU511" s="27"/>
      <c r="BV511" s="27"/>
      <c r="BW511" s="27"/>
      <c r="BX511" s="27"/>
      <c r="BY511" s="27"/>
      <c r="BZ511" s="27"/>
      <c r="CA511" s="27"/>
      <c r="CB511" s="27"/>
      <c r="CC511" s="27"/>
      <c r="CD511" s="27"/>
      <c r="CE511" s="27"/>
      <c r="CF511" s="27"/>
      <c r="CG511" s="27"/>
      <c r="CH511" s="27"/>
      <c r="CI511" s="27"/>
      <c r="CJ511" s="27"/>
      <c r="CK511" s="27"/>
      <c r="CL511" s="27"/>
      <c r="CM511" s="27"/>
      <c r="CN511" s="27"/>
      <c r="CO511" s="27"/>
      <c r="CP511" s="27"/>
      <c r="CQ511" s="27"/>
      <c r="CR511" s="27"/>
      <c r="CS511" s="27"/>
      <c r="CT511" s="27"/>
      <c r="CU511" s="27"/>
      <c r="CV511" s="27"/>
      <c r="CW511" s="27"/>
      <c r="CX511" s="27"/>
      <c r="CY511" s="27"/>
      <c r="CZ511" s="27"/>
      <c r="DA511" s="27"/>
      <c r="DB511" s="27"/>
      <c r="DC511" s="27"/>
      <c r="DD511" s="27"/>
      <c r="DE511" s="27"/>
      <c r="DF511" s="27"/>
      <c r="DG511" s="27"/>
      <c r="DH511" s="27"/>
      <c r="DI511" s="27"/>
      <c r="DJ511" s="27"/>
      <c r="DK511" s="27"/>
      <c r="DL511" s="27"/>
      <c r="DM511" s="27"/>
      <c r="DN511" s="27"/>
      <c r="DO511" s="27"/>
      <c r="DP511" s="27"/>
      <c r="DQ511" s="27"/>
      <c r="DR511" s="27"/>
      <c r="DS511" s="27"/>
      <c r="DT511" s="27"/>
    </row>
    <row r="512" spans="7:124" x14ac:dyDescent="0.2">
      <c r="G512" s="27"/>
      <c r="H512" s="27"/>
      <c r="I512" s="27"/>
      <c r="J512" s="27"/>
      <c r="K512" s="27"/>
      <c r="L512" s="27"/>
      <c r="M512" s="27"/>
      <c r="N512" s="27"/>
      <c r="O512" s="27"/>
      <c r="P512" s="27"/>
      <c r="Q512" s="27"/>
      <c r="R512" s="27"/>
      <c r="S512" s="27"/>
      <c r="T512" s="27"/>
      <c r="U512" s="27"/>
      <c r="V512" s="27"/>
      <c r="W512" s="27"/>
      <c r="X512" s="27"/>
      <c r="Y512" s="27"/>
      <c r="Z512" s="27"/>
      <c r="AA512" s="27"/>
      <c r="AB512" s="27"/>
      <c r="AC512" s="27"/>
      <c r="AD512" s="27"/>
      <c r="AE512" s="27"/>
      <c r="AF512" s="27"/>
      <c r="AG512" s="27"/>
      <c r="AH512" s="27"/>
      <c r="AI512" s="27"/>
      <c r="AJ512" s="27"/>
      <c r="AK512" s="27"/>
      <c r="AL512" s="27"/>
      <c r="AM512" s="27"/>
      <c r="AN512" s="27"/>
      <c r="AO512" s="27"/>
      <c r="AP512" s="27"/>
      <c r="AQ512" s="27"/>
      <c r="AR512" s="27"/>
      <c r="AS512" s="27"/>
      <c r="AT512" s="27"/>
      <c r="AU512" s="27"/>
      <c r="AV512" s="27"/>
      <c r="AW512" s="27"/>
      <c r="AX512" s="27"/>
      <c r="AY512" s="27"/>
      <c r="AZ512" s="27"/>
      <c r="BA512" s="27"/>
      <c r="BB512" s="27"/>
      <c r="BC512" s="27"/>
      <c r="BD512" s="27"/>
      <c r="BE512" s="27"/>
      <c r="BF512" s="27"/>
      <c r="BG512" s="27"/>
      <c r="BH512" s="27"/>
      <c r="BI512" s="27"/>
      <c r="BJ512" s="27"/>
      <c r="BK512" s="27"/>
      <c r="BL512" s="27"/>
      <c r="BM512" s="27"/>
      <c r="BN512" s="27"/>
      <c r="BO512" s="27"/>
      <c r="BP512" s="27"/>
      <c r="BQ512" s="27"/>
      <c r="BR512" s="27"/>
      <c r="BS512" s="27"/>
      <c r="BT512" s="27"/>
      <c r="BU512" s="27"/>
      <c r="BV512" s="27"/>
      <c r="BW512" s="27"/>
      <c r="BX512" s="27"/>
      <c r="BY512" s="27"/>
      <c r="BZ512" s="27"/>
      <c r="CA512" s="27"/>
      <c r="CB512" s="27"/>
      <c r="CC512" s="27"/>
      <c r="CD512" s="27"/>
      <c r="CE512" s="27"/>
      <c r="CF512" s="27"/>
      <c r="CG512" s="27"/>
      <c r="CH512" s="27"/>
      <c r="CI512" s="27"/>
      <c r="CJ512" s="27"/>
      <c r="CK512" s="27"/>
      <c r="CL512" s="27"/>
      <c r="CM512" s="27"/>
      <c r="CN512" s="27"/>
      <c r="CO512" s="27"/>
      <c r="CP512" s="27"/>
      <c r="CQ512" s="27"/>
      <c r="CR512" s="27"/>
      <c r="CS512" s="27"/>
      <c r="CT512" s="27"/>
      <c r="CU512" s="27"/>
      <c r="CV512" s="27"/>
      <c r="CW512" s="27"/>
      <c r="CX512" s="27"/>
      <c r="CY512" s="27"/>
      <c r="CZ512" s="27"/>
      <c r="DA512" s="27"/>
      <c r="DB512" s="27"/>
      <c r="DC512" s="27"/>
      <c r="DD512" s="27"/>
      <c r="DE512" s="27"/>
      <c r="DF512" s="27"/>
      <c r="DG512" s="27"/>
      <c r="DH512" s="27"/>
      <c r="DI512" s="27"/>
      <c r="DJ512" s="27"/>
      <c r="DK512" s="27"/>
      <c r="DL512" s="27"/>
      <c r="DM512" s="27"/>
      <c r="DN512" s="27"/>
      <c r="DO512" s="27"/>
      <c r="DP512" s="27"/>
      <c r="DQ512" s="27"/>
      <c r="DR512" s="27"/>
      <c r="DS512" s="27"/>
      <c r="DT512" s="27"/>
    </row>
    <row r="513" spans="7:124" x14ac:dyDescent="0.2">
      <c r="G513" s="27"/>
      <c r="H513" s="27"/>
      <c r="I513" s="27"/>
      <c r="J513" s="27"/>
      <c r="K513" s="27"/>
      <c r="L513" s="27"/>
      <c r="M513" s="27"/>
      <c r="N513" s="27"/>
      <c r="O513" s="27"/>
      <c r="P513" s="27"/>
      <c r="Q513" s="27"/>
      <c r="R513" s="27"/>
      <c r="S513" s="27"/>
      <c r="T513" s="27"/>
      <c r="U513" s="27"/>
      <c r="V513" s="27"/>
      <c r="W513" s="27"/>
      <c r="X513" s="27"/>
      <c r="Y513" s="27"/>
      <c r="Z513" s="27"/>
      <c r="AA513" s="27"/>
      <c r="AB513" s="27"/>
      <c r="AC513" s="27"/>
      <c r="AD513" s="27"/>
      <c r="AE513" s="27"/>
      <c r="AF513" s="27"/>
      <c r="AG513" s="27"/>
      <c r="AH513" s="27"/>
      <c r="AI513" s="27"/>
      <c r="AJ513" s="27"/>
      <c r="AK513" s="27"/>
      <c r="AL513" s="27"/>
      <c r="AM513" s="27"/>
      <c r="AN513" s="27"/>
      <c r="AO513" s="27"/>
      <c r="AP513" s="27"/>
      <c r="AQ513" s="27"/>
      <c r="AR513" s="27"/>
      <c r="AS513" s="27"/>
      <c r="AT513" s="27"/>
      <c r="AU513" s="27"/>
      <c r="AV513" s="27"/>
      <c r="AW513" s="27"/>
      <c r="AX513" s="27"/>
      <c r="AY513" s="27"/>
      <c r="AZ513" s="27"/>
      <c r="BA513" s="27"/>
      <c r="BB513" s="27"/>
      <c r="BC513" s="27"/>
      <c r="BD513" s="27"/>
      <c r="BE513" s="27"/>
      <c r="BF513" s="27"/>
      <c r="BG513" s="27"/>
      <c r="BH513" s="27"/>
      <c r="BI513" s="27"/>
      <c r="BJ513" s="27"/>
      <c r="BK513" s="27"/>
      <c r="BL513" s="27"/>
      <c r="BM513" s="27"/>
      <c r="BN513" s="27"/>
      <c r="BO513" s="27"/>
      <c r="BP513" s="27"/>
      <c r="BQ513" s="27"/>
      <c r="BR513" s="27"/>
      <c r="BS513" s="27"/>
      <c r="BT513" s="27"/>
      <c r="BU513" s="27"/>
      <c r="BV513" s="27"/>
      <c r="BW513" s="27"/>
      <c r="BX513" s="27"/>
      <c r="BY513" s="27"/>
      <c r="BZ513" s="27"/>
      <c r="CA513" s="27"/>
      <c r="CB513" s="27"/>
      <c r="CC513" s="27"/>
      <c r="CD513" s="27"/>
      <c r="CE513" s="27"/>
      <c r="CF513" s="27"/>
      <c r="CG513" s="27"/>
      <c r="CH513" s="27"/>
      <c r="CI513" s="27"/>
      <c r="CJ513" s="27"/>
      <c r="CK513" s="27"/>
      <c r="CL513" s="27"/>
      <c r="CM513" s="27"/>
      <c r="CN513" s="27"/>
      <c r="CO513" s="27"/>
      <c r="CP513" s="27"/>
      <c r="CQ513" s="27"/>
      <c r="CR513" s="27"/>
      <c r="CS513" s="27"/>
      <c r="CT513" s="27"/>
      <c r="CU513" s="27"/>
      <c r="CV513" s="27"/>
      <c r="CW513" s="27"/>
      <c r="CX513" s="27"/>
      <c r="CY513" s="27"/>
      <c r="CZ513" s="27"/>
      <c r="DA513" s="27"/>
      <c r="DB513" s="27"/>
      <c r="DC513" s="27"/>
      <c r="DD513" s="27"/>
      <c r="DE513" s="27"/>
      <c r="DF513" s="27"/>
      <c r="DG513" s="27"/>
      <c r="DH513" s="27"/>
      <c r="DI513" s="27"/>
      <c r="DJ513" s="27"/>
      <c r="DK513" s="27"/>
      <c r="DL513" s="27"/>
      <c r="DM513" s="27"/>
      <c r="DN513" s="27"/>
      <c r="DO513" s="27"/>
      <c r="DP513" s="27"/>
      <c r="DQ513" s="27"/>
      <c r="DR513" s="27"/>
      <c r="DS513" s="27"/>
      <c r="DT513" s="27"/>
    </row>
    <row r="514" spans="7:124" x14ac:dyDescent="0.2">
      <c r="G514" s="27"/>
      <c r="H514" s="27"/>
      <c r="I514" s="27"/>
      <c r="J514" s="27"/>
      <c r="K514" s="27"/>
      <c r="L514" s="27"/>
      <c r="M514" s="27"/>
      <c r="N514" s="27"/>
      <c r="O514" s="27"/>
      <c r="P514" s="27"/>
      <c r="Q514" s="27"/>
      <c r="R514" s="27"/>
      <c r="S514" s="27"/>
      <c r="T514" s="27"/>
      <c r="U514" s="27"/>
      <c r="V514" s="27"/>
      <c r="W514" s="27"/>
      <c r="X514" s="27"/>
      <c r="Y514" s="27"/>
      <c r="Z514" s="27"/>
      <c r="AA514" s="27"/>
      <c r="AB514" s="27"/>
      <c r="AC514" s="27"/>
      <c r="AD514" s="27"/>
      <c r="AE514" s="27"/>
      <c r="AF514" s="27"/>
      <c r="AG514" s="27"/>
      <c r="AH514" s="27"/>
      <c r="AI514" s="27"/>
      <c r="AJ514" s="27"/>
      <c r="AK514" s="27"/>
      <c r="AL514" s="27"/>
      <c r="AM514" s="27"/>
      <c r="AN514" s="27"/>
      <c r="AO514" s="27"/>
      <c r="AP514" s="27"/>
      <c r="AQ514" s="27"/>
      <c r="AR514" s="27"/>
      <c r="AS514" s="27"/>
      <c r="AT514" s="27"/>
      <c r="AU514" s="27"/>
      <c r="AV514" s="27"/>
      <c r="AW514" s="27"/>
      <c r="AX514" s="27"/>
      <c r="AY514" s="27"/>
      <c r="AZ514" s="27"/>
      <c r="BA514" s="27"/>
      <c r="BB514" s="27"/>
      <c r="BC514" s="27"/>
      <c r="BD514" s="27"/>
      <c r="BE514" s="27"/>
      <c r="BF514" s="27"/>
      <c r="BG514" s="27"/>
      <c r="BH514" s="27"/>
      <c r="BI514" s="27"/>
      <c r="BJ514" s="27"/>
      <c r="BK514" s="27"/>
      <c r="BL514" s="27"/>
      <c r="BM514" s="27"/>
      <c r="BN514" s="27"/>
      <c r="BO514" s="27"/>
      <c r="BP514" s="27"/>
      <c r="BQ514" s="27"/>
      <c r="BR514" s="27"/>
      <c r="BS514" s="27"/>
      <c r="BT514" s="27"/>
      <c r="BU514" s="27"/>
      <c r="BV514" s="27"/>
      <c r="BW514" s="27"/>
      <c r="BX514" s="27"/>
      <c r="BY514" s="27"/>
      <c r="BZ514" s="27"/>
      <c r="CA514" s="27"/>
      <c r="CB514" s="27"/>
      <c r="CC514" s="27"/>
      <c r="CD514" s="27"/>
      <c r="CE514" s="27"/>
      <c r="CF514" s="27"/>
      <c r="CG514" s="27"/>
      <c r="CH514" s="27"/>
      <c r="CI514" s="27"/>
      <c r="CJ514" s="27"/>
      <c r="CK514" s="27"/>
      <c r="CL514" s="27"/>
      <c r="CM514" s="27"/>
      <c r="CN514" s="27"/>
      <c r="CO514" s="27"/>
      <c r="CP514" s="27"/>
      <c r="CQ514" s="27"/>
      <c r="CR514" s="27"/>
      <c r="CS514" s="27"/>
      <c r="CT514" s="27"/>
      <c r="CU514" s="27"/>
      <c r="CV514" s="27"/>
      <c r="CW514" s="27"/>
      <c r="CX514" s="27"/>
      <c r="CY514" s="27"/>
      <c r="CZ514" s="27"/>
      <c r="DA514" s="27"/>
      <c r="DB514" s="27"/>
      <c r="DC514" s="27"/>
      <c r="DD514" s="27"/>
      <c r="DE514" s="27"/>
      <c r="DF514" s="27"/>
      <c r="DG514" s="27"/>
      <c r="DH514" s="27"/>
      <c r="DI514" s="27"/>
      <c r="DJ514" s="27"/>
      <c r="DK514" s="27"/>
      <c r="DL514" s="27"/>
      <c r="DM514" s="27"/>
      <c r="DN514" s="27"/>
      <c r="DO514" s="27"/>
      <c r="DP514" s="27"/>
      <c r="DQ514" s="27"/>
      <c r="DR514" s="27"/>
      <c r="DS514" s="27"/>
      <c r="DT514" s="27"/>
    </row>
    <row r="515" spans="7:124" x14ac:dyDescent="0.2">
      <c r="G515" s="27"/>
      <c r="H515" s="27"/>
      <c r="I515" s="27"/>
      <c r="J515" s="27"/>
      <c r="K515" s="27"/>
      <c r="L515" s="27"/>
      <c r="M515" s="27"/>
      <c r="N515" s="27"/>
      <c r="O515" s="27"/>
      <c r="P515" s="27"/>
      <c r="Q515" s="27"/>
      <c r="R515" s="27"/>
      <c r="S515" s="27"/>
      <c r="T515" s="27"/>
      <c r="U515" s="27"/>
      <c r="V515" s="27"/>
      <c r="W515" s="27"/>
      <c r="X515" s="27"/>
      <c r="Y515" s="27"/>
      <c r="Z515" s="27"/>
      <c r="AA515" s="27"/>
      <c r="AB515" s="27"/>
      <c r="AC515" s="27"/>
      <c r="AD515" s="27"/>
      <c r="AE515" s="27"/>
      <c r="AF515" s="27"/>
      <c r="AG515" s="27"/>
      <c r="AH515" s="27"/>
      <c r="AI515" s="27"/>
      <c r="AJ515" s="27"/>
      <c r="AK515" s="27"/>
      <c r="AL515" s="27"/>
      <c r="AM515" s="27"/>
      <c r="AN515" s="27"/>
      <c r="AO515" s="27"/>
      <c r="AP515" s="27"/>
      <c r="AQ515" s="27"/>
      <c r="AR515" s="27"/>
      <c r="AS515" s="27"/>
      <c r="AT515" s="27"/>
      <c r="AU515" s="27"/>
      <c r="AV515" s="27"/>
      <c r="AW515" s="27"/>
      <c r="AX515" s="27"/>
      <c r="AY515" s="27"/>
      <c r="AZ515" s="27"/>
      <c r="BA515" s="27"/>
      <c r="BB515" s="27"/>
      <c r="BC515" s="27"/>
      <c r="BD515" s="27"/>
      <c r="BE515" s="27"/>
      <c r="BF515" s="27"/>
      <c r="BG515" s="27"/>
      <c r="BH515" s="27"/>
      <c r="BI515" s="27"/>
      <c r="BJ515" s="27"/>
      <c r="BK515" s="27"/>
      <c r="BL515" s="27"/>
      <c r="BM515" s="27"/>
      <c r="BN515" s="27"/>
      <c r="BO515" s="27"/>
      <c r="BP515" s="27"/>
      <c r="BQ515" s="27"/>
      <c r="BR515" s="27"/>
      <c r="BS515" s="27"/>
      <c r="BT515" s="27"/>
      <c r="BU515" s="27"/>
      <c r="BV515" s="27"/>
      <c r="BW515" s="27"/>
      <c r="BX515" s="27"/>
      <c r="BY515" s="27"/>
      <c r="BZ515" s="27"/>
      <c r="CA515" s="27"/>
      <c r="CB515" s="27"/>
      <c r="CC515" s="27"/>
      <c r="CD515" s="27"/>
      <c r="CE515" s="27"/>
      <c r="CF515" s="27"/>
      <c r="CG515" s="27"/>
      <c r="CH515" s="27"/>
      <c r="CI515" s="27"/>
      <c r="CJ515" s="27"/>
      <c r="CK515" s="27"/>
      <c r="CL515" s="27"/>
      <c r="CM515" s="27"/>
      <c r="CN515" s="27"/>
      <c r="CO515" s="27"/>
      <c r="CP515" s="27"/>
      <c r="CQ515" s="27"/>
      <c r="CR515" s="27"/>
      <c r="CS515" s="27"/>
      <c r="CT515" s="27"/>
      <c r="CU515" s="27"/>
      <c r="CV515" s="27"/>
      <c r="CW515" s="27"/>
      <c r="CX515" s="27"/>
      <c r="CY515" s="27"/>
      <c r="CZ515" s="27"/>
      <c r="DA515" s="27"/>
      <c r="DB515" s="27"/>
      <c r="DC515" s="27"/>
      <c r="DD515" s="27"/>
      <c r="DE515" s="27"/>
      <c r="DF515" s="27"/>
      <c r="DG515" s="27"/>
      <c r="DH515" s="27"/>
      <c r="DI515" s="27"/>
      <c r="DJ515" s="27"/>
      <c r="DK515" s="27"/>
      <c r="DL515" s="27"/>
      <c r="DM515" s="27"/>
      <c r="DN515" s="27"/>
      <c r="DO515" s="27"/>
      <c r="DP515" s="27"/>
      <c r="DQ515" s="27"/>
      <c r="DR515" s="27"/>
      <c r="DS515" s="27"/>
      <c r="DT515" s="27"/>
    </row>
    <row r="516" spans="7:124" x14ac:dyDescent="0.2">
      <c r="G516" s="27"/>
      <c r="H516" s="27"/>
      <c r="I516" s="27"/>
      <c r="J516" s="27"/>
      <c r="K516" s="27"/>
      <c r="L516" s="27"/>
      <c r="M516" s="27"/>
      <c r="N516" s="27"/>
      <c r="O516" s="27"/>
      <c r="P516" s="27"/>
      <c r="Q516" s="27"/>
      <c r="R516" s="27"/>
      <c r="S516" s="27"/>
      <c r="T516" s="27"/>
      <c r="U516" s="27"/>
      <c r="V516" s="27"/>
      <c r="W516" s="27"/>
      <c r="X516" s="27"/>
      <c r="Y516" s="27"/>
      <c r="Z516" s="27"/>
      <c r="AA516" s="27"/>
      <c r="AB516" s="27"/>
      <c r="AC516" s="27"/>
      <c r="AD516" s="27"/>
      <c r="AE516" s="27"/>
      <c r="AF516" s="27"/>
      <c r="AG516" s="27"/>
      <c r="AH516" s="27"/>
      <c r="AI516" s="27"/>
      <c r="AJ516" s="27"/>
      <c r="AK516" s="27"/>
      <c r="AL516" s="27"/>
      <c r="AM516" s="27"/>
      <c r="AN516" s="27"/>
      <c r="AO516" s="27"/>
      <c r="AP516" s="27"/>
      <c r="AQ516" s="27"/>
      <c r="AR516" s="27"/>
      <c r="AS516" s="27"/>
      <c r="AT516" s="27"/>
      <c r="AU516" s="27"/>
      <c r="AV516" s="27"/>
      <c r="AW516" s="27"/>
      <c r="AX516" s="27"/>
      <c r="AY516" s="27"/>
      <c r="AZ516" s="27"/>
      <c r="BA516" s="27"/>
      <c r="BB516" s="27"/>
      <c r="BC516" s="27"/>
      <c r="BD516" s="27"/>
      <c r="BE516" s="27"/>
      <c r="BF516" s="27"/>
      <c r="BG516" s="27"/>
      <c r="BH516" s="27"/>
      <c r="BI516" s="27"/>
      <c r="BJ516" s="27"/>
      <c r="BK516" s="27"/>
      <c r="BL516" s="27"/>
      <c r="BM516" s="27"/>
      <c r="BN516" s="27"/>
      <c r="BO516" s="27"/>
      <c r="BP516" s="27"/>
      <c r="BQ516" s="27"/>
      <c r="BR516" s="27"/>
      <c r="BS516" s="27"/>
      <c r="BT516" s="27"/>
      <c r="BU516" s="27"/>
      <c r="BV516" s="27"/>
      <c r="BW516" s="27"/>
      <c r="BX516" s="27"/>
      <c r="BY516" s="27"/>
      <c r="BZ516" s="27"/>
      <c r="CA516" s="27"/>
      <c r="CB516" s="27"/>
      <c r="CC516" s="27"/>
      <c r="CD516" s="27"/>
      <c r="CE516" s="27"/>
      <c r="CF516" s="27"/>
      <c r="CG516" s="27"/>
      <c r="CH516" s="27"/>
      <c r="CI516" s="27"/>
      <c r="CJ516" s="27"/>
      <c r="CK516" s="27"/>
      <c r="CL516" s="27"/>
      <c r="CM516" s="27"/>
      <c r="CN516" s="27"/>
      <c r="CO516" s="27"/>
      <c r="CP516" s="27"/>
      <c r="CQ516" s="27"/>
      <c r="CR516" s="27"/>
      <c r="CS516" s="27"/>
      <c r="CT516" s="27"/>
      <c r="CU516" s="27"/>
      <c r="CV516" s="27"/>
      <c r="CW516" s="27"/>
      <c r="CX516" s="27"/>
      <c r="CY516" s="27"/>
      <c r="CZ516" s="27"/>
      <c r="DA516" s="27"/>
      <c r="DB516" s="27"/>
      <c r="DC516" s="27"/>
      <c r="DD516" s="27"/>
      <c r="DE516" s="27"/>
      <c r="DF516" s="27"/>
      <c r="DG516" s="27"/>
      <c r="DH516" s="27"/>
      <c r="DI516" s="27"/>
      <c r="DJ516" s="27"/>
      <c r="DK516" s="27"/>
      <c r="DL516" s="27"/>
      <c r="DM516" s="27"/>
      <c r="DN516" s="27"/>
      <c r="DO516" s="27"/>
      <c r="DP516" s="27"/>
      <c r="DQ516" s="27"/>
      <c r="DR516" s="27"/>
      <c r="DS516" s="27"/>
      <c r="DT516" s="27"/>
    </row>
    <row r="517" spans="7:124" x14ac:dyDescent="0.2">
      <c r="G517" s="27"/>
      <c r="H517" s="27"/>
      <c r="I517" s="27"/>
      <c r="J517" s="27"/>
      <c r="K517" s="27"/>
      <c r="L517" s="27"/>
      <c r="M517" s="27"/>
      <c r="N517" s="27"/>
      <c r="O517" s="27"/>
      <c r="P517" s="27"/>
      <c r="Q517" s="27"/>
      <c r="R517" s="27"/>
      <c r="S517" s="27"/>
      <c r="T517" s="27"/>
      <c r="U517" s="27"/>
      <c r="V517" s="27"/>
      <c r="W517" s="27"/>
      <c r="X517" s="27"/>
      <c r="Y517" s="27"/>
      <c r="Z517" s="27"/>
      <c r="AA517" s="27"/>
      <c r="AB517" s="27"/>
      <c r="AC517" s="27"/>
      <c r="AD517" s="27"/>
      <c r="AE517" s="27"/>
      <c r="AF517" s="27"/>
      <c r="AG517" s="27"/>
      <c r="AH517" s="27"/>
      <c r="AI517" s="27"/>
      <c r="AJ517" s="27"/>
      <c r="AK517" s="27"/>
      <c r="AL517" s="27"/>
      <c r="AM517" s="27"/>
      <c r="AN517" s="27"/>
      <c r="AO517" s="27"/>
      <c r="AP517" s="27"/>
      <c r="AQ517" s="27"/>
      <c r="AR517" s="27"/>
      <c r="AS517" s="27"/>
      <c r="AT517" s="27"/>
      <c r="AU517" s="27"/>
      <c r="AV517" s="27"/>
      <c r="AW517" s="27"/>
      <c r="AX517" s="27"/>
      <c r="AY517" s="27"/>
      <c r="AZ517" s="27"/>
      <c r="BA517" s="27"/>
      <c r="BB517" s="27"/>
      <c r="BC517" s="27"/>
      <c r="BD517" s="27"/>
      <c r="BE517" s="27"/>
      <c r="BF517" s="27"/>
      <c r="BG517" s="27"/>
      <c r="BH517" s="27"/>
      <c r="BI517" s="27"/>
      <c r="BJ517" s="27"/>
      <c r="BK517" s="27"/>
      <c r="BL517" s="27"/>
      <c r="BM517" s="27"/>
      <c r="BN517" s="27"/>
      <c r="BO517" s="27"/>
      <c r="BP517" s="27"/>
      <c r="BQ517" s="27"/>
      <c r="BR517" s="27"/>
      <c r="BS517" s="27"/>
      <c r="BT517" s="27"/>
      <c r="BU517" s="27"/>
      <c r="BV517" s="27"/>
      <c r="BW517" s="27"/>
      <c r="BX517" s="27"/>
      <c r="BY517" s="27"/>
      <c r="BZ517" s="27"/>
      <c r="CA517" s="27"/>
      <c r="CB517" s="27"/>
      <c r="CC517" s="27"/>
      <c r="CD517" s="27"/>
      <c r="CE517" s="27"/>
      <c r="CF517" s="27"/>
      <c r="CG517" s="27"/>
      <c r="CH517" s="27"/>
      <c r="CI517" s="27"/>
      <c r="CJ517" s="27"/>
      <c r="CK517" s="27"/>
      <c r="CL517" s="27"/>
      <c r="CM517" s="27"/>
      <c r="CN517" s="27"/>
      <c r="CO517" s="27"/>
      <c r="CP517" s="27"/>
      <c r="CQ517" s="27"/>
      <c r="CR517" s="27"/>
      <c r="CS517" s="27"/>
      <c r="CT517" s="27"/>
      <c r="CU517" s="27"/>
      <c r="CV517" s="27"/>
      <c r="CW517" s="27"/>
      <c r="CX517" s="27"/>
      <c r="CY517" s="27"/>
      <c r="CZ517" s="27"/>
      <c r="DA517" s="27"/>
      <c r="DB517" s="27"/>
      <c r="DC517" s="27"/>
      <c r="DD517" s="27"/>
      <c r="DE517" s="27"/>
      <c r="DF517" s="27"/>
      <c r="DG517" s="27"/>
      <c r="DH517" s="27"/>
      <c r="DI517" s="27"/>
      <c r="DJ517" s="27"/>
      <c r="DK517" s="27"/>
      <c r="DL517" s="27"/>
      <c r="DM517" s="27"/>
      <c r="DN517" s="27"/>
      <c r="DO517" s="27"/>
      <c r="DP517" s="27"/>
      <c r="DQ517" s="27"/>
      <c r="DR517" s="27"/>
      <c r="DS517" s="27"/>
      <c r="DT517" s="27"/>
    </row>
    <row r="518" spans="7:124" x14ac:dyDescent="0.2">
      <c r="G518" s="27"/>
      <c r="H518" s="27"/>
      <c r="I518" s="27"/>
      <c r="J518" s="27"/>
      <c r="K518" s="27"/>
      <c r="L518" s="27"/>
      <c r="M518" s="27"/>
      <c r="N518" s="27"/>
      <c r="O518" s="27"/>
      <c r="P518" s="27"/>
      <c r="Q518" s="27"/>
      <c r="R518" s="27"/>
      <c r="S518" s="27"/>
      <c r="T518" s="27"/>
      <c r="U518" s="27"/>
      <c r="V518" s="27"/>
      <c r="W518" s="27"/>
      <c r="X518" s="27"/>
      <c r="Y518" s="27"/>
      <c r="Z518" s="27"/>
      <c r="AA518" s="27"/>
      <c r="AB518" s="27"/>
      <c r="AC518" s="27"/>
      <c r="AD518" s="27"/>
      <c r="AE518" s="27"/>
      <c r="AF518" s="27"/>
      <c r="AG518" s="27"/>
      <c r="AH518" s="27"/>
      <c r="AI518" s="27"/>
      <c r="AJ518" s="27"/>
      <c r="AK518" s="27"/>
      <c r="AL518" s="27"/>
      <c r="AM518" s="27"/>
      <c r="AN518" s="27"/>
      <c r="AO518" s="27"/>
      <c r="AP518" s="27"/>
      <c r="AQ518" s="27"/>
      <c r="AR518" s="27"/>
      <c r="AS518" s="27"/>
      <c r="AT518" s="27"/>
      <c r="AU518" s="27"/>
      <c r="AV518" s="27"/>
      <c r="AW518" s="27"/>
      <c r="AX518" s="27"/>
      <c r="AY518" s="27"/>
      <c r="AZ518" s="27"/>
      <c r="BA518" s="27"/>
      <c r="BB518" s="27"/>
      <c r="BC518" s="27"/>
      <c r="BD518" s="27"/>
      <c r="BE518" s="27"/>
      <c r="BF518" s="27"/>
      <c r="BG518" s="27"/>
      <c r="BH518" s="27"/>
      <c r="BI518" s="27"/>
      <c r="BJ518" s="27"/>
      <c r="BK518" s="27"/>
      <c r="BL518" s="27"/>
      <c r="BM518" s="27"/>
      <c r="BN518" s="27"/>
      <c r="BO518" s="27"/>
      <c r="BP518" s="27"/>
      <c r="BQ518" s="27"/>
      <c r="BR518" s="27"/>
      <c r="BS518" s="27"/>
      <c r="BT518" s="27"/>
      <c r="BU518" s="27"/>
      <c r="BV518" s="27"/>
      <c r="BW518" s="27"/>
      <c r="BX518" s="27"/>
      <c r="BY518" s="27"/>
      <c r="BZ518" s="27"/>
      <c r="CA518" s="27"/>
      <c r="CB518" s="27"/>
      <c r="CC518" s="27"/>
      <c r="CD518" s="27"/>
      <c r="CE518" s="27"/>
      <c r="CF518" s="27"/>
      <c r="CG518" s="27"/>
      <c r="CH518" s="27"/>
      <c r="CI518" s="27"/>
      <c r="CJ518" s="27"/>
      <c r="CK518" s="27"/>
      <c r="CL518" s="27"/>
      <c r="CM518" s="27"/>
      <c r="CN518" s="27"/>
      <c r="CO518" s="27"/>
      <c r="CP518" s="27"/>
      <c r="CQ518" s="27"/>
      <c r="CR518" s="27"/>
      <c r="CS518" s="27"/>
      <c r="CT518" s="27"/>
      <c r="CU518" s="27"/>
      <c r="CV518" s="27"/>
      <c r="CW518" s="27"/>
      <c r="CX518" s="27"/>
      <c r="CY518" s="27"/>
      <c r="CZ518" s="27"/>
      <c r="DA518" s="27"/>
      <c r="DB518" s="27"/>
      <c r="DC518" s="27"/>
      <c r="DD518" s="27"/>
      <c r="DE518" s="27"/>
      <c r="DF518" s="27"/>
      <c r="DG518" s="27"/>
      <c r="DH518" s="27"/>
      <c r="DI518" s="27"/>
      <c r="DJ518" s="27"/>
      <c r="DK518" s="27"/>
      <c r="DL518" s="27"/>
      <c r="DM518" s="27"/>
      <c r="DN518" s="27"/>
      <c r="DO518" s="27"/>
      <c r="DP518" s="27"/>
      <c r="DQ518" s="27"/>
      <c r="DR518" s="27"/>
      <c r="DS518" s="27"/>
      <c r="DT518" s="27"/>
    </row>
    <row r="519" spans="7:124" x14ac:dyDescent="0.2">
      <c r="G519" s="27"/>
      <c r="H519" s="27"/>
      <c r="I519" s="27"/>
      <c r="J519" s="27"/>
      <c r="K519" s="27"/>
      <c r="L519" s="27"/>
      <c r="M519" s="27"/>
      <c r="N519" s="27"/>
      <c r="O519" s="27"/>
      <c r="P519" s="27"/>
      <c r="Q519" s="27"/>
      <c r="R519" s="27"/>
      <c r="S519" s="27"/>
      <c r="T519" s="27"/>
      <c r="U519" s="27"/>
      <c r="V519" s="27"/>
      <c r="W519" s="27"/>
      <c r="X519" s="27"/>
      <c r="Y519" s="27"/>
      <c r="Z519" s="27"/>
      <c r="AA519" s="27"/>
      <c r="AB519" s="27"/>
      <c r="AC519" s="27"/>
      <c r="AD519" s="27"/>
      <c r="AE519" s="27"/>
      <c r="AF519" s="27"/>
      <c r="AG519" s="27"/>
      <c r="AH519" s="27"/>
      <c r="AI519" s="27"/>
      <c r="AJ519" s="27"/>
      <c r="AK519" s="27"/>
      <c r="AL519" s="27"/>
      <c r="AM519" s="27"/>
      <c r="AN519" s="27"/>
      <c r="AO519" s="27"/>
      <c r="AP519" s="27"/>
      <c r="AQ519" s="27"/>
      <c r="AR519" s="27"/>
      <c r="AS519" s="27"/>
      <c r="AT519" s="27"/>
      <c r="AU519" s="27"/>
      <c r="AV519" s="27"/>
      <c r="AW519" s="27"/>
      <c r="AX519" s="27"/>
      <c r="AY519" s="27"/>
      <c r="AZ519" s="27"/>
      <c r="BA519" s="27"/>
      <c r="BB519" s="27"/>
      <c r="BC519" s="27"/>
      <c r="BD519" s="27"/>
      <c r="BE519" s="27"/>
      <c r="BF519" s="27"/>
      <c r="BG519" s="27"/>
      <c r="BH519" s="27"/>
      <c r="BI519" s="27"/>
      <c r="BJ519" s="27"/>
      <c r="BK519" s="27"/>
      <c r="BL519" s="27"/>
      <c r="BM519" s="27"/>
      <c r="BN519" s="27"/>
      <c r="BO519" s="27"/>
      <c r="BP519" s="27"/>
      <c r="BQ519" s="27"/>
      <c r="BR519" s="27"/>
      <c r="BS519" s="27"/>
      <c r="BT519" s="27"/>
      <c r="BU519" s="27"/>
      <c r="BV519" s="27"/>
      <c r="BW519" s="27"/>
      <c r="BX519" s="27"/>
      <c r="BY519" s="27"/>
      <c r="BZ519" s="27"/>
      <c r="CA519" s="27"/>
      <c r="CB519" s="27"/>
      <c r="CC519" s="27"/>
      <c r="CD519" s="27"/>
      <c r="CE519" s="27"/>
      <c r="CF519" s="27"/>
      <c r="CG519" s="27"/>
      <c r="CH519" s="27"/>
      <c r="CI519" s="27"/>
      <c r="CJ519" s="27"/>
      <c r="CK519" s="27"/>
      <c r="CL519" s="27"/>
      <c r="CM519" s="27"/>
      <c r="CN519" s="27"/>
      <c r="CO519" s="27"/>
      <c r="CP519" s="27"/>
      <c r="CQ519" s="27"/>
      <c r="CR519" s="27"/>
      <c r="CS519" s="27"/>
      <c r="CT519" s="27"/>
      <c r="CU519" s="27"/>
      <c r="CV519" s="27"/>
      <c r="CW519" s="27"/>
      <c r="CX519" s="27"/>
      <c r="CY519" s="27"/>
      <c r="CZ519" s="27"/>
      <c r="DA519" s="27"/>
      <c r="DB519" s="27"/>
      <c r="DC519" s="27"/>
      <c r="DD519" s="27"/>
      <c r="DE519" s="27"/>
      <c r="DF519" s="27"/>
      <c r="DG519" s="27"/>
      <c r="DH519" s="27"/>
      <c r="DI519" s="27"/>
      <c r="DJ519" s="27"/>
      <c r="DK519" s="27"/>
      <c r="DL519" s="27"/>
      <c r="DM519" s="27"/>
      <c r="DN519" s="27"/>
      <c r="DO519" s="27"/>
      <c r="DP519" s="27"/>
      <c r="DQ519" s="27"/>
      <c r="DR519" s="27"/>
      <c r="DS519" s="27"/>
      <c r="DT519" s="27"/>
    </row>
    <row r="520" spans="7:124" x14ac:dyDescent="0.2">
      <c r="G520" s="27"/>
      <c r="H520" s="27"/>
      <c r="I520" s="27"/>
      <c r="J520" s="27"/>
      <c r="K520" s="27"/>
      <c r="L520" s="27"/>
      <c r="M520" s="27"/>
      <c r="N520" s="27"/>
      <c r="O520" s="27"/>
      <c r="P520" s="27"/>
      <c r="Q520" s="27"/>
      <c r="R520" s="27"/>
      <c r="S520" s="27"/>
      <c r="T520" s="27"/>
      <c r="U520" s="27"/>
      <c r="V520" s="27"/>
      <c r="W520" s="27"/>
      <c r="X520" s="27"/>
      <c r="Y520" s="27"/>
      <c r="Z520" s="27"/>
      <c r="AA520" s="27"/>
      <c r="AB520" s="27"/>
      <c r="AC520" s="27"/>
      <c r="AD520" s="27"/>
      <c r="AE520" s="27"/>
      <c r="AF520" s="27"/>
      <c r="AG520" s="27"/>
      <c r="AH520" s="27"/>
      <c r="AI520" s="27"/>
      <c r="AJ520" s="27"/>
      <c r="AK520" s="27"/>
      <c r="AL520" s="27"/>
      <c r="AM520" s="27"/>
      <c r="AN520" s="27"/>
      <c r="AO520" s="27"/>
      <c r="AP520" s="27"/>
      <c r="AQ520" s="27"/>
      <c r="AR520" s="27"/>
      <c r="AS520" s="27"/>
      <c r="AT520" s="27"/>
      <c r="AU520" s="27"/>
      <c r="AV520" s="27"/>
      <c r="AW520" s="27"/>
      <c r="AX520" s="27"/>
      <c r="AY520" s="27"/>
      <c r="AZ520" s="27"/>
      <c r="BA520" s="27"/>
      <c r="BB520" s="27"/>
      <c r="BC520" s="27"/>
      <c r="BD520" s="27"/>
      <c r="BE520" s="27"/>
      <c r="BF520" s="27"/>
      <c r="BG520" s="27"/>
      <c r="BH520" s="27"/>
      <c r="BI520" s="27"/>
      <c r="BJ520" s="27"/>
      <c r="BK520" s="27"/>
      <c r="BL520" s="27"/>
      <c r="BM520" s="27"/>
      <c r="BN520" s="27"/>
      <c r="BO520" s="27"/>
      <c r="BP520" s="27"/>
      <c r="BQ520" s="27"/>
      <c r="BR520" s="27"/>
      <c r="BS520" s="27"/>
      <c r="BT520" s="27"/>
      <c r="BU520" s="27"/>
      <c r="BV520" s="27"/>
      <c r="BW520" s="27"/>
      <c r="BX520" s="27"/>
      <c r="BY520" s="27"/>
      <c r="BZ520" s="27"/>
      <c r="CA520" s="27"/>
      <c r="CB520" s="27"/>
      <c r="CC520" s="27"/>
      <c r="CD520" s="27"/>
      <c r="CE520" s="27"/>
      <c r="CF520" s="27"/>
      <c r="CG520" s="27"/>
      <c r="CH520" s="27"/>
      <c r="CI520" s="27"/>
      <c r="CJ520" s="27"/>
      <c r="CK520" s="27"/>
      <c r="CL520" s="27"/>
      <c r="CM520" s="27"/>
      <c r="CN520" s="27"/>
      <c r="CO520" s="27"/>
      <c r="CP520" s="27"/>
      <c r="CQ520" s="27"/>
      <c r="CR520" s="27"/>
      <c r="CS520" s="27"/>
      <c r="CT520" s="27"/>
      <c r="CU520" s="27"/>
      <c r="CV520" s="27"/>
      <c r="CW520" s="27"/>
      <c r="CX520" s="27"/>
      <c r="CY520" s="27"/>
      <c r="CZ520" s="27"/>
      <c r="DA520" s="27"/>
      <c r="DB520" s="27"/>
      <c r="DC520" s="27"/>
      <c r="DD520" s="27"/>
      <c r="DE520" s="27"/>
      <c r="DF520" s="27"/>
      <c r="DG520" s="27"/>
      <c r="DH520" s="27"/>
      <c r="DI520" s="27"/>
      <c r="DJ520" s="27"/>
      <c r="DK520" s="27"/>
      <c r="DL520" s="27"/>
      <c r="DM520" s="27"/>
      <c r="DN520" s="27"/>
      <c r="DO520" s="27"/>
      <c r="DP520" s="27"/>
      <c r="DQ520" s="27"/>
      <c r="DR520" s="27"/>
      <c r="DS520" s="27"/>
      <c r="DT520" s="27"/>
    </row>
    <row r="521" spans="7:124" x14ac:dyDescent="0.2">
      <c r="G521" s="27"/>
      <c r="H521" s="27"/>
      <c r="I521" s="27"/>
      <c r="J521" s="27"/>
      <c r="K521" s="27"/>
      <c r="L521" s="27"/>
      <c r="M521" s="27"/>
      <c r="N521" s="27"/>
      <c r="O521" s="27"/>
      <c r="P521" s="27"/>
      <c r="Q521" s="27"/>
      <c r="R521" s="27"/>
      <c r="S521" s="27"/>
      <c r="T521" s="27"/>
      <c r="U521" s="27"/>
      <c r="V521" s="27"/>
      <c r="W521" s="27"/>
      <c r="X521" s="27"/>
      <c r="Y521" s="27"/>
      <c r="Z521" s="27"/>
      <c r="AA521" s="27"/>
      <c r="AB521" s="27"/>
      <c r="AC521" s="27"/>
      <c r="AD521" s="27"/>
      <c r="AE521" s="27"/>
      <c r="AF521" s="27"/>
      <c r="AG521" s="27"/>
      <c r="AH521" s="27"/>
      <c r="AI521" s="27"/>
      <c r="AJ521" s="27"/>
      <c r="AK521" s="27"/>
      <c r="AL521" s="27"/>
      <c r="AM521" s="27"/>
      <c r="AN521" s="27"/>
      <c r="AO521" s="27"/>
      <c r="AP521" s="27"/>
      <c r="AQ521" s="27"/>
      <c r="AR521" s="27"/>
      <c r="AS521" s="27"/>
      <c r="AT521" s="27"/>
      <c r="AU521" s="27"/>
      <c r="AV521" s="27"/>
      <c r="AW521" s="27"/>
      <c r="AX521" s="27"/>
      <c r="AY521" s="27"/>
      <c r="AZ521" s="27"/>
      <c r="BA521" s="27"/>
      <c r="BB521" s="27"/>
      <c r="BC521" s="27"/>
      <c r="BD521" s="27"/>
      <c r="BE521" s="27"/>
      <c r="BF521" s="27"/>
      <c r="BG521" s="27"/>
      <c r="BH521" s="27"/>
      <c r="BI521" s="27"/>
      <c r="BJ521" s="27"/>
      <c r="BK521" s="27"/>
      <c r="BL521" s="27"/>
      <c r="BM521" s="27"/>
      <c r="BN521" s="27"/>
      <c r="BO521" s="27"/>
      <c r="BP521" s="27"/>
      <c r="BQ521" s="27"/>
      <c r="BR521" s="27"/>
      <c r="BS521" s="27"/>
      <c r="BT521" s="27"/>
      <c r="BU521" s="27"/>
      <c r="BV521" s="27"/>
      <c r="BW521" s="27"/>
      <c r="BX521" s="27"/>
      <c r="BY521" s="27"/>
      <c r="BZ521" s="27"/>
      <c r="CA521" s="27"/>
      <c r="CB521" s="27"/>
      <c r="CC521" s="27"/>
      <c r="CD521" s="27"/>
      <c r="CE521" s="27"/>
      <c r="CF521" s="27"/>
      <c r="CG521" s="27"/>
      <c r="CH521" s="27"/>
      <c r="CI521" s="27"/>
      <c r="CJ521" s="27"/>
      <c r="CK521" s="27"/>
      <c r="CL521" s="27"/>
      <c r="CM521" s="27"/>
      <c r="CN521" s="27"/>
      <c r="CO521" s="27"/>
      <c r="CP521" s="27"/>
      <c r="CQ521" s="27"/>
      <c r="CR521" s="27"/>
      <c r="CS521" s="27"/>
      <c r="CT521" s="27"/>
      <c r="CU521" s="27"/>
      <c r="CV521" s="27"/>
      <c r="CW521" s="27"/>
      <c r="CX521" s="27"/>
      <c r="CY521" s="27"/>
      <c r="CZ521" s="27"/>
      <c r="DA521" s="27"/>
      <c r="DB521" s="27"/>
      <c r="DC521" s="27"/>
      <c r="DD521" s="27"/>
      <c r="DE521" s="27"/>
      <c r="DF521" s="27"/>
      <c r="DG521" s="27"/>
      <c r="DH521" s="27"/>
      <c r="DI521" s="27"/>
      <c r="DJ521" s="27"/>
      <c r="DK521" s="27"/>
      <c r="DL521" s="27"/>
      <c r="DM521" s="27"/>
      <c r="DN521" s="27"/>
      <c r="DO521" s="27"/>
      <c r="DP521" s="27"/>
      <c r="DQ521" s="27"/>
      <c r="DR521" s="27"/>
      <c r="DS521" s="27"/>
      <c r="DT521" s="27"/>
    </row>
    <row r="522" spans="7:124" x14ac:dyDescent="0.2">
      <c r="G522" s="27"/>
      <c r="H522" s="27"/>
      <c r="I522" s="27"/>
      <c r="J522" s="27"/>
      <c r="K522" s="27"/>
      <c r="L522" s="27"/>
      <c r="M522" s="27"/>
      <c r="N522" s="27"/>
      <c r="O522" s="27"/>
      <c r="P522" s="27"/>
      <c r="Q522" s="27"/>
      <c r="R522" s="27"/>
      <c r="S522" s="27"/>
      <c r="T522" s="27"/>
      <c r="U522" s="27"/>
      <c r="V522" s="27"/>
      <c r="W522" s="27"/>
      <c r="X522" s="27"/>
      <c r="Y522" s="27"/>
      <c r="Z522" s="27"/>
      <c r="AA522" s="27"/>
      <c r="AB522" s="27"/>
      <c r="AC522" s="27"/>
      <c r="AD522" s="27"/>
      <c r="AE522" s="27"/>
      <c r="AF522" s="27"/>
      <c r="AG522" s="27"/>
      <c r="AH522" s="27"/>
      <c r="AI522" s="27"/>
      <c r="AJ522" s="27"/>
      <c r="AK522" s="27"/>
      <c r="AL522" s="27"/>
      <c r="AM522" s="27"/>
      <c r="AN522" s="27"/>
      <c r="AO522" s="27"/>
      <c r="AP522" s="27"/>
      <c r="AQ522" s="27"/>
      <c r="AR522" s="27"/>
      <c r="AS522" s="27"/>
      <c r="AT522" s="27"/>
      <c r="AU522" s="27"/>
      <c r="AV522" s="27"/>
      <c r="AW522" s="27"/>
      <c r="AX522" s="27"/>
      <c r="AY522" s="27"/>
      <c r="AZ522" s="27"/>
      <c r="BA522" s="27"/>
      <c r="BB522" s="27"/>
      <c r="BC522" s="27"/>
      <c r="BD522" s="27"/>
      <c r="BE522" s="27"/>
      <c r="BF522" s="27"/>
      <c r="BG522" s="27"/>
      <c r="BH522" s="27"/>
      <c r="BI522" s="27"/>
      <c r="BJ522" s="27"/>
      <c r="BK522" s="27"/>
      <c r="BL522" s="27"/>
      <c r="BM522" s="27"/>
      <c r="BN522" s="27"/>
      <c r="BO522" s="27"/>
      <c r="BP522" s="27"/>
      <c r="BQ522" s="27"/>
      <c r="BR522" s="27"/>
      <c r="BS522" s="27"/>
      <c r="BT522" s="27"/>
      <c r="BU522" s="27"/>
      <c r="BV522" s="27"/>
      <c r="BW522" s="27"/>
      <c r="BX522" s="27"/>
      <c r="BY522" s="27"/>
      <c r="BZ522" s="27"/>
      <c r="CA522" s="27"/>
      <c r="CB522" s="27"/>
      <c r="CC522" s="27"/>
      <c r="CD522" s="27"/>
      <c r="CE522" s="27"/>
      <c r="CF522" s="27"/>
      <c r="CG522" s="27"/>
      <c r="CH522" s="27"/>
      <c r="CI522" s="27"/>
      <c r="CJ522" s="27"/>
      <c r="CK522" s="27"/>
      <c r="CL522" s="27"/>
      <c r="CM522" s="27"/>
      <c r="CN522" s="27"/>
      <c r="CO522" s="27"/>
      <c r="CP522" s="27"/>
      <c r="CQ522" s="27"/>
      <c r="CR522" s="27"/>
      <c r="CS522" s="27"/>
      <c r="CT522" s="27"/>
      <c r="CU522" s="27"/>
      <c r="CV522" s="27"/>
      <c r="CW522" s="27"/>
      <c r="CX522" s="27"/>
      <c r="CY522" s="27"/>
      <c r="CZ522" s="27"/>
      <c r="DA522" s="27"/>
      <c r="DB522" s="27"/>
      <c r="DC522" s="27"/>
      <c r="DD522" s="27"/>
      <c r="DE522" s="27"/>
      <c r="DF522" s="27"/>
      <c r="DG522" s="27"/>
      <c r="DH522" s="27"/>
      <c r="DI522" s="27"/>
      <c r="DJ522" s="27"/>
      <c r="DK522" s="27"/>
      <c r="DL522" s="27"/>
      <c r="DM522" s="27"/>
      <c r="DN522" s="27"/>
      <c r="DO522" s="27"/>
      <c r="DP522" s="27"/>
      <c r="DQ522" s="27"/>
      <c r="DR522" s="27"/>
      <c r="DS522" s="27"/>
      <c r="DT522" s="27"/>
    </row>
    <row r="523" spans="7:124" x14ac:dyDescent="0.2">
      <c r="G523" s="27"/>
      <c r="H523" s="27"/>
      <c r="I523" s="27"/>
      <c r="J523" s="27"/>
      <c r="K523" s="27"/>
      <c r="L523" s="27"/>
      <c r="M523" s="27"/>
      <c r="N523" s="27"/>
      <c r="O523" s="27"/>
      <c r="P523" s="27"/>
      <c r="Q523" s="27"/>
      <c r="R523" s="27"/>
      <c r="S523" s="27"/>
      <c r="T523" s="27"/>
      <c r="U523" s="27"/>
      <c r="V523" s="27"/>
      <c r="W523" s="27"/>
      <c r="X523" s="27"/>
      <c r="Y523" s="27"/>
      <c r="Z523" s="27"/>
      <c r="AA523" s="27"/>
      <c r="AB523" s="27"/>
      <c r="AC523" s="27"/>
      <c r="AD523" s="27"/>
      <c r="AE523" s="27"/>
      <c r="AF523" s="27"/>
      <c r="AG523" s="27"/>
      <c r="AH523" s="27"/>
      <c r="AI523" s="27"/>
      <c r="AJ523" s="27"/>
      <c r="AK523" s="27"/>
      <c r="AL523" s="27"/>
      <c r="AM523" s="27"/>
      <c r="AN523" s="27"/>
      <c r="AO523" s="27"/>
      <c r="AP523" s="27"/>
      <c r="AQ523" s="27"/>
      <c r="AR523" s="27"/>
      <c r="AS523" s="27"/>
      <c r="AT523" s="27"/>
      <c r="AU523" s="27"/>
      <c r="AV523" s="27"/>
      <c r="AW523" s="27"/>
      <c r="AX523" s="27"/>
      <c r="AY523" s="27"/>
      <c r="AZ523" s="27"/>
      <c r="BA523" s="27"/>
      <c r="BB523" s="27"/>
      <c r="BC523" s="27"/>
      <c r="BD523" s="27"/>
      <c r="BE523" s="27"/>
      <c r="BF523" s="27"/>
      <c r="BG523" s="27"/>
      <c r="BH523" s="27"/>
      <c r="BI523" s="27"/>
      <c r="BJ523" s="27"/>
      <c r="BK523" s="27"/>
      <c r="BL523" s="27"/>
      <c r="BM523" s="27"/>
      <c r="BN523" s="27"/>
      <c r="BO523" s="27"/>
      <c r="BP523" s="27"/>
      <c r="BQ523" s="27"/>
      <c r="BR523" s="27"/>
      <c r="BS523" s="27"/>
      <c r="BT523" s="27"/>
      <c r="BU523" s="27"/>
      <c r="BV523" s="27"/>
      <c r="BW523" s="27"/>
      <c r="BX523" s="27"/>
      <c r="BY523" s="27"/>
      <c r="BZ523" s="27"/>
      <c r="CA523" s="27"/>
      <c r="CB523" s="27"/>
      <c r="CC523" s="27"/>
      <c r="CD523" s="27"/>
      <c r="CE523" s="27"/>
      <c r="CF523" s="27"/>
      <c r="CG523" s="27"/>
      <c r="CH523" s="27"/>
      <c r="CI523" s="27"/>
      <c r="CJ523" s="27"/>
      <c r="CK523" s="27"/>
      <c r="CL523" s="27"/>
      <c r="CM523" s="27"/>
      <c r="CN523" s="27"/>
      <c r="CO523" s="27"/>
      <c r="CP523" s="27"/>
      <c r="CQ523" s="27"/>
      <c r="CR523" s="27"/>
      <c r="CS523" s="27"/>
      <c r="CT523" s="27"/>
      <c r="CU523" s="27"/>
      <c r="CV523" s="27"/>
      <c r="CW523" s="27"/>
      <c r="CX523" s="27"/>
      <c r="CY523" s="27"/>
      <c r="CZ523" s="27"/>
      <c r="DA523" s="27"/>
      <c r="DB523" s="27"/>
      <c r="DC523" s="27"/>
      <c r="DD523" s="27"/>
      <c r="DE523" s="27"/>
      <c r="DF523" s="27"/>
      <c r="DG523" s="27"/>
      <c r="DH523" s="27"/>
      <c r="DI523" s="27"/>
      <c r="DJ523" s="27"/>
      <c r="DK523" s="27"/>
      <c r="DL523" s="27"/>
      <c r="DM523" s="27"/>
      <c r="DN523" s="27"/>
      <c r="DO523" s="27"/>
      <c r="DP523" s="27"/>
      <c r="DQ523" s="27"/>
      <c r="DR523" s="27"/>
      <c r="DS523" s="27"/>
      <c r="DT523" s="27"/>
    </row>
    <row r="524" spans="7:124" x14ac:dyDescent="0.2">
      <c r="G524" s="27"/>
      <c r="H524" s="27"/>
      <c r="I524" s="27"/>
      <c r="J524" s="27"/>
      <c r="K524" s="27"/>
      <c r="L524" s="27"/>
      <c r="M524" s="27"/>
      <c r="N524" s="27"/>
      <c r="O524" s="27"/>
      <c r="P524" s="27"/>
      <c r="Q524" s="27"/>
      <c r="R524" s="27"/>
      <c r="S524" s="27"/>
      <c r="T524" s="27"/>
      <c r="U524" s="27"/>
      <c r="V524" s="27"/>
      <c r="W524" s="27"/>
      <c r="X524" s="27"/>
      <c r="Y524" s="27"/>
      <c r="Z524" s="27"/>
      <c r="AA524" s="27"/>
      <c r="AB524" s="27"/>
      <c r="AC524" s="27"/>
      <c r="AD524" s="27"/>
      <c r="AE524" s="27"/>
      <c r="AF524" s="27"/>
      <c r="AG524" s="27"/>
      <c r="AH524" s="27"/>
      <c r="AI524" s="27"/>
      <c r="AJ524" s="27"/>
      <c r="AK524" s="27"/>
      <c r="AL524" s="27"/>
      <c r="AM524" s="27"/>
      <c r="AN524" s="27"/>
      <c r="AO524" s="27"/>
      <c r="AP524" s="27"/>
      <c r="AQ524" s="27"/>
      <c r="AR524" s="27"/>
      <c r="AS524" s="27"/>
      <c r="AT524" s="27"/>
      <c r="AU524" s="27"/>
      <c r="AV524" s="27"/>
      <c r="AW524" s="27"/>
      <c r="AX524" s="27"/>
      <c r="AY524" s="27"/>
      <c r="AZ524" s="27"/>
      <c r="BA524" s="27"/>
      <c r="BB524" s="27"/>
      <c r="BC524" s="27"/>
      <c r="BD524" s="27"/>
      <c r="BE524" s="27"/>
      <c r="BF524" s="27"/>
      <c r="BG524" s="27"/>
      <c r="BH524" s="27"/>
      <c r="BI524" s="27"/>
      <c r="BJ524" s="27"/>
      <c r="BK524" s="27"/>
      <c r="BL524" s="27"/>
      <c r="BM524" s="27"/>
      <c r="BN524" s="27"/>
      <c r="BO524" s="27"/>
      <c r="BP524" s="27"/>
      <c r="BQ524" s="27"/>
      <c r="BR524" s="27"/>
      <c r="BS524" s="27"/>
      <c r="BT524" s="27"/>
      <c r="BU524" s="27"/>
      <c r="BV524" s="27"/>
      <c r="BW524" s="27"/>
      <c r="BX524" s="27"/>
      <c r="BY524" s="27"/>
      <c r="BZ524" s="27"/>
      <c r="CA524" s="27"/>
      <c r="CB524" s="27"/>
      <c r="CC524" s="27"/>
      <c r="CD524" s="27"/>
      <c r="CE524" s="27"/>
      <c r="CF524" s="27"/>
      <c r="CG524" s="27"/>
      <c r="CH524" s="27"/>
      <c r="CI524" s="27"/>
      <c r="CJ524" s="27"/>
      <c r="CK524" s="27"/>
      <c r="CL524" s="27"/>
      <c r="CM524" s="27"/>
      <c r="CN524" s="27"/>
      <c r="CO524" s="27"/>
      <c r="CP524" s="27"/>
      <c r="CQ524" s="27"/>
      <c r="CR524" s="27"/>
      <c r="CS524" s="27"/>
      <c r="CT524" s="27"/>
      <c r="CU524" s="27"/>
      <c r="CV524" s="27"/>
      <c r="CW524" s="27"/>
      <c r="CX524" s="27"/>
      <c r="CY524" s="27"/>
      <c r="CZ524" s="27"/>
      <c r="DA524" s="27"/>
      <c r="DB524" s="27"/>
      <c r="DC524" s="27"/>
      <c r="DD524" s="27"/>
      <c r="DE524" s="27"/>
      <c r="DF524" s="27"/>
      <c r="DG524" s="27"/>
      <c r="DH524" s="27"/>
      <c r="DI524" s="27"/>
      <c r="DJ524" s="27"/>
      <c r="DK524" s="27"/>
      <c r="DL524" s="27"/>
      <c r="DM524" s="27"/>
      <c r="DN524" s="27"/>
      <c r="DO524" s="27"/>
      <c r="DP524" s="27"/>
      <c r="DQ524" s="27"/>
      <c r="DR524" s="27"/>
      <c r="DS524" s="27"/>
      <c r="DT524" s="27"/>
    </row>
    <row r="525" spans="7:124" x14ac:dyDescent="0.2">
      <c r="G525" s="27"/>
      <c r="H525" s="27"/>
      <c r="I525" s="27"/>
      <c r="J525" s="27"/>
      <c r="K525" s="27"/>
      <c r="L525" s="27"/>
      <c r="M525" s="27"/>
      <c r="N525" s="27"/>
      <c r="O525" s="27"/>
      <c r="P525" s="27"/>
      <c r="Q525" s="27"/>
      <c r="R525" s="27"/>
      <c r="S525" s="27"/>
      <c r="T525" s="27"/>
      <c r="U525" s="27"/>
      <c r="V525" s="27"/>
      <c r="W525" s="27"/>
      <c r="X525" s="27"/>
      <c r="Y525" s="27"/>
      <c r="Z525" s="27"/>
      <c r="AA525" s="27"/>
      <c r="AB525" s="27"/>
      <c r="AC525" s="27"/>
      <c r="AD525" s="27"/>
      <c r="AE525" s="27"/>
      <c r="AF525" s="27"/>
      <c r="AG525" s="27"/>
      <c r="AH525" s="27"/>
      <c r="AI525" s="27"/>
      <c r="AJ525" s="27"/>
      <c r="AK525" s="27"/>
      <c r="AL525" s="27"/>
      <c r="AM525" s="27"/>
      <c r="AN525" s="27"/>
      <c r="AO525" s="27"/>
      <c r="AP525" s="27"/>
      <c r="AQ525" s="27"/>
      <c r="AR525" s="27"/>
      <c r="AS525" s="27"/>
      <c r="AT525" s="27"/>
      <c r="AU525" s="27"/>
      <c r="AV525" s="27"/>
      <c r="AW525" s="27"/>
      <c r="AX525" s="27"/>
      <c r="AY525" s="27"/>
      <c r="AZ525" s="27"/>
      <c r="BA525" s="27"/>
      <c r="BB525" s="27"/>
      <c r="BC525" s="27"/>
      <c r="BD525" s="27"/>
      <c r="BE525" s="27"/>
      <c r="BF525" s="27"/>
      <c r="BG525" s="27"/>
      <c r="BH525" s="27"/>
      <c r="BI525" s="27"/>
      <c r="BJ525" s="27"/>
      <c r="BK525" s="27"/>
      <c r="BL525" s="27"/>
      <c r="BM525" s="27"/>
      <c r="BN525" s="27"/>
      <c r="BO525" s="27"/>
      <c r="BP525" s="27"/>
      <c r="BQ525" s="27"/>
      <c r="BR525" s="27"/>
      <c r="BS525" s="27"/>
      <c r="BT525" s="27"/>
      <c r="BU525" s="27"/>
      <c r="BV525" s="27"/>
      <c r="BW525" s="27"/>
      <c r="BX525" s="27"/>
      <c r="BY525" s="27"/>
      <c r="BZ525" s="27"/>
      <c r="CA525" s="27"/>
      <c r="CB525" s="27"/>
      <c r="CC525" s="27"/>
      <c r="CD525" s="27"/>
      <c r="CE525" s="27"/>
      <c r="CF525" s="27"/>
      <c r="CG525" s="27"/>
      <c r="CH525" s="27"/>
      <c r="CI525" s="27"/>
      <c r="CJ525" s="27"/>
      <c r="CK525" s="27"/>
      <c r="CL525" s="27"/>
      <c r="CM525" s="27"/>
      <c r="CN525" s="27"/>
      <c r="CO525" s="27"/>
      <c r="CP525" s="27"/>
      <c r="CQ525" s="27"/>
      <c r="CR525" s="27"/>
      <c r="CS525" s="27"/>
      <c r="CT525" s="27"/>
      <c r="CU525" s="27"/>
      <c r="CV525" s="27"/>
      <c r="CW525" s="27"/>
      <c r="CX525" s="27"/>
      <c r="CY525" s="27"/>
      <c r="CZ525" s="27"/>
      <c r="DA525" s="27"/>
      <c r="DB525" s="27"/>
      <c r="DC525" s="27"/>
      <c r="DD525" s="27"/>
      <c r="DE525" s="27"/>
      <c r="DF525" s="27"/>
      <c r="DG525" s="27"/>
      <c r="DH525" s="27"/>
      <c r="DI525" s="27"/>
      <c r="DJ525" s="27"/>
      <c r="DK525" s="27"/>
      <c r="DL525" s="27"/>
      <c r="DM525" s="27"/>
      <c r="DN525" s="27"/>
      <c r="DO525" s="27"/>
      <c r="DP525" s="27"/>
      <c r="DQ525" s="27"/>
      <c r="DR525" s="27"/>
      <c r="DS525" s="27"/>
      <c r="DT525" s="27"/>
    </row>
    <row r="526" spans="7:124" x14ac:dyDescent="0.2">
      <c r="G526" s="27"/>
      <c r="H526" s="27"/>
      <c r="I526" s="27"/>
      <c r="J526" s="27"/>
      <c r="K526" s="27"/>
      <c r="L526" s="27"/>
      <c r="M526" s="27"/>
      <c r="N526" s="27"/>
      <c r="O526" s="27"/>
      <c r="P526" s="27"/>
      <c r="Q526" s="27"/>
      <c r="R526" s="27"/>
      <c r="S526" s="27"/>
      <c r="T526" s="27"/>
      <c r="U526" s="27"/>
      <c r="V526" s="27"/>
      <c r="W526" s="27"/>
      <c r="X526" s="27"/>
      <c r="Y526" s="27"/>
      <c r="Z526" s="27"/>
      <c r="AA526" s="27"/>
      <c r="AB526" s="27"/>
      <c r="AC526" s="27"/>
      <c r="AD526" s="27"/>
      <c r="AE526" s="27"/>
      <c r="AF526" s="27"/>
      <c r="AG526" s="27"/>
      <c r="AH526" s="27"/>
      <c r="AI526" s="27"/>
      <c r="AJ526" s="27"/>
      <c r="AK526" s="27"/>
      <c r="AL526" s="27"/>
      <c r="AM526" s="27"/>
      <c r="AN526" s="27"/>
      <c r="AO526" s="27"/>
      <c r="AP526" s="27"/>
      <c r="AQ526" s="27"/>
      <c r="AR526" s="27"/>
      <c r="AS526" s="27"/>
      <c r="AT526" s="27"/>
      <c r="AU526" s="27"/>
      <c r="AV526" s="27"/>
      <c r="AW526" s="27"/>
      <c r="AX526" s="27"/>
      <c r="AY526" s="27"/>
      <c r="AZ526" s="27"/>
      <c r="BA526" s="27"/>
      <c r="BB526" s="27"/>
      <c r="BC526" s="27"/>
      <c r="BD526" s="27"/>
      <c r="BE526" s="27"/>
      <c r="BF526" s="27"/>
      <c r="BG526" s="27"/>
      <c r="BH526" s="27"/>
      <c r="BI526" s="27"/>
      <c r="BJ526" s="27"/>
      <c r="BK526" s="27"/>
      <c r="BL526" s="27"/>
      <c r="BM526" s="27"/>
      <c r="BN526" s="27"/>
      <c r="BO526" s="27"/>
      <c r="BP526" s="27"/>
      <c r="BQ526" s="27"/>
      <c r="BR526" s="27"/>
      <c r="BS526" s="27"/>
      <c r="BT526" s="27"/>
      <c r="BU526" s="27"/>
      <c r="BV526" s="27"/>
      <c r="BW526" s="27"/>
      <c r="BX526" s="27"/>
      <c r="BY526" s="27"/>
      <c r="BZ526" s="27"/>
      <c r="CA526" s="27"/>
      <c r="CB526" s="27"/>
      <c r="CC526" s="27"/>
      <c r="CD526" s="27"/>
      <c r="CE526" s="27"/>
      <c r="CF526" s="27"/>
      <c r="CG526" s="27"/>
      <c r="CH526" s="27"/>
      <c r="CI526" s="27"/>
      <c r="CJ526" s="27"/>
      <c r="CK526" s="27"/>
      <c r="CL526" s="27"/>
      <c r="CM526" s="27"/>
      <c r="CN526" s="27"/>
      <c r="CO526" s="27"/>
      <c r="CP526" s="27"/>
      <c r="CQ526" s="27"/>
      <c r="CR526" s="27"/>
      <c r="CS526" s="27"/>
      <c r="CT526" s="27"/>
      <c r="CU526" s="27"/>
      <c r="CV526" s="27"/>
      <c r="CW526" s="27"/>
      <c r="CX526" s="27"/>
      <c r="CY526" s="27"/>
      <c r="CZ526" s="27"/>
      <c r="DA526" s="27"/>
      <c r="DB526" s="27"/>
      <c r="DC526" s="27"/>
      <c r="DD526" s="27"/>
      <c r="DE526" s="27"/>
      <c r="DF526" s="27"/>
      <c r="DG526" s="27"/>
      <c r="DH526" s="27"/>
      <c r="DI526" s="27"/>
      <c r="DJ526" s="27"/>
      <c r="DK526" s="27"/>
      <c r="DL526" s="27"/>
      <c r="DM526" s="27"/>
      <c r="DN526" s="27"/>
      <c r="DO526" s="27"/>
      <c r="DP526" s="27"/>
      <c r="DQ526" s="27"/>
      <c r="DR526" s="27"/>
      <c r="DS526" s="27"/>
      <c r="DT526" s="27"/>
    </row>
    <row r="527" spans="7:124" x14ac:dyDescent="0.2">
      <c r="G527" s="27"/>
      <c r="H527" s="27"/>
      <c r="I527" s="27"/>
      <c r="J527" s="27"/>
      <c r="K527" s="27"/>
      <c r="L527" s="27"/>
      <c r="M527" s="27"/>
      <c r="N527" s="27"/>
      <c r="O527" s="27"/>
      <c r="P527" s="27"/>
      <c r="Q527" s="27"/>
      <c r="R527" s="27"/>
      <c r="S527" s="27"/>
      <c r="T527" s="27"/>
      <c r="U527" s="27"/>
      <c r="V527" s="27"/>
      <c r="W527" s="27"/>
      <c r="X527" s="27"/>
      <c r="Y527" s="27"/>
      <c r="Z527" s="27"/>
      <c r="AA527" s="27"/>
      <c r="AB527" s="27"/>
      <c r="AC527" s="27"/>
      <c r="AD527" s="27"/>
      <c r="AE527" s="27"/>
      <c r="AF527" s="27"/>
      <c r="AG527" s="27"/>
      <c r="AH527" s="27"/>
      <c r="AI527" s="27"/>
      <c r="AJ527" s="27"/>
      <c r="AK527" s="27"/>
      <c r="AL527" s="27"/>
      <c r="AM527" s="27"/>
      <c r="AN527" s="27"/>
      <c r="AO527" s="27"/>
      <c r="AP527" s="27"/>
      <c r="AQ527" s="27"/>
      <c r="AR527" s="27"/>
      <c r="AS527" s="27"/>
      <c r="AT527" s="27"/>
      <c r="AU527" s="27"/>
      <c r="AV527" s="27"/>
      <c r="AW527" s="27"/>
      <c r="AX527" s="27"/>
      <c r="AY527" s="27"/>
      <c r="AZ527" s="27"/>
      <c r="BA527" s="27"/>
      <c r="BB527" s="27"/>
      <c r="BC527" s="27"/>
      <c r="BD527" s="27"/>
      <c r="BE527" s="27"/>
      <c r="BF527" s="27"/>
      <c r="BG527" s="27"/>
      <c r="BH527" s="27"/>
      <c r="BI527" s="27"/>
      <c r="BJ527" s="27"/>
      <c r="BK527" s="27"/>
      <c r="BL527" s="27"/>
      <c r="BM527" s="27"/>
      <c r="BN527" s="27"/>
      <c r="BO527" s="27"/>
      <c r="BP527" s="27"/>
      <c r="BQ527" s="27"/>
      <c r="BR527" s="27"/>
      <c r="BS527" s="27"/>
      <c r="BT527" s="27"/>
      <c r="BU527" s="27"/>
      <c r="BV527" s="27"/>
      <c r="BW527" s="27"/>
      <c r="BX527" s="27"/>
      <c r="BY527" s="27"/>
      <c r="BZ527" s="27"/>
      <c r="CA527" s="27"/>
      <c r="CB527" s="27"/>
      <c r="CC527" s="27"/>
      <c r="CD527" s="27"/>
      <c r="CE527" s="27"/>
      <c r="CF527" s="27"/>
      <c r="CG527" s="27"/>
      <c r="CH527" s="27"/>
      <c r="CI527" s="27"/>
      <c r="CJ527" s="27"/>
      <c r="CK527" s="27"/>
      <c r="CL527" s="27"/>
      <c r="CM527" s="27"/>
      <c r="CN527" s="27"/>
      <c r="CO527" s="27"/>
      <c r="CP527" s="27"/>
      <c r="CQ527" s="27"/>
      <c r="CR527" s="27"/>
      <c r="CS527" s="27"/>
      <c r="CT527" s="27"/>
      <c r="CU527" s="27"/>
      <c r="CV527" s="27"/>
      <c r="CW527" s="27"/>
      <c r="CX527" s="27"/>
      <c r="CY527" s="27"/>
      <c r="CZ527" s="27"/>
      <c r="DA527" s="27"/>
      <c r="DB527" s="27"/>
      <c r="DC527" s="27"/>
      <c r="DD527" s="27"/>
      <c r="DE527" s="27"/>
      <c r="DF527" s="27"/>
      <c r="DG527" s="27"/>
      <c r="DH527" s="27"/>
      <c r="DI527" s="27"/>
      <c r="DJ527" s="27"/>
      <c r="DK527" s="27"/>
      <c r="DL527" s="27"/>
      <c r="DM527" s="27"/>
      <c r="DN527" s="27"/>
      <c r="DO527" s="27"/>
      <c r="DP527" s="27"/>
      <c r="DQ527" s="27"/>
      <c r="DR527" s="27"/>
      <c r="DS527" s="27"/>
      <c r="DT527" s="27"/>
    </row>
    <row r="528" spans="7:124" x14ac:dyDescent="0.2">
      <c r="G528" s="27"/>
      <c r="H528" s="27"/>
      <c r="I528" s="27"/>
      <c r="J528" s="27"/>
      <c r="K528" s="27"/>
      <c r="L528" s="27"/>
      <c r="M528" s="27"/>
      <c r="N528" s="27"/>
      <c r="O528" s="27"/>
      <c r="P528" s="27"/>
      <c r="Q528" s="27"/>
      <c r="R528" s="27"/>
      <c r="S528" s="27"/>
      <c r="T528" s="27"/>
      <c r="U528" s="27"/>
      <c r="V528" s="27"/>
      <c r="W528" s="27"/>
      <c r="X528" s="27"/>
      <c r="Y528" s="27"/>
      <c r="Z528" s="27"/>
      <c r="AA528" s="27"/>
      <c r="AB528" s="27"/>
      <c r="AC528" s="27"/>
      <c r="AD528" s="27"/>
      <c r="AE528" s="27"/>
      <c r="AF528" s="27"/>
      <c r="AG528" s="27"/>
      <c r="AH528" s="27"/>
      <c r="AI528" s="27"/>
      <c r="AJ528" s="27"/>
      <c r="AK528" s="27"/>
      <c r="AL528" s="27"/>
      <c r="AM528" s="27"/>
      <c r="AN528" s="27"/>
      <c r="AO528" s="27"/>
      <c r="AP528" s="27"/>
      <c r="AQ528" s="27"/>
      <c r="AR528" s="27"/>
      <c r="AS528" s="27"/>
      <c r="AT528" s="27"/>
      <c r="AU528" s="27"/>
      <c r="AV528" s="27"/>
      <c r="AW528" s="27"/>
      <c r="AX528" s="27"/>
      <c r="AY528" s="27"/>
      <c r="AZ528" s="27"/>
      <c r="BA528" s="27"/>
      <c r="BB528" s="27"/>
      <c r="BC528" s="27"/>
      <c r="BD528" s="27"/>
      <c r="BE528" s="27"/>
      <c r="BF528" s="27"/>
      <c r="BG528" s="27"/>
      <c r="BH528" s="27"/>
      <c r="BI528" s="27"/>
      <c r="BJ528" s="27"/>
      <c r="BK528" s="27"/>
      <c r="BL528" s="27"/>
      <c r="BM528" s="27"/>
      <c r="BN528" s="27"/>
      <c r="BO528" s="27"/>
      <c r="BP528" s="27"/>
      <c r="BQ528" s="27"/>
      <c r="BR528" s="27"/>
      <c r="BS528" s="27"/>
      <c r="BT528" s="27"/>
      <c r="BU528" s="27"/>
      <c r="BV528" s="27"/>
      <c r="BW528" s="27"/>
      <c r="BX528" s="27"/>
      <c r="BY528" s="27"/>
      <c r="BZ528" s="27"/>
      <c r="CA528" s="27"/>
      <c r="CB528" s="27"/>
      <c r="CC528" s="27"/>
      <c r="CD528" s="27"/>
      <c r="CE528" s="27"/>
      <c r="CF528" s="27"/>
      <c r="CG528" s="27"/>
      <c r="CH528" s="27"/>
      <c r="CI528" s="27"/>
      <c r="CJ528" s="27"/>
      <c r="CK528" s="27"/>
      <c r="CL528" s="27"/>
      <c r="CM528" s="27"/>
      <c r="CN528" s="27"/>
      <c r="CO528" s="27"/>
      <c r="CP528" s="27"/>
      <c r="CQ528" s="27"/>
      <c r="CR528" s="27"/>
      <c r="CS528" s="27"/>
      <c r="CT528" s="27"/>
      <c r="CU528" s="27"/>
      <c r="CV528" s="27"/>
      <c r="CW528" s="27"/>
      <c r="CX528" s="27"/>
      <c r="CY528" s="27"/>
      <c r="CZ528" s="27"/>
      <c r="DA528" s="27"/>
      <c r="DB528" s="27"/>
      <c r="DC528" s="27"/>
      <c r="DD528" s="27"/>
      <c r="DE528" s="27"/>
      <c r="DF528" s="27"/>
      <c r="DG528" s="27"/>
      <c r="DH528" s="27"/>
      <c r="DI528" s="27"/>
      <c r="DJ528" s="27"/>
      <c r="DK528" s="27"/>
      <c r="DL528" s="27"/>
      <c r="DM528" s="27"/>
      <c r="DN528" s="27"/>
      <c r="DO528" s="27"/>
      <c r="DP528" s="27"/>
      <c r="DQ528" s="27"/>
      <c r="DR528" s="27"/>
      <c r="DS528" s="27"/>
      <c r="DT528" s="27"/>
    </row>
    <row r="529" spans="7:124" x14ac:dyDescent="0.2">
      <c r="G529" s="27"/>
      <c r="H529" s="27"/>
      <c r="I529" s="27"/>
      <c r="J529" s="27"/>
      <c r="K529" s="27"/>
      <c r="L529" s="27"/>
      <c r="M529" s="27"/>
      <c r="N529" s="27"/>
      <c r="O529" s="27"/>
      <c r="P529" s="27"/>
      <c r="Q529" s="27"/>
      <c r="R529" s="27"/>
      <c r="S529" s="27"/>
      <c r="T529" s="27"/>
      <c r="U529" s="27"/>
      <c r="V529" s="27"/>
      <c r="W529" s="27"/>
      <c r="X529" s="27"/>
      <c r="Y529" s="27"/>
      <c r="Z529" s="27"/>
      <c r="AA529" s="27"/>
      <c r="AB529" s="27"/>
      <c r="AC529" s="27"/>
      <c r="AD529" s="27"/>
      <c r="AE529" s="27"/>
      <c r="AF529" s="27"/>
      <c r="AG529" s="27"/>
      <c r="AH529" s="27"/>
      <c r="AI529" s="27"/>
      <c r="AJ529" s="27"/>
      <c r="AK529" s="27"/>
      <c r="AL529" s="27"/>
      <c r="AM529" s="27"/>
      <c r="AN529" s="27"/>
      <c r="AO529" s="27"/>
      <c r="AP529" s="27"/>
      <c r="AQ529" s="27"/>
      <c r="AR529" s="27"/>
      <c r="AS529" s="27"/>
      <c r="AT529" s="27"/>
      <c r="AU529" s="27"/>
      <c r="AV529" s="27"/>
      <c r="AW529" s="27"/>
      <c r="AX529" s="27"/>
      <c r="AY529" s="27"/>
      <c r="AZ529" s="27"/>
      <c r="BA529" s="27"/>
      <c r="BB529" s="27"/>
      <c r="BC529" s="27"/>
      <c r="BD529" s="27"/>
      <c r="BE529" s="27"/>
      <c r="BF529" s="27"/>
      <c r="BG529" s="27"/>
      <c r="BH529" s="27"/>
      <c r="BI529" s="27"/>
      <c r="BJ529" s="27"/>
      <c r="BK529" s="27"/>
      <c r="BL529" s="27"/>
      <c r="BM529" s="27"/>
      <c r="BN529" s="27"/>
      <c r="BO529" s="27"/>
      <c r="BP529" s="27"/>
      <c r="BQ529" s="27"/>
      <c r="BR529" s="27"/>
      <c r="BS529" s="27"/>
      <c r="BT529" s="27"/>
      <c r="BU529" s="27"/>
      <c r="BV529" s="27"/>
      <c r="BW529" s="27"/>
      <c r="BX529" s="27"/>
      <c r="BY529" s="27"/>
      <c r="BZ529" s="27"/>
      <c r="CA529" s="27"/>
      <c r="CB529" s="27"/>
      <c r="CC529" s="27"/>
      <c r="CD529" s="27"/>
      <c r="CE529" s="27"/>
      <c r="CF529" s="27"/>
      <c r="CG529" s="27"/>
      <c r="CH529" s="27"/>
      <c r="CI529" s="27"/>
      <c r="CJ529" s="27"/>
      <c r="CK529" s="27"/>
      <c r="CL529" s="27"/>
      <c r="CM529" s="27"/>
      <c r="CN529" s="27"/>
      <c r="CO529" s="27"/>
      <c r="CP529" s="27"/>
      <c r="CQ529" s="27"/>
      <c r="CR529" s="27"/>
      <c r="CS529" s="27"/>
      <c r="CT529" s="27"/>
      <c r="CU529" s="27"/>
      <c r="CV529" s="27"/>
      <c r="CW529" s="27"/>
      <c r="CX529" s="27"/>
      <c r="CY529" s="27"/>
      <c r="CZ529" s="27"/>
      <c r="DA529" s="27"/>
      <c r="DB529" s="27"/>
      <c r="DC529" s="27"/>
      <c r="DD529" s="27"/>
      <c r="DE529" s="27"/>
      <c r="DF529" s="27"/>
      <c r="DG529" s="27"/>
      <c r="DH529" s="27"/>
      <c r="DI529" s="27"/>
      <c r="DJ529" s="27"/>
      <c r="DK529" s="27"/>
      <c r="DL529" s="27"/>
      <c r="DM529" s="27"/>
      <c r="DN529" s="27"/>
      <c r="DO529" s="27"/>
      <c r="DP529" s="27"/>
      <c r="DQ529" s="27"/>
      <c r="DR529" s="27"/>
      <c r="DS529" s="27"/>
      <c r="DT529" s="27"/>
    </row>
    <row r="530" spans="7:124" x14ac:dyDescent="0.2">
      <c r="G530" s="27"/>
      <c r="H530" s="27"/>
      <c r="I530" s="27"/>
      <c r="J530" s="27"/>
      <c r="K530" s="27"/>
      <c r="L530" s="27"/>
      <c r="M530" s="27"/>
      <c r="N530" s="27"/>
      <c r="O530" s="27"/>
      <c r="P530" s="27"/>
      <c r="Q530" s="27"/>
      <c r="R530" s="27"/>
      <c r="S530" s="27"/>
      <c r="T530" s="27"/>
      <c r="U530" s="27"/>
      <c r="V530" s="27"/>
      <c r="W530" s="27"/>
      <c r="X530" s="27"/>
      <c r="Y530" s="27"/>
      <c r="Z530" s="27"/>
      <c r="AA530" s="27"/>
      <c r="AB530" s="27"/>
      <c r="AC530" s="27"/>
      <c r="AD530" s="27"/>
      <c r="AE530" s="27"/>
      <c r="AF530" s="27"/>
      <c r="AG530" s="27"/>
      <c r="AH530" s="27"/>
      <c r="AI530" s="27"/>
      <c r="AJ530" s="27"/>
      <c r="AK530" s="27"/>
      <c r="AL530" s="27"/>
      <c r="AM530" s="27"/>
      <c r="AN530" s="27"/>
      <c r="AO530" s="27"/>
      <c r="AP530" s="27"/>
      <c r="AQ530" s="27"/>
      <c r="AR530" s="27"/>
      <c r="AS530" s="27"/>
      <c r="AT530" s="27"/>
      <c r="AU530" s="27"/>
      <c r="AV530" s="27"/>
      <c r="AW530" s="27"/>
      <c r="AX530" s="27"/>
      <c r="AY530" s="27"/>
      <c r="AZ530" s="27"/>
      <c r="BA530" s="27"/>
      <c r="BB530" s="27"/>
      <c r="BC530" s="27"/>
      <c r="BD530" s="27"/>
      <c r="BE530" s="27"/>
      <c r="BF530" s="27"/>
      <c r="BG530" s="27"/>
      <c r="BH530" s="27"/>
      <c r="BI530" s="27"/>
      <c r="BJ530" s="27"/>
      <c r="BK530" s="27"/>
      <c r="BL530" s="27"/>
      <c r="BM530" s="27"/>
      <c r="BN530" s="27"/>
      <c r="BO530" s="27"/>
      <c r="BP530" s="27"/>
      <c r="BQ530" s="27"/>
      <c r="BR530" s="27"/>
      <c r="BS530" s="27"/>
      <c r="BT530" s="27"/>
      <c r="BU530" s="27"/>
      <c r="BV530" s="27"/>
      <c r="BW530" s="27"/>
      <c r="BX530" s="27"/>
      <c r="BY530" s="27"/>
      <c r="BZ530" s="27"/>
      <c r="CA530" s="27"/>
      <c r="CB530" s="27"/>
      <c r="CC530" s="27"/>
      <c r="CD530" s="27"/>
      <c r="CE530" s="27"/>
      <c r="CF530" s="27"/>
      <c r="CG530" s="27"/>
      <c r="CH530" s="27"/>
      <c r="CI530" s="27"/>
      <c r="CJ530" s="27"/>
      <c r="CK530" s="27"/>
      <c r="CL530" s="27"/>
      <c r="CM530" s="27"/>
      <c r="CN530" s="27"/>
      <c r="CO530" s="27"/>
      <c r="CP530" s="27"/>
      <c r="CQ530" s="27"/>
      <c r="CR530" s="27"/>
      <c r="CS530" s="27"/>
      <c r="CT530" s="27"/>
      <c r="CU530" s="27"/>
      <c r="CV530" s="27"/>
      <c r="CW530" s="27"/>
      <c r="CX530" s="27"/>
      <c r="CY530" s="27"/>
      <c r="CZ530" s="27"/>
      <c r="DA530" s="27"/>
      <c r="DB530" s="27"/>
      <c r="DC530" s="27"/>
      <c r="DD530" s="27"/>
      <c r="DE530" s="27"/>
      <c r="DF530" s="27"/>
      <c r="DG530" s="27"/>
      <c r="DH530" s="27"/>
      <c r="DI530" s="27"/>
      <c r="DJ530" s="27"/>
      <c r="DK530" s="27"/>
      <c r="DL530" s="27"/>
      <c r="DM530" s="27"/>
      <c r="DN530" s="27"/>
      <c r="DO530" s="27"/>
      <c r="DP530" s="27"/>
      <c r="DQ530" s="27"/>
      <c r="DR530" s="27"/>
      <c r="DS530" s="27"/>
      <c r="DT530" s="27"/>
    </row>
    <row r="531" spans="7:124" x14ac:dyDescent="0.2">
      <c r="G531" s="27"/>
      <c r="H531" s="27"/>
      <c r="I531" s="27"/>
      <c r="J531" s="27"/>
      <c r="K531" s="27"/>
      <c r="L531" s="27"/>
      <c r="M531" s="27"/>
      <c r="N531" s="27"/>
      <c r="O531" s="27"/>
      <c r="P531" s="27"/>
      <c r="Q531" s="27"/>
      <c r="R531" s="27"/>
      <c r="S531" s="27"/>
      <c r="T531" s="27"/>
      <c r="U531" s="27"/>
      <c r="V531" s="27"/>
      <c r="W531" s="27"/>
      <c r="X531" s="27"/>
      <c r="Y531" s="27"/>
      <c r="Z531" s="27"/>
      <c r="AA531" s="27"/>
      <c r="AB531" s="27"/>
      <c r="AC531" s="27"/>
      <c r="AD531" s="27"/>
      <c r="AE531" s="27"/>
      <c r="AF531" s="27"/>
      <c r="AG531" s="27"/>
      <c r="AH531" s="27"/>
      <c r="AI531" s="27"/>
      <c r="AJ531" s="27"/>
      <c r="AK531" s="27"/>
      <c r="AL531" s="27"/>
      <c r="AM531" s="27"/>
      <c r="AN531" s="27"/>
      <c r="AO531" s="27"/>
      <c r="AP531" s="27"/>
      <c r="AQ531" s="27"/>
      <c r="AR531" s="27"/>
      <c r="AS531" s="27"/>
      <c r="AT531" s="27"/>
      <c r="AU531" s="27"/>
      <c r="AV531" s="27"/>
      <c r="AW531" s="27"/>
      <c r="AX531" s="27"/>
      <c r="AY531" s="27"/>
      <c r="AZ531" s="27"/>
      <c r="BA531" s="27"/>
      <c r="BB531" s="27"/>
      <c r="BC531" s="27"/>
      <c r="BD531" s="27"/>
      <c r="BE531" s="27"/>
      <c r="BF531" s="27"/>
      <c r="BG531" s="27"/>
      <c r="BH531" s="27"/>
      <c r="BI531" s="27"/>
      <c r="BJ531" s="27"/>
      <c r="BK531" s="27"/>
      <c r="BL531" s="27"/>
      <c r="BM531" s="27"/>
      <c r="BN531" s="27"/>
      <c r="BO531" s="27"/>
      <c r="BP531" s="27"/>
      <c r="BQ531" s="27"/>
      <c r="BR531" s="27"/>
      <c r="BS531" s="27"/>
      <c r="BT531" s="27"/>
      <c r="BU531" s="27"/>
      <c r="BV531" s="27"/>
      <c r="BW531" s="27"/>
      <c r="BX531" s="27"/>
      <c r="BY531" s="27"/>
      <c r="BZ531" s="27"/>
      <c r="CA531" s="27"/>
      <c r="CB531" s="27"/>
      <c r="CC531" s="27"/>
      <c r="CD531" s="27"/>
      <c r="CE531" s="27"/>
      <c r="CF531" s="27"/>
      <c r="CG531" s="27"/>
      <c r="CH531" s="27"/>
      <c r="CI531" s="27"/>
      <c r="CJ531" s="27"/>
      <c r="CK531" s="27"/>
      <c r="CL531" s="27"/>
      <c r="CM531" s="27"/>
      <c r="CN531" s="27"/>
      <c r="CO531" s="27"/>
      <c r="CP531" s="27"/>
      <c r="CQ531" s="27"/>
      <c r="CR531" s="27"/>
      <c r="CS531" s="27"/>
      <c r="CT531" s="27"/>
      <c r="CU531" s="27"/>
      <c r="CV531" s="27"/>
      <c r="CW531" s="27"/>
      <c r="CX531" s="27"/>
      <c r="CY531" s="27"/>
      <c r="CZ531" s="27"/>
      <c r="DA531" s="27"/>
      <c r="DB531" s="27"/>
      <c r="DC531" s="27"/>
      <c r="DD531" s="27"/>
      <c r="DE531" s="27"/>
      <c r="DF531" s="27"/>
      <c r="DG531" s="27"/>
      <c r="DH531" s="27"/>
      <c r="DI531" s="27"/>
      <c r="DJ531" s="27"/>
      <c r="DK531" s="27"/>
      <c r="DL531" s="27"/>
      <c r="DM531" s="27"/>
      <c r="DN531" s="27"/>
      <c r="DO531" s="27"/>
      <c r="DP531" s="27"/>
      <c r="DQ531" s="27"/>
      <c r="DR531" s="27"/>
      <c r="DS531" s="27"/>
      <c r="DT531" s="27"/>
    </row>
    <row r="532" spans="7:124" x14ac:dyDescent="0.2">
      <c r="G532" s="27"/>
      <c r="H532" s="27"/>
      <c r="I532" s="27"/>
      <c r="J532" s="27"/>
      <c r="K532" s="27"/>
      <c r="L532" s="27"/>
      <c r="M532" s="27"/>
      <c r="N532" s="27"/>
      <c r="O532" s="27"/>
      <c r="P532" s="27"/>
      <c r="Q532" s="27"/>
      <c r="R532" s="27"/>
      <c r="S532" s="27"/>
      <c r="T532" s="27"/>
      <c r="U532" s="27"/>
      <c r="V532" s="27"/>
      <c r="W532" s="27"/>
      <c r="X532" s="27"/>
      <c r="Y532" s="27"/>
      <c r="Z532" s="27"/>
      <c r="AA532" s="27"/>
      <c r="AB532" s="27"/>
      <c r="AC532" s="27"/>
      <c r="AD532" s="27"/>
      <c r="AE532" s="27"/>
      <c r="AF532" s="27"/>
      <c r="AG532" s="27"/>
      <c r="AH532" s="27"/>
      <c r="AI532" s="27"/>
      <c r="AJ532" s="27"/>
      <c r="AK532" s="27"/>
      <c r="AL532" s="27"/>
      <c r="AM532" s="27"/>
      <c r="AN532" s="27"/>
      <c r="AO532" s="27"/>
      <c r="AP532" s="27"/>
      <c r="AQ532" s="27"/>
      <c r="AR532" s="27"/>
      <c r="AS532" s="27"/>
      <c r="AT532" s="27"/>
      <c r="AU532" s="27"/>
      <c r="AV532" s="27"/>
      <c r="AW532" s="27"/>
      <c r="AX532" s="27"/>
      <c r="AY532" s="27"/>
      <c r="AZ532" s="27"/>
      <c r="BA532" s="27"/>
      <c r="BB532" s="27"/>
      <c r="BC532" s="27"/>
      <c r="BD532" s="27"/>
      <c r="BE532" s="27"/>
      <c r="BF532" s="27"/>
      <c r="BG532" s="27"/>
      <c r="BH532" s="27"/>
      <c r="BI532" s="27"/>
      <c r="BJ532" s="27"/>
      <c r="BK532" s="27"/>
      <c r="BL532" s="27"/>
      <c r="BM532" s="27"/>
      <c r="BN532" s="27"/>
      <c r="BO532" s="27"/>
      <c r="BP532" s="27"/>
      <c r="BQ532" s="27"/>
      <c r="BR532" s="27"/>
      <c r="BS532" s="27"/>
      <c r="BT532" s="27"/>
      <c r="BU532" s="27"/>
      <c r="BV532" s="27"/>
      <c r="BW532" s="27"/>
      <c r="BX532" s="27"/>
      <c r="BY532" s="27"/>
      <c r="BZ532" s="27"/>
      <c r="CA532" s="27"/>
      <c r="CB532" s="27"/>
      <c r="CC532" s="27"/>
      <c r="CD532" s="27"/>
      <c r="CE532" s="27"/>
      <c r="CF532" s="27"/>
      <c r="CG532" s="27"/>
      <c r="CH532" s="27"/>
      <c r="CI532" s="27"/>
      <c r="CJ532" s="27"/>
      <c r="CK532" s="27"/>
      <c r="CL532" s="27"/>
      <c r="CM532" s="27"/>
      <c r="CN532" s="27"/>
      <c r="CO532" s="27"/>
      <c r="CP532" s="27"/>
      <c r="CQ532" s="27"/>
      <c r="CR532" s="27"/>
      <c r="CS532" s="27"/>
      <c r="CT532" s="27"/>
      <c r="CU532" s="27"/>
      <c r="CV532" s="27"/>
      <c r="CW532" s="27"/>
      <c r="CX532" s="27"/>
      <c r="CY532" s="27"/>
      <c r="CZ532" s="27"/>
      <c r="DA532" s="27"/>
      <c r="DB532" s="27"/>
      <c r="DC532" s="27"/>
      <c r="DD532" s="27"/>
      <c r="DE532" s="27"/>
      <c r="DF532" s="27"/>
      <c r="DG532" s="27"/>
      <c r="DH532" s="27"/>
      <c r="DI532" s="27"/>
      <c r="DJ532" s="27"/>
      <c r="DK532" s="27"/>
      <c r="DL532" s="27"/>
      <c r="DM532" s="27"/>
      <c r="DN532" s="27"/>
      <c r="DO532" s="27"/>
      <c r="DP532" s="27"/>
      <c r="DQ532" s="27"/>
      <c r="DR532" s="27"/>
      <c r="DS532" s="27"/>
      <c r="DT532" s="27"/>
    </row>
    <row r="533" spans="7:124" x14ac:dyDescent="0.2">
      <c r="G533" s="27"/>
      <c r="H533" s="27"/>
      <c r="I533" s="27"/>
      <c r="J533" s="27"/>
      <c r="K533" s="27"/>
      <c r="L533" s="27"/>
      <c r="M533" s="27"/>
      <c r="N533" s="27"/>
      <c r="O533" s="27"/>
      <c r="P533" s="27"/>
      <c r="Q533" s="27"/>
      <c r="R533" s="27"/>
      <c r="S533" s="27"/>
      <c r="T533" s="27"/>
      <c r="U533" s="27"/>
      <c r="V533" s="27"/>
      <c r="W533" s="27"/>
      <c r="X533" s="27"/>
      <c r="Y533" s="27"/>
      <c r="Z533" s="27"/>
      <c r="AA533" s="27"/>
      <c r="AB533" s="27"/>
      <c r="AC533" s="27"/>
      <c r="AD533" s="27"/>
      <c r="AE533" s="27"/>
      <c r="AF533" s="27"/>
      <c r="AG533" s="27"/>
      <c r="AH533" s="27"/>
      <c r="AI533" s="27"/>
      <c r="AJ533" s="27"/>
      <c r="AK533" s="27"/>
      <c r="AL533" s="27"/>
      <c r="AM533" s="27"/>
      <c r="AN533" s="27"/>
      <c r="AO533" s="27"/>
      <c r="AP533" s="27"/>
      <c r="AQ533" s="27"/>
      <c r="AR533" s="27"/>
      <c r="AS533" s="27"/>
      <c r="AT533" s="27"/>
      <c r="AU533" s="27"/>
      <c r="AV533" s="27"/>
      <c r="AW533" s="27"/>
      <c r="AX533" s="27"/>
      <c r="AY533" s="27"/>
      <c r="AZ533" s="27"/>
      <c r="BA533" s="27"/>
      <c r="BB533" s="27"/>
      <c r="BC533" s="27"/>
      <c r="BD533" s="27"/>
      <c r="BE533" s="27"/>
      <c r="BF533" s="27"/>
      <c r="BG533" s="27"/>
      <c r="BH533" s="27"/>
      <c r="BI533" s="27"/>
      <c r="BJ533" s="27"/>
      <c r="BK533" s="27"/>
      <c r="BL533" s="27"/>
      <c r="BM533" s="27"/>
      <c r="BN533" s="27"/>
      <c r="BO533" s="27"/>
      <c r="BP533" s="27"/>
      <c r="BQ533" s="27"/>
      <c r="BR533" s="27"/>
      <c r="BS533" s="27"/>
      <c r="BT533" s="27"/>
      <c r="BU533" s="27"/>
      <c r="BV533" s="27"/>
      <c r="BW533" s="27"/>
      <c r="BX533" s="27"/>
      <c r="BY533" s="27"/>
      <c r="BZ533" s="27"/>
      <c r="CA533" s="27"/>
      <c r="CB533" s="27"/>
      <c r="CC533" s="27"/>
      <c r="CD533" s="27"/>
      <c r="CE533" s="27"/>
      <c r="CF533" s="27"/>
      <c r="CG533" s="27"/>
      <c r="CH533" s="27"/>
      <c r="CI533" s="27"/>
      <c r="CJ533" s="27"/>
      <c r="CK533" s="27"/>
      <c r="CL533" s="27"/>
      <c r="CM533" s="27"/>
      <c r="CN533" s="27"/>
      <c r="CO533" s="27"/>
      <c r="CP533" s="27"/>
      <c r="CQ533" s="27"/>
      <c r="CR533" s="27"/>
      <c r="CS533" s="27"/>
      <c r="CT533" s="27"/>
      <c r="CU533" s="27"/>
      <c r="CV533" s="27"/>
      <c r="CW533" s="27"/>
      <c r="CX533" s="27"/>
      <c r="CY533" s="27"/>
      <c r="CZ533" s="27"/>
      <c r="DA533" s="27"/>
      <c r="DB533" s="27"/>
      <c r="DC533" s="27"/>
      <c r="DD533" s="27"/>
      <c r="DE533" s="27"/>
      <c r="DF533" s="27"/>
      <c r="DG533" s="27"/>
      <c r="DH533" s="27"/>
      <c r="DI533" s="27"/>
      <c r="DJ533" s="27"/>
      <c r="DK533" s="27"/>
      <c r="DL533" s="27"/>
      <c r="DM533" s="27"/>
      <c r="DN533" s="27"/>
      <c r="DO533" s="27"/>
      <c r="DP533" s="27"/>
      <c r="DQ533" s="27"/>
      <c r="DR533" s="27"/>
      <c r="DS533" s="27"/>
      <c r="DT533" s="27"/>
    </row>
    <row r="534" spans="7:124" x14ac:dyDescent="0.2">
      <c r="G534" s="27"/>
      <c r="H534" s="27"/>
      <c r="I534" s="27"/>
      <c r="J534" s="27"/>
      <c r="K534" s="27"/>
      <c r="L534" s="27"/>
      <c r="M534" s="27"/>
      <c r="N534" s="27"/>
      <c r="O534" s="27"/>
      <c r="P534" s="27"/>
      <c r="Q534" s="27"/>
      <c r="R534" s="27"/>
      <c r="S534" s="27"/>
      <c r="T534" s="27"/>
      <c r="U534" s="27"/>
      <c r="V534" s="27"/>
      <c r="W534" s="27"/>
      <c r="X534" s="27"/>
      <c r="Y534" s="27"/>
      <c r="Z534" s="27"/>
      <c r="AA534" s="27"/>
      <c r="AB534" s="27"/>
      <c r="AC534" s="27"/>
      <c r="AD534" s="27"/>
      <c r="AE534" s="27"/>
      <c r="AF534" s="27"/>
      <c r="AG534" s="27"/>
      <c r="AH534" s="27"/>
      <c r="AI534" s="27"/>
      <c r="AJ534" s="27"/>
      <c r="AK534" s="27"/>
      <c r="AL534" s="27"/>
      <c r="AM534" s="27"/>
      <c r="AN534" s="27"/>
      <c r="AO534" s="27"/>
      <c r="AP534" s="27"/>
      <c r="AQ534" s="27"/>
      <c r="AR534" s="27"/>
      <c r="AS534" s="27"/>
      <c r="AT534" s="27"/>
      <c r="AU534" s="27"/>
      <c r="AV534" s="27"/>
      <c r="AW534" s="27"/>
      <c r="AX534" s="27"/>
      <c r="AY534" s="27"/>
      <c r="AZ534" s="27"/>
      <c r="BA534" s="27"/>
      <c r="BB534" s="27"/>
      <c r="BC534" s="27"/>
      <c r="BD534" s="27"/>
      <c r="BE534" s="27"/>
      <c r="BF534" s="27"/>
      <c r="BG534" s="27"/>
      <c r="BH534" s="27"/>
      <c r="BI534" s="27"/>
      <c r="BJ534" s="27"/>
      <c r="BK534" s="27"/>
      <c r="BL534" s="27"/>
      <c r="BM534" s="27"/>
      <c r="BN534" s="27"/>
      <c r="BO534" s="27"/>
      <c r="BP534" s="27"/>
      <c r="BQ534" s="27"/>
      <c r="BR534" s="27"/>
      <c r="BS534" s="27"/>
      <c r="BT534" s="27"/>
      <c r="BU534" s="27"/>
      <c r="BV534" s="27"/>
      <c r="BW534" s="27"/>
      <c r="BX534" s="27"/>
      <c r="BY534" s="27"/>
      <c r="BZ534" s="27"/>
      <c r="CA534" s="27"/>
      <c r="CB534" s="27"/>
      <c r="CC534" s="27"/>
      <c r="CD534" s="27"/>
      <c r="CE534" s="27"/>
      <c r="CF534" s="27"/>
      <c r="CG534" s="27"/>
      <c r="CH534" s="27"/>
      <c r="CI534" s="27"/>
      <c r="CJ534" s="27"/>
      <c r="CK534" s="27"/>
      <c r="CL534" s="27"/>
      <c r="CM534" s="27"/>
      <c r="CN534" s="27"/>
      <c r="CO534" s="27"/>
      <c r="CP534" s="27"/>
      <c r="CQ534" s="27"/>
      <c r="CR534" s="27"/>
      <c r="CS534" s="27"/>
      <c r="CT534" s="27"/>
      <c r="CU534" s="27"/>
      <c r="CV534" s="27"/>
      <c r="CW534" s="27"/>
      <c r="CX534" s="27"/>
      <c r="CY534" s="27"/>
      <c r="CZ534" s="27"/>
      <c r="DA534" s="27"/>
      <c r="DB534" s="27"/>
      <c r="DC534" s="27"/>
      <c r="DD534" s="27"/>
      <c r="DE534" s="27"/>
      <c r="DF534" s="27"/>
      <c r="DG534" s="27"/>
      <c r="DH534" s="27"/>
      <c r="DI534" s="27"/>
      <c r="DJ534" s="27"/>
      <c r="DK534" s="27"/>
      <c r="DL534" s="27"/>
      <c r="DM534" s="27"/>
      <c r="DN534" s="27"/>
      <c r="DO534" s="27"/>
      <c r="DP534" s="27"/>
      <c r="DQ534" s="27"/>
      <c r="DR534" s="27"/>
      <c r="DS534" s="27"/>
      <c r="DT534" s="27"/>
    </row>
    <row r="535" spans="7:124" x14ac:dyDescent="0.2">
      <c r="G535" s="27"/>
      <c r="H535" s="27"/>
      <c r="I535" s="27"/>
      <c r="J535" s="27"/>
      <c r="K535" s="27"/>
      <c r="L535" s="27"/>
      <c r="M535" s="27"/>
      <c r="N535" s="27"/>
      <c r="O535" s="27"/>
      <c r="P535" s="27"/>
      <c r="Q535" s="27"/>
      <c r="R535" s="27"/>
      <c r="S535" s="27"/>
      <c r="T535" s="27"/>
      <c r="U535" s="27"/>
      <c r="V535" s="27"/>
      <c r="W535" s="27"/>
      <c r="X535" s="27"/>
      <c r="Y535" s="27"/>
      <c r="Z535" s="27"/>
      <c r="AA535" s="27"/>
      <c r="AB535" s="27"/>
      <c r="AC535" s="27"/>
      <c r="AD535" s="27"/>
      <c r="AE535" s="27"/>
      <c r="AF535" s="27"/>
      <c r="AG535" s="27"/>
      <c r="AH535" s="27"/>
      <c r="AI535" s="27"/>
      <c r="AJ535" s="27"/>
      <c r="AK535" s="27"/>
      <c r="AL535" s="27"/>
      <c r="AM535" s="27"/>
      <c r="AN535" s="27"/>
      <c r="AO535" s="27"/>
      <c r="AP535" s="27"/>
      <c r="AQ535" s="27"/>
      <c r="AR535" s="27"/>
      <c r="AS535" s="27"/>
      <c r="AT535" s="27"/>
      <c r="AU535" s="27"/>
      <c r="AV535" s="27"/>
      <c r="AW535" s="27"/>
      <c r="AX535" s="27"/>
      <c r="AY535" s="27"/>
      <c r="AZ535" s="27"/>
      <c r="BA535" s="27"/>
      <c r="BB535" s="27"/>
      <c r="BC535" s="27"/>
      <c r="BD535" s="27"/>
      <c r="BE535" s="27"/>
      <c r="BF535" s="27"/>
      <c r="BG535" s="27"/>
      <c r="BH535" s="27"/>
      <c r="BI535" s="27"/>
      <c r="BJ535" s="27"/>
      <c r="BK535" s="27"/>
      <c r="BL535" s="27"/>
      <c r="BM535" s="27"/>
      <c r="BN535" s="27"/>
      <c r="BO535" s="27"/>
      <c r="BP535" s="27"/>
      <c r="BQ535" s="27"/>
      <c r="BR535" s="27"/>
      <c r="BS535" s="27"/>
      <c r="BT535" s="27"/>
      <c r="BU535" s="27"/>
      <c r="BV535" s="27"/>
      <c r="BW535" s="27"/>
      <c r="BX535" s="27"/>
      <c r="BY535" s="27"/>
      <c r="BZ535" s="27"/>
      <c r="CA535" s="27"/>
      <c r="CB535" s="27"/>
      <c r="CC535" s="27"/>
      <c r="CD535" s="27"/>
      <c r="CE535" s="27"/>
      <c r="CF535" s="27"/>
      <c r="CG535" s="27"/>
      <c r="CH535" s="27"/>
      <c r="CI535" s="27"/>
      <c r="CJ535" s="27"/>
      <c r="CK535" s="27"/>
      <c r="CL535" s="27"/>
      <c r="CM535" s="27"/>
      <c r="CN535" s="27"/>
      <c r="CO535" s="27"/>
      <c r="CP535" s="27"/>
      <c r="CQ535" s="27"/>
      <c r="CR535" s="27"/>
      <c r="CS535" s="27"/>
      <c r="CT535" s="27"/>
      <c r="CU535" s="27"/>
      <c r="CV535" s="27"/>
      <c r="CW535" s="27"/>
      <c r="CX535" s="27"/>
      <c r="CY535" s="27"/>
      <c r="CZ535" s="27"/>
      <c r="DA535" s="27"/>
      <c r="DB535" s="27"/>
      <c r="DC535" s="27"/>
      <c r="DD535" s="27"/>
      <c r="DE535" s="27"/>
      <c r="DF535" s="27"/>
      <c r="DG535" s="27"/>
      <c r="DH535" s="27"/>
      <c r="DI535" s="27"/>
      <c r="DJ535" s="27"/>
      <c r="DK535" s="27"/>
      <c r="DL535" s="27"/>
      <c r="DM535" s="27"/>
      <c r="DN535" s="27"/>
      <c r="DO535" s="27"/>
      <c r="DP535" s="27"/>
      <c r="DQ535" s="27"/>
      <c r="DR535" s="27"/>
      <c r="DS535" s="27"/>
      <c r="DT535" s="27"/>
    </row>
    <row r="536" spans="7:124" x14ac:dyDescent="0.2">
      <c r="G536" s="27"/>
      <c r="H536" s="27"/>
      <c r="I536" s="27"/>
      <c r="J536" s="27"/>
      <c r="K536" s="27"/>
      <c r="L536" s="27"/>
      <c r="M536" s="27"/>
      <c r="N536" s="27"/>
      <c r="O536" s="27"/>
      <c r="P536" s="27"/>
      <c r="Q536" s="27"/>
      <c r="R536" s="27"/>
      <c r="S536" s="27"/>
      <c r="T536" s="27"/>
      <c r="U536" s="27"/>
      <c r="V536" s="27"/>
      <c r="W536" s="27"/>
      <c r="X536" s="27"/>
      <c r="Y536" s="27"/>
      <c r="Z536" s="27"/>
      <c r="AA536" s="27"/>
      <c r="AB536" s="27"/>
      <c r="AC536" s="27"/>
      <c r="AD536" s="27"/>
      <c r="AE536" s="27"/>
      <c r="AF536" s="27"/>
      <c r="AG536" s="27"/>
      <c r="AH536" s="27"/>
      <c r="AI536" s="27"/>
      <c r="AJ536" s="27"/>
      <c r="AK536" s="27"/>
      <c r="AL536" s="27"/>
      <c r="AM536" s="27"/>
      <c r="AN536" s="27"/>
      <c r="AO536" s="27"/>
      <c r="AP536" s="27"/>
      <c r="AQ536" s="27"/>
      <c r="AR536" s="27"/>
      <c r="AS536" s="27"/>
      <c r="AT536" s="27"/>
      <c r="AU536" s="27"/>
      <c r="AV536" s="27"/>
      <c r="AW536" s="27"/>
      <c r="AX536" s="27"/>
      <c r="AY536" s="27"/>
      <c r="AZ536" s="27"/>
      <c r="BA536" s="27"/>
      <c r="BB536" s="27"/>
      <c r="BC536" s="27"/>
      <c r="BD536" s="27"/>
      <c r="BE536" s="27"/>
      <c r="BF536" s="27"/>
      <c r="BG536" s="27"/>
      <c r="BH536" s="27"/>
      <c r="BI536" s="27"/>
      <c r="BJ536" s="27"/>
      <c r="BK536" s="27"/>
      <c r="BL536" s="27"/>
      <c r="BM536" s="27"/>
      <c r="BN536" s="27"/>
      <c r="BO536" s="27"/>
      <c r="BP536" s="27"/>
      <c r="BQ536" s="27"/>
      <c r="BR536" s="27"/>
      <c r="BS536" s="27"/>
      <c r="BT536" s="27"/>
      <c r="BU536" s="27"/>
      <c r="BV536" s="27"/>
      <c r="BW536" s="27"/>
      <c r="BX536" s="27"/>
      <c r="BY536" s="27"/>
      <c r="BZ536" s="27"/>
      <c r="CA536" s="27"/>
      <c r="CB536" s="27"/>
      <c r="CC536" s="27"/>
      <c r="CD536" s="27"/>
      <c r="CE536" s="27"/>
      <c r="CF536" s="27"/>
      <c r="CG536" s="27"/>
      <c r="CH536" s="27"/>
      <c r="CI536" s="27"/>
      <c r="CJ536" s="27"/>
      <c r="CK536" s="27"/>
      <c r="CL536" s="27"/>
      <c r="CM536" s="27"/>
      <c r="CN536" s="27"/>
      <c r="CO536" s="27"/>
      <c r="CP536" s="27"/>
      <c r="CQ536" s="27"/>
      <c r="CR536" s="27"/>
      <c r="CS536" s="27"/>
      <c r="CT536" s="27"/>
      <c r="CU536" s="27"/>
      <c r="CV536" s="27"/>
      <c r="CW536" s="27"/>
      <c r="CX536" s="27"/>
      <c r="CY536" s="27"/>
      <c r="CZ536" s="27"/>
      <c r="DA536" s="27"/>
      <c r="DB536" s="27"/>
      <c r="DC536" s="27"/>
      <c r="DD536" s="27"/>
      <c r="DE536" s="27"/>
      <c r="DF536" s="27"/>
      <c r="DG536" s="27"/>
      <c r="DH536" s="27"/>
      <c r="DI536" s="27"/>
      <c r="DJ536" s="27"/>
      <c r="DK536" s="27"/>
      <c r="DL536" s="27"/>
      <c r="DM536" s="27"/>
      <c r="DN536" s="27"/>
      <c r="DO536" s="27"/>
      <c r="DP536" s="27"/>
      <c r="DQ536" s="27"/>
      <c r="DR536" s="27"/>
      <c r="DS536" s="27"/>
      <c r="DT536" s="27"/>
    </row>
    <row r="537" spans="7:124" x14ac:dyDescent="0.2">
      <c r="G537" s="27"/>
      <c r="H537" s="27"/>
      <c r="I537" s="27"/>
      <c r="J537" s="27"/>
      <c r="K537" s="27"/>
      <c r="L537" s="27"/>
      <c r="M537" s="27"/>
      <c r="N537" s="27"/>
      <c r="O537" s="27"/>
      <c r="P537" s="27"/>
      <c r="Q537" s="27"/>
      <c r="R537" s="27"/>
      <c r="S537" s="27"/>
      <c r="T537" s="27"/>
      <c r="U537" s="27"/>
      <c r="V537" s="27"/>
      <c r="W537" s="27"/>
      <c r="X537" s="27"/>
      <c r="Y537" s="27"/>
      <c r="Z537" s="27"/>
      <c r="AA537" s="27"/>
      <c r="AB537" s="27"/>
      <c r="AC537" s="27"/>
      <c r="AD537" s="27"/>
      <c r="AE537" s="27"/>
      <c r="AF537" s="27"/>
      <c r="AG537" s="27"/>
      <c r="AH537" s="27"/>
      <c r="AI537" s="27"/>
      <c r="AJ537" s="27"/>
      <c r="AK537" s="27"/>
      <c r="AL537" s="27"/>
      <c r="AM537" s="27"/>
      <c r="AN537" s="27"/>
      <c r="AO537" s="27"/>
      <c r="AP537" s="27"/>
      <c r="AQ537" s="27"/>
      <c r="AR537" s="27"/>
      <c r="AS537" s="27"/>
      <c r="AT537" s="27"/>
      <c r="AU537" s="27"/>
      <c r="AV537" s="27"/>
      <c r="AW537" s="27"/>
      <c r="AX537" s="27"/>
      <c r="AY537" s="27"/>
      <c r="AZ537" s="27"/>
      <c r="BA537" s="27"/>
      <c r="BB537" s="27"/>
      <c r="BC537" s="27"/>
      <c r="BD537" s="27"/>
      <c r="BE537" s="27"/>
      <c r="BF537" s="27"/>
      <c r="BG537" s="27"/>
      <c r="BH537" s="27"/>
      <c r="BI537" s="27"/>
      <c r="BJ537" s="27"/>
      <c r="BK537" s="27"/>
      <c r="BL537" s="27"/>
      <c r="BM537" s="27"/>
      <c r="BN537" s="27"/>
      <c r="BO537" s="27"/>
      <c r="BP537" s="27"/>
      <c r="BQ537" s="27"/>
      <c r="BR537" s="27"/>
      <c r="BS537" s="27"/>
      <c r="BT537" s="27"/>
      <c r="BU537" s="27"/>
      <c r="BV537" s="27"/>
      <c r="BW537" s="27"/>
      <c r="BX537" s="27"/>
      <c r="BY537" s="27"/>
      <c r="BZ537" s="27"/>
      <c r="CA537" s="27"/>
      <c r="CB537" s="27"/>
      <c r="CC537" s="27"/>
      <c r="CD537" s="27"/>
      <c r="CE537" s="27"/>
      <c r="CF537" s="27"/>
      <c r="CG537" s="27"/>
      <c r="CH537" s="27"/>
      <c r="CI537" s="27"/>
      <c r="CJ537" s="27"/>
      <c r="CK537" s="27"/>
      <c r="CL537" s="27"/>
      <c r="CM537" s="27"/>
      <c r="CN537" s="27"/>
      <c r="CO537" s="27"/>
      <c r="CP537" s="27"/>
      <c r="CQ537" s="27"/>
      <c r="CR537" s="27"/>
      <c r="CS537" s="27"/>
      <c r="CT537" s="27"/>
      <c r="CU537" s="27"/>
      <c r="CV537" s="27"/>
      <c r="CW537" s="27"/>
      <c r="CX537" s="27"/>
      <c r="CY537" s="27"/>
      <c r="CZ537" s="27"/>
      <c r="DA537" s="27"/>
      <c r="DB537" s="27"/>
      <c r="DC537" s="27"/>
      <c r="DD537" s="27"/>
      <c r="DE537" s="27"/>
      <c r="DF537" s="27"/>
      <c r="DG537" s="27"/>
      <c r="DH537" s="27"/>
      <c r="DI537" s="27"/>
      <c r="DJ537" s="27"/>
      <c r="DK537" s="27"/>
      <c r="DL537" s="27"/>
      <c r="DM537" s="27"/>
      <c r="DN537" s="27"/>
      <c r="DO537" s="27"/>
      <c r="DP537" s="27"/>
      <c r="DQ537" s="27"/>
      <c r="DR537" s="27"/>
      <c r="DS537" s="27"/>
      <c r="DT537" s="27"/>
    </row>
    <row r="538" spans="7:124" x14ac:dyDescent="0.2">
      <c r="G538" s="27"/>
      <c r="H538" s="27"/>
      <c r="I538" s="27"/>
      <c r="J538" s="27"/>
      <c r="K538" s="27"/>
      <c r="L538" s="27"/>
      <c r="M538" s="27"/>
      <c r="N538" s="27"/>
      <c r="O538" s="27"/>
      <c r="P538" s="27"/>
      <c r="Q538" s="27"/>
      <c r="R538" s="27"/>
      <c r="S538" s="27"/>
      <c r="T538" s="27"/>
      <c r="U538" s="27"/>
      <c r="V538" s="27"/>
      <c r="W538" s="27"/>
      <c r="X538" s="27"/>
      <c r="Y538" s="27"/>
      <c r="Z538" s="27"/>
      <c r="AA538" s="27"/>
      <c r="AB538" s="27"/>
      <c r="AC538" s="27"/>
      <c r="AD538" s="27"/>
      <c r="AE538" s="27"/>
      <c r="AF538" s="27"/>
      <c r="AG538" s="27"/>
      <c r="AH538" s="27"/>
      <c r="AI538" s="27"/>
      <c r="AJ538" s="27"/>
      <c r="AK538" s="27"/>
      <c r="AL538" s="27"/>
      <c r="AM538" s="27"/>
      <c r="AN538" s="27"/>
      <c r="AO538" s="27"/>
      <c r="AP538" s="27"/>
      <c r="AQ538" s="27"/>
      <c r="AR538" s="27"/>
      <c r="AS538" s="27"/>
      <c r="AT538" s="27"/>
      <c r="AU538" s="27"/>
      <c r="AV538" s="27"/>
      <c r="AW538" s="27"/>
      <c r="AX538" s="27"/>
      <c r="AY538" s="27"/>
      <c r="AZ538" s="27"/>
      <c r="BA538" s="27"/>
      <c r="BB538" s="27"/>
      <c r="BC538" s="27"/>
      <c r="BD538" s="27"/>
      <c r="BE538" s="27"/>
      <c r="BF538" s="27"/>
      <c r="BG538" s="27"/>
      <c r="BH538" s="27"/>
      <c r="BI538" s="27"/>
      <c r="BJ538" s="27"/>
      <c r="BK538" s="27"/>
      <c r="BL538" s="27"/>
      <c r="BM538" s="27"/>
      <c r="BN538" s="27"/>
      <c r="BO538" s="27"/>
      <c r="BP538" s="27"/>
      <c r="BQ538" s="27"/>
      <c r="BR538" s="27"/>
      <c r="BS538" s="27"/>
      <c r="BT538" s="27"/>
      <c r="BU538" s="27"/>
      <c r="BV538" s="27"/>
      <c r="BW538" s="27"/>
      <c r="BX538" s="27"/>
      <c r="BY538" s="27"/>
      <c r="BZ538" s="27"/>
      <c r="CA538" s="27"/>
      <c r="CB538" s="27"/>
      <c r="CC538" s="27"/>
      <c r="CD538" s="27"/>
      <c r="CE538" s="27"/>
      <c r="CF538" s="27"/>
      <c r="CG538" s="27"/>
      <c r="CH538" s="27"/>
      <c r="CI538" s="27"/>
      <c r="CJ538" s="27"/>
      <c r="CK538" s="27"/>
      <c r="CL538" s="27"/>
      <c r="CM538" s="27"/>
      <c r="CN538" s="27"/>
      <c r="CO538" s="27"/>
      <c r="CP538" s="27"/>
      <c r="CQ538" s="27"/>
      <c r="CR538" s="27"/>
      <c r="CS538" s="27"/>
      <c r="CT538" s="27"/>
      <c r="CU538" s="27"/>
      <c r="CV538" s="27"/>
      <c r="CW538" s="27"/>
      <c r="CX538" s="27"/>
      <c r="CY538" s="27"/>
      <c r="CZ538" s="27"/>
      <c r="DA538" s="27"/>
      <c r="DB538" s="27"/>
      <c r="DC538" s="27"/>
      <c r="DD538" s="27"/>
      <c r="DE538" s="27"/>
      <c r="DF538" s="27"/>
      <c r="DG538" s="27"/>
      <c r="DH538" s="27"/>
      <c r="DI538" s="27"/>
      <c r="DJ538" s="27"/>
      <c r="DK538" s="27"/>
      <c r="DL538" s="27"/>
      <c r="DM538" s="27"/>
      <c r="DN538" s="27"/>
      <c r="DO538" s="27"/>
      <c r="DP538" s="27"/>
      <c r="DQ538" s="27"/>
      <c r="DR538" s="27"/>
      <c r="DS538" s="27"/>
      <c r="DT538" s="27"/>
    </row>
    <row r="539" spans="7:124" x14ac:dyDescent="0.2">
      <c r="G539" s="27"/>
      <c r="H539" s="27"/>
      <c r="I539" s="27"/>
      <c r="J539" s="27"/>
      <c r="K539" s="27"/>
      <c r="L539" s="27"/>
      <c r="M539" s="27"/>
      <c r="N539" s="27"/>
      <c r="O539" s="27"/>
      <c r="P539" s="27"/>
      <c r="Q539" s="27"/>
      <c r="R539" s="27"/>
      <c r="S539" s="27"/>
      <c r="T539" s="27"/>
      <c r="U539" s="27"/>
      <c r="V539" s="27"/>
      <c r="W539" s="27"/>
      <c r="X539" s="27"/>
      <c r="Y539" s="27"/>
      <c r="Z539" s="27"/>
      <c r="AA539" s="27"/>
      <c r="AB539" s="27"/>
      <c r="AC539" s="27"/>
      <c r="AD539" s="27"/>
      <c r="AE539" s="27"/>
      <c r="AF539" s="27"/>
      <c r="AG539" s="27"/>
      <c r="AH539" s="27"/>
      <c r="AI539" s="27"/>
      <c r="AJ539" s="27"/>
      <c r="AK539" s="27"/>
      <c r="AL539" s="27"/>
      <c r="AM539" s="27"/>
      <c r="AN539" s="27"/>
      <c r="AO539" s="27"/>
      <c r="AP539" s="27"/>
      <c r="AQ539" s="27"/>
      <c r="AR539" s="27"/>
      <c r="AS539" s="27"/>
      <c r="AT539" s="27"/>
      <c r="AU539" s="27"/>
      <c r="AV539" s="27"/>
      <c r="AW539" s="27"/>
      <c r="AX539" s="27"/>
      <c r="AY539" s="27"/>
      <c r="AZ539" s="27"/>
      <c r="BA539" s="27"/>
      <c r="BB539" s="27"/>
      <c r="BC539" s="27"/>
      <c r="BD539" s="27"/>
      <c r="BE539" s="27"/>
      <c r="BF539" s="27"/>
      <c r="BG539" s="27"/>
      <c r="BH539" s="27"/>
      <c r="BI539" s="27"/>
      <c r="BJ539" s="27"/>
      <c r="BK539" s="27"/>
      <c r="BL539" s="27"/>
      <c r="BM539" s="27"/>
      <c r="BN539" s="27"/>
      <c r="BO539" s="27"/>
      <c r="BP539" s="27"/>
      <c r="BQ539" s="27"/>
      <c r="BR539" s="27"/>
      <c r="BS539" s="27"/>
      <c r="BT539" s="27"/>
      <c r="BU539" s="27"/>
      <c r="BV539" s="27"/>
      <c r="BW539" s="27"/>
      <c r="BX539" s="27"/>
      <c r="BY539" s="27"/>
      <c r="BZ539" s="27"/>
      <c r="CA539" s="27"/>
      <c r="CB539" s="27"/>
      <c r="CC539" s="27"/>
      <c r="CD539" s="27"/>
      <c r="CE539" s="27"/>
      <c r="CF539" s="27"/>
      <c r="CG539" s="27"/>
      <c r="CH539" s="27"/>
      <c r="CI539" s="27"/>
      <c r="CJ539" s="27"/>
      <c r="CK539" s="27"/>
      <c r="CL539" s="27"/>
      <c r="CM539" s="27"/>
      <c r="CN539" s="27"/>
      <c r="CO539" s="27"/>
      <c r="CP539" s="27"/>
      <c r="CQ539" s="27"/>
      <c r="CR539" s="27"/>
      <c r="CS539" s="27"/>
      <c r="CT539" s="27"/>
      <c r="CU539" s="27"/>
      <c r="CV539" s="27"/>
      <c r="CW539" s="27"/>
      <c r="CX539" s="27"/>
      <c r="CY539" s="27"/>
      <c r="CZ539" s="27"/>
      <c r="DA539" s="27"/>
      <c r="DB539" s="27"/>
      <c r="DC539" s="27"/>
      <c r="DD539" s="27"/>
      <c r="DE539" s="27"/>
      <c r="DF539" s="27"/>
      <c r="DG539" s="27"/>
      <c r="DH539" s="27"/>
      <c r="DI539" s="27"/>
      <c r="DJ539" s="27"/>
      <c r="DK539" s="27"/>
      <c r="DL539" s="27"/>
      <c r="DM539" s="27"/>
      <c r="DN539" s="27"/>
      <c r="DO539" s="27"/>
      <c r="DP539" s="27"/>
      <c r="DQ539" s="27"/>
      <c r="DR539" s="27"/>
      <c r="DS539" s="27"/>
      <c r="DT539" s="27"/>
    </row>
    <row r="540" spans="7:124" x14ac:dyDescent="0.2">
      <c r="G540" s="27"/>
      <c r="H540" s="27"/>
      <c r="I540" s="27"/>
      <c r="J540" s="27"/>
      <c r="K540" s="27"/>
      <c r="L540" s="27"/>
      <c r="M540" s="27"/>
      <c r="N540" s="27"/>
      <c r="O540" s="27"/>
      <c r="P540" s="27"/>
      <c r="Q540" s="27"/>
      <c r="R540" s="27"/>
      <c r="S540" s="27"/>
      <c r="T540" s="27"/>
      <c r="U540" s="27"/>
      <c r="V540" s="27"/>
      <c r="W540" s="27"/>
      <c r="X540" s="27"/>
      <c r="Y540" s="27"/>
      <c r="Z540" s="27"/>
      <c r="AA540" s="27"/>
      <c r="AB540" s="27"/>
      <c r="AC540" s="27"/>
      <c r="AD540" s="27"/>
      <c r="AE540" s="27"/>
      <c r="AF540" s="27"/>
      <c r="AG540" s="27"/>
      <c r="AH540" s="27"/>
      <c r="AI540" s="27"/>
      <c r="AJ540" s="27"/>
      <c r="AK540" s="27"/>
      <c r="AL540" s="27"/>
      <c r="AM540" s="27"/>
      <c r="AN540" s="27"/>
      <c r="AO540" s="27"/>
      <c r="AP540" s="27"/>
      <c r="AQ540" s="27"/>
      <c r="AR540" s="27"/>
      <c r="AS540" s="27"/>
      <c r="AT540" s="27"/>
      <c r="AU540" s="27"/>
      <c r="AV540" s="27"/>
      <c r="AW540" s="27"/>
      <c r="AX540" s="27"/>
      <c r="AY540" s="27"/>
      <c r="AZ540" s="27"/>
      <c r="BA540" s="27"/>
      <c r="BB540" s="27"/>
      <c r="BC540" s="27"/>
      <c r="BD540" s="27"/>
      <c r="BE540" s="27"/>
      <c r="BF540" s="27"/>
      <c r="BG540" s="27"/>
      <c r="BH540" s="27"/>
      <c r="BI540" s="27"/>
      <c r="BJ540" s="27"/>
      <c r="BK540" s="27"/>
      <c r="BL540" s="27"/>
      <c r="BM540" s="27"/>
      <c r="BN540" s="27"/>
      <c r="BO540" s="27"/>
      <c r="BP540" s="27"/>
      <c r="BQ540" s="27"/>
      <c r="BR540" s="27"/>
      <c r="BS540" s="27"/>
      <c r="BT540" s="27"/>
      <c r="BU540" s="27"/>
      <c r="BV540" s="27"/>
      <c r="BW540" s="27"/>
      <c r="BX540" s="27"/>
      <c r="BY540" s="27"/>
      <c r="BZ540" s="27"/>
      <c r="CA540" s="27"/>
      <c r="CB540" s="27"/>
      <c r="CC540" s="27"/>
      <c r="CD540" s="27"/>
      <c r="CE540" s="27"/>
      <c r="CF540" s="27"/>
      <c r="CG540" s="27"/>
      <c r="CH540" s="27"/>
      <c r="CI540" s="27"/>
      <c r="CJ540" s="27"/>
      <c r="CK540" s="27"/>
      <c r="CL540" s="27"/>
      <c r="CM540" s="27"/>
      <c r="CN540" s="27"/>
      <c r="CO540" s="27"/>
      <c r="CP540" s="27"/>
      <c r="CQ540" s="27"/>
      <c r="CR540" s="27"/>
      <c r="CS540" s="27"/>
      <c r="CT540" s="27"/>
      <c r="CU540" s="27"/>
      <c r="CV540" s="27"/>
      <c r="CW540" s="27"/>
      <c r="CX540" s="27"/>
      <c r="CY540" s="27"/>
      <c r="CZ540" s="27"/>
      <c r="DA540" s="27"/>
      <c r="DB540" s="27"/>
      <c r="DC540" s="27"/>
      <c r="DD540" s="27"/>
      <c r="DE540" s="27"/>
      <c r="DF540" s="27"/>
      <c r="DG540" s="27"/>
      <c r="DH540" s="27"/>
      <c r="DI540" s="27"/>
      <c r="DJ540" s="27"/>
      <c r="DK540" s="27"/>
      <c r="DL540" s="27"/>
      <c r="DM540" s="27"/>
      <c r="DN540" s="27"/>
      <c r="DO540" s="27"/>
      <c r="DP540" s="27"/>
      <c r="DQ540" s="27"/>
      <c r="DR540" s="27"/>
      <c r="DS540" s="27"/>
      <c r="DT540" s="27"/>
    </row>
    <row r="541" spans="7:124" x14ac:dyDescent="0.2">
      <c r="G541" s="27"/>
      <c r="H541" s="27"/>
      <c r="I541" s="27"/>
      <c r="J541" s="27"/>
      <c r="K541" s="27"/>
      <c r="L541" s="27"/>
      <c r="M541" s="27"/>
      <c r="N541" s="27"/>
      <c r="O541" s="27"/>
      <c r="P541" s="27"/>
      <c r="Q541" s="27"/>
      <c r="R541" s="27"/>
      <c r="S541" s="27"/>
      <c r="T541" s="27"/>
      <c r="U541" s="27"/>
      <c r="V541" s="27"/>
      <c r="W541" s="27"/>
      <c r="X541" s="27"/>
      <c r="Y541" s="27"/>
      <c r="Z541" s="27"/>
      <c r="AA541" s="27"/>
      <c r="AB541" s="27"/>
      <c r="AC541" s="27"/>
      <c r="AD541" s="27"/>
      <c r="AE541" s="27"/>
      <c r="AF541" s="27"/>
      <c r="AG541" s="27"/>
      <c r="AH541" s="27"/>
      <c r="AI541" s="27"/>
      <c r="AJ541" s="27"/>
      <c r="AK541" s="27"/>
      <c r="AL541" s="27"/>
      <c r="AM541" s="27"/>
      <c r="AN541" s="27"/>
      <c r="AO541" s="27"/>
      <c r="AP541" s="27"/>
      <c r="AQ541" s="27"/>
      <c r="AR541" s="27"/>
      <c r="AS541" s="27"/>
      <c r="AT541" s="27"/>
      <c r="AU541" s="27"/>
      <c r="AV541" s="27"/>
      <c r="AW541" s="27"/>
      <c r="AX541" s="27"/>
      <c r="AY541" s="27"/>
      <c r="AZ541" s="27"/>
      <c r="BA541" s="27"/>
      <c r="BB541" s="27"/>
      <c r="BC541" s="27"/>
      <c r="BD541" s="27"/>
      <c r="BE541" s="27"/>
      <c r="BF541" s="27"/>
      <c r="BG541" s="27"/>
      <c r="BH541" s="27"/>
      <c r="BI541" s="27"/>
      <c r="BJ541" s="27"/>
      <c r="BK541" s="27"/>
      <c r="BL541" s="27"/>
      <c r="BM541" s="27"/>
      <c r="BN541" s="27"/>
      <c r="BO541" s="27"/>
      <c r="BP541" s="27"/>
      <c r="BQ541" s="27"/>
      <c r="BR541" s="27"/>
      <c r="BS541" s="27"/>
      <c r="BT541" s="27"/>
      <c r="BU541" s="27"/>
      <c r="BV541" s="27"/>
      <c r="BW541" s="27"/>
      <c r="BX541" s="27"/>
      <c r="BY541" s="27"/>
      <c r="BZ541" s="27"/>
      <c r="CA541" s="27"/>
      <c r="CB541" s="27"/>
      <c r="CC541" s="27"/>
      <c r="CD541" s="27"/>
      <c r="CE541" s="27"/>
      <c r="CF541" s="27"/>
      <c r="CG541" s="27"/>
      <c r="CH541" s="27"/>
      <c r="CI541" s="27"/>
      <c r="CJ541" s="27"/>
      <c r="CK541" s="27"/>
      <c r="CL541" s="27"/>
      <c r="CM541" s="27"/>
      <c r="CN541" s="27"/>
      <c r="CO541" s="27"/>
      <c r="CP541" s="27"/>
      <c r="CQ541" s="27"/>
      <c r="CR541" s="27"/>
      <c r="CS541" s="27"/>
      <c r="CT541" s="27"/>
      <c r="CU541" s="27"/>
      <c r="CV541" s="27"/>
      <c r="CW541" s="27"/>
      <c r="CX541" s="27"/>
      <c r="CY541" s="27"/>
      <c r="CZ541" s="27"/>
      <c r="DA541" s="27"/>
      <c r="DB541" s="27"/>
      <c r="DC541" s="27"/>
      <c r="DD541" s="27"/>
      <c r="DE541" s="27"/>
      <c r="DF541" s="27"/>
      <c r="DG541" s="27"/>
      <c r="DH541" s="27"/>
      <c r="DI541" s="27"/>
      <c r="DJ541" s="27"/>
      <c r="DK541" s="27"/>
      <c r="DL541" s="27"/>
      <c r="DM541" s="27"/>
      <c r="DN541" s="27"/>
      <c r="DO541" s="27"/>
      <c r="DP541" s="27"/>
      <c r="DQ541" s="27"/>
      <c r="DR541" s="27"/>
      <c r="DS541" s="27"/>
      <c r="DT541" s="27"/>
    </row>
    <row r="542" spans="7:124" x14ac:dyDescent="0.2">
      <c r="G542" s="27"/>
      <c r="H542" s="27"/>
      <c r="I542" s="27"/>
      <c r="J542" s="27"/>
      <c r="K542" s="27"/>
      <c r="L542" s="27"/>
      <c r="M542" s="27"/>
      <c r="N542" s="27"/>
      <c r="O542" s="27"/>
      <c r="P542" s="27"/>
      <c r="Q542" s="27"/>
      <c r="R542" s="27"/>
      <c r="S542" s="27"/>
      <c r="T542" s="27"/>
      <c r="U542" s="27"/>
      <c r="V542" s="27"/>
      <c r="W542" s="27"/>
      <c r="X542" s="27"/>
      <c r="Y542" s="27"/>
      <c r="Z542" s="27"/>
      <c r="AA542" s="27"/>
      <c r="AB542" s="27"/>
      <c r="AC542" s="27"/>
      <c r="AD542" s="27"/>
      <c r="AE542" s="27"/>
      <c r="AF542" s="27"/>
      <c r="AG542" s="27"/>
      <c r="AH542" s="27"/>
      <c r="AI542" s="27"/>
      <c r="AJ542" s="27"/>
      <c r="AK542" s="27"/>
      <c r="AL542" s="27"/>
      <c r="AM542" s="27"/>
      <c r="AN542" s="27"/>
      <c r="AO542" s="27"/>
      <c r="AP542" s="27"/>
      <c r="AQ542" s="27"/>
      <c r="AR542" s="27"/>
      <c r="AS542" s="27"/>
      <c r="AT542" s="27"/>
      <c r="AU542" s="27"/>
      <c r="AV542" s="27"/>
      <c r="AW542" s="27"/>
      <c r="AX542" s="27"/>
      <c r="AY542" s="27"/>
      <c r="AZ542" s="27"/>
      <c r="BA542" s="27"/>
      <c r="BB542" s="27"/>
      <c r="BC542" s="27"/>
      <c r="BD542" s="27"/>
      <c r="BE542" s="27"/>
      <c r="BF542" s="27"/>
      <c r="BG542" s="27"/>
      <c r="BH542" s="27"/>
      <c r="BI542" s="27"/>
      <c r="BJ542" s="27"/>
      <c r="BK542" s="27"/>
      <c r="BL542" s="27"/>
      <c r="BM542" s="27"/>
      <c r="BN542" s="27"/>
      <c r="BO542" s="27"/>
      <c r="BP542" s="27"/>
      <c r="BQ542" s="27"/>
      <c r="BR542" s="27"/>
      <c r="BS542" s="27"/>
      <c r="BT542" s="27"/>
      <c r="BU542" s="27"/>
      <c r="BV542" s="27"/>
      <c r="BW542" s="27"/>
      <c r="BX542" s="27"/>
      <c r="BY542" s="27"/>
      <c r="BZ542" s="27"/>
      <c r="CA542" s="27"/>
      <c r="CB542" s="27"/>
      <c r="CC542" s="27"/>
      <c r="CD542" s="27"/>
      <c r="CE542" s="27"/>
      <c r="CF542" s="27"/>
      <c r="CG542" s="27"/>
      <c r="CH542" s="27"/>
      <c r="CI542" s="27"/>
      <c r="CJ542" s="27"/>
      <c r="CK542" s="27"/>
      <c r="CL542" s="27"/>
      <c r="CM542" s="27"/>
      <c r="CN542" s="27"/>
      <c r="CO542" s="27"/>
      <c r="CP542" s="27"/>
      <c r="CQ542" s="27"/>
      <c r="CR542" s="27"/>
      <c r="CS542" s="27"/>
      <c r="CT542" s="27"/>
      <c r="CU542" s="27"/>
      <c r="CV542" s="27"/>
      <c r="CW542" s="27"/>
      <c r="CX542" s="27"/>
      <c r="CY542" s="27"/>
      <c r="CZ542" s="27"/>
      <c r="DA542" s="27"/>
      <c r="DB542" s="27"/>
      <c r="DC542" s="27"/>
      <c r="DD542" s="27"/>
      <c r="DE542" s="27"/>
      <c r="DF542" s="27"/>
      <c r="DG542" s="27"/>
      <c r="DH542" s="27"/>
      <c r="DI542" s="27"/>
      <c r="DJ542" s="27"/>
      <c r="DK542" s="27"/>
      <c r="DL542" s="27"/>
      <c r="DM542" s="27"/>
      <c r="DN542" s="27"/>
      <c r="DO542" s="27"/>
      <c r="DP542" s="27"/>
      <c r="DQ542" s="27"/>
      <c r="DR542" s="27"/>
      <c r="DS542" s="27"/>
      <c r="DT542" s="27"/>
    </row>
    <row r="543" spans="7:124" x14ac:dyDescent="0.2">
      <c r="G543" s="27"/>
      <c r="H543" s="27"/>
      <c r="I543" s="27"/>
      <c r="J543" s="27"/>
      <c r="K543" s="27"/>
      <c r="L543" s="27"/>
      <c r="M543" s="27"/>
      <c r="N543" s="27"/>
      <c r="O543" s="27"/>
      <c r="P543" s="27"/>
      <c r="Q543" s="27"/>
      <c r="R543" s="27"/>
      <c r="S543" s="27"/>
      <c r="T543" s="27"/>
      <c r="U543" s="27"/>
      <c r="V543" s="27"/>
      <c r="W543" s="27"/>
      <c r="X543" s="27"/>
      <c r="Y543" s="27"/>
      <c r="Z543" s="27"/>
      <c r="AA543" s="27"/>
      <c r="AB543" s="27"/>
      <c r="AC543" s="27"/>
      <c r="AD543" s="27"/>
      <c r="AE543" s="27"/>
      <c r="AF543" s="27"/>
      <c r="AG543" s="27"/>
      <c r="AH543" s="27"/>
      <c r="AI543" s="27"/>
      <c r="AJ543" s="27"/>
      <c r="AK543" s="27"/>
      <c r="AL543" s="27"/>
      <c r="AM543" s="27"/>
      <c r="AN543" s="27"/>
      <c r="AO543" s="27"/>
      <c r="AP543" s="27"/>
      <c r="AQ543" s="27"/>
      <c r="AR543" s="27"/>
      <c r="AS543" s="27"/>
      <c r="AT543" s="27"/>
      <c r="AU543" s="27"/>
      <c r="AV543" s="27"/>
      <c r="AW543" s="27"/>
      <c r="AX543" s="27"/>
      <c r="AY543" s="27"/>
      <c r="AZ543" s="27"/>
      <c r="BA543" s="27"/>
      <c r="BB543" s="27"/>
      <c r="BC543" s="27"/>
      <c r="BD543" s="27"/>
      <c r="BE543" s="27"/>
      <c r="BF543" s="27"/>
      <c r="BG543" s="27"/>
      <c r="BH543" s="27"/>
      <c r="BI543" s="27"/>
      <c r="BJ543" s="27"/>
      <c r="BK543" s="27"/>
      <c r="BL543" s="27"/>
      <c r="BM543" s="27"/>
      <c r="BN543" s="27"/>
      <c r="BO543" s="27"/>
      <c r="BP543" s="27"/>
      <c r="BQ543" s="27"/>
      <c r="BR543" s="27"/>
      <c r="BS543" s="27"/>
      <c r="BT543" s="27"/>
      <c r="BU543" s="27"/>
      <c r="BV543" s="27"/>
      <c r="BW543" s="27"/>
      <c r="BX543" s="27"/>
      <c r="BY543" s="27"/>
      <c r="BZ543" s="27"/>
      <c r="CA543" s="27"/>
      <c r="CB543" s="27"/>
      <c r="CC543" s="27"/>
      <c r="CD543" s="27"/>
      <c r="CE543" s="27"/>
      <c r="CF543" s="27"/>
      <c r="CG543" s="27"/>
      <c r="CH543" s="27"/>
      <c r="CI543" s="27"/>
      <c r="CJ543" s="27"/>
      <c r="CK543" s="27"/>
      <c r="CL543" s="27"/>
      <c r="CM543" s="27"/>
      <c r="CN543" s="27"/>
      <c r="CO543" s="27"/>
      <c r="CP543" s="27"/>
      <c r="CQ543" s="27"/>
      <c r="CR543" s="27"/>
      <c r="CS543" s="27"/>
      <c r="CT543" s="27"/>
      <c r="CU543" s="27"/>
      <c r="CV543" s="27"/>
      <c r="CW543" s="27"/>
      <c r="CX543" s="27"/>
      <c r="CY543" s="27"/>
      <c r="CZ543" s="27"/>
      <c r="DA543" s="27"/>
      <c r="DB543" s="27"/>
      <c r="DC543" s="27"/>
      <c r="DD543" s="27"/>
      <c r="DE543" s="27"/>
      <c r="DF543" s="27"/>
      <c r="DG543" s="27"/>
      <c r="DH543" s="27"/>
      <c r="DI543" s="27"/>
      <c r="DJ543" s="27"/>
      <c r="DK543" s="27"/>
      <c r="DL543" s="27"/>
      <c r="DM543" s="27"/>
      <c r="DN543" s="27"/>
      <c r="DO543" s="27"/>
      <c r="DP543" s="27"/>
      <c r="DQ543" s="27"/>
      <c r="DR543" s="27"/>
      <c r="DS543" s="27"/>
      <c r="DT543" s="27"/>
    </row>
    <row r="544" spans="7:124" x14ac:dyDescent="0.2">
      <c r="G544" s="27"/>
      <c r="H544" s="27"/>
      <c r="I544" s="27"/>
      <c r="J544" s="27"/>
      <c r="K544" s="27"/>
      <c r="L544" s="27"/>
      <c r="M544" s="27"/>
      <c r="N544" s="27"/>
      <c r="O544" s="27"/>
      <c r="P544" s="27"/>
      <c r="Q544" s="27"/>
      <c r="R544" s="27"/>
      <c r="S544" s="27"/>
      <c r="T544" s="27"/>
      <c r="U544" s="27"/>
      <c r="V544" s="27"/>
      <c r="W544" s="27"/>
      <c r="X544" s="27"/>
      <c r="Y544" s="27"/>
      <c r="Z544" s="27"/>
      <c r="AA544" s="27"/>
      <c r="AB544" s="27"/>
      <c r="AC544" s="27"/>
      <c r="AD544" s="27"/>
      <c r="AE544" s="27"/>
      <c r="AF544" s="27"/>
      <c r="AG544" s="27"/>
      <c r="AH544" s="27"/>
      <c r="AI544" s="27"/>
      <c r="AJ544" s="27"/>
      <c r="AK544" s="27"/>
      <c r="AL544" s="27"/>
      <c r="AM544" s="27"/>
      <c r="AN544" s="27"/>
      <c r="AO544" s="27"/>
      <c r="AP544" s="27"/>
      <c r="AQ544" s="27"/>
      <c r="AR544" s="27"/>
      <c r="AS544" s="27"/>
      <c r="AT544" s="27"/>
      <c r="AU544" s="27"/>
      <c r="AV544" s="27"/>
      <c r="AW544" s="27"/>
      <c r="AX544" s="27"/>
      <c r="AY544" s="27"/>
      <c r="AZ544" s="27"/>
      <c r="BA544" s="27"/>
      <c r="BB544" s="27"/>
      <c r="BC544" s="27"/>
      <c r="BD544" s="27"/>
      <c r="BE544" s="27"/>
      <c r="BF544" s="27"/>
      <c r="BG544" s="27"/>
      <c r="BH544" s="27"/>
      <c r="BI544" s="27"/>
      <c r="BJ544" s="27"/>
      <c r="BK544" s="27"/>
      <c r="BL544" s="27"/>
      <c r="BM544" s="27"/>
      <c r="BN544" s="27"/>
      <c r="BO544" s="27"/>
      <c r="BP544" s="27"/>
      <c r="BQ544" s="27"/>
      <c r="BR544" s="27"/>
      <c r="BS544" s="27"/>
      <c r="BT544" s="27"/>
      <c r="BU544" s="27"/>
      <c r="BV544" s="27"/>
      <c r="BW544" s="27"/>
      <c r="BX544" s="27"/>
      <c r="BY544" s="27"/>
      <c r="BZ544" s="27"/>
      <c r="CA544" s="27"/>
      <c r="CB544" s="27"/>
      <c r="CC544" s="27"/>
      <c r="CD544" s="27"/>
      <c r="CE544" s="27"/>
      <c r="CF544" s="27"/>
      <c r="CG544" s="27"/>
      <c r="CH544" s="27"/>
      <c r="CI544" s="27"/>
      <c r="CJ544" s="27"/>
      <c r="CK544" s="27"/>
      <c r="CL544" s="27"/>
      <c r="CM544" s="27"/>
      <c r="CN544" s="27"/>
      <c r="CO544" s="27"/>
      <c r="CP544" s="27"/>
      <c r="CQ544" s="27"/>
      <c r="CR544" s="27"/>
      <c r="CS544" s="27"/>
      <c r="CT544" s="27"/>
      <c r="CU544" s="27"/>
      <c r="CV544" s="27"/>
      <c r="CW544" s="27"/>
      <c r="CX544" s="27"/>
      <c r="CY544" s="27"/>
      <c r="CZ544" s="27"/>
      <c r="DA544" s="27"/>
      <c r="DB544" s="27"/>
      <c r="DC544" s="27"/>
      <c r="DD544" s="27"/>
      <c r="DE544" s="27"/>
      <c r="DF544" s="27"/>
      <c r="DG544" s="27"/>
      <c r="DH544" s="27"/>
      <c r="DI544" s="27"/>
      <c r="DJ544" s="27"/>
      <c r="DK544" s="27"/>
      <c r="DL544" s="27"/>
      <c r="DM544" s="27"/>
      <c r="DN544" s="27"/>
      <c r="DO544" s="27"/>
      <c r="DP544" s="27"/>
      <c r="DQ544" s="27"/>
      <c r="DR544" s="27"/>
      <c r="DS544" s="27"/>
      <c r="DT544" s="27"/>
    </row>
    <row r="545" spans="7:124" x14ac:dyDescent="0.2">
      <c r="G545" s="27"/>
      <c r="H545" s="27"/>
      <c r="I545" s="27"/>
      <c r="J545" s="27"/>
      <c r="K545" s="27"/>
      <c r="L545" s="27"/>
      <c r="M545" s="27"/>
      <c r="N545" s="27"/>
      <c r="O545" s="27"/>
      <c r="P545" s="27"/>
      <c r="Q545" s="27"/>
      <c r="R545" s="27"/>
      <c r="S545" s="27"/>
      <c r="T545" s="27"/>
      <c r="U545" s="27"/>
      <c r="V545" s="27"/>
      <c r="W545" s="27"/>
      <c r="X545" s="27"/>
      <c r="Y545" s="27"/>
      <c r="Z545" s="27"/>
      <c r="AA545" s="27"/>
      <c r="AB545" s="27"/>
      <c r="AC545" s="27"/>
      <c r="AD545" s="27"/>
      <c r="AE545" s="27"/>
      <c r="AF545" s="27"/>
      <c r="AG545" s="27"/>
      <c r="AH545" s="27"/>
      <c r="AI545" s="27"/>
      <c r="AJ545" s="27"/>
      <c r="AK545" s="27"/>
      <c r="AL545" s="27"/>
      <c r="AM545" s="27"/>
      <c r="AN545" s="27"/>
      <c r="AO545" s="27"/>
      <c r="AP545" s="27"/>
      <c r="AQ545" s="27"/>
      <c r="AR545" s="27"/>
      <c r="AS545" s="27"/>
      <c r="AT545" s="27"/>
      <c r="AU545" s="27"/>
      <c r="AV545" s="27"/>
      <c r="AW545" s="27"/>
      <c r="AX545" s="27"/>
      <c r="AY545" s="27"/>
      <c r="AZ545" s="27"/>
      <c r="BA545" s="27"/>
      <c r="BB545" s="27"/>
      <c r="BC545" s="27"/>
      <c r="BD545" s="27"/>
      <c r="BE545" s="27"/>
      <c r="BF545" s="27"/>
      <c r="BG545" s="27"/>
      <c r="BH545" s="27"/>
      <c r="BI545" s="27"/>
      <c r="BJ545" s="27"/>
      <c r="BK545" s="27"/>
      <c r="BL545" s="27"/>
      <c r="BM545" s="27"/>
      <c r="BN545" s="27"/>
      <c r="BO545" s="27"/>
      <c r="BP545" s="27"/>
      <c r="BQ545" s="27"/>
      <c r="BR545" s="27"/>
      <c r="BS545" s="27"/>
      <c r="BT545" s="27"/>
      <c r="BU545" s="27"/>
      <c r="BV545" s="27"/>
      <c r="BW545" s="27"/>
      <c r="BX545" s="27"/>
      <c r="BY545" s="27"/>
      <c r="BZ545" s="27"/>
      <c r="CA545" s="27"/>
      <c r="CB545" s="27"/>
      <c r="CC545" s="27"/>
      <c r="CD545" s="27"/>
      <c r="CE545" s="27"/>
      <c r="CF545" s="27"/>
      <c r="CG545" s="27"/>
      <c r="CH545" s="27"/>
      <c r="CI545" s="27"/>
      <c r="CJ545" s="27"/>
      <c r="CK545" s="27"/>
      <c r="CL545" s="27"/>
      <c r="CM545" s="27"/>
      <c r="CN545" s="27"/>
      <c r="CO545" s="27"/>
      <c r="CP545" s="27"/>
      <c r="CQ545" s="27"/>
      <c r="CR545" s="27"/>
      <c r="CS545" s="27"/>
      <c r="CT545" s="27"/>
      <c r="CU545" s="27"/>
      <c r="CV545" s="27"/>
      <c r="CW545" s="27"/>
      <c r="CX545" s="27"/>
      <c r="CY545" s="27"/>
      <c r="CZ545" s="27"/>
      <c r="DA545" s="27"/>
      <c r="DB545" s="27"/>
      <c r="DC545" s="27"/>
      <c r="DD545" s="27"/>
      <c r="DE545" s="27"/>
      <c r="DF545" s="27"/>
      <c r="DG545" s="27"/>
      <c r="DH545" s="27"/>
      <c r="DI545" s="27"/>
      <c r="DJ545" s="27"/>
      <c r="DK545" s="27"/>
      <c r="DL545" s="27"/>
      <c r="DM545" s="27"/>
      <c r="DN545" s="27"/>
      <c r="DO545" s="27"/>
      <c r="DP545" s="27"/>
      <c r="DQ545" s="27"/>
      <c r="DR545" s="27"/>
      <c r="DS545" s="27"/>
      <c r="DT545" s="27"/>
    </row>
    <row r="546" spans="7:124" x14ac:dyDescent="0.2">
      <c r="G546" s="27"/>
      <c r="H546" s="27"/>
      <c r="I546" s="27"/>
      <c r="J546" s="27"/>
      <c r="K546" s="27"/>
      <c r="L546" s="27"/>
      <c r="M546" s="27"/>
      <c r="N546" s="27"/>
      <c r="O546" s="27"/>
      <c r="P546" s="27"/>
      <c r="Q546" s="27"/>
      <c r="R546" s="27"/>
      <c r="S546" s="27"/>
      <c r="T546" s="27"/>
      <c r="U546" s="27"/>
      <c r="V546" s="27"/>
      <c r="W546" s="27"/>
      <c r="X546" s="27"/>
      <c r="Y546" s="27"/>
      <c r="Z546" s="27"/>
      <c r="AA546" s="27"/>
      <c r="AB546" s="27"/>
      <c r="AC546" s="27"/>
      <c r="AD546" s="27"/>
      <c r="AE546" s="27"/>
      <c r="AF546" s="27"/>
      <c r="AG546" s="27"/>
      <c r="AH546" s="27"/>
      <c r="AI546" s="27"/>
      <c r="AJ546" s="27"/>
      <c r="AK546" s="27"/>
      <c r="AL546" s="27"/>
      <c r="AM546" s="27"/>
      <c r="AN546" s="27"/>
      <c r="AO546" s="27"/>
      <c r="AP546" s="27"/>
      <c r="AQ546" s="27"/>
      <c r="AR546" s="27"/>
      <c r="AS546" s="27"/>
      <c r="AT546" s="27"/>
      <c r="AU546" s="27"/>
      <c r="AV546" s="27"/>
      <c r="AW546" s="27"/>
      <c r="AX546" s="27"/>
      <c r="AY546" s="27"/>
      <c r="AZ546" s="27"/>
      <c r="BA546" s="27"/>
      <c r="BB546" s="27"/>
      <c r="BC546" s="27"/>
      <c r="BD546" s="27"/>
      <c r="BE546" s="27"/>
      <c r="BF546" s="27"/>
      <c r="BG546" s="27"/>
      <c r="BH546" s="27"/>
      <c r="BI546" s="27"/>
      <c r="BJ546" s="27"/>
      <c r="BK546" s="27"/>
      <c r="BL546" s="27"/>
      <c r="BM546" s="27"/>
      <c r="BN546" s="27"/>
      <c r="BO546" s="27"/>
      <c r="BP546" s="27"/>
      <c r="BQ546" s="27"/>
      <c r="BR546" s="27"/>
      <c r="BS546" s="27"/>
      <c r="BT546" s="27"/>
      <c r="BU546" s="27"/>
      <c r="BV546" s="27"/>
      <c r="BW546" s="27"/>
      <c r="BX546" s="27"/>
      <c r="BY546" s="27"/>
      <c r="BZ546" s="27"/>
      <c r="CA546" s="27"/>
      <c r="CB546" s="27"/>
      <c r="CC546" s="27"/>
      <c r="CD546" s="27"/>
      <c r="CE546" s="27"/>
      <c r="CF546" s="27"/>
      <c r="CG546" s="27"/>
      <c r="CH546" s="27"/>
      <c r="CI546" s="27"/>
      <c r="CJ546" s="27"/>
      <c r="CK546" s="27"/>
      <c r="CL546" s="27"/>
      <c r="CM546" s="27"/>
      <c r="CN546" s="27"/>
      <c r="CO546" s="27"/>
      <c r="CP546" s="27"/>
      <c r="CQ546" s="27"/>
      <c r="CR546" s="27"/>
      <c r="CS546" s="27"/>
      <c r="CT546" s="27"/>
      <c r="CU546" s="27"/>
      <c r="CV546" s="27"/>
      <c r="CW546" s="27"/>
      <c r="CX546" s="27"/>
      <c r="CY546" s="27"/>
      <c r="CZ546" s="27"/>
      <c r="DA546" s="27"/>
      <c r="DB546" s="27"/>
      <c r="DC546" s="27"/>
      <c r="DD546" s="27"/>
      <c r="DE546" s="27"/>
      <c r="DF546" s="27"/>
      <c r="DG546" s="27"/>
      <c r="DH546" s="27"/>
      <c r="DI546" s="27"/>
      <c r="DJ546" s="27"/>
      <c r="DK546" s="27"/>
      <c r="DL546" s="27"/>
      <c r="DM546" s="27"/>
      <c r="DN546" s="27"/>
      <c r="DO546" s="27"/>
      <c r="DP546" s="27"/>
      <c r="DQ546" s="27"/>
      <c r="DR546" s="27"/>
      <c r="DS546" s="27"/>
      <c r="DT546" s="27"/>
    </row>
    <row r="547" spans="7:124" x14ac:dyDescent="0.2">
      <c r="G547" s="27"/>
      <c r="H547" s="27"/>
      <c r="I547" s="27"/>
      <c r="J547" s="27"/>
      <c r="K547" s="27"/>
      <c r="L547" s="27"/>
      <c r="M547" s="27"/>
      <c r="N547" s="27"/>
      <c r="O547" s="27"/>
      <c r="P547" s="27"/>
      <c r="Q547" s="27"/>
      <c r="R547" s="27"/>
      <c r="S547" s="27"/>
      <c r="T547" s="27"/>
      <c r="U547" s="27"/>
      <c r="V547" s="27"/>
      <c r="W547" s="27"/>
      <c r="X547" s="27"/>
      <c r="Y547" s="27"/>
      <c r="Z547" s="27"/>
      <c r="AA547" s="27"/>
      <c r="AB547" s="27"/>
      <c r="AC547" s="27"/>
      <c r="AD547" s="27"/>
      <c r="AE547" s="27"/>
      <c r="AF547" s="27"/>
      <c r="AG547" s="27"/>
      <c r="AH547" s="27"/>
      <c r="AI547" s="27"/>
      <c r="AJ547" s="27"/>
      <c r="AK547" s="27"/>
      <c r="AL547" s="27"/>
      <c r="AM547" s="27"/>
      <c r="AN547" s="27"/>
      <c r="AO547" s="27"/>
      <c r="AP547" s="27"/>
      <c r="AQ547" s="27"/>
      <c r="AR547" s="27"/>
      <c r="AS547" s="27"/>
      <c r="AT547" s="27"/>
      <c r="AU547" s="27"/>
      <c r="AV547" s="27"/>
      <c r="AW547" s="27"/>
      <c r="AX547" s="27"/>
      <c r="AY547" s="27"/>
      <c r="AZ547" s="27"/>
      <c r="BA547" s="27"/>
      <c r="BB547" s="27"/>
      <c r="BC547" s="27"/>
      <c r="BD547" s="27"/>
      <c r="BE547" s="27"/>
      <c r="BF547" s="27"/>
      <c r="BG547" s="27"/>
      <c r="BH547" s="27"/>
      <c r="BI547" s="27"/>
      <c r="BJ547" s="27"/>
      <c r="BK547" s="27"/>
      <c r="BL547" s="27"/>
      <c r="BM547" s="27"/>
      <c r="BN547" s="27"/>
      <c r="BO547" s="27"/>
      <c r="BP547" s="27"/>
      <c r="BQ547" s="27"/>
      <c r="BR547" s="27"/>
      <c r="BS547" s="27"/>
      <c r="BT547" s="27"/>
      <c r="BU547" s="27"/>
      <c r="BV547" s="27"/>
      <c r="BW547" s="27"/>
      <c r="BX547" s="27"/>
      <c r="BY547" s="27"/>
      <c r="BZ547" s="27"/>
      <c r="CA547" s="27"/>
      <c r="CB547" s="27"/>
      <c r="CC547" s="27"/>
      <c r="CD547" s="27"/>
      <c r="CE547" s="27"/>
      <c r="CF547" s="27"/>
      <c r="CG547" s="27"/>
      <c r="CH547" s="27"/>
      <c r="CI547" s="27"/>
      <c r="CJ547" s="27"/>
      <c r="CK547" s="27"/>
      <c r="CL547" s="27"/>
      <c r="CM547" s="27"/>
      <c r="CN547" s="27"/>
      <c r="CO547" s="27"/>
      <c r="CP547" s="27"/>
      <c r="CQ547" s="27"/>
      <c r="CR547" s="27"/>
      <c r="CS547" s="27"/>
      <c r="CT547" s="27"/>
      <c r="CU547" s="27"/>
      <c r="CV547" s="27"/>
      <c r="CW547" s="27"/>
      <c r="CX547" s="27"/>
      <c r="CY547" s="27"/>
      <c r="CZ547" s="27"/>
      <c r="DA547" s="27"/>
      <c r="DB547" s="27"/>
      <c r="DC547" s="27"/>
      <c r="DD547" s="27"/>
      <c r="DE547" s="27"/>
      <c r="DF547" s="27"/>
      <c r="DG547" s="27"/>
      <c r="DH547" s="27"/>
      <c r="DI547" s="27"/>
      <c r="DJ547" s="27"/>
      <c r="DK547" s="27"/>
      <c r="DL547" s="27"/>
      <c r="DM547" s="27"/>
      <c r="DN547" s="27"/>
      <c r="DO547" s="27"/>
      <c r="DP547" s="27"/>
      <c r="DQ547" s="27"/>
      <c r="DR547" s="27"/>
      <c r="DS547" s="27"/>
      <c r="DT547" s="27"/>
    </row>
    <row r="548" spans="7:124" x14ac:dyDescent="0.2">
      <c r="G548" s="27"/>
      <c r="H548" s="27"/>
      <c r="I548" s="27"/>
      <c r="J548" s="27"/>
      <c r="K548" s="27"/>
      <c r="L548" s="27"/>
      <c r="M548" s="27"/>
      <c r="N548" s="27"/>
      <c r="O548" s="27"/>
      <c r="P548" s="27"/>
      <c r="Q548" s="27"/>
      <c r="R548" s="27"/>
      <c r="S548" s="27"/>
      <c r="T548" s="27"/>
      <c r="U548" s="27"/>
      <c r="V548" s="27"/>
      <c r="W548" s="27"/>
      <c r="X548" s="27"/>
      <c r="Y548" s="27"/>
      <c r="Z548" s="27"/>
      <c r="AA548" s="27"/>
      <c r="AB548" s="27"/>
      <c r="AC548" s="27"/>
      <c r="AD548" s="27"/>
      <c r="AE548" s="27"/>
      <c r="AF548" s="27"/>
      <c r="AG548" s="27"/>
      <c r="AH548" s="27"/>
      <c r="AI548" s="27"/>
      <c r="AJ548" s="27"/>
      <c r="AK548" s="27"/>
      <c r="AL548" s="27"/>
      <c r="AM548" s="27"/>
      <c r="AN548" s="27"/>
      <c r="AO548" s="27"/>
      <c r="AP548" s="27"/>
      <c r="AQ548" s="27"/>
      <c r="AR548" s="27"/>
      <c r="AS548" s="27"/>
      <c r="AT548" s="27"/>
      <c r="AU548" s="27"/>
      <c r="AV548" s="27"/>
      <c r="AW548" s="27"/>
      <c r="AX548" s="27"/>
      <c r="AY548" s="27"/>
      <c r="AZ548" s="27"/>
      <c r="BA548" s="27"/>
      <c r="BB548" s="27"/>
      <c r="BC548" s="27"/>
      <c r="BD548" s="27"/>
      <c r="BE548" s="27"/>
      <c r="BF548" s="27"/>
      <c r="BG548" s="27"/>
      <c r="BH548" s="27"/>
      <c r="BI548" s="27"/>
      <c r="BJ548" s="27"/>
      <c r="BK548" s="27"/>
      <c r="BL548" s="27"/>
      <c r="BM548" s="27"/>
      <c r="BN548" s="27"/>
      <c r="BO548" s="27"/>
      <c r="BP548" s="27"/>
      <c r="BQ548" s="27"/>
      <c r="BR548" s="27"/>
      <c r="BS548" s="27"/>
      <c r="BT548" s="27"/>
      <c r="BU548" s="27"/>
      <c r="BV548" s="27"/>
      <c r="BW548" s="27"/>
      <c r="BX548" s="27"/>
      <c r="BY548" s="27"/>
      <c r="BZ548" s="27"/>
      <c r="CA548" s="27"/>
      <c r="CB548" s="27"/>
      <c r="CC548" s="27"/>
      <c r="CD548" s="27"/>
      <c r="CE548" s="27"/>
      <c r="CF548" s="27"/>
      <c r="CG548" s="27"/>
      <c r="CH548" s="27"/>
      <c r="CI548" s="27"/>
      <c r="CJ548" s="27"/>
      <c r="CK548" s="27"/>
      <c r="CL548" s="27"/>
      <c r="CM548" s="27"/>
      <c r="CN548" s="27"/>
      <c r="CO548" s="27"/>
      <c r="CP548" s="27"/>
      <c r="CQ548" s="27"/>
      <c r="CR548" s="27"/>
      <c r="CS548" s="27"/>
      <c r="CT548" s="27"/>
      <c r="CU548" s="27"/>
      <c r="CV548" s="27"/>
      <c r="CW548" s="27"/>
      <c r="CX548" s="27"/>
      <c r="CY548" s="27"/>
      <c r="CZ548" s="27"/>
      <c r="DA548" s="27"/>
      <c r="DB548" s="27"/>
      <c r="DC548" s="27"/>
      <c r="DD548" s="27"/>
      <c r="DE548" s="27"/>
      <c r="DF548" s="27"/>
      <c r="DG548" s="27"/>
      <c r="DH548" s="27"/>
      <c r="DI548" s="27"/>
      <c r="DJ548" s="27"/>
      <c r="DK548" s="27"/>
      <c r="DL548" s="27"/>
      <c r="DM548" s="27"/>
      <c r="DN548" s="27"/>
      <c r="DO548" s="27"/>
      <c r="DP548" s="27"/>
      <c r="DQ548" s="27"/>
      <c r="DR548" s="27"/>
      <c r="DS548" s="27"/>
      <c r="DT548" s="27"/>
    </row>
    <row r="549" spans="7:124" x14ac:dyDescent="0.2">
      <c r="G549" s="27"/>
      <c r="H549" s="27"/>
      <c r="I549" s="27"/>
      <c r="J549" s="27"/>
      <c r="K549" s="27"/>
      <c r="L549" s="27"/>
      <c r="M549" s="27"/>
      <c r="N549" s="27"/>
      <c r="O549" s="27"/>
      <c r="P549" s="27"/>
      <c r="Q549" s="27"/>
      <c r="R549" s="27"/>
      <c r="S549" s="27"/>
      <c r="T549" s="27"/>
      <c r="U549" s="27"/>
      <c r="V549" s="27"/>
      <c r="W549" s="27"/>
      <c r="X549" s="27"/>
      <c r="Y549" s="27"/>
      <c r="Z549" s="27"/>
      <c r="AA549" s="27"/>
      <c r="AB549" s="27"/>
      <c r="AC549" s="27"/>
      <c r="AD549" s="27"/>
      <c r="AE549" s="27"/>
      <c r="AF549" s="27"/>
      <c r="AG549" s="27"/>
      <c r="AH549" s="27"/>
      <c r="AI549" s="27"/>
      <c r="AJ549" s="27"/>
      <c r="AK549" s="27"/>
      <c r="AL549" s="27"/>
      <c r="AM549" s="27"/>
      <c r="AN549" s="27"/>
      <c r="AO549" s="27"/>
      <c r="AP549" s="27"/>
      <c r="AQ549" s="27"/>
      <c r="AR549" s="27"/>
      <c r="AS549" s="27"/>
      <c r="AT549" s="27"/>
      <c r="AU549" s="27"/>
      <c r="AV549" s="27"/>
      <c r="AW549" s="27"/>
      <c r="AX549" s="27"/>
      <c r="AY549" s="27"/>
      <c r="AZ549" s="27"/>
      <c r="BA549" s="27"/>
      <c r="BB549" s="27"/>
      <c r="BC549" s="27"/>
      <c r="BD549" s="27"/>
      <c r="BE549" s="27"/>
      <c r="BF549" s="27"/>
      <c r="BG549" s="27"/>
      <c r="BH549" s="27"/>
      <c r="BI549" s="27"/>
      <c r="BJ549" s="27"/>
      <c r="BK549" s="27"/>
      <c r="BL549" s="27"/>
      <c r="BM549" s="27"/>
      <c r="BN549" s="27"/>
      <c r="BO549" s="27"/>
      <c r="BP549" s="27"/>
      <c r="BQ549" s="27"/>
      <c r="BR549" s="27"/>
      <c r="BS549" s="27"/>
      <c r="BT549" s="27"/>
      <c r="BU549" s="27"/>
      <c r="BV549" s="27"/>
      <c r="BW549" s="27"/>
      <c r="BX549" s="27"/>
      <c r="BY549" s="27"/>
      <c r="BZ549" s="27"/>
      <c r="CA549" s="27"/>
      <c r="CB549" s="27"/>
      <c r="CC549" s="27"/>
      <c r="CD549" s="27"/>
      <c r="CE549" s="27"/>
      <c r="CF549" s="27"/>
      <c r="CG549" s="27"/>
      <c r="CH549" s="27"/>
      <c r="CI549" s="27"/>
      <c r="CJ549" s="27"/>
      <c r="CK549" s="27"/>
      <c r="CL549" s="27"/>
      <c r="CM549" s="27"/>
      <c r="CN549" s="27"/>
      <c r="CO549" s="27"/>
      <c r="CP549" s="27"/>
      <c r="CQ549" s="27"/>
      <c r="CR549" s="27"/>
      <c r="CS549" s="27"/>
      <c r="CT549" s="27"/>
      <c r="CU549" s="27"/>
      <c r="CV549" s="27"/>
      <c r="CW549" s="27"/>
      <c r="CX549" s="27"/>
      <c r="CY549" s="27"/>
      <c r="CZ549" s="27"/>
      <c r="DA549" s="27"/>
      <c r="DB549" s="27"/>
      <c r="DC549" s="27"/>
      <c r="DD549" s="27"/>
      <c r="DE549" s="27"/>
      <c r="DF549" s="27"/>
      <c r="DG549" s="27"/>
      <c r="DH549" s="27"/>
      <c r="DI549" s="27"/>
      <c r="DJ549" s="27"/>
      <c r="DK549" s="27"/>
      <c r="DL549" s="27"/>
      <c r="DM549" s="27"/>
      <c r="DN549" s="27"/>
      <c r="DO549" s="27"/>
      <c r="DP549" s="27"/>
      <c r="DQ549" s="27"/>
      <c r="DR549" s="27"/>
      <c r="DS549" s="27"/>
      <c r="DT549" s="27"/>
    </row>
    <row r="550" spans="7:124" x14ac:dyDescent="0.2">
      <c r="G550" s="27"/>
      <c r="H550" s="27"/>
      <c r="I550" s="27"/>
      <c r="J550" s="27"/>
      <c r="K550" s="27"/>
      <c r="L550" s="27"/>
      <c r="M550" s="27"/>
      <c r="N550" s="27"/>
      <c r="O550" s="27"/>
      <c r="P550" s="27"/>
      <c r="Q550" s="27"/>
      <c r="R550" s="27"/>
      <c r="S550" s="27"/>
      <c r="T550" s="27"/>
      <c r="U550" s="27"/>
      <c r="V550" s="27"/>
      <c r="W550" s="27"/>
      <c r="X550" s="27"/>
      <c r="Y550" s="27"/>
      <c r="Z550" s="27"/>
      <c r="AA550" s="27"/>
      <c r="AB550" s="27"/>
      <c r="AC550" s="27"/>
      <c r="AD550" s="27"/>
      <c r="AE550" s="27"/>
      <c r="AF550" s="27"/>
      <c r="AG550" s="27"/>
      <c r="AH550" s="27"/>
      <c r="AI550" s="27"/>
      <c r="AJ550" s="27"/>
      <c r="AK550" s="27"/>
      <c r="AL550" s="27"/>
      <c r="AM550" s="27"/>
      <c r="AN550" s="27"/>
      <c r="AO550" s="27"/>
      <c r="AP550" s="27"/>
      <c r="AQ550" s="27"/>
      <c r="AR550" s="27"/>
      <c r="AS550" s="27"/>
      <c r="AT550" s="27"/>
      <c r="AU550" s="27"/>
      <c r="AV550" s="27"/>
      <c r="AW550" s="27"/>
      <c r="AX550" s="27"/>
      <c r="AY550" s="27"/>
      <c r="AZ550" s="27"/>
      <c r="BA550" s="27"/>
      <c r="BB550" s="27"/>
      <c r="BC550" s="27"/>
      <c r="BD550" s="27"/>
      <c r="BE550" s="27"/>
      <c r="BF550" s="27"/>
      <c r="BG550" s="27"/>
      <c r="BH550" s="27"/>
      <c r="BI550" s="27"/>
      <c r="BJ550" s="27"/>
      <c r="BK550" s="27"/>
      <c r="BL550" s="27"/>
      <c r="BM550" s="27"/>
      <c r="BN550" s="27"/>
      <c r="BO550" s="27"/>
      <c r="BP550" s="27"/>
      <c r="BQ550" s="27"/>
      <c r="BR550" s="27"/>
      <c r="BS550" s="27"/>
      <c r="BT550" s="27"/>
      <c r="BU550" s="27"/>
      <c r="BV550" s="27"/>
      <c r="BW550" s="27"/>
      <c r="BX550" s="27"/>
      <c r="BY550" s="27"/>
      <c r="BZ550" s="27"/>
      <c r="CA550" s="27"/>
      <c r="CB550" s="27"/>
      <c r="CC550" s="27"/>
      <c r="CD550" s="27"/>
      <c r="CE550" s="27"/>
      <c r="CF550" s="27"/>
      <c r="CG550" s="27"/>
      <c r="CH550" s="27"/>
      <c r="CI550" s="27"/>
      <c r="CJ550" s="27"/>
      <c r="CK550" s="27"/>
      <c r="CL550" s="27"/>
      <c r="CM550" s="27"/>
      <c r="CN550" s="27"/>
      <c r="CO550" s="27"/>
      <c r="CP550" s="27"/>
      <c r="CQ550" s="27"/>
      <c r="CR550" s="27"/>
      <c r="CS550" s="27"/>
      <c r="CT550" s="27"/>
      <c r="CU550" s="27"/>
      <c r="CV550" s="27"/>
      <c r="CW550" s="27"/>
      <c r="CX550" s="27"/>
      <c r="CY550" s="27"/>
      <c r="CZ550" s="27"/>
      <c r="DA550" s="27"/>
      <c r="DB550" s="27"/>
      <c r="DC550" s="27"/>
      <c r="DD550" s="27"/>
      <c r="DE550" s="27"/>
      <c r="DF550" s="27"/>
      <c r="DG550" s="27"/>
      <c r="DH550" s="27"/>
      <c r="DI550" s="27"/>
      <c r="DJ550" s="27"/>
      <c r="DK550" s="27"/>
      <c r="DL550" s="27"/>
      <c r="DM550" s="27"/>
      <c r="DN550" s="27"/>
      <c r="DO550" s="27"/>
      <c r="DP550" s="27"/>
      <c r="DQ550" s="27"/>
      <c r="DR550" s="27"/>
      <c r="DS550" s="27"/>
      <c r="DT550" s="27"/>
    </row>
    <row r="551" spans="7:124" x14ac:dyDescent="0.2">
      <c r="G551" s="27"/>
      <c r="H551" s="27"/>
      <c r="I551" s="27"/>
      <c r="J551" s="27"/>
      <c r="K551" s="27"/>
      <c r="L551" s="27"/>
      <c r="M551" s="27"/>
      <c r="N551" s="27"/>
      <c r="O551" s="27"/>
      <c r="P551" s="27"/>
      <c r="Q551" s="27"/>
      <c r="R551" s="27"/>
      <c r="S551" s="27"/>
      <c r="T551" s="27"/>
      <c r="U551" s="27"/>
      <c r="V551" s="27"/>
      <c r="W551" s="27"/>
      <c r="X551" s="27"/>
      <c r="Y551" s="27"/>
      <c r="Z551" s="27"/>
      <c r="AA551" s="27"/>
      <c r="AB551" s="27"/>
      <c r="AC551" s="27"/>
      <c r="AD551" s="27"/>
      <c r="AE551" s="27"/>
      <c r="AF551" s="27"/>
      <c r="AG551" s="27"/>
      <c r="AH551" s="27"/>
      <c r="AI551" s="27"/>
      <c r="AJ551" s="27"/>
      <c r="AK551" s="27"/>
      <c r="AL551" s="27"/>
      <c r="AM551" s="27"/>
      <c r="AN551" s="27"/>
      <c r="AO551" s="27"/>
      <c r="AP551" s="27"/>
      <c r="AQ551" s="27"/>
      <c r="AR551" s="27"/>
      <c r="AS551" s="27"/>
      <c r="AT551" s="27"/>
      <c r="AU551" s="27"/>
      <c r="AV551" s="27"/>
      <c r="AW551" s="27"/>
      <c r="AX551" s="27"/>
      <c r="AY551" s="27"/>
      <c r="AZ551" s="27"/>
      <c r="BA551" s="27"/>
      <c r="BB551" s="27"/>
      <c r="BC551" s="27"/>
      <c r="BD551" s="27"/>
      <c r="BE551" s="27"/>
      <c r="BF551" s="27"/>
      <c r="BG551" s="27"/>
      <c r="BH551" s="27"/>
      <c r="BI551" s="27"/>
      <c r="BJ551" s="27"/>
      <c r="BK551" s="27"/>
      <c r="BL551" s="27"/>
      <c r="BM551" s="27"/>
      <c r="BN551" s="27"/>
      <c r="BO551" s="27"/>
      <c r="BP551" s="27"/>
      <c r="BQ551" s="27"/>
      <c r="BR551" s="27"/>
      <c r="BS551" s="27"/>
      <c r="BT551" s="27"/>
      <c r="BU551" s="27"/>
      <c r="BV551" s="27"/>
      <c r="BW551" s="27"/>
      <c r="BX551" s="27"/>
      <c r="BY551" s="27"/>
      <c r="BZ551" s="27"/>
      <c r="CA551" s="27"/>
      <c r="CB551" s="27"/>
      <c r="CC551" s="27"/>
      <c r="CD551" s="27"/>
      <c r="CE551" s="27"/>
      <c r="CF551" s="27"/>
      <c r="CG551" s="27"/>
      <c r="CH551" s="27"/>
      <c r="CI551" s="27"/>
      <c r="CJ551" s="27"/>
      <c r="CK551" s="27"/>
      <c r="CL551" s="27"/>
      <c r="CM551" s="27"/>
      <c r="CN551" s="27"/>
      <c r="CO551" s="27"/>
      <c r="CP551" s="27"/>
      <c r="CQ551" s="27"/>
      <c r="CR551" s="27"/>
      <c r="CS551" s="27"/>
      <c r="CT551" s="27"/>
      <c r="CU551" s="27"/>
      <c r="CV551" s="27"/>
      <c r="CW551" s="27"/>
      <c r="CX551" s="27"/>
      <c r="CY551" s="27"/>
      <c r="CZ551" s="27"/>
      <c r="DA551" s="27"/>
      <c r="DB551" s="27"/>
      <c r="DC551" s="27"/>
      <c r="DD551" s="27"/>
      <c r="DE551" s="27"/>
      <c r="DF551" s="27"/>
      <c r="DG551" s="27"/>
      <c r="DH551" s="27"/>
      <c r="DI551" s="27"/>
      <c r="DJ551" s="27"/>
      <c r="DK551" s="27"/>
      <c r="DL551" s="27"/>
      <c r="DM551" s="27"/>
      <c r="DN551" s="27"/>
      <c r="DO551" s="27"/>
      <c r="DP551" s="27"/>
      <c r="DQ551" s="27"/>
      <c r="DR551" s="27"/>
      <c r="DS551" s="27"/>
      <c r="DT551" s="27"/>
    </row>
    <row r="552" spans="7:124" x14ac:dyDescent="0.2">
      <c r="G552" s="27"/>
      <c r="H552" s="27"/>
      <c r="I552" s="27"/>
      <c r="J552" s="27"/>
      <c r="K552" s="27"/>
      <c r="L552" s="27"/>
      <c r="M552" s="27"/>
      <c r="N552" s="27"/>
      <c r="O552" s="27"/>
      <c r="P552" s="27"/>
      <c r="Q552" s="27"/>
      <c r="R552" s="27"/>
      <c r="S552" s="27"/>
      <c r="T552" s="27"/>
      <c r="U552" s="27"/>
      <c r="V552" s="27"/>
      <c r="W552" s="27"/>
      <c r="X552" s="27"/>
      <c r="Y552" s="27"/>
      <c r="Z552" s="27"/>
      <c r="AA552" s="27"/>
      <c r="AB552" s="27"/>
      <c r="AC552" s="27"/>
      <c r="AD552" s="27"/>
      <c r="AE552" s="27"/>
      <c r="AF552" s="27"/>
      <c r="AG552" s="27"/>
      <c r="AH552" s="27"/>
      <c r="AI552" s="27"/>
      <c r="AJ552" s="27"/>
      <c r="AK552" s="27"/>
      <c r="AL552" s="27"/>
      <c r="AM552" s="27"/>
      <c r="AN552" s="27"/>
      <c r="AO552" s="27"/>
      <c r="AP552" s="27"/>
      <c r="AQ552" s="27"/>
      <c r="AR552" s="27"/>
      <c r="AS552" s="27"/>
      <c r="AT552" s="27"/>
      <c r="AU552" s="27"/>
      <c r="AV552" s="27"/>
      <c r="AW552" s="27"/>
      <c r="AX552" s="27"/>
      <c r="AY552" s="27"/>
      <c r="AZ552" s="27"/>
      <c r="BA552" s="27"/>
      <c r="BB552" s="27"/>
      <c r="BC552" s="27"/>
      <c r="BD552" s="27"/>
      <c r="BE552" s="27"/>
      <c r="BF552" s="27"/>
      <c r="BG552" s="27"/>
      <c r="BH552" s="27"/>
      <c r="BI552" s="27"/>
      <c r="BJ552" s="27"/>
      <c r="BK552" s="27"/>
      <c r="BL552" s="27"/>
      <c r="BM552" s="27"/>
      <c r="BN552" s="27"/>
      <c r="BO552" s="27"/>
      <c r="BP552" s="27"/>
      <c r="BQ552" s="27"/>
      <c r="BR552" s="27"/>
      <c r="BS552" s="27"/>
      <c r="BT552" s="27"/>
      <c r="BU552" s="27"/>
      <c r="BV552" s="27"/>
      <c r="BW552" s="27"/>
      <c r="BX552" s="27"/>
      <c r="BY552" s="27"/>
      <c r="BZ552" s="27"/>
      <c r="CA552" s="27"/>
      <c r="CB552" s="27"/>
      <c r="CC552" s="27"/>
      <c r="CD552" s="27"/>
      <c r="CE552" s="27"/>
      <c r="CF552" s="27"/>
      <c r="CG552" s="27"/>
      <c r="CH552" s="27"/>
      <c r="CI552" s="27"/>
      <c r="CJ552" s="27"/>
      <c r="CK552" s="27"/>
      <c r="CL552" s="27"/>
      <c r="CM552" s="27"/>
      <c r="CN552" s="27"/>
      <c r="CO552" s="27"/>
      <c r="CP552" s="27"/>
      <c r="CQ552" s="27"/>
      <c r="CR552" s="27"/>
      <c r="CS552" s="27"/>
      <c r="CT552" s="27"/>
      <c r="CU552" s="27"/>
      <c r="CV552" s="27"/>
      <c r="CW552" s="27"/>
      <c r="CX552" s="27"/>
      <c r="CY552" s="27"/>
      <c r="CZ552" s="27"/>
      <c r="DA552" s="27"/>
      <c r="DB552" s="27"/>
      <c r="DC552" s="27"/>
      <c r="DD552" s="27"/>
      <c r="DE552" s="27"/>
      <c r="DF552" s="27"/>
      <c r="DG552" s="27"/>
      <c r="DH552" s="27"/>
      <c r="DI552" s="27"/>
      <c r="DJ552" s="27"/>
      <c r="DK552" s="27"/>
      <c r="DL552" s="27"/>
      <c r="DM552" s="27"/>
      <c r="DN552" s="27"/>
      <c r="DO552" s="27"/>
      <c r="DP552" s="27"/>
      <c r="DQ552" s="27"/>
      <c r="DR552" s="27"/>
      <c r="DS552" s="27"/>
      <c r="DT552" s="27"/>
    </row>
    <row r="553" spans="7:124" x14ac:dyDescent="0.2">
      <c r="G553" s="27"/>
      <c r="H553" s="27"/>
      <c r="I553" s="27"/>
      <c r="J553" s="27"/>
      <c r="K553" s="27"/>
      <c r="L553" s="27"/>
      <c r="M553" s="27"/>
      <c r="N553" s="27"/>
      <c r="O553" s="27"/>
      <c r="P553" s="27"/>
      <c r="Q553" s="27"/>
      <c r="R553" s="27"/>
      <c r="S553" s="27"/>
      <c r="T553" s="27"/>
      <c r="U553" s="27"/>
      <c r="V553" s="27"/>
      <c r="W553" s="27"/>
      <c r="X553" s="27"/>
      <c r="Y553" s="27"/>
      <c r="Z553" s="27"/>
      <c r="AA553" s="27"/>
      <c r="AB553" s="27"/>
      <c r="AC553" s="27"/>
      <c r="AD553" s="27"/>
      <c r="AE553" s="27"/>
      <c r="AF553" s="27"/>
      <c r="AG553" s="27"/>
      <c r="AH553" s="27"/>
      <c r="AI553" s="27"/>
      <c r="AJ553" s="27"/>
      <c r="AK553" s="27"/>
      <c r="AL553" s="27"/>
      <c r="AM553" s="27"/>
      <c r="AN553" s="27"/>
      <c r="AO553" s="27"/>
      <c r="AP553" s="27"/>
      <c r="AQ553" s="27"/>
      <c r="AR553" s="27"/>
      <c r="AS553" s="27"/>
      <c r="AT553" s="27"/>
      <c r="AU553" s="27"/>
      <c r="AV553" s="27"/>
      <c r="AW553" s="27"/>
      <c r="AX553" s="27"/>
      <c r="AY553" s="27"/>
      <c r="AZ553" s="27"/>
      <c r="BA553" s="27"/>
      <c r="BB553" s="27"/>
      <c r="BC553" s="27"/>
      <c r="BD553" s="27"/>
      <c r="BE553" s="27"/>
      <c r="BF553" s="27"/>
      <c r="BG553" s="27"/>
      <c r="BH553" s="27"/>
      <c r="BI553" s="27"/>
      <c r="BJ553" s="27"/>
      <c r="BK553" s="27"/>
      <c r="BL553" s="27"/>
      <c r="BM553" s="27"/>
      <c r="BN553" s="27"/>
      <c r="BO553" s="27"/>
      <c r="BP553" s="27"/>
      <c r="BQ553" s="27"/>
      <c r="BR553" s="27"/>
      <c r="BS553" s="27"/>
      <c r="BT553" s="27"/>
      <c r="BU553" s="27"/>
      <c r="BV553" s="27"/>
      <c r="BW553" s="27"/>
      <c r="BX553" s="27"/>
      <c r="BY553" s="27"/>
      <c r="BZ553" s="27"/>
      <c r="CA553" s="27"/>
      <c r="CB553" s="27"/>
      <c r="CC553" s="27"/>
      <c r="CD553" s="27"/>
      <c r="CE553" s="27"/>
      <c r="CF553" s="27"/>
      <c r="CG553" s="27"/>
      <c r="CH553" s="27"/>
      <c r="CI553" s="27"/>
      <c r="CJ553" s="27"/>
      <c r="CK553" s="27"/>
      <c r="CL553" s="27"/>
      <c r="CM553" s="27"/>
      <c r="CN553" s="27"/>
      <c r="CO553" s="27"/>
      <c r="CP553" s="27"/>
      <c r="CQ553" s="27"/>
      <c r="CR553" s="27"/>
      <c r="CS553" s="27"/>
      <c r="CT553" s="27"/>
      <c r="CU553" s="27"/>
      <c r="CV553" s="27"/>
      <c r="CW553" s="27"/>
      <c r="CX553" s="27"/>
      <c r="CY553" s="27"/>
      <c r="CZ553" s="27"/>
      <c r="DA553" s="27"/>
      <c r="DB553" s="27"/>
      <c r="DC553" s="27"/>
      <c r="DD553" s="27"/>
      <c r="DE553" s="27"/>
      <c r="DF553" s="27"/>
      <c r="DG553" s="27"/>
      <c r="DH553" s="27"/>
      <c r="DI553" s="27"/>
      <c r="DJ553" s="27"/>
      <c r="DK553" s="27"/>
      <c r="DL553" s="27"/>
      <c r="DM553" s="27"/>
      <c r="DN553" s="27"/>
      <c r="DO553" s="27"/>
      <c r="DP553" s="27"/>
      <c r="DQ553" s="27"/>
      <c r="DR553" s="27"/>
      <c r="DS553" s="27"/>
      <c r="DT553" s="27"/>
    </row>
    <row r="554" spans="7:124" x14ac:dyDescent="0.2">
      <c r="G554" s="27"/>
      <c r="H554" s="27"/>
      <c r="I554" s="27"/>
      <c r="J554" s="27"/>
      <c r="K554" s="27"/>
      <c r="L554" s="27"/>
      <c r="M554" s="27"/>
      <c r="N554" s="27"/>
      <c r="O554" s="27"/>
      <c r="P554" s="27"/>
      <c r="Q554" s="27"/>
      <c r="R554" s="27"/>
      <c r="S554" s="27"/>
      <c r="T554" s="27"/>
      <c r="U554" s="27"/>
      <c r="V554" s="27"/>
      <c r="W554" s="27"/>
      <c r="X554" s="27"/>
      <c r="Y554" s="27"/>
      <c r="Z554" s="27"/>
      <c r="AA554" s="27"/>
      <c r="AB554" s="27"/>
      <c r="AC554" s="27"/>
      <c r="AD554" s="27"/>
      <c r="AE554" s="27"/>
      <c r="AF554" s="27"/>
      <c r="AG554" s="27"/>
      <c r="AH554" s="27"/>
      <c r="AI554" s="27"/>
      <c r="AJ554" s="27"/>
      <c r="AK554" s="27"/>
      <c r="AL554" s="27"/>
      <c r="AM554" s="27"/>
      <c r="AN554" s="27"/>
      <c r="AO554" s="27"/>
      <c r="AP554" s="27"/>
      <c r="AQ554" s="27"/>
      <c r="AR554" s="27"/>
      <c r="AS554" s="27"/>
      <c r="AT554" s="27"/>
      <c r="AU554" s="27"/>
      <c r="AV554" s="27"/>
      <c r="AW554" s="27"/>
      <c r="AX554" s="27"/>
      <c r="AY554" s="27"/>
      <c r="AZ554" s="27"/>
      <c r="BA554" s="27"/>
      <c r="BB554" s="27"/>
      <c r="BC554" s="27"/>
      <c r="BD554" s="27"/>
      <c r="BE554" s="27"/>
      <c r="BF554" s="27"/>
      <c r="BG554" s="27"/>
      <c r="BH554" s="27"/>
      <c r="BI554" s="27"/>
      <c r="BJ554" s="27"/>
      <c r="BK554" s="27"/>
      <c r="BL554" s="27"/>
      <c r="BM554" s="27"/>
      <c r="BN554" s="27"/>
      <c r="BO554" s="27"/>
      <c r="BP554" s="27"/>
      <c r="BQ554" s="27"/>
      <c r="BR554" s="27"/>
      <c r="BS554" s="27"/>
      <c r="BT554" s="27"/>
      <c r="BU554" s="27"/>
      <c r="BV554" s="27"/>
      <c r="BW554" s="27"/>
      <c r="BX554" s="27"/>
      <c r="BY554" s="27"/>
      <c r="BZ554" s="27"/>
      <c r="CA554" s="27"/>
      <c r="CB554" s="27"/>
      <c r="CC554" s="27"/>
      <c r="CD554" s="27"/>
      <c r="CE554" s="27"/>
      <c r="CF554" s="27"/>
      <c r="CG554" s="27"/>
      <c r="CH554" s="27"/>
      <c r="CI554" s="27"/>
      <c r="CJ554" s="27"/>
      <c r="CK554" s="27"/>
      <c r="CL554" s="27"/>
      <c r="CM554" s="27"/>
      <c r="CN554" s="27"/>
      <c r="CO554" s="27"/>
      <c r="CP554" s="27"/>
      <c r="CQ554" s="27"/>
      <c r="CR554" s="27"/>
      <c r="CS554" s="27"/>
      <c r="CT554" s="27"/>
      <c r="CU554" s="27"/>
      <c r="CV554" s="27"/>
      <c r="CW554" s="27"/>
      <c r="CX554" s="27"/>
      <c r="CY554" s="27"/>
      <c r="CZ554" s="27"/>
      <c r="DA554" s="27"/>
      <c r="DB554" s="27"/>
      <c r="DC554" s="27"/>
      <c r="DD554" s="27"/>
      <c r="DE554" s="27"/>
      <c r="DF554" s="27"/>
      <c r="DG554" s="27"/>
      <c r="DH554" s="27"/>
      <c r="DI554" s="27"/>
      <c r="DJ554" s="27"/>
      <c r="DK554" s="27"/>
      <c r="DL554" s="27"/>
      <c r="DM554" s="27"/>
      <c r="DN554" s="27"/>
      <c r="DO554" s="27"/>
      <c r="DP554" s="27"/>
      <c r="DQ554" s="27"/>
      <c r="DR554" s="27"/>
      <c r="DS554" s="27"/>
      <c r="DT554" s="27"/>
    </row>
    <row r="555" spans="7:124" x14ac:dyDescent="0.2">
      <c r="G555" s="27"/>
      <c r="H555" s="27"/>
      <c r="I555" s="27"/>
      <c r="J555" s="27"/>
      <c r="K555" s="27"/>
      <c r="L555" s="27"/>
      <c r="M555" s="27"/>
      <c r="N555" s="27"/>
      <c r="O555" s="27"/>
      <c r="P555" s="27"/>
      <c r="Q555" s="27"/>
      <c r="R555" s="27"/>
      <c r="S555" s="27"/>
      <c r="T555" s="27"/>
      <c r="U555" s="27"/>
      <c r="V555" s="27"/>
      <c r="W555" s="27"/>
      <c r="X555" s="27"/>
      <c r="Y555" s="27"/>
      <c r="Z555" s="27"/>
      <c r="AA555" s="27"/>
      <c r="AB555" s="27"/>
      <c r="AC555" s="27"/>
      <c r="AD555" s="27"/>
      <c r="AE555" s="27"/>
      <c r="AF555" s="27"/>
      <c r="AG555" s="27"/>
      <c r="AH555" s="27"/>
      <c r="AI555" s="27"/>
      <c r="AJ555" s="27"/>
      <c r="AK555" s="27"/>
      <c r="AL555" s="27"/>
      <c r="AM555" s="27"/>
      <c r="AN555" s="27"/>
      <c r="AO555" s="27"/>
      <c r="AP555" s="27"/>
      <c r="AQ555" s="27"/>
      <c r="AR555" s="27"/>
      <c r="AS555" s="27"/>
      <c r="AT555" s="27"/>
      <c r="AU555" s="27"/>
      <c r="AV555" s="27"/>
      <c r="AW555" s="27"/>
      <c r="AX555" s="27"/>
      <c r="AY555" s="27"/>
      <c r="AZ555" s="27"/>
      <c r="BA555" s="27"/>
      <c r="BB555" s="27"/>
      <c r="BC555" s="27"/>
      <c r="BD555" s="27"/>
      <c r="BE555" s="27"/>
      <c r="BF555" s="27"/>
      <c r="BG555" s="27"/>
      <c r="BH555" s="27"/>
      <c r="BI555" s="27"/>
      <c r="BJ555" s="27"/>
      <c r="BK555" s="27"/>
      <c r="BL555" s="27"/>
      <c r="BM555" s="27"/>
      <c r="BN555" s="27"/>
      <c r="BO555" s="27"/>
      <c r="BP555" s="27"/>
      <c r="BQ555" s="27"/>
      <c r="BR555" s="27"/>
      <c r="BS555" s="27"/>
      <c r="BT555" s="27"/>
      <c r="BU555" s="27"/>
      <c r="BV555" s="27"/>
      <c r="BW555" s="27"/>
      <c r="BX555" s="27"/>
      <c r="BY555" s="27"/>
      <c r="BZ555" s="27"/>
      <c r="CA555" s="27"/>
      <c r="CB555" s="27"/>
      <c r="CC555" s="27"/>
      <c r="CD555" s="27"/>
      <c r="CE555" s="27"/>
      <c r="CF555" s="27"/>
      <c r="CG555" s="27"/>
      <c r="CH555" s="27"/>
      <c r="CI555" s="27"/>
      <c r="CJ555" s="27"/>
      <c r="CK555" s="27"/>
      <c r="CL555" s="27"/>
      <c r="CM555" s="27"/>
      <c r="CN555" s="27"/>
      <c r="CO555" s="27"/>
      <c r="CP555" s="27"/>
      <c r="CQ555" s="27"/>
      <c r="CR555" s="27"/>
      <c r="CS555" s="27"/>
      <c r="CT555" s="27"/>
      <c r="CU555" s="27"/>
      <c r="CV555" s="27"/>
      <c r="CW555" s="27"/>
      <c r="CX555" s="27"/>
      <c r="CY555" s="27"/>
      <c r="CZ555" s="27"/>
      <c r="DA555" s="27"/>
      <c r="DB555" s="27"/>
      <c r="DC555" s="27"/>
      <c r="DD555" s="27"/>
      <c r="DE555" s="27"/>
      <c r="DF555" s="27"/>
      <c r="DG555" s="27"/>
      <c r="DH555" s="27"/>
      <c r="DI555" s="27"/>
      <c r="DJ555" s="27"/>
      <c r="DK555" s="27"/>
      <c r="DL555" s="27"/>
      <c r="DM555" s="27"/>
      <c r="DN555" s="27"/>
      <c r="DO555" s="27"/>
      <c r="DP555" s="27"/>
      <c r="DQ555" s="27"/>
      <c r="DR555" s="27"/>
      <c r="DS555" s="27"/>
      <c r="DT555" s="27"/>
    </row>
    <row r="556" spans="7:124" x14ac:dyDescent="0.2">
      <c r="G556" s="27"/>
      <c r="H556" s="27"/>
      <c r="I556" s="27"/>
      <c r="J556" s="27"/>
      <c r="K556" s="27"/>
      <c r="L556" s="27"/>
      <c r="M556" s="27"/>
      <c r="N556" s="27"/>
      <c r="O556" s="27"/>
      <c r="P556" s="27"/>
      <c r="Q556" s="27"/>
      <c r="R556" s="27"/>
      <c r="S556" s="27"/>
      <c r="T556" s="27"/>
      <c r="U556" s="27"/>
      <c r="V556" s="27"/>
      <c r="W556" s="27"/>
      <c r="X556" s="27"/>
      <c r="Y556" s="27"/>
      <c r="Z556" s="27"/>
      <c r="AA556" s="27"/>
      <c r="AB556" s="27"/>
      <c r="AC556" s="27"/>
      <c r="AD556" s="27"/>
      <c r="AE556" s="27"/>
      <c r="AF556" s="27"/>
      <c r="AG556" s="27"/>
      <c r="AH556" s="27"/>
      <c r="AI556" s="27"/>
      <c r="AJ556" s="27"/>
      <c r="AK556" s="27"/>
      <c r="AL556" s="27"/>
      <c r="AM556" s="27"/>
      <c r="AN556" s="27"/>
      <c r="AO556" s="27"/>
      <c r="AP556" s="27"/>
      <c r="AQ556" s="27"/>
      <c r="AR556" s="27"/>
      <c r="AS556" s="27"/>
      <c r="AT556" s="27"/>
      <c r="AU556" s="27"/>
      <c r="AV556" s="27"/>
      <c r="AW556" s="27"/>
      <c r="AX556" s="27"/>
      <c r="AY556" s="27"/>
      <c r="AZ556" s="27"/>
      <c r="BA556" s="27"/>
      <c r="BB556" s="27"/>
      <c r="BC556" s="27"/>
      <c r="BD556" s="27"/>
      <c r="BE556" s="27"/>
      <c r="BF556" s="27"/>
      <c r="BG556" s="27"/>
      <c r="BH556" s="27"/>
      <c r="BI556" s="27"/>
      <c r="BJ556" s="27"/>
      <c r="BK556" s="27"/>
      <c r="BL556" s="27"/>
      <c r="BM556" s="27"/>
      <c r="BN556" s="27"/>
      <c r="BO556" s="27"/>
      <c r="BP556" s="27"/>
      <c r="BQ556" s="27"/>
      <c r="BR556" s="27"/>
      <c r="BS556" s="27"/>
      <c r="BT556" s="27"/>
      <c r="BU556" s="27"/>
      <c r="BV556" s="27"/>
      <c r="BW556" s="27"/>
      <c r="BX556" s="27"/>
      <c r="BY556" s="27"/>
      <c r="BZ556" s="27"/>
      <c r="CA556" s="27"/>
      <c r="CB556" s="27"/>
      <c r="CC556" s="27"/>
      <c r="CD556" s="27"/>
      <c r="CE556" s="27"/>
      <c r="CF556" s="27"/>
      <c r="CG556" s="27"/>
      <c r="CH556" s="27"/>
      <c r="CI556" s="27"/>
      <c r="CJ556" s="27"/>
      <c r="CK556" s="27"/>
      <c r="CL556" s="27"/>
      <c r="CM556" s="27"/>
      <c r="CN556" s="27"/>
      <c r="CO556" s="27"/>
      <c r="CP556" s="27"/>
      <c r="CQ556" s="27"/>
      <c r="CR556" s="27"/>
      <c r="CS556" s="27"/>
      <c r="CT556" s="27"/>
      <c r="CU556" s="27"/>
      <c r="CV556" s="27"/>
      <c r="CW556" s="27"/>
      <c r="CX556" s="27"/>
      <c r="CY556" s="27"/>
      <c r="CZ556" s="27"/>
      <c r="DA556" s="27"/>
      <c r="DB556" s="27"/>
      <c r="DC556" s="27"/>
      <c r="DD556" s="27"/>
      <c r="DE556" s="27"/>
      <c r="DF556" s="27"/>
      <c r="DG556" s="27"/>
      <c r="DH556" s="27"/>
      <c r="DI556" s="27"/>
      <c r="DJ556" s="27"/>
      <c r="DK556" s="27"/>
      <c r="DL556" s="27"/>
      <c r="DM556" s="27"/>
      <c r="DN556" s="27"/>
      <c r="DO556" s="27"/>
      <c r="DP556" s="27"/>
      <c r="DQ556" s="27"/>
      <c r="DR556" s="27"/>
      <c r="DS556" s="27"/>
      <c r="DT556" s="27"/>
    </row>
    <row r="557" spans="7:124" x14ac:dyDescent="0.2">
      <c r="G557" s="27"/>
      <c r="H557" s="27"/>
      <c r="I557" s="27"/>
      <c r="J557" s="27"/>
      <c r="K557" s="27"/>
      <c r="L557" s="27"/>
      <c r="M557" s="27"/>
      <c r="N557" s="27"/>
      <c r="O557" s="27"/>
      <c r="P557" s="27"/>
      <c r="Q557" s="27"/>
      <c r="R557" s="27"/>
      <c r="S557" s="27"/>
      <c r="T557" s="27"/>
      <c r="U557" s="27"/>
      <c r="V557" s="27"/>
      <c r="W557" s="27"/>
      <c r="X557" s="27"/>
      <c r="Y557" s="27"/>
      <c r="Z557" s="27"/>
      <c r="AA557" s="27"/>
      <c r="AB557" s="27"/>
      <c r="AC557" s="27"/>
      <c r="AD557" s="27"/>
      <c r="AE557" s="27"/>
      <c r="AF557" s="27"/>
      <c r="AG557" s="27"/>
      <c r="AH557" s="27"/>
      <c r="AI557" s="27"/>
      <c r="AJ557" s="27"/>
      <c r="AK557" s="27"/>
      <c r="AL557" s="27"/>
      <c r="AM557" s="27"/>
      <c r="AN557" s="27"/>
      <c r="AO557" s="27"/>
      <c r="AP557" s="27"/>
      <c r="AQ557" s="27"/>
      <c r="AR557" s="27"/>
      <c r="AS557" s="27"/>
      <c r="AT557" s="27"/>
      <c r="AU557" s="27"/>
      <c r="AV557" s="27"/>
      <c r="AW557" s="27"/>
      <c r="AX557" s="27"/>
      <c r="AY557" s="27"/>
      <c r="AZ557" s="27"/>
      <c r="BA557" s="27"/>
      <c r="BB557" s="27"/>
      <c r="BC557" s="27"/>
      <c r="BD557" s="27"/>
      <c r="BE557" s="27"/>
      <c r="BF557" s="27"/>
      <c r="BG557" s="27"/>
      <c r="BH557" s="27"/>
      <c r="BI557" s="27"/>
      <c r="BJ557" s="27"/>
      <c r="BK557" s="27"/>
      <c r="BL557" s="27"/>
      <c r="BM557" s="27"/>
      <c r="BN557" s="27"/>
      <c r="BO557" s="27"/>
      <c r="BP557" s="27"/>
      <c r="BQ557" s="27"/>
      <c r="BR557" s="27"/>
      <c r="BS557" s="27"/>
      <c r="BT557" s="27"/>
      <c r="BU557" s="27"/>
      <c r="BV557" s="27"/>
      <c r="BW557" s="27"/>
      <c r="BX557" s="27"/>
      <c r="BY557" s="27"/>
      <c r="BZ557" s="27"/>
      <c r="CA557" s="27"/>
      <c r="CB557" s="27"/>
      <c r="CC557" s="27"/>
      <c r="CD557" s="27"/>
      <c r="CE557" s="27"/>
      <c r="CF557" s="27"/>
      <c r="CG557" s="27"/>
      <c r="CH557" s="27"/>
      <c r="CI557" s="27"/>
      <c r="CJ557" s="27"/>
      <c r="CK557" s="27"/>
      <c r="CL557" s="27"/>
      <c r="CM557" s="27"/>
      <c r="CN557" s="27"/>
      <c r="CO557" s="27"/>
      <c r="CP557" s="27"/>
      <c r="CQ557" s="27"/>
      <c r="CR557" s="27"/>
      <c r="CS557" s="27"/>
      <c r="CT557" s="27"/>
      <c r="CU557" s="27"/>
      <c r="CV557" s="27"/>
      <c r="CW557" s="27"/>
      <c r="CX557" s="27"/>
      <c r="CY557" s="27"/>
      <c r="CZ557" s="27"/>
      <c r="DA557" s="27"/>
      <c r="DB557" s="27"/>
      <c r="DC557" s="27"/>
      <c r="DD557" s="27"/>
      <c r="DE557" s="27"/>
      <c r="DF557" s="27"/>
      <c r="DG557" s="27"/>
      <c r="DH557" s="27"/>
      <c r="DI557" s="27"/>
      <c r="DJ557" s="27"/>
      <c r="DK557" s="27"/>
      <c r="DL557" s="27"/>
      <c r="DM557" s="27"/>
      <c r="DN557" s="27"/>
      <c r="DO557" s="27"/>
      <c r="DP557" s="27"/>
      <c r="DQ557" s="27"/>
      <c r="DR557" s="27"/>
      <c r="DS557" s="27"/>
      <c r="DT557" s="27"/>
    </row>
    <row r="558" spans="7:124" x14ac:dyDescent="0.2">
      <c r="G558" s="27"/>
      <c r="H558" s="27"/>
      <c r="I558" s="27"/>
      <c r="J558" s="27"/>
      <c r="K558" s="27"/>
      <c r="L558" s="27"/>
      <c r="M558" s="27"/>
      <c r="N558" s="27"/>
      <c r="O558" s="27"/>
      <c r="P558" s="27"/>
      <c r="Q558" s="27"/>
      <c r="R558" s="27"/>
      <c r="S558" s="27"/>
      <c r="T558" s="27"/>
      <c r="U558" s="27"/>
      <c r="V558" s="27"/>
      <c r="W558" s="27"/>
      <c r="X558" s="27"/>
      <c r="Y558" s="27"/>
      <c r="Z558" s="27"/>
      <c r="AA558" s="27"/>
      <c r="AB558" s="27"/>
      <c r="AC558" s="27"/>
      <c r="AD558" s="27"/>
      <c r="AE558" s="27"/>
      <c r="AF558" s="27"/>
      <c r="AG558" s="27"/>
      <c r="AH558" s="27"/>
      <c r="AI558" s="27"/>
      <c r="AJ558" s="27"/>
      <c r="AK558" s="27"/>
      <c r="AL558" s="27"/>
      <c r="AM558" s="27"/>
      <c r="AN558" s="27"/>
      <c r="AO558" s="27"/>
      <c r="AP558" s="27"/>
      <c r="AQ558" s="27"/>
      <c r="AR558" s="27"/>
      <c r="AS558" s="27"/>
      <c r="AT558" s="27"/>
      <c r="AU558" s="27"/>
      <c r="AV558" s="27"/>
      <c r="AW558" s="27"/>
      <c r="AX558" s="27"/>
      <c r="AY558" s="27"/>
      <c r="AZ558" s="27"/>
      <c r="BA558" s="27"/>
      <c r="BB558" s="27"/>
      <c r="BC558" s="27"/>
      <c r="BD558" s="27"/>
      <c r="BE558" s="27"/>
      <c r="BF558" s="27"/>
      <c r="BG558" s="27"/>
      <c r="BH558" s="27"/>
      <c r="BI558" s="27"/>
      <c r="BJ558" s="27"/>
      <c r="BK558" s="27"/>
      <c r="BL558" s="27"/>
      <c r="BM558" s="27"/>
      <c r="BN558" s="27"/>
      <c r="BO558" s="27"/>
      <c r="BP558" s="27"/>
      <c r="BQ558" s="27"/>
      <c r="BR558" s="27"/>
      <c r="BS558" s="27"/>
      <c r="BT558" s="27"/>
      <c r="BU558" s="27"/>
      <c r="BV558" s="27"/>
      <c r="BW558" s="27"/>
      <c r="BX558" s="27"/>
      <c r="BY558" s="27"/>
      <c r="BZ558" s="27"/>
      <c r="CA558" s="27"/>
      <c r="CB558" s="27"/>
      <c r="CC558" s="27"/>
      <c r="CD558" s="27"/>
      <c r="CE558" s="27"/>
      <c r="CF558" s="27"/>
      <c r="CG558" s="27"/>
      <c r="CH558" s="27"/>
      <c r="CI558" s="27"/>
      <c r="CJ558" s="27"/>
      <c r="CK558" s="27"/>
      <c r="CL558" s="27"/>
      <c r="CM558" s="27"/>
      <c r="CN558" s="27"/>
      <c r="CO558" s="27"/>
      <c r="CP558" s="27"/>
      <c r="CQ558" s="27"/>
      <c r="CR558" s="27"/>
      <c r="CS558" s="27"/>
      <c r="CT558" s="27"/>
      <c r="CU558" s="27"/>
      <c r="CV558" s="27"/>
      <c r="CW558" s="27"/>
      <c r="CX558" s="27"/>
      <c r="CY558" s="27"/>
      <c r="CZ558" s="27"/>
      <c r="DA558" s="27"/>
      <c r="DB558" s="27"/>
      <c r="DC558" s="27"/>
      <c r="DD558" s="27"/>
      <c r="DE558" s="27"/>
      <c r="DF558" s="27"/>
      <c r="DG558" s="27"/>
      <c r="DH558" s="27"/>
      <c r="DI558" s="27"/>
      <c r="DJ558" s="27"/>
      <c r="DK558" s="27"/>
      <c r="DL558" s="27"/>
      <c r="DM558" s="27"/>
      <c r="DN558" s="27"/>
      <c r="DO558" s="27"/>
      <c r="DP558" s="27"/>
      <c r="DQ558" s="27"/>
      <c r="DR558" s="27"/>
      <c r="DS558" s="27"/>
      <c r="DT558" s="27"/>
    </row>
    <row r="559" spans="7:124" x14ac:dyDescent="0.2">
      <c r="G559" s="27"/>
      <c r="H559" s="27"/>
      <c r="I559" s="27"/>
      <c r="J559" s="27"/>
      <c r="K559" s="27"/>
      <c r="L559" s="27"/>
      <c r="M559" s="27"/>
      <c r="N559" s="27"/>
      <c r="O559" s="27"/>
      <c r="P559" s="27"/>
      <c r="Q559" s="27"/>
      <c r="R559" s="27"/>
      <c r="S559" s="27"/>
      <c r="T559" s="27"/>
      <c r="U559" s="27"/>
      <c r="V559" s="27"/>
      <c r="W559" s="27"/>
      <c r="X559" s="27"/>
      <c r="Y559" s="27"/>
      <c r="Z559" s="27"/>
      <c r="AA559" s="27"/>
      <c r="AB559" s="27"/>
      <c r="AC559" s="27"/>
      <c r="AD559" s="27"/>
      <c r="AE559" s="27"/>
      <c r="AF559" s="27"/>
      <c r="AG559" s="27"/>
      <c r="AH559" s="27"/>
      <c r="AI559" s="27"/>
      <c r="AJ559" s="27"/>
      <c r="AK559" s="27"/>
      <c r="AL559" s="27"/>
      <c r="AM559" s="27"/>
      <c r="AN559" s="27"/>
      <c r="AO559" s="27"/>
      <c r="AP559" s="27"/>
      <c r="AQ559" s="27"/>
      <c r="AR559" s="27"/>
      <c r="AS559" s="27"/>
      <c r="AT559" s="27"/>
      <c r="AU559" s="27"/>
      <c r="AV559" s="27"/>
      <c r="AW559" s="27"/>
      <c r="AX559" s="27"/>
      <c r="AY559" s="27"/>
      <c r="AZ559" s="27"/>
      <c r="BA559" s="27"/>
      <c r="BB559" s="27"/>
      <c r="BC559" s="27"/>
      <c r="BD559" s="27"/>
      <c r="BE559" s="27"/>
      <c r="BF559" s="27"/>
      <c r="BG559" s="27"/>
      <c r="BH559" s="27"/>
      <c r="BI559" s="27"/>
      <c r="BJ559" s="27"/>
      <c r="BK559" s="27"/>
      <c r="BL559" s="27"/>
      <c r="BM559" s="27"/>
      <c r="BN559" s="27"/>
      <c r="BO559" s="27"/>
      <c r="BP559" s="27"/>
      <c r="BQ559" s="27"/>
      <c r="BR559" s="27"/>
      <c r="BS559" s="27"/>
      <c r="BT559" s="27"/>
      <c r="BU559" s="27"/>
      <c r="BV559" s="27"/>
      <c r="BW559" s="27"/>
      <c r="BX559" s="27"/>
      <c r="BY559" s="27"/>
      <c r="BZ559" s="27"/>
      <c r="CA559" s="27"/>
      <c r="CB559" s="27"/>
      <c r="CC559" s="27"/>
      <c r="CD559" s="27"/>
      <c r="CE559" s="27"/>
      <c r="CF559" s="27"/>
      <c r="CG559" s="27"/>
      <c r="CH559" s="27"/>
      <c r="CI559" s="27"/>
      <c r="CJ559" s="27"/>
      <c r="CK559" s="27"/>
      <c r="CL559" s="27"/>
      <c r="CM559" s="27"/>
      <c r="CN559" s="27"/>
      <c r="CO559" s="27"/>
      <c r="CP559" s="27"/>
      <c r="CQ559" s="27"/>
      <c r="CR559" s="27"/>
      <c r="CS559" s="27"/>
      <c r="CT559" s="27"/>
      <c r="CU559" s="27"/>
      <c r="CV559" s="27"/>
      <c r="CW559" s="27"/>
      <c r="CX559" s="27"/>
      <c r="CY559" s="27"/>
      <c r="CZ559" s="27"/>
      <c r="DA559" s="27"/>
      <c r="DB559" s="27"/>
      <c r="DC559" s="27"/>
      <c r="DD559" s="27"/>
      <c r="DE559" s="27"/>
      <c r="DF559" s="27"/>
      <c r="DG559" s="27"/>
      <c r="DH559" s="27"/>
      <c r="DI559" s="27"/>
      <c r="DJ559" s="27"/>
      <c r="DK559" s="27"/>
      <c r="DL559" s="27"/>
      <c r="DM559" s="27"/>
      <c r="DN559" s="27"/>
      <c r="DO559" s="27"/>
      <c r="DP559" s="27"/>
      <c r="DQ559" s="27"/>
      <c r="DR559" s="27"/>
      <c r="DS559" s="27"/>
      <c r="DT559" s="27"/>
    </row>
    <row r="560" spans="7:124" x14ac:dyDescent="0.2">
      <c r="G560" s="27"/>
      <c r="H560" s="27"/>
      <c r="I560" s="27"/>
      <c r="J560" s="27"/>
      <c r="K560" s="27"/>
      <c r="L560" s="27"/>
      <c r="M560" s="27"/>
      <c r="N560" s="27"/>
      <c r="O560" s="27"/>
      <c r="P560" s="27"/>
      <c r="Q560" s="27"/>
      <c r="R560" s="27"/>
      <c r="S560" s="27"/>
      <c r="T560" s="27"/>
      <c r="U560" s="27"/>
      <c r="V560" s="27"/>
      <c r="W560" s="27"/>
      <c r="X560" s="27"/>
      <c r="Y560" s="27"/>
      <c r="Z560" s="27"/>
      <c r="AA560" s="27"/>
      <c r="AB560" s="27"/>
      <c r="AC560" s="27"/>
      <c r="AD560" s="27"/>
      <c r="AE560" s="27"/>
      <c r="AF560" s="27"/>
      <c r="AG560" s="27"/>
      <c r="AH560" s="27"/>
      <c r="AI560" s="27"/>
      <c r="AJ560" s="27"/>
      <c r="AK560" s="27"/>
      <c r="AL560" s="27"/>
      <c r="AM560" s="27"/>
      <c r="AN560" s="27"/>
      <c r="AO560" s="27"/>
      <c r="AP560" s="27"/>
      <c r="AQ560" s="27"/>
      <c r="AR560" s="27"/>
      <c r="AS560" s="27"/>
      <c r="AT560" s="27"/>
      <c r="AU560" s="27"/>
      <c r="AV560" s="27"/>
      <c r="AW560" s="27"/>
      <c r="AX560" s="27"/>
      <c r="AY560" s="27"/>
      <c r="AZ560" s="27"/>
      <c r="BA560" s="27"/>
      <c r="BB560" s="27"/>
      <c r="BC560" s="27"/>
      <c r="BD560" s="27"/>
      <c r="BE560" s="27"/>
      <c r="BF560" s="27"/>
      <c r="BG560" s="27"/>
      <c r="BH560" s="27"/>
      <c r="BI560" s="27"/>
      <c r="BJ560" s="27"/>
      <c r="BK560" s="27"/>
      <c r="BL560" s="27"/>
      <c r="BM560" s="27"/>
      <c r="BN560" s="27"/>
      <c r="BO560" s="27"/>
      <c r="BP560" s="27"/>
      <c r="BQ560" s="27"/>
      <c r="BR560" s="27"/>
      <c r="BS560" s="27"/>
      <c r="BT560" s="27"/>
      <c r="BU560" s="27"/>
      <c r="BV560" s="27"/>
      <c r="BW560" s="27"/>
      <c r="BX560" s="27"/>
      <c r="BY560" s="27"/>
      <c r="BZ560" s="27"/>
      <c r="CA560" s="27"/>
      <c r="CB560" s="27"/>
      <c r="CC560" s="27"/>
      <c r="CD560" s="27"/>
      <c r="CE560" s="27"/>
      <c r="CF560" s="27"/>
      <c r="CG560" s="27"/>
      <c r="CH560" s="27"/>
      <c r="CI560" s="27"/>
      <c r="CJ560" s="27"/>
      <c r="CK560" s="27"/>
      <c r="CL560" s="27"/>
      <c r="CM560" s="27"/>
      <c r="CN560" s="27"/>
      <c r="CO560" s="27"/>
      <c r="CP560" s="27"/>
      <c r="CQ560" s="27"/>
      <c r="CR560" s="27"/>
      <c r="CS560" s="27"/>
      <c r="CT560" s="27"/>
      <c r="CU560" s="27"/>
      <c r="CV560" s="27"/>
      <c r="CW560" s="27"/>
      <c r="CX560" s="27"/>
      <c r="CY560" s="27"/>
      <c r="CZ560" s="27"/>
      <c r="DA560" s="27"/>
      <c r="DB560" s="27"/>
      <c r="DC560" s="27"/>
      <c r="DD560" s="27"/>
      <c r="DE560" s="27"/>
      <c r="DF560" s="27"/>
      <c r="DG560" s="27"/>
      <c r="DH560" s="27"/>
      <c r="DI560" s="27"/>
      <c r="DJ560" s="27"/>
      <c r="DK560" s="27"/>
      <c r="DL560" s="27"/>
      <c r="DM560" s="27"/>
      <c r="DN560" s="27"/>
      <c r="DO560" s="27"/>
      <c r="DP560" s="27"/>
      <c r="DQ560" s="27"/>
      <c r="DR560" s="27"/>
      <c r="DS560" s="27"/>
      <c r="DT560" s="27"/>
    </row>
    <row r="561" spans="7:124" x14ac:dyDescent="0.2">
      <c r="G561" s="27"/>
      <c r="H561" s="27"/>
      <c r="I561" s="27"/>
      <c r="J561" s="27"/>
      <c r="K561" s="27"/>
      <c r="L561" s="27"/>
      <c r="M561" s="27"/>
      <c r="N561" s="27"/>
      <c r="O561" s="27"/>
      <c r="P561" s="27"/>
      <c r="Q561" s="27"/>
      <c r="R561" s="27"/>
      <c r="S561" s="27"/>
      <c r="T561" s="27"/>
      <c r="U561" s="27"/>
      <c r="V561" s="27"/>
      <c r="W561" s="27"/>
      <c r="X561" s="27"/>
      <c r="Y561" s="27"/>
      <c r="Z561" s="27"/>
      <c r="AA561" s="27"/>
      <c r="AB561" s="27"/>
      <c r="AC561" s="27"/>
      <c r="AD561" s="27"/>
      <c r="AE561" s="27"/>
      <c r="AF561" s="27"/>
      <c r="AG561" s="27"/>
      <c r="AH561" s="27"/>
      <c r="AI561" s="27"/>
      <c r="AJ561" s="27"/>
      <c r="AK561" s="27"/>
      <c r="AL561" s="27"/>
      <c r="AM561" s="27"/>
      <c r="AN561" s="27"/>
      <c r="AO561" s="27"/>
      <c r="AP561" s="27"/>
      <c r="AQ561" s="27"/>
      <c r="AR561" s="27"/>
      <c r="AS561" s="27"/>
      <c r="AT561" s="27"/>
      <c r="AU561" s="27"/>
      <c r="AV561" s="27"/>
      <c r="AW561" s="27"/>
      <c r="AX561" s="27"/>
      <c r="AY561" s="27"/>
      <c r="AZ561" s="27"/>
      <c r="BA561" s="27"/>
      <c r="BB561" s="27"/>
      <c r="BC561" s="27"/>
      <c r="BD561" s="27"/>
      <c r="BE561" s="27"/>
      <c r="BF561" s="27"/>
      <c r="BG561" s="27"/>
      <c r="BH561" s="27"/>
      <c r="BI561" s="27"/>
      <c r="BJ561" s="27"/>
      <c r="BK561" s="27"/>
      <c r="BL561" s="27"/>
      <c r="BM561" s="27"/>
      <c r="BN561" s="27"/>
      <c r="BO561" s="27"/>
      <c r="BP561" s="27"/>
      <c r="BQ561" s="27"/>
      <c r="BR561" s="27"/>
      <c r="BS561" s="27"/>
      <c r="BT561" s="27"/>
      <c r="BU561" s="27"/>
      <c r="BV561" s="27"/>
      <c r="BW561" s="27"/>
      <c r="BX561" s="27"/>
      <c r="BY561" s="27"/>
      <c r="BZ561" s="27"/>
      <c r="CA561" s="27"/>
      <c r="CB561" s="27"/>
      <c r="CC561" s="27"/>
      <c r="CD561" s="27"/>
      <c r="CE561" s="27"/>
      <c r="CF561" s="27"/>
      <c r="CG561" s="27"/>
      <c r="CH561" s="27"/>
      <c r="CI561" s="27"/>
      <c r="CJ561" s="27"/>
      <c r="CK561" s="27"/>
      <c r="CL561" s="27"/>
      <c r="CM561" s="27"/>
      <c r="CN561" s="27"/>
      <c r="CO561" s="27"/>
      <c r="CP561" s="27"/>
      <c r="CQ561" s="27"/>
      <c r="CR561" s="27"/>
      <c r="CS561" s="27"/>
      <c r="CT561" s="27"/>
      <c r="CU561" s="27"/>
      <c r="CV561" s="27"/>
      <c r="CW561" s="27"/>
      <c r="CX561" s="27"/>
      <c r="CY561" s="27"/>
      <c r="CZ561" s="27"/>
      <c r="DA561" s="27"/>
      <c r="DB561" s="27"/>
      <c r="DC561" s="27"/>
      <c r="DD561" s="27"/>
      <c r="DE561" s="27"/>
      <c r="DF561" s="27"/>
      <c r="DG561" s="27"/>
      <c r="DH561" s="27"/>
      <c r="DI561" s="27"/>
      <c r="DJ561" s="27"/>
      <c r="DK561" s="27"/>
      <c r="DL561" s="27"/>
      <c r="DM561" s="27"/>
      <c r="DN561" s="27"/>
      <c r="DO561" s="27"/>
      <c r="DP561" s="27"/>
      <c r="DQ561" s="27"/>
      <c r="DR561" s="27"/>
      <c r="DS561" s="27"/>
      <c r="DT561" s="27"/>
    </row>
    <row r="562" spans="7:124" x14ac:dyDescent="0.2">
      <c r="G562" s="27"/>
      <c r="H562" s="27"/>
      <c r="I562" s="27"/>
      <c r="J562" s="27"/>
      <c r="K562" s="27"/>
      <c r="L562" s="27"/>
      <c r="M562" s="27"/>
      <c r="N562" s="27"/>
      <c r="O562" s="27"/>
      <c r="P562" s="27"/>
      <c r="Q562" s="27"/>
      <c r="R562" s="27"/>
      <c r="S562" s="27"/>
      <c r="T562" s="27"/>
      <c r="U562" s="27"/>
      <c r="V562" s="27"/>
      <c r="W562" s="27"/>
      <c r="X562" s="27"/>
      <c r="Y562" s="27"/>
      <c r="Z562" s="27"/>
      <c r="AA562" s="27"/>
      <c r="AB562" s="27"/>
      <c r="AC562" s="27"/>
      <c r="AD562" s="27"/>
      <c r="AE562" s="27"/>
      <c r="AF562" s="27"/>
      <c r="AG562" s="27"/>
      <c r="AH562" s="27"/>
      <c r="AI562" s="27"/>
      <c r="AJ562" s="27"/>
      <c r="AK562" s="27"/>
      <c r="AL562" s="27"/>
      <c r="AM562" s="27"/>
      <c r="AN562" s="27"/>
      <c r="AO562" s="27"/>
      <c r="AP562" s="27"/>
      <c r="AQ562" s="27"/>
      <c r="AR562" s="27"/>
      <c r="AS562" s="27"/>
      <c r="AT562" s="27"/>
      <c r="AU562" s="27"/>
      <c r="AV562" s="27"/>
      <c r="AW562" s="27"/>
      <c r="AX562" s="27"/>
      <c r="AY562" s="27"/>
      <c r="AZ562" s="27"/>
      <c r="BA562" s="27"/>
      <c r="BB562" s="27"/>
      <c r="BC562" s="27"/>
      <c r="BD562" s="27"/>
      <c r="BE562" s="27"/>
      <c r="BF562" s="27"/>
      <c r="BG562" s="27"/>
      <c r="BH562" s="27"/>
      <c r="BI562" s="27"/>
      <c r="BJ562" s="27"/>
      <c r="BK562" s="27"/>
      <c r="BL562" s="27"/>
      <c r="BM562" s="27"/>
      <c r="BN562" s="27"/>
      <c r="BO562" s="27"/>
      <c r="BP562" s="27"/>
      <c r="BQ562" s="27"/>
      <c r="BR562" s="27"/>
      <c r="BS562" s="27"/>
      <c r="BT562" s="27"/>
      <c r="BU562" s="27"/>
      <c r="BV562" s="27"/>
      <c r="BW562" s="27"/>
      <c r="BX562" s="27"/>
      <c r="BY562" s="27"/>
      <c r="BZ562" s="27"/>
      <c r="CA562" s="27"/>
      <c r="CB562" s="27"/>
      <c r="CC562" s="27"/>
      <c r="CD562" s="27"/>
      <c r="CE562" s="27"/>
      <c r="CF562" s="27"/>
      <c r="CG562" s="27"/>
      <c r="CH562" s="27"/>
      <c r="CI562" s="27"/>
      <c r="CJ562" s="27"/>
      <c r="CK562" s="27"/>
      <c r="CL562" s="27"/>
      <c r="CM562" s="27"/>
      <c r="CN562" s="27"/>
      <c r="CO562" s="27"/>
      <c r="CP562" s="27"/>
      <c r="CQ562" s="27"/>
      <c r="CR562" s="27"/>
      <c r="CS562" s="27"/>
      <c r="CT562" s="27"/>
      <c r="CU562" s="27"/>
      <c r="CV562" s="27"/>
      <c r="CW562" s="27"/>
      <c r="CX562" s="27"/>
      <c r="CY562" s="27"/>
      <c r="CZ562" s="27"/>
      <c r="DA562" s="27"/>
      <c r="DB562" s="27"/>
      <c r="DC562" s="27"/>
      <c r="DD562" s="27"/>
      <c r="DE562" s="27"/>
      <c r="DF562" s="27"/>
      <c r="DG562" s="27"/>
      <c r="DH562" s="27"/>
      <c r="DI562" s="27"/>
      <c r="DJ562" s="27"/>
      <c r="DK562" s="27"/>
      <c r="DL562" s="27"/>
      <c r="DM562" s="27"/>
      <c r="DN562" s="27"/>
      <c r="DO562" s="27"/>
      <c r="DP562" s="27"/>
      <c r="DQ562" s="27"/>
      <c r="DR562" s="27"/>
      <c r="DS562" s="27"/>
      <c r="DT562" s="27"/>
    </row>
    <row r="563" spans="7:124" x14ac:dyDescent="0.2">
      <c r="G563" s="27"/>
      <c r="H563" s="27"/>
      <c r="I563" s="27"/>
      <c r="J563" s="27"/>
      <c r="K563" s="27"/>
      <c r="L563" s="27"/>
      <c r="M563" s="27"/>
      <c r="N563" s="27"/>
      <c r="O563" s="27"/>
      <c r="P563" s="27"/>
      <c r="Q563" s="27"/>
      <c r="R563" s="27"/>
      <c r="S563" s="27"/>
      <c r="T563" s="27"/>
      <c r="U563" s="27"/>
      <c r="V563" s="27"/>
      <c r="W563" s="27"/>
      <c r="X563" s="27"/>
      <c r="Y563" s="27"/>
      <c r="Z563" s="27"/>
      <c r="AA563" s="27"/>
      <c r="AB563" s="27"/>
      <c r="AC563" s="27"/>
      <c r="AD563" s="27"/>
      <c r="AE563" s="27"/>
      <c r="AF563" s="27"/>
      <c r="AG563" s="27"/>
      <c r="AH563" s="27"/>
      <c r="AI563" s="27"/>
      <c r="AJ563" s="27"/>
      <c r="AK563" s="27"/>
      <c r="AL563" s="27"/>
      <c r="AM563" s="27"/>
      <c r="AN563" s="27"/>
      <c r="AO563" s="27"/>
      <c r="AP563" s="27"/>
      <c r="AQ563" s="27"/>
      <c r="AR563" s="27"/>
      <c r="AS563" s="27"/>
      <c r="AT563" s="27"/>
      <c r="AU563" s="27"/>
      <c r="AV563" s="27"/>
      <c r="AW563" s="27"/>
      <c r="AX563" s="27"/>
      <c r="AY563" s="27"/>
      <c r="AZ563" s="27"/>
      <c r="BA563" s="27"/>
      <c r="BB563" s="27"/>
      <c r="BC563" s="27"/>
      <c r="BD563" s="27"/>
      <c r="BE563" s="27"/>
      <c r="BF563" s="27"/>
      <c r="BG563" s="27"/>
      <c r="BH563" s="27"/>
      <c r="BI563" s="27"/>
      <c r="BJ563" s="27"/>
      <c r="BK563" s="27"/>
      <c r="BL563" s="27"/>
      <c r="BM563" s="27"/>
      <c r="BN563" s="27"/>
      <c r="BO563" s="27"/>
      <c r="BP563" s="27"/>
      <c r="BQ563" s="27"/>
      <c r="BR563" s="27"/>
      <c r="BS563" s="27"/>
      <c r="BT563" s="27"/>
      <c r="BU563" s="27"/>
      <c r="BV563" s="27"/>
      <c r="BW563" s="27"/>
      <c r="BX563" s="27"/>
      <c r="BY563" s="27"/>
      <c r="BZ563" s="27"/>
      <c r="CA563" s="27"/>
      <c r="CB563" s="27"/>
      <c r="CC563" s="27"/>
      <c r="CD563" s="27"/>
      <c r="CE563" s="27"/>
      <c r="CF563" s="27"/>
      <c r="CG563" s="27"/>
      <c r="CH563" s="27"/>
      <c r="CI563" s="27"/>
      <c r="CJ563" s="27"/>
      <c r="CK563" s="27"/>
      <c r="CL563" s="27"/>
      <c r="CM563" s="27"/>
      <c r="CN563" s="27"/>
      <c r="CO563" s="27"/>
      <c r="CP563" s="27"/>
      <c r="CQ563" s="27"/>
      <c r="CR563" s="27"/>
      <c r="CS563" s="27"/>
      <c r="CT563" s="27"/>
      <c r="CU563" s="27"/>
      <c r="CV563" s="27"/>
      <c r="CW563" s="27"/>
      <c r="CX563" s="27"/>
      <c r="CY563" s="27"/>
      <c r="CZ563" s="27"/>
      <c r="DA563" s="27"/>
      <c r="DB563" s="27"/>
      <c r="DC563" s="27"/>
      <c r="DD563" s="27"/>
      <c r="DE563" s="27"/>
      <c r="DF563" s="27"/>
      <c r="DG563" s="27"/>
      <c r="DH563" s="27"/>
      <c r="DI563" s="27"/>
      <c r="DJ563" s="27"/>
      <c r="DK563" s="27"/>
      <c r="DL563" s="27"/>
      <c r="DM563" s="27"/>
      <c r="DN563" s="27"/>
      <c r="DO563" s="27"/>
      <c r="DP563" s="27"/>
      <c r="DQ563" s="27"/>
      <c r="DR563" s="27"/>
      <c r="DS563" s="27"/>
      <c r="DT563" s="27"/>
    </row>
    <row r="564" spans="7:124" x14ac:dyDescent="0.2">
      <c r="G564" s="27"/>
      <c r="H564" s="27"/>
      <c r="I564" s="27"/>
      <c r="J564" s="27"/>
      <c r="K564" s="27"/>
      <c r="L564" s="27"/>
      <c r="M564" s="27"/>
      <c r="N564" s="27"/>
      <c r="O564" s="27"/>
      <c r="P564" s="27"/>
      <c r="Q564" s="27"/>
      <c r="R564" s="27"/>
      <c r="S564" s="27"/>
      <c r="T564" s="27"/>
      <c r="U564" s="27"/>
      <c r="V564" s="27"/>
      <c r="W564" s="27"/>
      <c r="X564" s="27"/>
      <c r="Y564" s="27"/>
      <c r="Z564" s="27"/>
      <c r="AA564" s="27"/>
      <c r="AB564" s="27"/>
      <c r="AC564" s="27"/>
      <c r="AD564" s="27"/>
      <c r="AE564" s="27"/>
      <c r="AF564" s="27"/>
      <c r="AG564" s="27"/>
      <c r="AH564" s="27"/>
      <c r="AI564" s="27"/>
      <c r="AJ564" s="27"/>
      <c r="AK564" s="27"/>
      <c r="AL564" s="27"/>
      <c r="AM564" s="27"/>
      <c r="AN564" s="27"/>
      <c r="AO564" s="27"/>
      <c r="AP564" s="27"/>
      <c r="AQ564" s="27"/>
      <c r="AR564" s="27"/>
      <c r="AS564" s="27"/>
      <c r="AT564" s="27"/>
      <c r="AU564" s="27"/>
      <c r="AV564" s="27"/>
      <c r="AW564" s="27"/>
      <c r="AX564" s="27"/>
      <c r="AY564" s="27"/>
      <c r="AZ564" s="27"/>
      <c r="BA564" s="27"/>
      <c r="BB564" s="27"/>
      <c r="BC564" s="27"/>
      <c r="BD564" s="27"/>
      <c r="BE564" s="27"/>
      <c r="BF564" s="27"/>
      <c r="BG564" s="27"/>
      <c r="BH564" s="27"/>
      <c r="BI564" s="27"/>
      <c r="BJ564" s="27"/>
      <c r="BK564" s="27"/>
      <c r="BL564" s="27"/>
      <c r="BM564" s="27"/>
      <c r="BN564" s="27"/>
      <c r="BO564" s="27"/>
      <c r="BP564" s="27"/>
      <c r="BQ564" s="27"/>
      <c r="BR564" s="27"/>
      <c r="BS564" s="27"/>
      <c r="BT564" s="27"/>
      <c r="BU564" s="27"/>
      <c r="BV564" s="27"/>
      <c r="BW564" s="27"/>
      <c r="BX564" s="27"/>
      <c r="BY564" s="27"/>
      <c r="BZ564" s="27"/>
      <c r="CA564" s="27"/>
      <c r="CB564" s="27"/>
      <c r="CC564" s="27"/>
      <c r="CD564" s="27"/>
      <c r="CE564" s="27"/>
      <c r="CF564" s="27"/>
      <c r="CG564" s="27"/>
      <c r="CH564" s="27"/>
      <c r="CI564" s="27"/>
      <c r="CJ564" s="27"/>
      <c r="CK564" s="27"/>
      <c r="CL564" s="27"/>
      <c r="CM564" s="27"/>
      <c r="CN564" s="27"/>
      <c r="CO564" s="27"/>
      <c r="CP564" s="27"/>
      <c r="CQ564" s="27"/>
      <c r="CR564" s="27"/>
      <c r="CS564" s="27"/>
      <c r="CT564" s="27"/>
      <c r="CU564" s="27"/>
      <c r="CV564" s="27"/>
      <c r="CW564" s="27"/>
      <c r="CX564" s="27"/>
      <c r="CY564" s="27"/>
      <c r="CZ564" s="27"/>
      <c r="DA564" s="27"/>
      <c r="DB564" s="27"/>
      <c r="DC564" s="27"/>
      <c r="DD564" s="27"/>
      <c r="DE564" s="27"/>
      <c r="DF564" s="27"/>
      <c r="DG564" s="27"/>
      <c r="DH564" s="27"/>
      <c r="DI564" s="27"/>
      <c r="DJ564" s="27"/>
      <c r="DK564" s="27"/>
      <c r="DL564" s="27"/>
      <c r="DM564" s="27"/>
      <c r="DN564" s="27"/>
      <c r="DO564" s="27"/>
      <c r="DP564" s="27"/>
      <c r="DQ564" s="27"/>
      <c r="DR564" s="27"/>
      <c r="DS564" s="27"/>
      <c r="DT564" s="27"/>
    </row>
    <row r="565" spans="7:124" x14ac:dyDescent="0.2">
      <c r="G565" s="27"/>
      <c r="H565" s="27"/>
      <c r="I565" s="27"/>
      <c r="J565" s="27"/>
      <c r="K565" s="27"/>
      <c r="L565" s="27"/>
      <c r="M565" s="27"/>
      <c r="N565" s="27"/>
      <c r="O565" s="27"/>
      <c r="P565" s="27"/>
      <c r="Q565" s="27"/>
      <c r="R565" s="27"/>
      <c r="S565" s="27"/>
      <c r="T565" s="27"/>
      <c r="U565" s="27"/>
      <c r="V565" s="27"/>
      <c r="W565" s="27"/>
      <c r="X565" s="27"/>
      <c r="Y565" s="27"/>
      <c r="Z565" s="27"/>
      <c r="AA565" s="27"/>
      <c r="AB565" s="27"/>
      <c r="AC565" s="27"/>
      <c r="AD565" s="27"/>
      <c r="AE565" s="27"/>
      <c r="AF565" s="27"/>
      <c r="AG565" s="27"/>
      <c r="AH565" s="27"/>
      <c r="AI565" s="27"/>
      <c r="AJ565" s="27"/>
      <c r="AK565" s="27"/>
      <c r="AL565" s="27"/>
      <c r="AM565" s="27"/>
      <c r="AN565" s="27"/>
      <c r="AO565" s="27"/>
      <c r="AP565" s="27"/>
      <c r="AQ565" s="27"/>
      <c r="AR565" s="27"/>
      <c r="AS565" s="27"/>
      <c r="AT565" s="27"/>
      <c r="AU565" s="27"/>
      <c r="AV565" s="27"/>
      <c r="AW565" s="27"/>
      <c r="AX565" s="27"/>
      <c r="AY565" s="27"/>
      <c r="AZ565" s="27"/>
      <c r="BA565" s="27"/>
      <c r="BB565" s="27"/>
      <c r="BC565" s="27"/>
      <c r="BD565" s="27"/>
      <c r="BE565" s="27"/>
      <c r="BF565" s="27"/>
      <c r="BG565" s="27"/>
      <c r="BH565" s="27"/>
      <c r="BI565" s="27"/>
      <c r="BJ565" s="27"/>
      <c r="BK565" s="27"/>
      <c r="BL565" s="27"/>
      <c r="BM565" s="27"/>
      <c r="BN565" s="27"/>
      <c r="BO565" s="27"/>
      <c r="BP565" s="27"/>
      <c r="BQ565" s="27"/>
      <c r="BR565" s="27"/>
      <c r="BS565" s="27"/>
      <c r="BT565" s="27"/>
      <c r="BU565" s="27"/>
      <c r="BV565" s="27"/>
      <c r="BW565" s="27"/>
      <c r="BX565" s="27"/>
      <c r="BY565" s="27"/>
      <c r="BZ565" s="27"/>
      <c r="CA565" s="27"/>
      <c r="CB565" s="27"/>
      <c r="CC565" s="27"/>
      <c r="CD565" s="27"/>
      <c r="CE565" s="27"/>
      <c r="CF565" s="27"/>
      <c r="CG565" s="27"/>
      <c r="CH565" s="27"/>
      <c r="CI565" s="27"/>
      <c r="CJ565" s="27"/>
      <c r="CK565" s="27"/>
      <c r="CL565" s="27"/>
      <c r="CM565" s="27"/>
      <c r="CN565" s="27"/>
      <c r="CO565" s="27"/>
      <c r="CP565" s="27"/>
      <c r="CQ565" s="27"/>
      <c r="CR565" s="27"/>
      <c r="CS565" s="27"/>
      <c r="CT565" s="27"/>
      <c r="CU565" s="27"/>
      <c r="CV565" s="27"/>
      <c r="CW565" s="27"/>
      <c r="CX565" s="27"/>
      <c r="CY565" s="27"/>
      <c r="CZ565" s="27"/>
      <c r="DA565" s="27"/>
      <c r="DB565" s="27"/>
      <c r="DC565" s="27"/>
      <c r="DD565" s="27"/>
      <c r="DE565" s="27"/>
      <c r="DF565" s="27"/>
      <c r="DG565" s="27"/>
      <c r="DH565" s="27"/>
      <c r="DI565" s="27"/>
      <c r="DJ565" s="27"/>
      <c r="DK565" s="27"/>
      <c r="DL565" s="27"/>
      <c r="DM565" s="27"/>
      <c r="DN565" s="27"/>
      <c r="DO565" s="27"/>
      <c r="DP565" s="27"/>
      <c r="DQ565" s="27"/>
      <c r="DR565" s="27"/>
      <c r="DS565" s="27"/>
      <c r="DT565" s="27"/>
    </row>
    <row r="566" spans="7:124" x14ac:dyDescent="0.2">
      <c r="G566" s="27"/>
      <c r="H566" s="27"/>
      <c r="I566" s="27"/>
      <c r="J566" s="27"/>
      <c r="K566" s="27"/>
      <c r="L566" s="27"/>
      <c r="M566" s="27"/>
      <c r="N566" s="27"/>
      <c r="O566" s="27"/>
      <c r="P566" s="27"/>
      <c r="Q566" s="27"/>
      <c r="R566" s="27"/>
      <c r="S566" s="27"/>
      <c r="T566" s="27"/>
      <c r="U566" s="27"/>
      <c r="V566" s="27"/>
      <c r="W566" s="27"/>
      <c r="X566" s="27"/>
      <c r="Y566" s="27"/>
      <c r="Z566" s="27"/>
      <c r="AA566" s="27"/>
      <c r="AB566" s="27"/>
      <c r="AC566" s="27"/>
      <c r="AD566" s="27"/>
      <c r="AE566" s="27"/>
      <c r="AF566" s="27"/>
      <c r="AG566" s="27"/>
      <c r="AH566" s="27"/>
      <c r="AI566" s="27"/>
      <c r="AJ566" s="27"/>
      <c r="AK566" s="27"/>
      <c r="AL566" s="27"/>
      <c r="AM566" s="27"/>
      <c r="AN566" s="27"/>
      <c r="AO566" s="27"/>
      <c r="AP566" s="27"/>
      <c r="AQ566" s="27"/>
      <c r="AR566" s="27"/>
      <c r="AS566" s="27"/>
      <c r="AT566" s="27"/>
      <c r="AU566" s="27"/>
      <c r="AV566" s="27"/>
      <c r="AW566" s="27"/>
      <c r="AX566" s="27"/>
      <c r="AY566" s="27"/>
      <c r="AZ566" s="27"/>
      <c r="BA566" s="27"/>
      <c r="BB566" s="27"/>
      <c r="BC566" s="27"/>
      <c r="BD566" s="27"/>
      <c r="BE566" s="27"/>
      <c r="BF566" s="27"/>
      <c r="BG566" s="27"/>
      <c r="BH566" s="27"/>
      <c r="BI566" s="27"/>
      <c r="BJ566" s="27"/>
      <c r="BK566" s="27"/>
      <c r="BL566" s="27"/>
      <c r="BM566" s="27"/>
      <c r="BN566" s="27"/>
      <c r="BO566" s="27"/>
      <c r="BP566" s="27"/>
      <c r="BQ566" s="27"/>
      <c r="BR566" s="27"/>
      <c r="BS566" s="27"/>
      <c r="BT566" s="27"/>
      <c r="BU566" s="27"/>
      <c r="BV566" s="27"/>
      <c r="BW566" s="27"/>
      <c r="BX566" s="27"/>
      <c r="BY566" s="27"/>
      <c r="BZ566" s="27"/>
      <c r="CA566" s="27"/>
      <c r="CB566" s="27"/>
      <c r="CC566" s="27"/>
      <c r="CD566" s="27"/>
      <c r="CE566" s="27"/>
      <c r="CF566" s="27"/>
      <c r="CG566" s="27"/>
      <c r="CH566" s="27"/>
      <c r="CI566" s="27"/>
      <c r="CJ566" s="27"/>
      <c r="CK566" s="27"/>
      <c r="CL566" s="27"/>
      <c r="CM566" s="27"/>
      <c r="CN566" s="27"/>
      <c r="CO566" s="27"/>
      <c r="CP566" s="27"/>
      <c r="CQ566" s="27"/>
      <c r="CR566" s="27"/>
      <c r="CS566" s="27"/>
      <c r="CT566" s="27"/>
      <c r="CU566" s="27"/>
      <c r="CV566" s="27"/>
      <c r="CW566" s="27"/>
      <c r="CX566" s="27"/>
      <c r="CY566" s="27"/>
      <c r="CZ566" s="27"/>
      <c r="DA566" s="27"/>
      <c r="DB566" s="27"/>
      <c r="DC566" s="27"/>
      <c r="DD566" s="27"/>
      <c r="DE566" s="27"/>
      <c r="DF566" s="27"/>
      <c r="DG566" s="27"/>
      <c r="DH566" s="27"/>
      <c r="DI566" s="27"/>
      <c r="DJ566" s="27"/>
      <c r="DK566" s="27"/>
      <c r="DL566" s="27"/>
      <c r="DM566" s="27"/>
      <c r="DN566" s="27"/>
      <c r="DO566" s="27"/>
      <c r="DP566" s="27"/>
      <c r="DQ566" s="27"/>
      <c r="DR566" s="27"/>
      <c r="DS566" s="27"/>
      <c r="DT566" s="27"/>
    </row>
    <row r="567" spans="7:124" x14ac:dyDescent="0.2">
      <c r="G567" s="27"/>
      <c r="H567" s="27"/>
      <c r="I567" s="27"/>
      <c r="J567" s="27"/>
      <c r="K567" s="27"/>
      <c r="L567" s="27"/>
      <c r="M567" s="27"/>
      <c r="N567" s="27"/>
      <c r="O567" s="27"/>
      <c r="P567" s="27"/>
      <c r="Q567" s="27"/>
      <c r="R567" s="27"/>
      <c r="S567" s="27"/>
      <c r="T567" s="27"/>
      <c r="U567" s="27"/>
      <c r="V567" s="27"/>
      <c r="W567" s="27"/>
      <c r="X567" s="27"/>
      <c r="Y567" s="27"/>
      <c r="Z567" s="27"/>
      <c r="AA567" s="27"/>
      <c r="AB567" s="27"/>
      <c r="AC567" s="27"/>
      <c r="AD567" s="27"/>
      <c r="AE567" s="27"/>
      <c r="AF567" s="27"/>
      <c r="AG567" s="27"/>
      <c r="AH567" s="27"/>
      <c r="AI567" s="27"/>
      <c r="AJ567" s="27"/>
      <c r="AK567" s="27"/>
      <c r="AL567" s="27"/>
      <c r="AM567" s="27"/>
      <c r="AN567" s="27"/>
      <c r="AO567" s="27"/>
      <c r="AP567" s="27"/>
      <c r="AQ567" s="27"/>
      <c r="AR567" s="27"/>
      <c r="AS567" s="27"/>
      <c r="AT567" s="27"/>
      <c r="AU567" s="27"/>
      <c r="AV567" s="27"/>
      <c r="AW567" s="27"/>
      <c r="AX567" s="27"/>
      <c r="AY567" s="27"/>
      <c r="AZ567" s="27"/>
      <c r="BA567" s="27"/>
      <c r="BB567" s="27"/>
      <c r="BC567" s="27"/>
      <c r="BD567" s="27"/>
      <c r="BE567" s="27"/>
      <c r="BF567" s="27"/>
      <c r="BG567" s="27"/>
      <c r="BH567" s="27"/>
      <c r="BI567" s="27"/>
      <c r="BJ567" s="27"/>
      <c r="BK567" s="27"/>
      <c r="BL567" s="27"/>
      <c r="BM567" s="27"/>
      <c r="BN567" s="27"/>
      <c r="BO567" s="27"/>
      <c r="BP567" s="27"/>
      <c r="BQ567" s="27"/>
      <c r="BR567" s="27"/>
      <c r="BS567" s="27"/>
      <c r="BT567" s="27"/>
      <c r="BU567" s="27"/>
      <c r="BV567" s="27"/>
      <c r="BW567" s="27"/>
      <c r="BX567" s="27"/>
      <c r="BY567" s="27"/>
      <c r="BZ567" s="27"/>
      <c r="CA567" s="27"/>
      <c r="CB567" s="27"/>
      <c r="CC567" s="27"/>
      <c r="CD567" s="27"/>
      <c r="CE567" s="27"/>
      <c r="CF567" s="27"/>
      <c r="CG567" s="27"/>
      <c r="CH567" s="27"/>
      <c r="CI567" s="27"/>
      <c r="CJ567" s="27"/>
      <c r="CK567" s="27"/>
      <c r="CL567" s="27"/>
      <c r="CM567" s="27"/>
      <c r="CN567" s="27"/>
      <c r="CO567" s="27"/>
      <c r="CP567" s="27"/>
      <c r="CQ567" s="27"/>
      <c r="CR567" s="27"/>
      <c r="CS567" s="27"/>
      <c r="CT567" s="27"/>
      <c r="CU567" s="27"/>
      <c r="CV567" s="27"/>
      <c r="CW567" s="27"/>
      <c r="CX567" s="27"/>
      <c r="CY567" s="27"/>
      <c r="CZ567" s="27"/>
      <c r="DA567" s="27"/>
      <c r="DB567" s="27"/>
      <c r="DC567" s="27"/>
      <c r="DD567" s="27"/>
      <c r="DE567" s="27"/>
      <c r="DF567" s="27"/>
      <c r="DG567" s="27"/>
      <c r="DH567" s="27"/>
      <c r="DI567" s="27"/>
      <c r="DJ567" s="27"/>
      <c r="DK567" s="27"/>
      <c r="DL567" s="27"/>
      <c r="DM567" s="27"/>
      <c r="DN567" s="27"/>
      <c r="DO567" s="27"/>
      <c r="DP567" s="27"/>
      <c r="DQ567" s="27"/>
      <c r="DR567" s="27"/>
      <c r="DS567" s="27"/>
      <c r="DT567" s="27"/>
    </row>
    <row r="568" spans="7:124" x14ac:dyDescent="0.2">
      <c r="G568" s="27"/>
      <c r="H568" s="27"/>
      <c r="I568" s="27"/>
      <c r="J568" s="27"/>
      <c r="K568" s="27"/>
      <c r="L568" s="27"/>
      <c r="M568" s="27"/>
      <c r="N568" s="27"/>
      <c r="O568" s="27"/>
      <c r="P568" s="27"/>
      <c r="Q568" s="27"/>
      <c r="R568" s="27"/>
      <c r="S568" s="27"/>
      <c r="T568" s="27"/>
      <c r="U568" s="27"/>
      <c r="V568" s="27"/>
      <c r="W568" s="27"/>
      <c r="X568" s="27"/>
      <c r="Y568" s="27"/>
      <c r="Z568" s="27"/>
      <c r="AA568" s="27"/>
      <c r="AB568" s="27"/>
      <c r="AC568" s="27"/>
      <c r="AD568" s="27"/>
      <c r="AE568" s="27"/>
      <c r="AF568" s="27"/>
      <c r="AG568" s="27"/>
      <c r="AH568" s="27"/>
      <c r="AI568" s="27"/>
      <c r="AJ568" s="27"/>
      <c r="AK568" s="27"/>
      <c r="AL568" s="27"/>
      <c r="AM568" s="27"/>
      <c r="AN568" s="27"/>
      <c r="AO568" s="27"/>
      <c r="AP568" s="27"/>
      <c r="AQ568" s="27"/>
      <c r="AR568" s="27"/>
      <c r="AS568" s="27"/>
      <c r="AT568" s="27"/>
      <c r="AU568" s="27"/>
      <c r="AV568" s="27"/>
      <c r="AW568" s="27"/>
      <c r="AX568" s="27"/>
      <c r="AY568" s="27"/>
      <c r="AZ568" s="27"/>
      <c r="BA568" s="27"/>
      <c r="BB568" s="27"/>
      <c r="BC568" s="27"/>
      <c r="BD568" s="27"/>
      <c r="BE568" s="27"/>
      <c r="BF568" s="27"/>
      <c r="BG568" s="27"/>
      <c r="BH568" s="27"/>
      <c r="BI568" s="27"/>
      <c r="BJ568" s="27"/>
      <c r="BK568" s="27"/>
      <c r="BL568" s="27"/>
      <c r="BM568" s="27"/>
      <c r="BN568" s="27"/>
      <c r="BO568" s="27"/>
      <c r="BP568" s="27"/>
      <c r="BQ568" s="27"/>
      <c r="BR568" s="27"/>
      <c r="BS568" s="27"/>
      <c r="BT568" s="27"/>
      <c r="BU568" s="27"/>
      <c r="BV568" s="27"/>
      <c r="BW568" s="27"/>
      <c r="BX568" s="27"/>
      <c r="BY568" s="27"/>
      <c r="BZ568" s="27"/>
      <c r="CA568" s="27"/>
      <c r="CB568" s="27"/>
      <c r="CC568" s="27"/>
      <c r="CD568" s="27"/>
      <c r="CE568" s="27"/>
      <c r="CF568" s="27"/>
      <c r="CG568" s="27"/>
      <c r="CH568" s="27"/>
      <c r="CI568" s="27"/>
      <c r="CJ568" s="27"/>
      <c r="CK568" s="27"/>
      <c r="CL568" s="27"/>
      <c r="CM568" s="27"/>
      <c r="CN568" s="27"/>
      <c r="CO568" s="27"/>
      <c r="CP568" s="27"/>
      <c r="CQ568" s="27"/>
      <c r="CR568" s="27"/>
      <c r="CS568" s="27"/>
      <c r="CT568" s="27"/>
      <c r="CU568" s="27"/>
      <c r="CV568" s="27"/>
      <c r="CW568" s="27"/>
      <c r="CX568" s="27"/>
      <c r="CY568" s="27"/>
      <c r="CZ568" s="27"/>
      <c r="DA568" s="27"/>
      <c r="DB568" s="27"/>
      <c r="DC568" s="27"/>
      <c r="DD568" s="27"/>
      <c r="DE568" s="27"/>
      <c r="DF568" s="27"/>
      <c r="DG568" s="27"/>
      <c r="DH568" s="27"/>
      <c r="DI568" s="27"/>
      <c r="DJ568" s="27"/>
      <c r="DK568" s="27"/>
      <c r="DL568" s="27"/>
      <c r="DM568" s="27"/>
      <c r="DN568" s="27"/>
      <c r="DO568" s="27"/>
      <c r="DP568" s="27"/>
      <c r="DQ568" s="27"/>
      <c r="DR568" s="27"/>
      <c r="DS568" s="27"/>
      <c r="DT568" s="27"/>
    </row>
    <row r="569" spans="7:124" x14ac:dyDescent="0.2">
      <c r="G569" s="27"/>
      <c r="H569" s="27"/>
      <c r="I569" s="27"/>
      <c r="J569" s="27"/>
      <c r="K569" s="27"/>
      <c r="L569" s="27"/>
      <c r="M569" s="27"/>
      <c r="N569" s="27"/>
      <c r="O569" s="27"/>
      <c r="P569" s="27"/>
      <c r="Q569" s="27"/>
      <c r="R569" s="27"/>
      <c r="S569" s="27"/>
      <c r="T569" s="27"/>
      <c r="U569" s="27"/>
      <c r="V569" s="27"/>
      <c r="W569" s="27"/>
      <c r="X569" s="27"/>
      <c r="Y569" s="27"/>
      <c r="Z569" s="27"/>
      <c r="AA569" s="27"/>
      <c r="AB569" s="27"/>
      <c r="AC569" s="27"/>
      <c r="AD569" s="27"/>
      <c r="AE569" s="27"/>
      <c r="AF569" s="27"/>
      <c r="AG569" s="27"/>
      <c r="AH569" s="27"/>
      <c r="AI569" s="27"/>
      <c r="AJ569" s="27"/>
      <c r="AK569" s="27"/>
      <c r="AL569" s="27"/>
      <c r="AM569" s="27"/>
      <c r="AN569" s="27"/>
      <c r="AO569" s="27"/>
      <c r="AP569" s="27"/>
      <c r="AQ569" s="27"/>
      <c r="AR569" s="27"/>
      <c r="AS569" s="27"/>
      <c r="AT569" s="27"/>
      <c r="AU569" s="27"/>
      <c r="AV569" s="27"/>
      <c r="AW569" s="27"/>
      <c r="AX569" s="27"/>
      <c r="AY569" s="27"/>
      <c r="AZ569" s="27"/>
      <c r="BA569" s="27"/>
      <c r="BB569" s="27"/>
      <c r="BC569" s="27"/>
      <c r="BD569" s="27"/>
      <c r="BE569" s="27"/>
      <c r="BF569" s="27"/>
      <c r="BG569" s="27"/>
      <c r="BH569" s="27"/>
      <c r="BI569" s="27"/>
      <c r="BJ569" s="27"/>
      <c r="BK569" s="27"/>
      <c r="BL569" s="27"/>
      <c r="BM569" s="27"/>
      <c r="BN569" s="27"/>
      <c r="BO569" s="27"/>
      <c r="BP569" s="27"/>
      <c r="BQ569" s="27"/>
      <c r="BR569" s="27"/>
      <c r="BS569" s="27"/>
      <c r="BT569" s="27"/>
      <c r="BU569" s="27"/>
      <c r="BV569" s="27"/>
      <c r="BW569" s="27"/>
      <c r="BX569" s="27"/>
      <c r="BY569" s="27"/>
      <c r="BZ569" s="27"/>
      <c r="CA569" s="27"/>
      <c r="CB569" s="27"/>
      <c r="CC569" s="27"/>
      <c r="CD569" s="27"/>
      <c r="CE569" s="27"/>
      <c r="CF569" s="27"/>
      <c r="CG569" s="27"/>
      <c r="CH569" s="27"/>
      <c r="CI569" s="27"/>
      <c r="CJ569" s="27"/>
      <c r="CK569" s="27"/>
      <c r="CL569" s="27"/>
      <c r="CM569" s="27"/>
      <c r="CN569" s="27"/>
      <c r="CO569" s="27"/>
      <c r="CP569" s="27"/>
      <c r="CQ569" s="27"/>
      <c r="CR569" s="27"/>
      <c r="CS569" s="27"/>
      <c r="CT569" s="27"/>
      <c r="CU569" s="27"/>
      <c r="CV569" s="27"/>
      <c r="CW569" s="27"/>
      <c r="CX569" s="27"/>
      <c r="CY569" s="27"/>
      <c r="CZ569" s="27"/>
      <c r="DA569" s="27"/>
      <c r="DB569" s="27"/>
      <c r="DC569" s="27"/>
      <c r="DD569" s="27"/>
      <c r="DE569" s="27"/>
      <c r="DF569" s="27"/>
      <c r="DG569" s="27"/>
      <c r="DH569" s="27"/>
      <c r="DI569" s="27"/>
      <c r="DJ569" s="27"/>
      <c r="DK569" s="27"/>
      <c r="DL569" s="27"/>
      <c r="DM569" s="27"/>
      <c r="DN569" s="27"/>
      <c r="DO569" s="27"/>
      <c r="DP569" s="27"/>
      <c r="DQ569" s="27"/>
      <c r="DR569" s="27"/>
      <c r="DS569" s="27"/>
      <c r="DT569" s="27"/>
    </row>
    <row r="570" spans="7:124" x14ac:dyDescent="0.2">
      <c r="G570" s="27"/>
      <c r="H570" s="27"/>
      <c r="I570" s="27"/>
      <c r="J570" s="27"/>
      <c r="K570" s="27"/>
      <c r="L570" s="27"/>
      <c r="M570" s="27"/>
      <c r="N570" s="27"/>
      <c r="O570" s="27"/>
      <c r="P570" s="27"/>
      <c r="Q570" s="27"/>
      <c r="R570" s="27"/>
      <c r="S570" s="27"/>
      <c r="T570" s="27"/>
      <c r="U570" s="27"/>
      <c r="V570" s="27"/>
      <c r="W570" s="27"/>
      <c r="X570" s="27"/>
      <c r="Y570" s="27"/>
      <c r="Z570" s="27"/>
      <c r="AA570" s="27"/>
      <c r="AB570" s="27"/>
      <c r="AC570" s="27"/>
      <c r="AD570" s="27"/>
      <c r="AE570" s="27"/>
      <c r="AF570" s="27"/>
      <c r="AG570" s="27"/>
      <c r="AH570" s="27"/>
      <c r="AI570" s="27"/>
      <c r="AJ570" s="27"/>
      <c r="AK570" s="27"/>
      <c r="AL570" s="27"/>
      <c r="AM570" s="27"/>
      <c r="AN570" s="27"/>
      <c r="AO570" s="27"/>
      <c r="AP570" s="27"/>
      <c r="AQ570" s="27"/>
      <c r="AR570" s="27"/>
      <c r="AS570" s="27"/>
      <c r="AT570" s="27"/>
      <c r="AU570" s="27"/>
      <c r="AV570" s="27"/>
      <c r="AW570" s="27"/>
      <c r="AX570" s="27"/>
      <c r="AY570" s="27"/>
      <c r="AZ570" s="27"/>
      <c r="BA570" s="27"/>
      <c r="BB570" s="27"/>
      <c r="BC570" s="27"/>
      <c r="BD570" s="27"/>
      <c r="BE570" s="27"/>
      <c r="BF570" s="27"/>
      <c r="BG570" s="27"/>
      <c r="BH570" s="27"/>
      <c r="BI570" s="27"/>
      <c r="BJ570" s="27"/>
      <c r="BK570" s="27"/>
      <c r="BL570" s="27"/>
      <c r="BM570" s="27"/>
      <c r="BN570" s="27"/>
      <c r="BO570" s="27"/>
      <c r="BP570" s="27"/>
      <c r="BQ570" s="27"/>
      <c r="BR570" s="27"/>
      <c r="BS570" s="27"/>
      <c r="BT570" s="27"/>
      <c r="BU570" s="27"/>
      <c r="BV570" s="27"/>
      <c r="BW570" s="27"/>
      <c r="BX570" s="27"/>
      <c r="BY570" s="27"/>
      <c r="BZ570" s="27"/>
      <c r="CA570" s="27"/>
      <c r="CB570" s="27"/>
      <c r="CC570" s="27"/>
      <c r="CD570" s="27"/>
      <c r="CE570" s="27"/>
      <c r="CF570" s="27"/>
      <c r="CG570" s="27"/>
      <c r="CH570" s="27"/>
      <c r="CI570" s="27"/>
      <c r="CJ570" s="27"/>
      <c r="CK570" s="27"/>
      <c r="CL570" s="27"/>
      <c r="CM570" s="27"/>
      <c r="CN570" s="27"/>
      <c r="CO570" s="27"/>
      <c r="CP570" s="27"/>
      <c r="CQ570" s="27"/>
      <c r="CR570" s="27"/>
      <c r="CS570" s="27"/>
      <c r="CT570" s="27"/>
      <c r="CU570" s="27"/>
      <c r="CV570" s="27"/>
      <c r="CW570" s="27"/>
      <c r="CX570" s="27"/>
      <c r="CY570" s="27"/>
      <c r="CZ570" s="27"/>
      <c r="DA570" s="27"/>
      <c r="DB570" s="27"/>
      <c r="DC570" s="27"/>
      <c r="DD570" s="27"/>
      <c r="DE570" s="27"/>
      <c r="DF570" s="27"/>
      <c r="DG570" s="27"/>
      <c r="DH570" s="27"/>
      <c r="DI570" s="27"/>
      <c r="DJ570" s="27"/>
      <c r="DK570" s="27"/>
      <c r="DL570" s="27"/>
      <c r="DM570" s="27"/>
      <c r="DN570" s="27"/>
      <c r="DO570" s="27"/>
      <c r="DP570" s="27"/>
      <c r="DQ570" s="27"/>
      <c r="DR570" s="27"/>
      <c r="DS570" s="27"/>
      <c r="DT570" s="27"/>
    </row>
    <row r="571" spans="7:124" x14ac:dyDescent="0.2">
      <c r="G571" s="27"/>
      <c r="H571" s="27"/>
      <c r="I571" s="27"/>
      <c r="J571" s="27"/>
      <c r="K571" s="27"/>
      <c r="L571" s="27"/>
      <c r="M571" s="27"/>
      <c r="N571" s="27"/>
      <c r="O571" s="27"/>
      <c r="P571" s="27"/>
      <c r="Q571" s="27"/>
      <c r="R571" s="27"/>
      <c r="S571" s="27"/>
      <c r="T571" s="27"/>
      <c r="U571" s="27"/>
      <c r="V571" s="27"/>
      <c r="W571" s="27"/>
      <c r="X571" s="27"/>
      <c r="Y571" s="27"/>
      <c r="Z571" s="27"/>
      <c r="AA571" s="27"/>
      <c r="AB571" s="27"/>
      <c r="AC571" s="27"/>
      <c r="AD571" s="27"/>
      <c r="AE571" s="27"/>
      <c r="AF571" s="27"/>
      <c r="AG571" s="27"/>
      <c r="AH571" s="27"/>
      <c r="AI571" s="27"/>
      <c r="AJ571" s="27"/>
      <c r="AK571" s="27"/>
      <c r="AL571" s="27"/>
      <c r="AM571" s="27"/>
      <c r="AN571" s="27"/>
      <c r="AO571" s="27"/>
      <c r="AP571" s="27"/>
      <c r="AQ571" s="27"/>
      <c r="AR571" s="27"/>
      <c r="AS571" s="27"/>
      <c r="AT571" s="27"/>
      <c r="AU571" s="27"/>
      <c r="AV571" s="27"/>
      <c r="AW571" s="27"/>
      <c r="AX571" s="27"/>
      <c r="AY571" s="27"/>
      <c r="AZ571" s="27"/>
      <c r="BA571" s="27"/>
      <c r="BB571" s="27"/>
      <c r="BC571" s="27"/>
      <c r="BD571" s="27"/>
      <c r="BE571" s="27"/>
      <c r="BF571" s="27"/>
      <c r="BG571" s="27"/>
      <c r="BH571" s="27"/>
      <c r="BI571" s="27"/>
      <c r="BJ571" s="27"/>
      <c r="BK571" s="27"/>
      <c r="BL571" s="27"/>
      <c r="BM571" s="27"/>
      <c r="BN571" s="27"/>
      <c r="BO571" s="27"/>
      <c r="BP571" s="27"/>
      <c r="BQ571" s="27"/>
      <c r="BR571" s="27"/>
      <c r="BS571" s="27"/>
      <c r="BT571" s="27"/>
      <c r="BU571" s="27"/>
      <c r="BV571" s="27"/>
      <c r="BW571" s="27"/>
      <c r="BX571" s="27"/>
      <c r="BY571" s="27"/>
      <c r="BZ571" s="27"/>
      <c r="CA571" s="27"/>
      <c r="CB571" s="27"/>
      <c r="CC571" s="27"/>
      <c r="CD571" s="27"/>
      <c r="CE571" s="27"/>
      <c r="CF571" s="27"/>
      <c r="CG571" s="27"/>
      <c r="CH571" s="27"/>
      <c r="CI571" s="27"/>
      <c r="CJ571" s="27"/>
      <c r="CK571" s="27"/>
      <c r="CL571" s="27"/>
      <c r="CM571" s="27"/>
      <c r="CN571" s="27"/>
      <c r="CO571" s="27"/>
      <c r="CP571" s="27"/>
      <c r="CQ571" s="27"/>
      <c r="CR571" s="27"/>
      <c r="CS571" s="27"/>
      <c r="CT571" s="27"/>
      <c r="CU571" s="27"/>
      <c r="CV571" s="27"/>
      <c r="CW571" s="27"/>
      <c r="CX571" s="27"/>
      <c r="CY571" s="27"/>
      <c r="CZ571" s="27"/>
      <c r="DA571" s="27"/>
      <c r="DB571" s="27"/>
      <c r="DC571" s="27"/>
      <c r="DD571" s="27"/>
      <c r="DE571" s="27"/>
      <c r="DF571" s="27"/>
      <c r="DG571" s="27"/>
      <c r="DH571" s="27"/>
      <c r="DI571" s="27"/>
      <c r="DJ571" s="27"/>
      <c r="DK571" s="27"/>
      <c r="DL571" s="27"/>
      <c r="DM571" s="27"/>
      <c r="DN571" s="27"/>
      <c r="DO571" s="27"/>
      <c r="DP571" s="27"/>
      <c r="DQ571" s="27"/>
      <c r="DR571" s="27"/>
      <c r="DS571" s="27"/>
      <c r="DT571" s="27"/>
    </row>
    <row r="572" spans="7:124" x14ac:dyDescent="0.2">
      <c r="G572" s="27"/>
      <c r="H572" s="27"/>
      <c r="I572" s="27"/>
      <c r="J572" s="27"/>
      <c r="K572" s="27"/>
      <c r="L572" s="27"/>
      <c r="M572" s="27"/>
      <c r="N572" s="27"/>
      <c r="O572" s="27"/>
      <c r="P572" s="27"/>
      <c r="Q572" s="27"/>
      <c r="R572" s="27"/>
      <c r="S572" s="27"/>
      <c r="T572" s="27"/>
      <c r="U572" s="27"/>
      <c r="V572" s="27"/>
      <c r="W572" s="27"/>
      <c r="X572" s="27"/>
      <c r="Y572" s="27"/>
      <c r="Z572" s="27"/>
      <c r="AA572" s="27"/>
      <c r="AB572" s="27"/>
      <c r="AC572" s="27"/>
      <c r="AD572" s="27"/>
      <c r="AE572" s="27"/>
      <c r="AF572" s="27"/>
      <c r="AG572" s="27"/>
      <c r="AH572" s="27"/>
      <c r="AI572" s="27"/>
      <c r="AJ572" s="27"/>
      <c r="AK572" s="27"/>
      <c r="AL572" s="27"/>
      <c r="AM572" s="27"/>
      <c r="AN572" s="27"/>
      <c r="AO572" s="27"/>
      <c r="AP572" s="27"/>
      <c r="AQ572" s="27"/>
      <c r="AR572" s="27"/>
      <c r="AS572" s="27"/>
      <c r="AT572" s="27"/>
      <c r="AU572" s="27"/>
      <c r="AV572" s="27"/>
      <c r="AW572" s="27"/>
      <c r="AX572" s="27"/>
      <c r="AY572" s="27"/>
      <c r="AZ572" s="27"/>
      <c r="BA572" s="27"/>
      <c r="BB572" s="27"/>
      <c r="BC572" s="27"/>
      <c r="BD572" s="27"/>
      <c r="BE572" s="27"/>
      <c r="BF572" s="27"/>
      <c r="BG572" s="27"/>
      <c r="BH572" s="27"/>
      <c r="BI572" s="27"/>
      <c r="BJ572" s="27"/>
      <c r="BK572" s="27"/>
      <c r="BL572" s="27"/>
      <c r="BM572" s="27"/>
      <c r="BN572" s="27"/>
      <c r="BO572" s="27"/>
      <c r="BP572" s="27"/>
      <c r="BQ572" s="27"/>
      <c r="BR572" s="27"/>
      <c r="BS572" s="27"/>
      <c r="BT572" s="27"/>
      <c r="BU572" s="27"/>
      <c r="BV572" s="27"/>
      <c r="BW572" s="27"/>
      <c r="BX572" s="27"/>
      <c r="BY572" s="27"/>
      <c r="BZ572" s="27"/>
      <c r="CA572" s="27"/>
      <c r="CB572" s="27"/>
      <c r="CC572" s="27"/>
      <c r="CD572" s="27"/>
      <c r="CE572" s="27"/>
      <c r="CF572" s="27"/>
      <c r="CG572" s="27"/>
      <c r="CH572" s="27"/>
      <c r="CI572" s="27"/>
      <c r="CJ572" s="27"/>
      <c r="CK572" s="27"/>
      <c r="CL572" s="27"/>
      <c r="CM572" s="27"/>
      <c r="CN572" s="27"/>
      <c r="CO572" s="27"/>
      <c r="CP572" s="27"/>
      <c r="CQ572" s="27"/>
      <c r="CR572" s="27"/>
      <c r="CS572" s="27"/>
      <c r="CT572" s="27"/>
      <c r="CU572" s="27"/>
      <c r="CV572" s="27"/>
      <c r="CW572" s="27"/>
      <c r="CX572" s="27"/>
      <c r="CY572" s="27"/>
      <c r="CZ572" s="27"/>
      <c r="DA572" s="27"/>
      <c r="DB572" s="27"/>
      <c r="DC572" s="27"/>
      <c r="DD572" s="27"/>
      <c r="DE572" s="27"/>
      <c r="DF572" s="27"/>
      <c r="DG572" s="27"/>
      <c r="DH572" s="27"/>
      <c r="DI572" s="27"/>
      <c r="DJ572" s="27"/>
      <c r="DK572" s="27"/>
      <c r="DL572" s="27"/>
      <c r="DM572" s="27"/>
      <c r="DN572" s="27"/>
      <c r="DO572" s="27"/>
      <c r="DP572" s="27"/>
      <c r="DQ572" s="27"/>
      <c r="DR572" s="27"/>
      <c r="DS572" s="27"/>
      <c r="DT572" s="27"/>
    </row>
    <row r="573" spans="7:124" x14ac:dyDescent="0.2">
      <c r="G573" s="27"/>
      <c r="H573" s="27"/>
      <c r="I573" s="27"/>
      <c r="J573" s="27"/>
      <c r="K573" s="27"/>
      <c r="L573" s="27"/>
      <c r="M573" s="27"/>
      <c r="N573" s="27"/>
      <c r="O573" s="27"/>
      <c r="P573" s="27"/>
      <c r="Q573" s="27"/>
      <c r="R573" s="27"/>
      <c r="S573" s="27"/>
      <c r="T573" s="27"/>
      <c r="U573" s="27"/>
      <c r="V573" s="27"/>
      <c r="W573" s="27"/>
      <c r="X573" s="27"/>
      <c r="Y573" s="27"/>
      <c r="Z573" s="27"/>
      <c r="AA573" s="27"/>
      <c r="AB573" s="27"/>
      <c r="AC573" s="27"/>
      <c r="AD573" s="27"/>
      <c r="AE573" s="27"/>
      <c r="AF573" s="27"/>
      <c r="AG573" s="27"/>
      <c r="AH573" s="27"/>
      <c r="AI573" s="27"/>
      <c r="AJ573" s="27"/>
      <c r="AK573" s="27"/>
      <c r="AL573" s="27"/>
      <c r="AM573" s="27"/>
      <c r="AN573" s="27"/>
      <c r="AO573" s="27"/>
      <c r="AP573" s="27"/>
      <c r="AQ573" s="27"/>
      <c r="AR573" s="27"/>
      <c r="AS573" s="27"/>
      <c r="AT573" s="27"/>
      <c r="AU573" s="27"/>
      <c r="AV573" s="27"/>
      <c r="AW573" s="27"/>
      <c r="AX573" s="27"/>
      <c r="AY573" s="27"/>
      <c r="AZ573" s="27"/>
      <c r="BA573" s="27"/>
      <c r="BB573" s="27"/>
      <c r="BC573" s="27"/>
      <c r="BD573" s="27"/>
      <c r="BE573" s="27"/>
      <c r="BF573" s="27"/>
      <c r="BG573" s="27"/>
      <c r="BH573" s="27"/>
      <c r="BI573" s="27"/>
      <c r="BJ573" s="27"/>
      <c r="BK573" s="27"/>
      <c r="BL573" s="27"/>
      <c r="BM573" s="27"/>
      <c r="BN573" s="27"/>
      <c r="BO573" s="27"/>
      <c r="BP573" s="27"/>
      <c r="BQ573" s="27"/>
      <c r="BR573" s="27"/>
      <c r="BS573" s="27"/>
      <c r="BT573" s="27"/>
      <c r="BU573" s="27"/>
      <c r="BV573" s="27"/>
      <c r="BW573" s="27"/>
      <c r="BX573" s="27"/>
      <c r="BY573" s="27"/>
      <c r="BZ573" s="27"/>
      <c r="CA573" s="27"/>
      <c r="CB573" s="27"/>
      <c r="CC573" s="27"/>
      <c r="CD573" s="27"/>
      <c r="CE573" s="27"/>
      <c r="CF573" s="27"/>
      <c r="CG573" s="27"/>
      <c r="CH573" s="27"/>
      <c r="CI573" s="27"/>
      <c r="CJ573" s="27"/>
      <c r="CK573" s="27"/>
      <c r="CL573" s="27"/>
      <c r="CM573" s="27"/>
      <c r="CN573" s="27"/>
      <c r="CO573" s="27"/>
      <c r="CP573" s="27"/>
      <c r="CQ573" s="27"/>
      <c r="CR573" s="27"/>
      <c r="CS573" s="27"/>
      <c r="CT573" s="27"/>
      <c r="CU573" s="27"/>
      <c r="CV573" s="27"/>
      <c r="CW573" s="27"/>
      <c r="CX573" s="27"/>
      <c r="CY573" s="27"/>
      <c r="CZ573" s="27"/>
      <c r="DA573" s="27"/>
      <c r="DB573" s="27"/>
      <c r="DC573" s="27"/>
      <c r="DD573" s="27"/>
      <c r="DE573" s="27"/>
      <c r="DF573" s="27"/>
      <c r="DG573" s="27"/>
      <c r="DH573" s="27"/>
      <c r="DI573" s="27"/>
      <c r="DJ573" s="27"/>
      <c r="DK573" s="27"/>
      <c r="DL573" s="27"/>
      <c r="DM573" s="27"/>
      <c r="DN573" s="27"/>
      <c r="DO573" s="27"/>
      <c r="DP573" s="27"/>
      <c r="DQ573" s="27"/>
      <c r="DR573" s="27"/>
      <c r="DS573" s="27"/>
      <c r="DT573" s="27"/>
    </row>
    <row r="574" spans="7:124" x14ac:dyDescent="0.2">
      <c r="G574" s="27"/>
      <c r="H574" s="27"/>
      <c r="I574" s="27"/>
      <c r="J574" s="27"/>
      <c r="K574" s="27"/>
      <c r="L574" s="27"/>
      <c r="M574" s="27"/>
      <c r="N574" s="27"/>
      <c r="O574" s="27"/>
      <c r="P574" s="27"/>
      <c r="Q574" s="27"/>
      <c r="R574" s="27"/>
      <c r="S574" s="27"/>
      <c r="T574" s="27"/>
      <c r="U574" s="27"/>
      <c r="V574" s="27"/>
      <c r="W574" s="27"/>
      <c r="X574" s="27"/>
      <c r="Y574" s="27"/>
      <c r="Z574" s="27"/>
      <c r="AA574" s="27"/>
      <c r="AB574" s="27"/>
      <c r="AC574" s="27"/>
      <c r="AD574" s="27"/>
      <c r="AE574" s="27"/>
      <c r="AF574" s="27"/>
      <c r="AG574" s="27"/>
      <c r="AH574" s="27"/>
      <c r="AI574" s="27"/>
      <c r="AJ574" s="27"/>
      <c r="AK574" s="27"/>
      <c r="AL574" s="27"/>
      <c r="AM574" s="27"/>
      <c r="AN574" s="27"/>
      <c r="AO574" s="27"/>
      <c r="AP574" s="27"/>
      <c r="AQ574" s="27"/>
      <c r="AR574" s="27"/>
      <c r="AS574" s="27"/>
      <c r="AT574" s="27"/>
      <c r="AU574" s="27"/>
      <c r="AV574" s="27"/>
      <c r="AW574" s="27"/>
      <c r="AX574" s="27"/>
      <c r="AY574" s="27"/>
      <c r="AZ574" s="27"/>
      <c r="BA574" s="27"/>
      <c r="BB574" s="27"/>
      <c r="BC574" s="27"/>
      <c r="BD574" s="27"/>
      <c r="BE574" s="27"/>
      <c r="BF574" s="27"/>
      <c r="BG574" s="27"/>
      <c r="BH574" s="27"/>
      <c r="BI574" s="27"/>
      <c r="BJ574" s="27"/>
      <c r="BK574" s="27"/>
      <c r="BL574" s="27"/>
      <c r="BM574" s="27"/>
      <c r="BN574" s="27"/>
      <c r="BO574" s="27"/>
      <c r="BP574" s="27"/>
      <c r="BQ574" s="27"/>
      <c r="BR574" s="27"/>
      <c r="BS574" s="27"/>
      <c r="BT574" s="27"/>
      <c r="BU574" s="27"/>
      <c r="BV574" s="27"/>
      <c r="BW574" s="27"/>
      <c r="BX574" s="27"/>
      <c r="BY574" s="27"/>
      <c r="BZ574" s="27"/>
      <c r="CA574" s="27"/>
      <c r="CB574" s="27"/>
      <c r="CC574" s="27"/>
      <c r="CD574" s="27"/>
      <c r="CE574" s="27"/>
      <c r="CF574" s="27"/>
      <c r="CG574" s="27"/>
      <c r="CH574" s="27"/>
      <c r="CI574" s="27"/>
      <c r="CJ574" s="27"/>
      <c r="CK574" s="27"/>
      <c r="CL574" s="27"/>
      <c r="CM574" s="27"/>
      <c r="CN574" s="27"/>
      <c r="CO574" s="27"/>
      <c r="CP574" s="27"/>
      <c r="CQ574" s="27"/>
      <c r="CR574" s="27"/>
      <c r="CS574" s="27"/>
      <c r="CT574" s="27"/>
      <c r="CU574" s="27"/>
      <c r="CV574" s="27"/>
      <c r="CW574" s="27"/>
      <c r="CX574" s="27"/>
      <c r="CY574" s="27"/>
      <c r="CZ574" s="27"/>
      <c r="DA574" s="27"/>
      <c r="DB574" s="27"/>
      <c r="DC574" s="27"/>
      <c r="DD574" s="27"/>
      <c r="DE574" s="27"/>
      <c r="DF574" s="27"/>
      <c r="DG574" s="27"/>
      <c r="DH574" s="27"/>
      <c r="DI574" s="27"/>
      <c r="DJ574" s="27"/>
      <c r="DK574" s="27"/>
      <c r="DL574" s="27"/>
      <c r="DM574" s="27"/>
      <c r="DN574" s="27"/>
      <c r="DO574" s="27"/>
      <c r="DP574" s="27"/>
      <c r="DQ574" s="27"/>
      <c r="DR574" s="27"/>
      <c r="DS574" s="27"/>
      <c r="DT574" s="27"/>
    </row>
    <row r="575" spans="7:124" x14ac:dyDescent="0.2">
      <c r="G575" s="27"/>
      <c r="H575" s="27"/>
      <c r="I575" s="27"/>
      <c r="J575" s="27"/>
      <c r="K575" s="27"/>
      <c r="L575" s="27"/>
      <c r="M575" s="27"/>
      <c r="N575" s="27"/>
      <c r="O575" s="27"/>
      <c r="P575" s="27"/>
      <c r="Q575" s="27"/>
      <c r="R575" s="27"/>
      <c r="S575" s="27"/>
      <c r="T575" s="27"/>
      <c r="U575" s="27"/>
      <c r="V575" s="27"/>
      <c r="W575" s="27"/>
      <c r="X575" s="27"/>
      <c r="Y575" s="27"/>
      <c r="Z575" s="27"/>
      <c r="AA575" s="27"/>
      <c r="AB575" s="27"/>
      <c r="AC575" s="27"/>
      <c r="AD575" s="27"/>
      <c r="AE575" s="27"/>
      <c r="AF575" s="27"/>
      <c r="AG575" s="27"/>
      <c r="AH575" s="27"/>
      <c r="AI575" s="27"/>
      <c r="AJ575" s="27"/>
      <c r="AK575" s="27"/>
      <c r="AL575" s="27"/>
      <c r="AM575" s="27"/>
      <c r="AN575" s="27"/>
      <c r="AO575" s="27"/>
      <c r="AP575" s="27"/>
      <c r="AQ575" s="27"/>
      <c r="AR575" s="27"/>
      <c r="AS575" s="27"/>
      <c r="AT575" s="27"/>
      <c r="AU575" s="27"/>
      <c r="AV575" s="27"/>
      <c r="AW575" s="27"/>
      <c r="AX575" s="27"/>
      <c r="AY575" s="27"/>
      <c r="AZ575" s="27"/>
      <c r="BA575" s="27"/>
      <c r="BB575" s="27"/>
      <c r="BC575" s="27"/>
      <c r="BD575" s="27"/>
      <c r="BE575" s="27"/>
      <c r="BF575" s="27"/>
      <c r="BG575" s="27"/>
      <c r="BH575" s="27"/>
      <c r="BI575" s="27"/>
      <c r="BJ575" s="27"/>
      <c r="BK575" s="27"/>
      <c r="BL575" s="27"/>
      <c r="BM575" s="27"/>
      <c r="BN575" s="27"/>
      <c r="BO575" s="27"/>
      <c r="BP575" s="27"/>
      <c r="BQ575" s="27"/>
      <c r="BR575" s="27"/>
      <c r="BS575" s="27"/>
      <c r="BT575" s="27"/>
      <c r="BU575" s="27"/>
      <c r="BV575" s="27"/>
      <c r="BW575" s="27"/>
      <c r="BX575" s="27"/>
      <c r="BY575" s="27"/>
      <c r="BZ575" s="27"/>
      <c r="CA575" s="27"/>
      <c r="CB575" s="27"/>
      <c r="CC575" s="27"/>
      <c r="CD575" s="27"/>
      <c r="CE575" s="27"/>
      <c r="CF575" s="27"/>
      <c r="CG575" s="27"/>
      <c r="CH575" s="27"/>
      <c r="CI575" s="27"/>
      <c r="CJ575" s="27"/>
      <c r="CK575" s="27"/>
      <c r="CL575" s="27"/>
      <c r="CM575" s="27"/>
      <c r="CN575" s="27"/>
      <c r="CO575" s="27"/>
      <c r="CP575" s="27"/>
      <c r="CQ575" s="27"/>
      <c r="CR575" s="27"/>
      <c r="CS575" s="27"/>
      <c r="CT575" s="27"/>
      <c r="CU575" s="27"/>
      <c r="CV575" s="27"/>
      <c r="CW575" s="27"/>
      <c r="CX575" s="27"/>
      <c r="CY575" s="27"/>
      <c r="CZ575" s="27"/>
      <c r="DA575" s="27"/>
      <c r="DB575" s="27"/>
      <c r="DC575" s="27"/>
      <c r="DD575" s="27"/>
      <c r="DE575" s="27"/>
      <c r="DF575" s="27"/>
      <c r="DG575" s="27"/>
      <c r="DH575" s="27"/>
      <c r="DI575" s="27"/>
      <c r="DJ575" s="27"/>
      <c r="DK575" s="27"/>
      <c r="DL575" s="27"/>
      <c r="DM575" s="27"/>
      <c r="DN575" s="27"/>
      <c r="DO575" s="27"/>
      <c r="DP575" s="27"/>
      <c r="DQ575" s="27"/>
      <c r="DR575" s="27"/>
      <c r="DS575" s="27"/>
      <c r="DT575" s="27"/>
    </row>
    <row r="576" spans="7:124" x14ac:dyDescent="0.2">
      <c r="G576" s="27"/>
      <c r="H576" s="27"/>
      <c r="I576" s="27"/>
      <c r="J576" s="27"/>
      <c r="K576" s="27"/>
      <c r="L576" s="27"/>
      <c r="M576" s="27"/>
      <c r="N576" s="27"/>
      <c r="O576" s="27"/>
      <c r="P576" s="27"/>
      <c r="Q576" s="27"/>
      <c r="R576" s="27"/>
      <c r="S576" s="27"/>
      <c r="T576" s="27"/>
      <c r="U576" s="27"/>
      <c r="V576" s="27"/>
      <c r="W576" s="27"/>
      <c r="X576" s="27"/>
      <c r="Y576" s="27"/>
      <c r="Z576" s="27"/>
      <c r="AA576" s="27"/>
      <c r="AB576" s="27"/>
      <c r="AC576" s="27"/>
      <c r="AD576" s="27"/>
      <c r="AE576" s="27"/>
      <c r="AF576" s="27"/>
      <c r="AG576" s="27"/>
      <c r="AH576" s="27"/>
      <c r="AI576" s="27"/>
      <c r="AJ576" s="27"/>
      <c r="AK576" s="27"/>
      <c r="AL576" s="27"/>
      <c r="AM576" s="27"/>
      <c r="AN576" s="27"/>
      <c r="AO576" s="27"/>
      <c r="AP576" s="27"/>
      <c r="AQ576" s="27"/>
      <c r="AR576" s="27"/>
      <c r="AS576" s="27"/>
      <c r="AT576" s="27"/>
      <c r="AU576" s="27"/>
      <c r="AV576" s="27"/>
      <c r="AW576" s="27"/>
      <c r="AX576" s="27"/>
      <c r="AY576" s="27"/>
      <c r="AZ576" s="27"/>
      <c r="BA576" s="27"/>
      <c r="BB576" s="27"/>
      <c r="BC576" s="27"/>
      <c r="BD576" s="27"/>
      <c r="BE576" s="27"/>
      <c r="BF576" s="27"/>
      <c r="BG576" s="27"/>
      <c r="BH576" s="27"/>
      <c r="BI576" s="27"/>
      <c r="BJ576" s="27"/>
      <c r="BK576" s="27"/>
      <c r="BL576" s="27"/>
      <c r="BM576" s="27"/>
      <c r="BN576" s="27"/>
      <c r="BO576" s="27"/>
      <c r="BP576" s="27"/>
      <c r="BQ576" s="27"/>
      <c r="BR576" s="27"/>
      <c r="BS576" s="27"/>
      <c r="BT576" s="27"/>
      <c r="BU576" s="27"/>
      <c r="BV576" s="27"/>
      <c r="BW576" s="27"/>
      <c r="BX576" s="27"/>
      <c r="BY576" s="27"/>
      <c r="BZ576" s="27"/>
      <c r="CA576" s="27"/>
      <c r="CB576" s="27"/>
      <c r="CC576" s="27"/>
      <c r="CD576" s="27"/>
      <c r="CE576" s="27"/>
      <c r="CF576" s="27"/>
      <c r="CG576" s="27"/>
      <c r="CH576" s="27"/>
      <c r="CI576" s="27"/>
      <c r="CJ576" s="27"/>
      <c r="CK576" s="27"/>
      <c r="CL576" s="27"/>
      <c r="CM576" s="27"/>
      <c r="CN576" s="27"/>
      <c r="CO576" s="27"/>
      <c r="CP576" s="27"/>
      <c r="CQ576" s="27"/>
      <c r="CR576" s="27"/>
      <c r="CS576" s="27"/>
      <c r="CT576" s="27"/>
      <c r="CU576" s="27"/>
      <c r="CV576" s="27"/>
      <c r="CW576" s="27"/>
      <c r="CX576" s="27"/>
      <c r="CY576" s="27"/>
      <c r="CZ576" s="27"/>
      <c r="DA576" s="27"/>
      <c r="DB576" s="27"/>
      <c r="DC576" s="27"/>
      <c r="DD576" s="27"/>
      <c r="DE576" s="27"/>
      <c r="DF576" s="27"/>
      <c r="DG576" s="27"/>
      <c r="DH576" s="27"/>
      <c r="DI576" s="27"/>
      <c r="DJ576" s="27"/>
      <c r="DK576" s="27"/>
      <c r="DL576" s="27"/>
      <c r="DM576" s="27"/>
      <c r="DN576" s="27"/>
      <c r="DO576" s="27"/>
      <c r="DP576" s="27"/>
      <c r="DQ576" s="27"/>
      <c r="DR576" s="27"/>
      <c r="DS576" s="27"/>
      <c r="DT576" s="27"/>
    </row>
    <row r="577" spans="7:124" x14ac:dyDescent="0.2">
      <c r="G577" s="27"/>
      <c r="H577" s="27"/>
      <c r="I577" s="27"/>
      <c r="J577" s="27"/>
      <c r="K577" s="27"/>
      <c r="L577" s="27"/>
      <c r="M577" s="27"/>
      <c r="N577" s="27"/>
      <c r="O577" s="27"/>
      <c r="P577" s="27"/>
      <c r="Q577" s="27"/>
      <c r="R577" s="27"/>
      <c r="S577" s="27"/>
      <c r="T577" s="27"/>
      <c r="U577" s="27"/>
      <c r="V577" s="27"/>
      <c r="W577" s="27"/>
      <c r="X577" s="27"/>
      <c r="Y577" s="27"/>
      <c r="Z577" s="27"/>
      <c r="AA577" s="27"/>
      <c r="AB577" s="27"/>
      <c r="AC577" s="27"/>
      <c r="AD577" s="27"/>
      <c r="AE577" s="27"/>
      <c r="AF577" s="27"/>
      <c r="AG577" s="27"/>
      <c r="AH577" s="27"/>
      <c r="AI577" s="27"/>
      <c r="AJ577" s="27"/>
      <c r="AK577" s="27"/>
      <c r="AL577" s="27"/>
      <c r="AM577" s="27"/>
      <c r="AN577" s="27"/>
      <c r="AO577" s="27"/>
      <c r="AP577" s="27"/>
      <c r="AQ577" s="27"/>
      <c r="AR577" s="27"/>
      <c r="AS577" s="27"/>
      <c r="AT577" s="27"/>
      <c r="AU577" s="27"/>
      <c r="AV577" s="27"/>
      <c r="AW577" s="27"/>
      <c r="AX577" s="27"/>
      <c r="AY577" s="27"/>
      <c r="AZ577" s="27"/>
      <c r="BA577" s="27"/>
      <c r="BB577" s="27"/>
      <c r="BC577" s="27"/>
      <c r="BD577" s="27"/>
      <c r="BE577" s="27"/>
      <c r="BF577" s="27"/>
      <c r="BG577" s="27"/>
      <c r="BH577" s="27"/>
      <c r="BI577" s="27"/>
      <c r="BJ577" s="27"/>
      <c r="BK577" s="27"/>
      <c r="BL577" s="27"/>
      <c r="BM577" s="27"/>
      <c r="BN577" s="27"/>
      <c r="BO577" s="27"/>
      <c r="BP577" s="27"/>
      <c r="BQ577" s="27"/>
      <c r="BR577" s="27"/>
      <c r="BS577" s="27"/>
      <c r="BT577" s="27"/>
      <c r="BU577" s="27"/>
      <c r="BV577" s="27"/>
      <c r="BW577" s="27"/>
      <c r="BX577" s="27"/>
      <c r="BY577" s="27"/>
      <c r="BZ577" s="27"/>
      <c r="CA577" s="27"/>
      <c r="CB577" s="27"/>
      <c r="CC577" s="27"/>
      <c r="CD577" s="27"/>
      <c r="CE577" s="27"/>
      <c r="CF577" s="27"/>
      <c r="CG577" s="27"/>
      <c r="CH577" s="27"/>
      <c r="CI577" s="27"/>
      <c r="CJ577" s="27"/>
      <c r="CK577" s="27"/>
      <c r="CL577" s="27"/>
      <c r="CM577" s="27"/>
      <c r="CN577" s="27"/>
      <c r="CO577" s="27"/>
      <c r="CP577" s="27"/>
      <c r="CQ577" s="27"/>
      <c r="CR577" s="27"/>
      <c r="CS577" s="27"/>
      <c r="CT577" s="27"/>
      <c r="CU577" s="27"/>
      <c r="CV577" s="27"/>
      <c r="CW577" s="27"/>
      <c r="CX577" s="27"/>
      <c r="CY577" s="27"/>
      <c r="CZ577" s="27"/>
      <c r="DA577" s="27"/>
      <c r="DB577" s="27"/>
      <c r="DC577" s="27"/>
      <c r="DD577" s="27"/>
      <c r="DE577" s="27"/>
      <c r="DF577" s="27"/>
      <c r="DG577" s="27"/>
      <c r="DH577" s="27"/>
      <c r="DI577" s="27"/>
      <c r="DJ577" s="27"/>
      <c r="DK577" s="27"/>
      <c r="DL577" s="27"/>
      <c r="DM577" s="27"/>
      <c r="DN577" s="27"/>
      <c r="DO577" s="27"/>
      <c r="DP577" s="27"/>
      <c r="DQ577" s="27"/>
      <c r="DR577" s="27"/>
      <c r="DS577" s="27"/>
      <c r="DT577" s="27"/>
    </row>
    <row r="578" spans="7:124" x14ac:dyDescent="0.2">
      <c r="G578" s="27"/>
      <c r="H578" s="27"/>
      <c r="I578" s="27"/>
      <c r="J578" s="27"/>
      <c r="K578" s="27"/>
      <c r="L578" s="27"/>
      <c r="M578" s="27"/>
      <c r="N578" s="27"/>
      <c r="O578" s="27"/>
      <c r="P578" s="27"/>
      <c r="Q578" s="27"/>
      <c r="R578" s="27"/>
      <c r="S578" s="27"/>
      <c r="T578" s="27"/>
      <c r="U578" s="27"/>
      <c r="V578" s="27"/>
      <c r="W578" s="27"/>
      <c r="X578" s="27"/>
      <c r="Y578" s="27"/>
      <c r="Z578" s="27"/>
      <c r="AA578" s="27"/>
      <c r="AB578" s="27"/>
      <c r="AC578" s="27"/>
      <c r="AD578" s="27"/>
      <c r="AE578" s="27"/>
      <c r="AF578" s="27"/>
      <c r="AG578" s="27"/>
      <c r="AH578" s="27"/>
      <c r="AI578" s="27"/>
      <c r="AJ578" s="27"/>
      <c r="AK578" s="27"/>
      <c r="AL578" s="27"/>
      <c r="AM578" s="27"/>
      <c r="AN578" s="27"/>
      <c r="AO578" s="27"/>
      <c r="AP578" s="27"/>
      <c r="AQ578" s="27"/>
      <c r="AR578" s="27"/>
      <c r="AS578" s="27"/>
      <c r="AT578" s="27"/>
      <c r="AU578" s="27"/>
      <c r="AV578" s="27"/>
      <c r="AW578" s="27"/>
      <c r="AX578" s="27"/>
      <c r="AY578" s="27"/>
      <c r="AZ578" s="27"/>
      <c r="BA578" s="27"/>
      <c r="BB578" s="27"/>
      <c r="BC578" s="27"/>
      <c r="BD578" s="27"/>
      <c r="BE578" s="27"/>
      <c r="BF578" s="27"/>
      <c r="BG578" s="27"/>
      <c r="BH578" s="27"/>
      <c r="BI578" s="27"/>
      <c r="BJ578" s="27"/>
      <c r="BK578" s="27"/>
      <c r="BL578" s="27"/>
      <c r="BM578" s="27"/>
      <c r="BN578" s="27"/>
      <c r="BO578" s="27"/>
      <c r="BP578" s="27"/>
      <c r="BQ578" s="27"/>
      <c r="BR578" s="27"/>
      <c r="BS578" s="27"/>
      <c r="BT578" s="27"/>
      <c r="BU578" s="27"/>
      <c r="BV578" s="27"/>
      <c r="BW578" s="27"/>
      <c r="BX578" s="27"/>
      <c r="BY578" s="27"/>
      <c r="BZ578" s="27"/>
      <c r="CA578" s="27"/>
      <c r="CB578" s="27"/>
      <c r="CC578" s="27"/>
      <c r="CD578" s="27"/>
      <c r="CE578" s="27"/>
      <c r="CF578" s="27"/>
      <c r="CG578" s="27"/>
      <c r="CH578" s="27"/>
      <c r="CI578" s="27"/>
      <c r="CJ578" s="27"/>
      <c r="CK578" s="27"/>
      <c r="CL578" s="27"/>
      <c r="CM578" s="27"/>
      <c r="CN578" s="27"/>
      <c r="CO578" s="27"/>
      <c r="CP578" s="27"/>
      <c r="CQ578" s="27"/>
      <c r="CR578" s="27"/>
      <c r="CS578" s="27"/>
      <c r="CT578" s="27"/>
      <c r="CU578" s="27"/>
      <c r="CV578" s="27"/>
      <c r="CW578" s="27"/>
      <c r="CX578" s="27"/>
      <c r="CY578" s="27"/>
      <c r="CZ578" s="27"/>
      <c r="DA578" s="27"/>
      <c r="DB578" s="27"/>
      <c r="DC578" s="27"/>
      <c r="DD578" s="27"/>
      <c r="DE578" s="27"/>
      <c r="DF578" s="27"/>
      <c r="DG578" s="27"/>
      <c r="DH578" s="27"/>
      <c r="DI578" s="27"/>
      <c r="DJ578" s="27"/>
      <c r="DK578" s="27"/>
      <c r="DL578" s="27"/>
      <c r="DM578" s="27"/>
      <c r="DN578" s="27"/>
      <c r="DO578" s="27"/>
      <c r="DP578" s="27"/>
      <c r="DQ578" s="27"/>
      <c r="DR578" s="27"/>
      <c r="DS578" s="27"/>
      <c r="DT578" s="27"/>
    </row>
    <row r="579" spans="7:124" x14ac:dyDescent="0.2">
      <c r="G579" s="27"/>
      <c r="H579" s="27"/>
      <c r="I579" s="27"/>
      <c r="J579" s="27"/>
      <c r="K579" s="27"/>
      <c r="L579" s="27"/>
      <c r="M579" s="27"/>
      <c r="N579" s="27"/>
      <c r="O579" s="27"/>
      <c r="P579" s="27"/>
      <c r="Q579" s="27"/>
      <c r="R579" s="27"/>
      <c r="S579" s="27"/>
      <c r="T579" s="27"/>
      <c r="U579" s="27"/>
      <c r="V579" s="27"/>
      <c r="W579" s="27"/>
      <c r="X579" s="27"/>
      <c r="Y579" s="27"/>
      <c r="Z579" s="27"/>
      <c r="AA579" s="27"/>
      <c r="AB579" s="27"/>
      <c r="AC579" s="27"/>
      <c r="AD579" s="27"/>
      <c r="AE579" s="27"/>
      <c r="AF579" s="27"/>
      <c r="AG579" s="27"/>
      <c r="AH579" s="27"/>
      <c r="AI579" s="27"/>
      <c r="AJ579" s="27"/>
      <c r="AK579" s="27"/>
      <c r="AL579" s="27"/>
      <c r="AM579" s="27"/>
      <c r="AN579" s="27"/>
      <c r="AO579" s="27"/>
      <c r="AP579" s="27"/>
      <c r="AQ579" s="27"/>
      <c r="AR579" s="27"/>
      <c r="AS579" s="27"/>
      <c r="AT579" s="27"/>
      <c r="AU579" s="27"/>
      <c r="AV579" s="27"/>
      <c r="AW579" s="27"/>
      <c r="AX579" s="27"/>
      <c r="AY579" s="27"/>
      <c r="AZ579" s="27"/>
      <c r="BA579" s="27"/>
      <c r="BB579" s="27"/>
      <c r="BC579" s="27"/>
      <c r="BD579" s="27"/>
      <c r="BE579" s="27"/>
      <c r="BF579" s="27"/>
      <c r="BG579" s="27"/>
      <c r="BH579" s="27"/>
      <c r="BI579" s="27"/>
      <c r="BJ579" s="27"/>
      <c r="BK579" s="27"/>
      <c r="BL579" s="27"/>
      <c r="BM579" s="27"/>
      <c r="BN579" s="27"/>
      <c r="BO579" s="27"/>
      <c r="BP579" s="27"/>
      <c r="BQ579" s="27"/>
      <c r="BR579" s="27"/>
      <c r="BS579" s="27"/>
      <c r="BT579" s="27"/>
      <c r="BU579" s="27"/>
      <c r="BV579" s="27"/>
      <c r="BW579" s="27"/>
      <c r="BX579" s="27"/>
      <c r="BY579" s="27"/>
      <c r="BZ579" s="27"/>
      <c r="CA579" s="27"/>
      <c r="CB579" s="27"/>
      <c r="CC579" s="27"/>
      <c r="CD579" s="27"/>
      <c r="CE579" s="27"/>
      <c r="CF579" s="27"/>
      <c r="CG579" s="27"/>
      <c r="CH579" s="27"/>
      <c r="CI579" s="27"/>
      <c r="CJ579" s="27"/>
      <c r="CK579" s="27"/>
      <c r="CL579" s="27"/>
      <c r="CM579" s="27"/>
      <c r="CN579" s="27"/>
      <c r="CO579" s="27"/>
      <c r="CP579" s="27"/>
      <c r="CQ579" s="27"/>
      <c r="CR579" s="27"/>
      <c r="CS579" s="27"/>
      <c r="CT579" s="27"/>
      <c r="CU579" s="27"/>
      <c r="CV579" s="27"/>
      <c r="CW579" s="27"/>
      <c r="CX579" s="27"/>
      <c r="CY579" s="27"/>
      <c r="CZ579" s="27"/>
      <c r="DA579" s="27"/>
      <c r="DB579" s="27"/>
      <c r="DC579" s="27"/>
      <c r="DD579" s="27"/>
      <c r="DE579" s="27"/>
      <c r="DF579" s="27"/>
      <c r="DG579" s="27"/>
      <c r="DH579" s="27"/>
      <c r="DI579" s="27"/>
      <c r="DJ579" s="27"/>
      <c r="DK579" s="27"/>
      <c r="DL579" s="27"/>
      <c r="DM579" s="27"/>
      <c r="DN579" s="27"/>
      <c r="DO579" s="27"/>
      <c r="DP579" s="27"/>
      <c r="DQ579" s="27"/>
      <c r="DR579" s="27"/>
      <c r="DS579" s="27"/>
      <c r="DT579" s="27"/>
    </row>
    <row r="580" spans="7:124" x14ac:dyDescent="0.2">
      <c r="G580" s="27"/>
      <c r="H580" s="27"/>
      <c r="I580" s="27"/>
      <c r="J580" s="27"/>
      <c r="K580" s="27"/>
      <c r="L580" s="27"/>
      <c r="M580" s="27"/>
      <c r="N580" s="27"/>
      <c r="O580" s="27"/>
      <c r="P580" s="27"/>
      <c r="Q580" s="27"/>
      <c r="R580" s="27"/>
      <c r="S580" s="27"/>
      <c r="T580" s="27"/>
      <c r="U580" s="27"/>
      <c r="V580" s="27"/>
      <c r="W580" s="27"/>
      <c r="X580" s="27"/>
      <c r="Y580" s="27"/>
      <c r="Z580" s="27"/>
      <c r="AA580" s="27"/>
      <c r="AB580" s="27"/>
      <c r="AC580" s="27"/>
      <c r="AD580" s="27"/>
      <c r="AE580" s="27"/>
      <c r="AF580" s="27"/>
      <c r="AG580" s="27"/>
      <c r="AH580" s="27"/>
      <c r="AI580" s="27"/>
      <c r="AJ580" s="27"/>
      <c r="AK580" s="27"/>
      <c r="AL580" s="27"/>
      <c r="AM580" s="27"/>
      <c r="AN580" s="27"/>
      <c r="AO580" s="27"/>
      <c r="AP580" s="27"/>
      <c r="AQ580" s="27"/>
      <c r="AR580" s="27"/>
      <c r="AS580" s="27"/>
      <c r="AT580" s="27"/>
      <c r="AU580" s="27"/>
      <c r="AV580" s="27"/>
      <c r="AW580" s="27"/>
      <c r="AX580" s="27"/>
      <c r="AY580" s="27"/>
      <c r="AZ580" s="27"/>
      <c r="BA580" s="27"/>
      <c r="BB580" s="27"/>
      <c r="BC580" s="27"/>
      <c r="BD580" s="27"/>
      <c r="BE580" s="27"/>
      <c r="BF580" s="27"/>
      <c r="BG580" s="27"/>
      <c r="BH580" s="27"/>
      <c r="BI580" s="27"/>
      <c r="BJ580" s="27"/>
      <c r="BK580" s="27"/>
      <c r="BL580" s="27"/>
      <c r="BM580" s="27"/>
      <c r="BN580" s="27"/>
      <c r="BO580" s="27"/>
      <c r="BP580" s="27"/>
      <c r="BQ580" s="27"/>
      <c r="BR580" s="27"/>
      <c r="BS580" s="27"/>
      <c r="BT580" s="27"/>
      <c r="BU580" s="27"/>
      <c r="BV580" s="27"/>
      <c r="BW580" s="27"/>
      <c r="BX580" s="27"/>
      <c r="BY580" s="27"/>
      <c r="BZ580" s="27"/>
      <c r="CA580" s="27"/>
      <c r="CB580" s="27"/>
      <c r="CC580" s="27"/>
      <c r="CD580" s="27"/>
      <c r="CE580" s="27"/>
      <c r="CF580" s="27"/>
      <c r="CG580" s="27"/>
      <c r="CH580" s="27"/>
      <c r="CI580" s="27"/>
      <c r="CJ580" s="27"/>
      <c r="CK580" s="27"/>
      <c r="CL580" s="27"/>
      <c r="CM580" s="27"/>
      <c r="CN580" s="27"/>
      <c r="CO580" s="27"/>
      <c r="CP580" s="27"/>
      <c r="CQ580" s="27"/>
      <c r="CR580" s="27"/>
      <c r="CS580" s="27"/>
      <c r="CT580" s="27"/>
      <c r="CU580" s="27"/>
      <c r="CV580" s="27"/>
      <c r="CW580" s="27"/>
      <c r="CX580" s="27"/>
      <c r="CY580" s="27"/>
      <c r="CZ580" s="27"/>
      <c r="DA580" s="27"/>
      <c r="DB580" s="27"/>
      <c r="DC580" s="27"/>
      <c r="DD580" s="27"/>
      <c r="DE580" s="27"/>
      <c r="DF580" s="27"/>
      <c r="DG580" s="27"/>
      <c r="DH580" s="27"/>
      <c r="DI580" s="27"/>
      <c r="DJ580" s="27"/>
      <c r="DK580" s="27"/>
      <c r="DL580" s="27"/>
      <c r="DM580" s="27"/>
      <c r="DN580" s="27"/>
      <c r="DO580" s="27"/>
      <c r="DP580" s="27"/>
      <c r="DQ580" s="27"/>
      <c r="DR580" s="27"/>
      <c r="DS580" s="27"/>
      <c r="DT580" s="27"/>
    </row>
    <row r="581" spans="7:124" x14ac:dyDescent="0.2">
      <c r="G581" s="27"/>
      <c r="H581" s="27"/>
      <c r="I581" s="27"/>
      <c r="J581" s="27"/>
      <c r="K581" s="27"/>
      <c r="L581" s="27"/>
      <c r="M581" s="27"/>
      <c r="N581" s="27"/>
      <c r="O581" s="27"/>
      <c r="P581" s="27"/>
      <c r="Q581" s="27"/>
      <c r="R581" s="27"/>
      <c r="S581" s="27"/>
      <c r="T581" s="27"/>
      <c r="U581" s="27"/>
      <c r="V581" s="27"/>
      <c r="W581" s="27"/>
      <c r="X581" s="27"/>
      <c r="Y581" s="27"/>
      <c r="Z581" s="27"/>
      <c r="AA581" s="27"/>
      <c r="AB581" s="27"/>
      <c r="AC581" s="27"/>
      <c r="AD581" s="27"/>
      <c r="AE581" s="27"/>
      <c r="AF581" s="27"/>
      <c r="AG581" s="27"/>
      <c r="AH581" s="27"/>
      <c r="AI581" s="27"/>
      <c r="AJ581" s="27"/>
      <c r="AK581" s="27"/>
      <c r="AL581" s="27"/>
      <c r="AM581" s="27"/>
      <c r="AN581" s="27"/>
      <c r="AO581" s="27"/>
      <c r="AP581" s="27"/>
      <c r="AQ581" s="27"/>
      <c r="AR581" s="27"/>
      <c r="AS581" s="27"/>
      <c r="AT581" s="27"/>
      <c r="AU581" s="27"/>
      <c r="AV581" s="27"/>
      <c r="AW581" s="27"/>
      <c r="AX581" s="27"/>
      <c r="AY581" s="27"/>
      <c r="AZ581" s="27"/>
      <c r="BA581" s="27"/>
      <c r="BB581" s="27"/>
      <c r="BC581" s="27"/>
      <c r="BD581" s="27"/>
      <c r="BE581" s="27"/>
      <c r="BF581" s="27"/>
      <c r="BG581" s="27"/>
      <c r="BH581" s="27"/>
      <c r="BI581" s="27"/>
      <c r="BJ581" s="27"/>
      <c r="BK581" s="27"/>
      <c r="BL581" s="27"/>
      <c r="BM581" s="27"/>
      <c r="BN581" s="27"/>
      <c r="BO581" s="27"/>
      <c r="BP581" s="27"/>
      <c r="BQ581" s="27"/>
      <c r="BR581" s="27"/>
      <c r="BS581" s="27"/>
      <c r="BT581" s="27"/>
      <c r="BU581" s="27"/>
      <c r="BV581" s="27"/>
      <c r="BW581" s="27"/>
      <c r="BX581" s="27"/>
      <c r="BY581" s="27"/>
      <c r="BZ581" s="27"/>
      <c r="CA581" s="27"/>
      <c r="CB581" s="27"/>
      <c r="CC581" s="27"/>
      <c r="CD581" s="27"/>
      <c r="CE581" s="27"/>
      <c r="CF581" s="27"/>
      <c r="CG581" s="27"/>
      <c r="CH581" s="27"/>
      <c r="CI581" s="27"/>
      <c r="CJ581" s="27"/>
      <c r="CK581" s="27"/>
      <c r="CL581" s="27"/>
      <c r="CM581" s="27"/>
      <c r="CN581" s="27"/>
      <c r="CO581" s="27"/>
      <c r="CP581" s="27"/>
      <c r="CQ581" s="27"/>
      <c r="CR581" s="27"/>
      <c r="CS581" s="27"/>
      <c r="CT581" s="27"/>
      <c r="CU581" s="27"/>
      <c r="CV581" s="27"/>
      <c r="CW581" s="27"/>
      <c r="CX581" s="27"/>
      <c r="CY581" s="27"/>
      <c r="CZ581" s="27"/>
      <c r="DA581" s="27"/>
      <c r="DB581" s="27"/>
      <c r="DC581" s="27"/>
      <c r="DD581" s="27"/>
      <c r="DE581" s="27"/>
      <c r="DF581" s="27"/>
      <c r="DG581" s="27"/>
      <c r="DH581" s="27"/>
      <c r="DI581" s="27"/>
      <c r="DJ581" s="27"/>
      <c r="DK581" s="27"/>
      <c r="DL581" s="27"/>
      <c r="DM581" s="27"/>
      <c r="DN581" s="27"/>
      <c r="DO581" s="27"/>
      <c r="DP581" s="27"/>
      <c r="DQ581" s="27"/>
      <c r="DR581" s="27"/>
      <c r="DS581" s="27"/>
      <c r="DT581" s="27"/>
    </row>
    <row r="582" spans="7:124" x14ac:dyDescent="0.2">
      <c r="G582" s="27"/>
      <c r="H582" s="27"/>
      <c r="I582" s="27"/>
      <c r="J582" s="27"/>
      <c r="K582" s="27"/>
      <c r="L582" s="27"/>
      <c r="M582" s="27"/>
      <c r="N582" s="27"/>
      <c r="O582" s="27"/>
      <c r="P582" s="27"/>
      <c r="Q582" s="27"/>
      <c r="R582" s="27"/>
      <c r="S582" s="27"/>
      <c r="T582" s="27"/>
      <c r="U582" s="27"/>
      <c r="V582" s="27"/>
      <c r="W582" s="27"/>
      <c r="X582" s="27"/>
      <c r="Y582" s="27"/>
      <c r="Z582" s="27"/>
      <c r="AA582" s="27"/>
      <c r="AB582" s="27"/>
      <c r="AC582" s="27"/>
      <c r="AD582" s="27"/>
      <c r="AE582" s="27"/>
      <c r="AF582" s="27"/>
      <c r="AG582" s="27"/>
      <c r="AH582" s="27"/>
      <c r="AI582" s="27"/>
      <c r="AJ582" s="27"/>
      <c r="AK582" s="27"/>
      <c r="AL582" s="27"/>
      <c r="AM582" s="27"/>
      <c r="AN582" s="27"/>
      <c r="AO582" s="27"/>
      <c r="AP582" s="27"/>
      <c r="AQ582" s="27"/>
      <c r="AR582" s="27"/>
      <c r="AS582" s="27"/>
      <c r="AT582" s="27"/>
      <c r="AU582" s="27"/>
      <c r="AV582" s="27"/>
      <c r="AW582" s="27"/>
      <c r="AX582" s="27"/>
      <c r="AY582" s="27"/>
      <c r="AZ582" s="27"/>
      <c r="BA582" s="27"/>
      <c r="BB582" s="27"/>
      <c r="BC582" s="27"/>
      <c r="BD582" s="27"/>
      <c r="BE582" s="27"/>
      <c r="BF582" s="27"/>
      <c r="BG582" s="27"/>
      <c r="BH582" s="27"/>
      <c r="BI582" s="27"/>
      <c r="BJ582" s="27"/>
      <c r="BK582" s="27"/>
      <c r="BL582" s="27"/>
      <c r="BM582" s="27"/>
      <c r="BN582" s="27"/>
      <c r="BO582" s="27"/>
      <c r="BP582" s="27"/>
      <c r="BQ582" s="27"/>
      <c r="BR582" s="27"/>
      <c r="BS582" s="27"/>
      <c r="BT582" s="27"/>
      <c r="BU582" s="27"/>
      <c r="BV582" s="27"/>
      <c r="BW582" s="27"/>
      <c r="BX582" s="27"/>
      <c r="BY582" s="27"/>
      <c r="BZ582" s="27"/>
      <c r="CA582" s="27"/>
      <c r="CB582" s="27"/>
      <c r="CC582" s="27"/>
      <c r="CD582" s="27"/>
      <c r="CE582" s="27"/>
      <c r="CF582" s="27"/>
      <c r="CG582" s="27"/>
      <c r="CH582" s="27"/>
      <c r="CI582" s="27"/>
      <c r="CJ582" s="27"/>
      <c r="CK582" s="27"/>
      <c r="CL582" s="27"/>
      <c r="CM582" s="27"/>
      <c r="CN582" s="27"/>
      <c r="CO582" s="27"/>
      <c r="CP582" s="27"/>
      <c r="CQ582" s="27"/>
      <c r="CR582" s="27"/>
      <c r="CS582" s="27"/>
      <c r="CT582" s="27"/>
      <c r="CU582" s="27"/>
      <c r="CV582" s="27"/>
      <c r="CW582" s="27"/>
      <c r="CX582" s="27"/>
      <c r="CY582" s="27"/>
      <c r="CZ582" s="27"/>
      <c r="DA582" s="27"/>
      <c r="DB582" s="27"/>
      <c r="DC582" s="27"/>
      <c r="DD582" s="27"/>
      <c r="DE582" s="27"/>
      <c r="DF582" s="27"/>
      <c r="DG582" s="27"/>
      <c r="DH582" s="27"/>
      <c r="DI582" s="27"/>
      <c r="DJ582" s="27"/>
      <c r="DK582" s="27"/>
      <c r="DL582" s="27"/>
      <c r="DM582" s="27"/>
      <c r="DN582" s="27"/>
      <c r="DO582" s="27"/>
      <c r="DP582" s="27"/>
      <c r="DQ582" s="27"/>
      <c r="DR582" s="27"/>
      <c r="DS582" s="27"/>
      <c r="DT582" s="27"/>
    </row>
    <row r="583" spans="7:124" x14ac:dyDescent="0.2">
      <c r="G583" s="27"/>
      <c r="H583" s="27"/>
      <c r="I583" s="27"/>
      <c r="J583" s="27"/>
      <c r="K583" s="27"/>
      <c r="L583" s="27"/>
      <c r="M583" s="27"/>
      <c r="N583" s="27"/>
      <c r="O583" s="27"/>
      <c r="P583" s="27"/>
      <c r="Q583" s="27"/>
      <c r="R583" s="27"/>
      <c r="S583" s="27"/>
      <c r="T583" s="27"/>
      <c r="U583" s="27"/>
      <c r="V583" s="27"/>
      <c r="W583" s="27"/>
      <c r="X583" s="27"/>
      <c r="Y583" s="27"/>
      <c r="Z583" s="27"/>
      <c r="AA583" s="27"/>
      <c r="AB583" s="27"/>
      <c r="AC583" s="27"/>
      <c r="AD583" s="27"/>
      <c r="AE583" s="27"/>
      <c r="AF583" s="27"/>
      <c r="AG583" s="27"/>
      <c r="AH583" s="27"/>
      <c r="AI583" s="27"/>
      <c r="AJ583" s="27"/>
      <c r="AK583" s="27"/>
      <c r="AL583" s="27"/>
      <c r="AM583" s="27"/>
      <c r="AN583" s="27"/>
      <c r="AO583" s="27"/>
      <c r="AP583" s="27"/>
      <c r="AQ583" s="27"/>
      <c r="AR583" s="27"/>
      <c r="AS583" s="27"/>
      <c r="AT583" s="27"/>
      <c r="AU583" s="27"/>
      <c r="AV583" s="27"/>
      <c r="AW583" s="27"/>
      <c r="AX583" s="27"/>
      <c r="AY583" s="27"/>
      <c r="AZ583" s="27"/>
      <c r="BA583" s="27"/>
      <c r="BB583" s="27"/>
      <c r="BC583" s="27"/>
      <c r="BD583" s="27"/>
      <c r="BE583" s="27"/>
      <c r="BF583" s="27"/>
      <c r="BG583" s="27"/>
      <c r="BH583" s="27"/>
      <c r="BI583" s="27"/>
      <c r="BJ583" s="27"/>
      <c r="BK583" s="27"/>
      <c r="BL583" s="27"/>
      <c r="BM583" s="27"/>
      <c r="BN583" s="27"/>
      <c r="BO583" s="27"/>
      <c r="BP583" s="27"/>
      <c r="BQ583" s="27"/>
      <c r="BR583" s="27"/>
      <c r="BS583" s="27"/>
      <c r="BT583" s="27"/>
      <c r="BU583" s="27"/>
      <c r="BV583" s="27"/>
      <c r="BW583" s="27"/>
      <c r="BX583" s="27"/>
      <c r="BY583" s="27"/>
      <c r="BZ583" s="27"/>
      <c r="CA583" s="27"/>
      <c r="CB583" s="27"/>
      <c r="CC583" s="27"/>
      <c r="CD583" s="27"/>
      <c r="CE583" s="27"/>
      <c r="CF583" s="27"/>
      <c r="CG583" s="27"/>
      <c r="CH583" s="27"/>
      <c r="CI583" s="27"/>
      <c r="CJ583" s="27"/>
      <c r="CK583" s="27"/>
      <c r="CL583" s="27"/>
      <c r="CM583" s="27"/>
      <c r="CN583" s="27"/>
      <c r="CO583" s="27"/>
      <c r="CP583" s="27"/>
      <c r="CQ583" s="27"/>
      <c r="CR583" s="27"/>
      <c r="CS583" s="27"/>
      <c r="CT583" s="27"/>
      <c r="CU583" s="27"/>
      <c r="CV583" s="27"/>
      <c r="CW583" s="27"/>
      <c r="CX583" s="27"/>
      <c r="CY583" s="27"/>
      <c r="CZ583" s="27"/>
      <c r="DA583" s="27"/>
      <c r="DB583" s="27"/>
      <c r="DC583" s="27"/>
      <c r="DD583" s="27"/>
      <c r="DE583" s="27"/>
      <c r="DF583" s="27"/>
      <c r="DG583" s="27"/>
      <c r="DH583" s="27"/>
      <c r="DI583" s="27"/>
      <c r="DJ583" s="27"/>
      <c r="DK583" s="27"/>
      <c r="DL583" s="27"/>
      <c r="DM583" s="27"/>
      <c r="DN583" s="27"/>
      <c r="DO583" s="27"/>
      <c r="DP583" s="27"/>
      <c r="DQ583" s="27"/>
      <c r="DR583" s="27"/>
      <c r="DS583" s="27"/>
      <c r="DT583" s="27"/>
    </row>
    <row r="584" spans="7:124" x14ac:dyDescent="0.2">
      <c r="G584" s="27"/>
      <c r="H584" s="27"/>
      <c r="I584" s="27"/>
      <c r="J584" s="27"/>
      <c r="K584" s="27"/>
      <c r="L584" s="27"/>
      <c r="M584" s="27"/>
      <c r="N584" s="27"/>
      <c r="O584" s="27"/>
      <c r="P584" s="27"/>
      <c r="Q584" s="27"/>
      <c r="R584" s="27"/>
      <c r="S584" s="27"/>
      <c r="T584" s="27"/>
      <c r="U584" s="27"/>
      <c r="V584" s="27"/>
      <c r="W584" s="27"/>
      <c r="X584" s="27"/>
      <c r="Y584" s="27"/>
      <c r="Z584" s="27"/>
      <c r="AA584" s="27"/>
      <c r="AB584" s="27"/>
      <c r="AC584" s="27"/>
      <c r="AD584" s="27"/>
      <c r="AE584" s="27"/>
      <c r="AF584" s="27"/>
      <c r="AG584" s="27"/>
      <c r="AH584" s="27"/>
      <c r="AI584" s="27"/>
      <c r="AJ584" s="27"/>
      <c r="AK584" s="27"/>
      <c r="AL584" s="27"/>
      <c r="AM584" s="27"/>
      <c r="AN584" s="27"/>
      <c r="AO584" s="27"/>
      <c r="AP584" s="27"/>
      <c r="AQ584" s="27"/>
      <c r="AR584" s="27"/>
      <c r="AS584" s="27"/>
      <c r="AT584" s="27"/>
      <c r="AU584" s="27"/>
      <c r="AV584" s="27"/>
      <c r="AW584" s="27"/>
      <c r="AX584" s="27"/>
      <c r="AY584" s="27"/>
      <c r="AZ584" s="27"/>
      <c r="BA584" s="27"/>
      <c r="BB584" s="27"/>
      <c r="BC584" s="27"/>
      <c r="BD584" s="27"/>
      <c r="BE584" s="27"/>
      <c r="BF584" s="27"/>
      <c r="BG584" s="27"/>
      <c r="BH584" s="27"/>
      <c r="BI584" s="27"/>
      <c r="BJ584" s="27"/>
      <c r="BK584" s="27"/>
      <c r="BL584" s="27"/>
      <c r="BM584" s="27"/>
      <c r="BN584" s="27"/>
      <c r="BO584" s="27"/>
      <c r="BP584" s="27"/>
      <c r="BQ584" s="27"/>
      <c r="BR584" s="27"/>
      <c r="BS584" s="27"/>
      <c r="BT584" s="27"/>
      <c r="BU584" s="27"/>
      <c r="BV584" s="27"/>
      <c r="BW584" s="27"/>
      <c r="BX584" s="27"/>
      <c r="BY584" s="27"/>
      <c r="BZ584" s="27"/>
      <c r="CA584" s="27"/>
      <c r="CB584" s="27"/>
      <c r="CC584" s="27"/>
      <c r="CD584" s="27"/>
      <c r="CE584" s="27"/>
      <c r="CF584" s="27"/>
      <c r="CG584" s="27"/>
      <c r="CH584" s="27"/>
      <c r="CI584" s="27"/>
      <c r="CJ584" s="27"/>
      <c r="CK584" s="27"/>
      <c r="CL584" s="27"/>
      <c r="CM584" s="27"/>
      <c r="CN584" s="27"/>
      <c r="CO584" s="27"/>
      <c r="CP584" s="27"/>
      <c r="CQ584" s="27"/>
      <c r="CR584" s="27"/>
      <c r="CS584" s="27"/>
      <c r="CT584" s="27"/>
      <c r="CU584" s="27"/>
      <c r="CV584" s="27"/>
      <c r="CW584" s="27"/>
      <c r="CX584" s="27"/>
      <c r="CY584" s="27"/>
      <c r="CZ584" s="27"/>
      <c r="DA584" s="27"/>
      <c r="DB584" s="27"/>
      <c r="DC584" s="27"/>
      <c r="DD584" s="27"/>
      <c r="DE584" s="27"/>
      <c r="DF584" s="27"/>
      <c r="DG584" s="27"/>
      <c r="DH584" s="27"/>
      <c r="DI584" s="27"/>
      <c r="DJ584" s="27"/>
      <c r="DK584" s="27"/>
      <c r="DL584" s="27"/>
      <c r="DM584" s="27"/>
      <c r="DN584" s="27"/>
      <c r="DO584" s="27"/>
      <c r="DP584" s="27"/>
      <c r="DQ584" s="27"/>
      <c r="DR584" s="27"/>
      <c r="DS584" s="27"/>
      <c r="DT584" s="27"/>
    </row>
    <row r="585" spans="7:124" x14ac:dyDescent="0.2">
      <c r="G585" s="27"/>
      <c r="H585" s="27"/>
      <c r="I585" s="27"/>
      <c r="J585" s="27"/>
      <c r="K585" s="27"/>
      <c r="L585" s="27"/>
      <c r="M585" s="27"/>
      <c r="N585" s="27"/>
      <c r="O585" s="27"/>
      <c r="P585" s="27"/>
      <c r="Q585" s="27"/>
      <c r="R585" s="27"/>
      <c r="S585" s="27"/>
      <c r="T585" s="27"/>
      <c r="U585" s="27"/>
      <c r="V585" s="27"/>
      <c r="W585" s="27"/>
      <c r="X585" s="27"/>
      <c r="Y585" s="27"/>
      <c r="Z585" s="27"/>
      <c r="AA585" s="27"/>
      <c r="AB585" s="27"/>
      <c r="AC585" s="27"/>
      <c r="AD585" s="27"/>
      <c r="AE585" s="27"/>
      <c r="AF585" s="27"/>
      <c r="AG585" s="27"/>
      <c r="AH585" s="27"/>
      <c r="AI585" s="27"/>
      <c r="AJ585" s="27"/>
      <c r="AK585" s="27"/>
      <c r="AL585" s="27"/>
      <c r="AM585" s="27"/>
      <c r="AN585" s="27"/>
      <c r="AO585" s="27"/>
      <c r="AP585" s="27"/>
      <c r="AQ585" s="27"/>
      <c r="AR585" s="27"/>
      <c r="AS585" s="27"/>
      <c r="AT585" s="27"/>
      <c r="AU585" s="27"/>
      <c r="AV585" s="27"/>
      <c r="AW585" s="27"/>
      <c r="AX585" s="27"/>
      <c r="AY585" s="27"/>
      <c r="AZ585" s="27"/>
      <c r="BA585" s="27"/>
      <c r="BB585" s="27"/>
      <c r="BC585" s="27"/>
      <c r="BD585" s="27"/>
      <c r="BE585" s="27"/>
      <c r="BF585" s="27"/>
      <c r="BG585" s="27"/>
      <c r="BH585" s="27"/>
      <c r="BI585" s="27"/>
      <c r="BJ585" s="27"/>
      <c r="BK585" s="27"/>
      <c r="BL585" s="27"/>
      <c r="BM585" s="27"/>
      <c r="BN585" s="27"/>
      <c r="BO585" s="27"/>
      <c r="BP585" s="27"/>
      <c r="BQ585" s="27"/>
      <c r="BR585" s="27"/>
      <c r="BS585" s="27"/>
      <c r="BT585" s="27"/>
      <c r="BU585" s="27"/>
      <c r="BV585" s="27"/>
      <c r="BW585" s="27"/>
      <c r="BX585" s="27"/>
      <c r="BY585" s="27"/>
      <c r="BZ585" s="27"/>
      <c r="CA585" s="27"/>
      <c r="CB585" s="27"/>
      <c r="CC585" s="27"/>
      <c r="CD585" s="27"/>
      <c r="CE585" s="27"/>
      <c r="CF585" s="27"/>
      <c r="CG585" s="27"/>
      <c r="CH585" s="27"/>
      <c r="CI585" s="27"/>
      <c r="CJ585" s="27"/>
      <c r="CK585" s="27"/>
      <c r="CL585" s="27"/>
      <c r="CM585" s="27"/>
      <c r="CN585" s="27"/>
      <c r="CO585" s="27"/>
      <c r="CP585" s="27"/>
      <c r="CQ585" s="27"/>
      <c r="CR585" s="27"/>
      <c r="CS585" s="27"/>
      <c r="CT585" s="27"/>
      <c r="CU585" s="27"/>
      <c r="CV585" s="27"/>
      <c r="CW585" s="27"/>
      <c r="CX585" s="27"/>
      <c r="CY585" s="27"/>
      <c r="CZ585" s="27"/>
      <c r="DA585" s="27"/>
      <c r="DB585" s="27"/>
      <c r="DC585" s="27"/>
      <c r="DD585" s="27"/>
      <c r="DE585" s="27"/>
      <c r="DF585" s="27"/>
      <c r="DG585" s="27"/>
      <c r="DH585" s="27"/>
      <c r="DI585" s="27"/>
      <c r="DJ585" s="27"/>
      <c r="DK585" s="27"/>
      <c r="DL585" s="27"/>
      <c r="DM585" s="27"/>
      <c r="DN585" s="27"/>
      <c r="DO585" s="27"/>
      <c r="DP585" s="27"/>
      <c r="DQ585" s="27"/>
      <c r="DR585" s="27"/>
      <c r="DS585" s="27"/>
      <c r="DT585" s="27"/>
    </row>
    <row r="586" spans="7:124" x14ac:dyDescent="0.2">
      <c r="G586" s="27"/>
      <c r="H586" s="27"/>
      <c r="I586" s="27"/>
      <c r="J586" s="27"/>
      <c r="K586" s="27"/>
      <c r="L586" s="27"/>
      <c r="M586" s="27"/>
      <c r="N586" s="27"/>
      <c r="O586" s="27"/>
      <c r="P586" s="27"/>
      <c r="Q586" s="27"/>
      <c r="R586" s="27"/>
      <c r="S586" s="27"/>
      <c r="T586" s="27"/>
      <c r="U586" s="27"/>
      <c r="V586" s="27"/>
      <c r="W586" s="27"/>
      <c r="X586" s="27"/>
      <c r="Y586" s="27"/>
      <c r="Z586" s="27"/>
      <c r="AA586" s="27"/>
      <c r="AB586" s="27"/>
      <c r="AC586" s="27"/>
      <c r="AD586" s="27"/>
      <c r="AE586" s="27"/>
      <c r="AF586" s="27"/>
      <c r="AG586" s="27"/>
      <c r="AH586" s="27"/>
      <c r="AI586" s="27"/>
      <c r="AJ586" s="27"/>
      <c r="AK586" s="27"/>
      <c r="AL586" s="27"/>
      <c r="AM586" s="27"/>
      <c r="AN586" s="27"/>
      <c r="AO586" s="27"/>
      <c r="AP586" s="27"/>
      <c r="AQ586" s="27"/>
      <c r="AR586" s="27"/>
      <c r="AS586" s="27"/>
      <c r="AT586" s="27"/>
      <c r="AU586" s="27"/>
      <c r="AV586" s="27"/>
      <c r="AW586" s="27"/>
      <c r="AX586" s="27"/>
      <c r="AY586" s="27"/>
      <c r="AZ586" s="27"/>
      <c r="BA586" s="27"/>
      <c r="BB586" s="27"/>
      <c r="BC586" s="27"/>
      <c r="BD586" s="27"/>
      <c r="BE586" s="27"/>
      <c r="BF586" s="27"/>
      <c r="BG586" s="27"/>
      <c r="BH586" s="27"/>
      <c r="BI586" s="27"/>
      <c r="BJ586" s="27"/>
      <c r="BK586" s="27"/>
      <c r="BL586" s="27"/>
      <c r="BM586" s="27"/>
      <c r="BN586" s="27"/>
      <c r="BO586" s="27"/>
      <c r="BP586" s="27"/>
      <c r="BQ586" s="27"/>
      <c r="BR586" s="27"/>
      <c r="BS586" s="27"/>
      <c r="BT586" s="27"/>
      <c r="BU586" s="27"/>
      <c r="BV586" s="27"/>
      <c r="BW586" s="27"/>
      <c r="BX586" s="27"/>
      <c r="BY586" s="27"/>
      <c r="BZ586" s="27"/>
      <c r="CA586" s="27"/>
      <c r="CB586" s="27"/>
      <c r="CC586" s="27"/>
      <c r="CD586" s="27"/>
      <c r="CE586" s="27"/>
      <c r="CF586" s="27"/>
      <c r="CG586" s="27"/>
      <c r="CH586" s="27"/>
      <c r="CI586" s="27"/>
      <c r="CJ586" s="27"/>
      <c r="CK586" s="27"/>
      <c r="CL586" s="27"/>
      <c r="CM586" s="27"/>
      <c r="CN586" s="27"/>
      <c r="CO586" s="27"/>
      <c r="CP586" s="27"/>
      <c r="CQ586" s="27"/>
      <c r="CR586" s="27"/>
      <c r="CS586" s="27"/>
      <c r="CT586" s="27"/>
      <c r="CU586" s="27"/>
      <c r="CV586" s="27"/>
      <c r="CW586" s="27"/>
      <c r="CX586" s="27"/>
      <c r="CY586" s="27"/>
      <c r="CZ586" s="27"/>
      <c r="DA586" s="27"/>
      <c r="DB586" s="27"/>
      <c r="DC586" s="27"/>
      <c r="DD586" s="27"/>
      <c r="DE586" s="27"/>
      <c r="DF586" s="27"/>
      <c r="DG586" s="27"/>
      <c r="DH586" s="27"/>
      <c r="DI586" s="27"/>
      <c r="DJ586" s="27"/>
      <c r="DK586" s="27"/>
      <c r="DL586" s="27"/>
      <c r="DM586" s="27"/>
      <c r="DN586" s="27"/>
      <c r="DO586" s="27"/>
      <c r="DP586" s="27"/>
      <c r="DQ586" s="27"/>
      <c r="DR586" s="27"/>
      <c r="DS586" s="27"/>
      <c r="DT586" s="27"/>
    </row>
    <row r="587" spans="7:124" x14ac:dyDescent="0.2">
      <c r="G587" s="27"/>
      <c r="H587" s="27"/>
      <c r="I587" s="27"/>
      <c r="J587" s="27"/>
      <c r="K587" s="27"/>
      <c r="L587" s="27"/>
      <c r="M587" s="27"/>
      <c r="N587" s="27"/>
      <c r="O587" s="27"/>
      <c r="P587" s="27"/>
      <c r="Q587" s="27"/>
      <c r="R587" s="27"/>
      <c r="S587" s="27"/>
      <c r="T587" s="27"/>
      <c r="U587" s="27"/>
      <c r="V587" s="27"/>
      <c r="W587" s="27"/>
      <c r="X587" s="27"/>
      <c r="Y587" s="27"/>
      <c r="Z587" s="27"/>
      <c r="AA587" s="27"/>
      <c r="AB587" s="27"/>
      <c r="AC587" s="27"/>
      <c r="AD587" s="27"/>
      <c r="AE587" s="27"/>
      <c r="AF587" s="27"/>
      <c r="AG587" s="27"/>
      <c r="AH587" s="27"/>
      <c r="AI587" s="27"/>
      <c r="AJ587" s="27"/>
      <c r="AK587" s="27"/>
      <c r="AL587" s="27"/>
      <c r="AM587" s="27"/>
      <c r="AN587" s="27"/>
      <c r="AO587" s="27"/>
      <c r="AP587" s="27"/>
      <c r="AQ587" s="27"/>
      <c r="AR587" s="27"/>
      <c r="AS587" s="27"/>
      <c r="AT587" s="27"/>
      <c r="AU587" s="27"/>
      <c r="AV587" s="27"/>
      <c r="AW587" s="27"/>
      <c r="AX587" s="27"/>
      <c r="AY587" s="27"/>
      <c r="AZ587" s="27"/>
      <c r="BA587" s="27"/>
      <c r="BB587" s="27"/>
      <c r="BC587" s="27"/>
      <c r="BD587" s="27"/>
      <c r="BE587" s="27"/>
      <c r="BF587" s="27"/>
      <c r="BG587" s="27"/>
      <c r="BH587" s="27"/>
      <c r="BI587" s="27"/>
      <c r="BJ587" s="27"/>
      <c r="BK587" s="27"/>
      <c r="BL587" s="27"/>
      <c r="BM587" s="27"/>
      <c r="BN587" s="27"/>
      <c r="BO587" s="27"/>
      <c r="BP587" s="27"/>
      <c r="BQ587" s="27"/>
      <c r="BR587" s="27"/>
      <c r="BS587" s="27"/>
      <c r="BT587" s="27"/>
      <c r="BU587" s="27"/>
      <c r="BV587" s="27"/>
      <c r="BW587" s="27"/>
      <c r="BX587" s="27"/>
      <c r="BY587" s="27"/>
      <c r="BZ587" s="27"/>
      <c r="CA587" s="27"/>
      <c r="CB587" s="27"/>
      <c r="CC587" s="27"/>
      <c r="CD587" s="27"/>
      <c r="CE587" s="27"/>
      <c r="CF587" s="27"/>
      <c r="CG587" s="27"/>
      <c r="CH587" s="27"/>
      <c r="CI587" s="27"/>
      <c r="CJ587" s="27"/>
      <c r="CK587" s="27"/>
      <c r="CL587" s="27"/>
      <c r="CM587" s="27"/>
      <c r="CN587" s="27"/>
      <c r="CO587" s="27"/>
      <c r="CP587" s="27"/>
      <c r="CQ587" s="27"/>
      <c r="CR587" s="27"/>
      <c r="CS587" s="27"/>
      <c r="CT587" s="27"/>
      <c r="CU587" s="27"/>
      <c r="CV587" s="27"/>
      <c r="CW587" s="27"/>
      <c r="CX587" s="27"/>
      <c r="CY587" s="27"/>
      <c r="CZ587" s="27"/>
      <c r="DA587" s="27"/>
      <c r="DB587" s="27"/>
      <c r="DC587" s="27"/>
      <c r="DD587" s="27"/>
      <c r="DE587" s="27"/>
      <c r="DF587" s="27"/>
      <c r="DG587" s="27"/>
      <c r="DH587" s="27"/>
      <c r="DI587" s="27"/>
      <c r="DJ587" s="27"/>
      <c r="DK587" s="27"/>
      <c r="DL587" s="27"/>
      <c r="DM587" s="27"/>
      <c r="DN587" s="27"/>
      <c r="DO587" s="27"/>
      <c r="DP587" s="27"/>
      <c r="DQ587" s="27"/>
      <c r="DR587" s="27"/>
      <c r="DS587" s="27"/>
      <c r="DT587" s="27"/>
    </row>
    <row r="588" spans="7:124" x14ac:dyDescent="0.2">
      <c r="G588" s="27"/>
      <c r="H588" s="27"/>
      <c r="I588" s="27"/>
      <c r="J588" s="27"/>
      <c r="K588" s="27"/>
      <c r="L588" s="27"/>
      <c r="M588" s="27"/>
      <c r="N588" s="27"/>
      <c r="O588" s="27"/>
      <c r="P588" s="27"/>
      <c r="Q588" s="27"/>
      <c r="R588" s="27"/>
      <c r="S588" s="27"/>
      <c r="T588" s="27"/>
      <c r="U588" s="27"/>
      <c r="V588" s="27"/>
      <c r="W588" s="27"/>
      <c r="X588" s="27"/>
      <c r="Y588" s="27"/>
      <c r="Z588" s="27"/>
      <c r="AA588" s="27"/>
      <c r="AB588" s="27"/>
      <c r="AC588" s="27"/>
      <c r="AD588" s="27"/>
      <c r="AE588" s="27"/>
      <c r="AF588" s="27"/>
      <c r="AG588" s="27"/>
      <c r="AH588" s="27"/>
      <c r="AI588" s="27"/>
      <c r="AJ588" s="27"/>
      <c r="AK588" s="27"/>
      <c r="AL588" s="27"/>
      <c r="AM588" s="27"/>
      <c r="AN588" s="27"/>
      <c r="AO588" s="27"/>
      <c r="AP588" s="27"/>
      <c r="AQ588" s="27"/>
      <c r="AR588" s="27"/>
      <c r="AS588" s="27"/>
      <c r="AT588" s="27"/>
      <c r="AU588" s="27"/>
      <c r="AV588" s="27"/>
      <c r="AW588" s="27"/>
      <c r="AX588" s="27"/>
      <c r="AY588" s="27"/>
      <c r="AZ588" s="27"/>
      <c r="BA588" s="27"/>
      <c r="BB588" s="27"/>
      <c r="BC588" s="27"/>
      <c r="BD588" s="27"/>
      <c r="BE588" s="27"/>
      <c r="BF588" s="27"/>
      <c r="BG588" s="27"/>
      <c r="BH588" s="27"/>
      <c r="BI588" s="27"/>
      <c r="BJ588" s="27"/>
      <c r="BK588" s="27"/>
      <c r="BL588" s="27"/>
      <c r="BM588" s="27"/>
      <c r="BN588" s="27"/>
      <c r="BO588" s="27"/>
      <c r="BP588" s="27"/>
      <c r="BQ588" s="27"/>
      <c r="BR588" s="27"/>
      <c r="BS588" s="27"/>
      <c r="BT588" s="27"/>
      <c r="BU588" s="27"/>
      <c r="BV588" s="27"/>
      <c r="BW588" s="27"/>
      <c r="BX588" s="27"/>
      <c r="BY588" s="27"/>
      <c r="BZ588" s="27"/>
      <c r="CA588" s="27"/>
      <c r="CB588" s="27"/>
      <c r="CC588" s="27"/>
      <c r="CD588" s="27"/>
      <c r="CE588" s="27"/>
      <c r="CF588" s="27"/>
      <c r="CG588" s="27"/>
      <c r="CH588" s="27"/>
      <c r="CI588" s="27"/>
      <c r="CJ588" s="27"/>
      <c r="CK588" s="27"/>
      <c r="CL588" s="27"/>
      <c r="CM588" s="27"/>
      <c r="CN588" s="27"/>
      <c r="CO588" s="27"/>
      <c r="CP588" s="27"/>
      <c r="CQ588" s="27"/>
      <c r="CR588" s="27"/>
      <c r="CS588" s="27"/>
      <c r="CT588" s="27"/>
      <c r="CU588" s="27"/>
      <c r="CV588" s="27"/>
      <c r="CW588" s="27"/>
      <c r="CX588" s="27"/>
      <c r="CY588" s="27"/>
      <c r="CZ588" s="27"/>
      <c r="DA588" s="27"/>
      <c r="DB588" s="27"/>
      <c r="DC588" s="27"/>
      <c r="DD588" s="27"/>
      <c r="DE588" s="27"/>
      <c r="DF588" s="27"/>
      <c r="DG588" s="27"/>
      <c r="DH588" s="27"/>
      <c r="DI588" s="27"/>
      <c r="DJ588" s="27"/>
      <c r="DK588" s="27"/>
      <c r="DL588" s="27"/>
      <c r="DM588" s="27"/>
      <c r="DN588" s="27"/>
      <c r="DO588" s="27"/>
      <c r="DP588" s="27"/>
      <c r="DQ588" s="27"/>
      <c r="DR588" s="27"/>
      <c r="DS588" s="27"/>
      <c r="DT588" s="27"/>
    </row>
    <row r="589" spans="7:124" x14ac:dyDescent="0.2">
      <c r="G589" s="27"/>
      <c r="H589" s="27"/>
      <c r="I589" s="27"/>
      <c r="J589" s="27"/>
      <c r="K589" s="27"/>
      <c r="L589" s="27"/>
      <c r="M589" s="27"/>
      <c r="N589" s="27"/>
      <c r="O589" s="27"/>
      <c r="P589" s="27"/>
      <c r="Q589" s="27"/>
      <c r="R589" s="27"/>
      <c r="S589" s="27"/>
      <c r="T589" s="27"/>
      <c r="U589" s="27"/>
      <c r="V589" s="27"/>
      <c r="W589" s="27"/>
      <c r="X589" s="27"/>
      <c r="Y589" s="27"/>
      <c r="Z589" s="27"/>
      <c r="AA589" s="27"/>
      <c r="AB589" s="27"/>
      <c r="AC589" s="27"/>
      <c r="AD589" s="27"/>
      <c r="AE589" s="27"/>
      <c r="AF589" s="27"/>
      <c r="AG589" s="27"/>
      <c r="AH589" s="27"/>
      <c r="AI589" s="27"/>
      <c r="AJ589" s="27"/>
      <c r="AK589" s="27"/>
      <c r="AL589" s="27"/>
      <c r="AM589" s="27"/>
      <c r="AN589" s="27"/>
      <c r="AO589" s="27"/>
      <c r="AP589" s="27"/>
      <c r="AQ589" s="27"/>
      <c r="AR589" s="27"/>
      <c r="AS589" s="27"/>
      <c r="AT589" s="27"/>
      <c r="AU589" s="27"/>
      <c r="AV589" s="27"/>
      <c r="AW589" s="27"/>
      <c r="AX589" s="27"/>
      <c r="AY589" s="27"/>
      <c r="AZ589" s="27"/>
      <c r="BA589" s="27"/>
      <c r="BB589" s="27"/>
      <c r="BC589" s="27"/>
      <c r="BD589" s="27"/>
      <c r="BE589" s="27"/>
      <c r="BF589" s="27"/>
      <c r="BG589" s="27"/>
      <c r="BH589" s="27"/>
      <c r="BI589" s="27"/>
      <c r="BJ589" s="27"/>
      <c r="BK589" s="27"/>
      <c r="BL589" s="27"/>
      <c r="BM589" s="27"/>
      <c r="BN589" s="27"/>
      <c r="BO589" s="27"/>
      <c r="BP589" s="27"/>
      <c r="BQ589" s="27"/>
      <c r="BR589" s="27"/>
      <c r="BS589" s="27"/>
      <c r="BT589" s="27"/>
      <c r="BU589" s="27"/>
      <c r="BV589" s="27"/>
      <c r="BW589" s="27"/>
      <c r="BX589" s="27"/>
      <c r="BY589" s="27"/>
      <c r="BZ589" s="27"/>
      <c r="CA589" s="27"/>
      <c r="CB589" s="27"/>
      <c r="CC589" s="27"/>
      <c r="CD589" s="27"/>
      <c r="CE589" s="27"/>
      <c r="CF589" s="27"/>
      <c r="CG589" s="27"/>
      <c r="CH589" s="27"/>
      <c r="CI589" s="27"/>
      <c r="CJ589" s="27"/>
      <c r="CK589" s="27"/>
      <c r="CL589" s="27"/>
      <c r="CM589" s="27"/>
      <c r="CN589" s="27"/>
      <c r="CO589" s="27"/>
      <c r="CP589" s="27"/>
      <c r="CQ589" s="27"/>
      <c r="CR589" s="27"/>
      <c r="CS589" s="27"/>
      <c r="CT589" s="27"/>
      <c r="CU589" s="27"/>
      <c r="CV589" s="27"/>
      <c r="CW589" s="27"/>
      <c r="CX589" s="27"/>
      <c r="CY589" s="27"/>
      <c r="CZ589" s="27"/>
      <c r="DA589" s="27"/>
      <c r="DB589" s="27"/>
      <c r="DC589" s="27"/>
      <c r="DD589" s="27"/>
      <c r="DE589" s="27"/>
      <c r="DF589" s="27"/>
      <c r="DG589" s="27"/>
      <c r="DH589" s="27"/>
      <c r="DI589" s="27"/>
      <c r="DJ589" s="27"/>
      <c r="DK589" s="27"/>
      <c r="DL589" s="27"/>
      <c r="DM589" s="27"/>
      <c r="DN589" s="27"/>
      <c r="DO589" s="27"/>
      <c r="DP589" s="27"/>
      <c r="DQ589" s="27"/>
      <c r="DR589" s="27"/>
      <c r="DS589" s="27"/>
      <c r="DT589" s="27"/>
    </row>
    <row r="590" spans="7:124" x14ac:dyDescent="0.2">
      <c r="G590" s="27"/>
      <c r="H590" s="27"/>
      <c r="I590" s="27"/>
      <c r="J590" s="27"/>
      <c r="K590" s="27"/>
      <c r="L590" s="27"/>
      <c r="M590" s="27"/>
      <c r="N590" s="27"/>
      <c r="O590" s="27"/>
      <c r="P590" s="27"/>
      <c r="Q590" s="27"/>
      <c r="R590" s="27"/>
      <c r="S590" s="27"/>
      <c r="T590" s="27"/>
      <c r="U590" s="27"/>
      <c r="V590" s="27"/>
      <c r="W590" s="27"/>
      <c r="X590" s="27"/>
      <c r="Y590" s="27"/>
      <c r="Z590" s="27"/>
      <c r="AA590" s="27"/>
      <c r="AB590" s="27"/>
      <c r="AC590" s="27"/>
      <c r="AD590" s="27"/>
      <c r="AE590" s="27"/>
      <c r="AF590" s="27"/>
      <c r="AG590" s="27"/>
      <c r="AH590" s="27"/>
      <c r="AI590" s="27"/>
      <c r="AJ590" s="27"/>
      <c r="AK590" s="27"/>
      <c r="AL590" s="27"/>
      <c r="AM590" s="27"/>
      <c r="AN590" s="27"/>
      <c r="AO590" s="27"/>
      <c r="AP590" s="27"/>
      <c r="AQ590" s="27"/>
      <c r="AR590" s="27"/>
      <c r="AS590" s="27"/>
      <c r="AT590" s="27"/>
      <c r="AU590" s="27"/>
      <c r="AV590" s="27"/>
      <c r="AW590" s="27"/>
      <c r="AX590" s="27"/>
      <c r="AY590" s="27"/>
      <c r="AZ590" s="27"/>
      <c r="BA590" s="27"/>
      <c r="BB590" s="27"/>
      <c r="BC590" s="27"/>
      <c r="BD590" s="27"/>
      <c r="BE590" s="27"/>
      <c r="BF590" s="27"/>
      <c r="BG590" s="27"/>
      <c r="BH590" s="27"/>
      <c r="BI590" s="27"/>
      <c r="BJ590" s="27"/>
      <c r="BK590" s="27"/>
      <c r="BL590" s="27"/>
      <c r="BM590" s="27"/>
      <c r="BN590" s="27"/>
      <c r="BO590" s="27"/>
      <c r="BP590" s="27"/>
      <c r="BQ590" s="27"/>
      <c r="BR590" s="27"/>
      <c r="BS590" s="27"/>
      <c r="BT590" s="27"/>
      <c r="BU590" s="27"/>
      <c r="BV590" s="27"/>
      <c r="BW590" s="27"/>
      <c r="BX590" s="27"/>
      <c r="BY590" s="27"/>
      <c r="BZ590" s="27"/>
      <c r="CA590" s="27"/>
      <c r="CB590" s="27"/>
      <c r="CC590" s="27"/>
      <c r="CD590" s="27"/>
      <c r="CE590" s="27"/>
      <c r="CF590" s="27"/>
      <c r="CG590" s="27"/>
      <c r="CH590" s="27"/>
      <c r="CI590" s="27"/>
      <c r="CJ590" s="27"/>
      <c r="CK590" s="27"/>
      <c r="CL590" s="27"/>
      <c r="CM590" s="27"/>
      <c r="CN590" s="27"/>
      <c r="CO590" s="27"/>
      <c r="CP590" s="27"/>
      <c r="CQ590" s="27"/>
      <c r="CR590" s="27"/>
      <c r="CS590" s="27"/>
      <c r="CT590" s="27"/>
      <c r="CU590" s="27"/>
      <c r="CV590" s="27"/>
      <c r="CW590" s="27"/>
      <c r="CX590" s="27"/>
      <c r="CY590" s="27"/>
      <c r="CZ590" s="27"/>
      <c r="DA590" s="27"/>
      <c r="DB590" s="27"/>
      <c r="DC590" s="27"/>
      <c r="DD590" s="27"/>
      <c r="DE590" s="27"/>
      <c r="DF590" s="27"/>
      <c r="DG590" s="27"/>
      <c r="DH590" s="27"/>
      <c r="DI590" s="27"/>
      <c r="DJ590" s="27"/>
      <c r="DK590" s="27"/>
      <c r="DL590" s="27"/>
      <c r="DM590" s="27"/>
      <c r="DN590" s="27"/>
      <c r="DO590" s="27"/>
      <c r="DP590" s="27"/>
      <c r="DQ590" s="27"/>
      <c r="DR590" s="27"/>
      <c r="DS590" s="27"/>
      <c r="DT590" s="27"/>
    </row>
    <row r="591" spans="7:124" x14ac:dyDescent="0.2">
      <c r="G591" s="27"/>
      <c r="H591" s="27"/>
      <c r="I591" s="27"/>
      <c r="J591" s="27"/>
      <c r="K591" s="27"/>
      <c r="L591" s="27"/>
      <c r="M591" s="27"/>
      <c r="N591" s="27"/>
      <c r="O591" s="27"/>
      <c r="P591" s="27"/>
      <c r="Q591" s="27"/>
      <c r="R591" s="27"/>
      <c r="S591" s="27"/>
      <c r="T591" s="27"/>
      <c r="U591" s="27"/>
      <c r="V591" s="27"/>
      <c r="W591" s="27"/>
      <c r="X591" s="27"/>
      <c r="Y591" s="27"/>
      <c r="Z591" s="27"/>
      <c r="AA591" s="27"/>
      <c r="AB591" s="27"/>
      <c r="AC591" s="27"/>
      <c r="AD591" s="27"/>
      <c r="AE591" s="27"/>
      <c r="AF591" s="27"/>
      <c r="AG591" s="27"/>
      <c r="AH591" s="27"/>
      <c r="AI591" s="27"/>
      <c r="AJ591" s="27"/>
      <c r="AK591" s="27"/>
      <c r="AL591" s="27"/>
      <c r="AM591" s="27"/>
      <c r="AN591" s="27"/>
      <c r="AO591" s="27"/>
      <c r="AP591" s="27"/>
      <c r="AQ591" s="27"/>
      <c r="AR591" s="27"/>
      <c r="AS591" s="27"/>
      <c r="AT591" s="27"/>
      <c r="AU591" s="27"/>
      <c r="AV591" s="27"/>
      <c r="AW591" s="27"/>
      <c r="AX591" s="27"/>
      <c r="AY591" s="27"/>
      <c r="AZ591" s="27"/>
      <c r="BA591" s="27"/>
      <c r="BB591" s="27"/>
      <c r="BC591" s="27"/>
      <c r="BD591" s="27"/>
      <c r="BE591" s="27"/>
      <c r="BF591" s="27"/>
      <c r="BG591" s="27"/>
      <c r="BH591" s="27"/>
      <c r="BI591" s="27"/>
      <c r="BJ591" s="27"/>
      <c r="BK591" s="27"/>
      <c r="BL591" s="27"/>
      <c r="BM591" s="27"/>
      <c r="BN591" s="27"/>
      <c r="BO591" s="27"/>
      <c r="BP591" s="27"/>
      <c r="BQ591" s="27"/>
      <c r="BR591" s="27"/>
      <c r="BS591" s="27"/>
      <c r="BT591" s="27"/>
      <c r="BU591" s="27"/>
      <c r="BV591" s="27"/>
      <c r="BW591" s="27"/>
      <c r="BX591" s="27"/>
      <c r="BY591" s="27"/>
      <c r="BZ591" s="27"/>
      <c r="CA591" s="27"/>
      <c r="CB591" s="27"/>
      <c r="CC591" s="27"/>
      <c r="CD591" s="27"/>
      <c r="CE591" s="27"/>
      <c r="CF591" s="27"/>
      <c r="CG591" s="27"/>
      <c r="CH591" s="27"/>
      <c r="CI591" s="27"/>
      <c r="CJ591" s="27"/>
      <c r="CK591" s="27"/>
      <c r="CL591" s="27"/>
      <c r="CM591" s="27"/>
      <c r="CN591" s="27"/>
      <c r="CO591" s="27"/>
      <c r="CP591" s="27"/>
      <c r="CQ591" s="27"/>
      <c r="CR591" s="27"/>
      <c r="CS591" s="27"/>
      <c r="CT591" s="27"/>
      <c r="CU591" s="27"/>
      <c r="CV591" s="27"/>
      <c r="CW591" s="27"/>
      <c r="CX591" s="27"/>
      <c r="CY591" s="27"/>
      <c r="CZ591" s="27"/>
      <c r="DA591" s="27"/>
      <c r="DB591" s="27"/>
      <c r="DC591" s="27"/>
      <c r="DD591" s="27"/>
      <c r="DE591" s="27"/>
      <c r="DF591" s="27"/>
      <c r="DG591" s="27"/>
      <c r="DH591" s="27"/>
      <c r="DI591" s="27"/>
      <c r="DJ591" s="27"/>
      <c r="DK591" s="27"/>
      <c r="DL591" s="27"/>
      <c r="DM591" s="27"/>
      <c r="DN591" s="27"/>
      <c r="DO591" s="27"/>
      <c r="DP591" s="27"/>
      <c r="DQ591" s="27"/>
      <c r="DR591" s="27"/>
      <c r="DS591" s="27"/>
      <c r="DT591" s="27"/>
    </row>
    <row r="592" spans="7:124" x14ac:dyDescent="0.2">
      <c r="G592" s="27"/>
      <c r="H592" s="27"/>
      <c r="I592" s="27"/>
      <c r="J592" s="27"/>
      <c r="K592" s="27"/>
      <c r="L592" s="27"/>
      <c r="M592" s="27"/>
      <c r="N592" s="27"/>
      <c r="O592" s="27"/>
      <c r="P592" s="27"/>
      <c r="Q592" s="27"/>
      <c r="R592" s="27"/>
      <c r="S592" s="27"/>
      <c r="T592" s="27"/>
      <c r="U592" s="27"/>
      <c r="V592" s="27"/>
      <c r="W592" s="27"/>
      <c r="X592" s="27"/>
      <c r="Y592" s="27"/>
      <c r="Z592" s="27"/>
      <c r="AA592" s="27"/>
      <c r="AB592" s="27"/>
      <c r="AC592" s="27"/>
      <c r="AD592" s="27"/>
      <c r="AE592" s="27"/>
      <c r="AF592" s="27"/>
      <c r="AG592" s="27"/>
      <c r="AH592" s="27"/>
      <c r="AI592" s="27"/>
      <c r="AJ592" s="27"/>
      <c r="AK592" s="27"/>
      <c r="AL592" s="27"/>
      <c r="AM592" s="27"/>
      <c r="AN592" s="27"/>
      <c r="AO592" s="27"/>
      <c r="AP592" s="27"/>
      <c r="AQ592" s="27"/>
      <c r="AR592" s="27"/>
      <c r="AS592" s="27"/>
      <c r="AT592" s="27"/>
      <c r="AU592" s="27"/>
      <c r="AV592" s="27"/>
      <c r="AW592" s="27"/>
      <c r="AX592" s="27"/>
      <c r="AY592" s="27"/>
      <c r="AZ592" s="27"/>
      <c r="BA592" s="27"/>
      <c r="BB592" s="27"/>
      <c r="BC592" s="27"/>
      <c r="BD592" s="27"/>
      <c r="BE592" s="27"/>
      <c r="BF592" s="27"/>
      <c r="BG592" s="27"/>
      <c r="BH592" s="27"/>
      <c r="BI592" s="27"/>
      <c r="BJ592" s="27"/>
      <c r="BK592" s="27"/>
      <c r="BL592" s="27"/>
      <c r="BM592" s="27"/>
      <c r="BN592" s="27"/>
      <c r="BO592" s="27"/>
      <c r="BP592" s="27"/>
      <c r="BQ592" s="27"/>
      <c r="BR592" s="27"/>
      <c r="BS592" s="27"/>
      <c r="BT592" s="27"/>
      <c r="BU592" s="27"/>
      <c r="BV592" s="27"/>
      <c r="BW592" s="27"/>
      <c r="BX592" s="27"/>
      <c r="BY592" s="27"/>
      <c r="BZ592" s="27"/>
      <c r="CA592" s="27"/>
      <c r="CB592" s="27"/>
      <c r="CC592" s="27"/>
      <c r="CD592" s="27"/>
      <c r="CE592" s="27"/>
      <c r="CF592" s="27"/>
      <c r="CG592" s="27"/>
      <c r="CH592" s="27"/>
      <c r="CI592" s="27"/>
      <c r="CJ592" s="27"/>
      <c r="CK592" s="27"/>
      <c r="CL592" s="27"/>
      <c r="CM592" s="27"/>
      <c r="CN592" s="27"/>
      <c r="CO592" s="27"/>
      <c r="CP592" s="27"/>
      <c r="CQ592" s="27"/>
      <c r="CR592" s="27"/>
      <c r="CS592" s="27"/>
      <c r="CT592" s="27"/>
      <c r="CU592" s="27"/>
      <c r="CV592" s="27"/>
      <c r="CW592" s="27"/>
      <c r="CX592" s="27"/>
      <c r="CY592" s="27"/>
      <c r="CZ592" s="27"/>
      <c r="DA592" s="27"/>
      <c r="DB592" s="27"/>
      <c r="DC592" s="27"/>
      <c r="DD592" s="27"/>
      <c r="DE592" s="27"/>
      <c r="DF592" s="27"/>
      <c r="DG592" s="27"/>
      <c r="DH592" s="27"/>
      <c r="DI592" s="27"/>
      <c r="DJ592" s="27"/>
      <c r="DK592" s="27"/>
      <c r="DL592" s="27"/>
      <c r="DM592" s="27"/>
      <c r="DN592" s="27"/>
      <c r="DO592" s="27"/>
      <c r="DP592" s="27"/>
      <c r="DQ592" s="27"/>
      <c r="DR592" s="27"/>
      <c r="DS592" s="27"/>
      <c r="DT592" s="27"/>
    </row>
    <row r="593" spans="7:124" x14ac:dyDescent="0.2">
      <c r="G593" s="27"/>
      <c r="H593" s="27"/>
      <c r="I593" s="27"/>
      <c r="J593" s="27"/>
      <c r="K593" s="27"/>
      <c r="L593" s="27"/>
      <c r="M593" s="27"/>
      <c r="N593" s="27"/>
      <c r="O593" s="27"/>
      <c r="P593" s="27"/>
      <c r="Q593" s="27"/>
      <c r="R593" s="27"/>
      <c r="S593" s="27"/>
      <c r="T593" s="27"/>
      <c r="U593" s="27"/>
      <c r="V593" s="27"/>
      <c r="W593" s="27"/>
      <c r="X593" s="27"/>
      <c r="Y593" s="27"/>
      <c r="Z593" s="27"/>
      <c r="AA593" s="27"/>
      <c r="AB593" s="27"/>
      <c r="AC593" s="27"/>
      <c r="AD593" s="27"/>
      <c r="AE593" s="27"/>
      <c r="AF593" s="27"/>
      <c r="AG593" s="27"/>
      <c r="AH593" s="27"/>
      <c r="AI593" s="27"/>
      <c r="AJ593" s="27"/>
      <c r="AK593" s="27"/>
      <c r="AL593" s="27"/>
      <c r="AM593" s="27"/>
      <c r="AN593" s="27"/>
      <c r="AO593" s="27"/>
      <c r="AP593" s="27"/>
      <c r="AQ593" s="27"/>
      <c r="AR593" s="27"/>
      <c r="AS593" s="27"/>
      <c r="AT593" s="27"/>
      <c r="AU593" s="27"/>
      <c r="AV593" s="27"/>
      <c r="AW593" s="27"/>
      <c r="AX593" s="27"/>
      <c r="AY593" s="27"/>
      <c r="AZ593" s="27"/>
      <c r="BA593" s="27"/>
      <c r="BB593" s="27"/>
      <c r="BC593" s="27"/>
      <c r="BD593" s="27"/>
      <c r="BE593" s="27"/>
      <c r="BF593" s="27"/>
      <c r="BG593" s="27"/>
      <c r="BH593" s="27"/>
      <c r="BI593" s="27"/>
      <c r="BJ593" s="27"/>
      <c r="BK593" s="27"/>
      <c r="BL593" s="27"/>
      <c r="BM593" s="27"/>
      <c r="BN593" s="27"/>
      <c r="BO593" s="27"/>
      <c r="BP593" s="27"/>
      <c r="BQ593" s="27"/>
      <c r="BR593" s="27"/>
      <c r="BS593" s="27"/>
      <c r="BT593" s="27"/>
      <c r="BU593" s="27"/>
      <c r="BV593" s="27"/>
      <c r="BW593" s="27"/>
      <c r="BX593" s="27"/>
      <c r="BY593" s="27"/>
      <c r="BZ593" s="27"/>
      <c r="CA593" s="27"/>
      <c r="CB593" s="27"/>
      <c r="CC593" s="27"/>
      <c r="CD593" s="27"/>
      <c r="CE593" s="27"/>
      <c r="CF593" s="27"/>
      <c r="CG593" s="27"/>
      <c r="CH593" s="27"/>
      <c r="CI593" s="27"/>
      <c r="CJ593" s="27"/>
      <c r="CK593" s="27"/>
      <c r="CL593" s="27"/>
      <c r="CM593" s="27"/>
      <c r="CN593" s="27"/>
      <c r="CO593" s="27"/>
      <c r="CP593" s="27"/>
      <c r="CQ593" s="27"/>
      <c r="CR593" s="27"/>
      <c r="CS593" s="27"/>
      <c r="CT593" s="27"/>
      <c r="CU593" s="27"/>
      <c r="CV593" s="27"/>
      <c r="CW593" s="27"/>
      <c r="CX593" s="27"/>
      <c r="CY593" s="27"/>
      <c r="CZ593" s="27"/>
      <c r="DA593" s="27"/>
      <c r="DB593" s="27"/>
      <c r="DC593" s="27"/>
      <c r="DD593" s="27"/>
      <c r="DE593" s="27"/>
      <c r="DF593" s="27"/>
      <c r="DG593" s="27"/>
      <c r="DH593" s="27"/>
      <c r="DI593" s="27"/>
      <c r="DJ593" s="27"/>
      <c r="DK593" s="27"/>
      <c r="DL593" s="27"/>
      <c r="DM593" s="27"/>
      <c r="DN593" s="27"/>
      <c r="DO593" s="27"/>
      <c r="DP593" s="27"/>
      <c r="DQ593" s="27"/>
      <c r="DR593" s="27"/>
      <c r="DS593" s="27"/>
      <c r="DT593" s="27"/>
    </row>
    <row r="594" spans="7:124" x14ac:dyDescent="0.2">
      <c r="G594" s="27"/>
      <c r="H594" s="27"/>
      <c r="I594" s="27"/>
      <c r="J594" s="27"/>
      <c r="K594" s="27"/>
      <c r="L594" s="27"/>
      <c r="M594" s="27"/>
      <c r="N594" s="27"/>
      <c r="O594" s="27"/>
      <c r="P594" s="27"/>
      <c r="Q594" s="27"/>
      <c r="R594" s="27"/>
      <c r="S594" s="27"/>
      <c r="T594" s="27"/>
      <c r="U594" s="27"/>
      <c r="V594" s="27"/>
      <c r="W594" s="27"/>
      <c r="X594" s="27"/>
      <c r="Y594" s="27"/>
      <c r="Z594" s="27"/>
      <c r="AA594" s="27"/>
      <c r="AB594" s="27"/>
      <c r="AC594" s="27"/>
      <c r="AD594" s="27"/>
      <c r="AE594" s="27"/>
      <c r="AF594" s="27"/>
      <c r="AG594" s="27"/>
      <c r="AH594" s="27"/>
      <c r="AI594" s="27"/>
      <c r="AJ594" s="27"/>
      <c r="AK594" s="27"/>
      <c r="AL594" s="27"/>
      <c r="AM594" s="27"/>
      <c r="AN594" s="27"/>
      <c r="AO594" s="27"/>
      <c r="AP594" s="27"/>
      <c r="AQ594" s="27"/>
      <c r="AR594" s="27"/>
      <c r="AS594" s="27"/>
      <c r="AT594" s="27"/>
      <c r="AU594" s="27"/>
      <c r="AV594" s="27"/>
      <c r="AW594" s="27"/>
      <c r="AX594" s="27"/>
      <c r="AY594" s="27"/>
      <c r="AZ594" s="27"/>
      <c r="BA594" s="27"/>
      <c r="BB594" s="27"/>
      <c r="BC594" s="27"/>
      <c r="BD594" s="27"/>
      <c r="BE594" s="27"/>
      <c r="BF594" s="27"/>
      <c r="BG594" s="27"/>
      <c r="BH594" s="27"/>
      <c r="BI594" s="27"/>
      <c r="BJ594" s="27"/>
      <c r="BK594" s="27"/>
      <c r="BL594" s="27"/>
      <c r="BM594" s="27"/>
      <c r="BN594" s="27"/>
      <c r="BO594" s="27"/>
      <c r="BP594" s="27"/>
      <c r="BQ594" s="27"/>
      <c r="BR594" s="27"/>
      <c r="BS594" s="27"/>
      <c r="BT594" s="27"/>
      <c r="BU594" s="27"/>
      <c r="BV594" s="27"/>
      <c r="BW594" s="27"/>
      <c r="BX594" s="27"/>
      <c r="BY594" s="27"/>
      <c r="BZ594" s="27"/>
      <c r="CA594" s="27"/>
      <c r="CB594" s="27"/>
      <c r="CC594" s="27"/>
      <c r="CD594" s="27"/>
      <c r="CE594" s="27"/>
      <c r="CF594" s="27"/>
      <c r="CG594" s="27"/>
      <c r="CH594" s="27"/>
      <c r="CI594" s="27"/>
      <c r="CJ594" s="27"/>
      <c r="CK594" s="27"/>
      <c r="CL594" s="27"/>
      <c r="CM594" s="27"/>
      <c r="CN594" s="27"/>
      <c r="CO594" s="27"/>
      <c r="CP594" s="27"/>
      <c r="CQ594" s="27"/>
      <c r="CR594" s="27"/>
      <c r="CS594" s="27"/>
      <c r="CT594" s="27"/>
      <c r="CU594" s="27"/>
      <c r="CV594" s="27"/>
      <c r="CW594" s="27"/>
      <c r="CX594" s="27"/>
      <c r="CY594" s="27"/>
      <c r="CZ594" s="27"/>
      <c r="DA594" s="27"/>
      <c r="DB594" s="27"/>
      <c r="DC594" s="27"/>
      <c r="DD594" s="27"/>
      <c r="DE594" s="27"/>
      <c r="DF594" s="27"/>
      <c r="DG594" s="27"/>
      <c r="DH594" s="27"/>
      <c r="DI594" s="27"/>
      <c r="DJ594" s="27"/>
      <c r="DK594" s="27"/>
      <c r="DL594" s="27"/>
      <c r="DM594" s="27"/>
      <c r="DN594" s="27"/>
      <c r="DO594" s="27"/>
      <c r="DP594" s="27"/>
      <c r="DQ594" s="27"/>
      <c r="DR594" s="27"/>
      <c r="DS594" s="27"/>
      <c r="DT594" s="27"/>
    </row>
    <row r="595" spans="7:124" x14ac:dyDescent="0.2">
      <c r="G595" s="27"/>
      <c r="H595" s="27"/>
      <c r="I595" s="27"/>
      <c r="J595" s="27"/>
      <c r="K595" s="27"/>
      <c r="L595" s="27"/>
      <c r="M595" s="27"/>
      <c r="N595" s="27"/>
      <c r="O595" s="27"/>
      <c r="P595" s="27"/>
      <c r="Q595" s="27"/>
      <c r="R595" s="27"/>
      <c r="S595" s="27"/>
      <c r="T595" s="27"/>
      <c r="U595" s="27"/>
      <c r="V595" s="27"/>
      <c r="W595" s="27"/>
      <c r="X595" s="27"/>
      <c r="Y595" s="27"/>
      <c r="Z595" s="27"/>
      <c r="AA595" s="27"/>
      <c r="AB595" s="27"/>
      <c r="AC595" s="27"/>
      <c r="AD595" s="27"/>
      <c r="AE595" s="27"/>
      <c r="AF595" s="27"/>
      <c r="AG595" s="27"/>
      <c r="AH595" s="27"/>
      <c r="AI595" s="27"/>
      <c r="AJ595" s="27"/>
      <c r="AK595" s="27"/>
      <c r="AL595" s="27"/>
      <c r="AM595" s="27"/>
      <c r="AN595" s="27"/>
      <c r="AO595" s="27"/>
      <c r="AP595" s="27"/>
      <c r="AQ595" s="27"/>
      <c r="AR595" s="27"/>
      <c r="AS595" s="27"/>
      <c r="AT595" s="27"/>
      <c r="AU595" s="27"/>
      <c r="AV595" s="27"/>
      <c r="AW595" s="27"/>
      <c r="AX595" s="27"/>
      <c r="AY595" s="27"/>
      <c r="AZ595" s="27"/>
      <c r="BA595" s="27"/>
      <c r="BB595" s="27"/>
      <c r="BC595" s="27"/>
      <c r="BD595" s="27"/>
      <c r="BE595" s="27"/>
      <c r="BF595" s="27"/>
      <c r="BG595" s="27"/>
      <c r="BH595" s="27"/>
      <c r="BI595" s="27"/>
      <c r="BJ595" s="27"/>
      <c r="BK595" s="27"/>
      <c r="BL595" s="27"/>
      <c r="BM595" s="27"/>
      <c r="BN595" s="27"/>
      <c r="BO595" s="27"/>
      <c r="BP595" s="27"/>
      <c r="BQ595" s="27"/>
      <c r="BR595" s="27"/>
      <c r="BS595" s="27"/>
      <c r="BT595" s="27"/>
      <c r="BU595" s="27"/>
      <c r="BV595" s="27"/>
      <c r="BW595" s="27"/>
      <c r="BX595" s="27"/>
      <c r="BY595" s="27"/>
      <c r="BZ595" s="27"/>
      <c r="CA595" s="27"/>
      <c r="CB595" s="27"/>
      <c r="CC595" s="27"/>
      <c r="CD595" s="27"/>
      <c r="CE595" s="27"/>
      <c r="CF595" s="27"/>
      <c r="CG595" s="27"/>
      <c r="CH595" s="27"/>
      <c r="CI595" s="27"/>
      <c r="CJ595" s="27"/>
      <c r="CK595" s="27"/>
      <c r="CL595" s="27"/>
      <c r="CM595" s="27"/>
      <c r="CN595" s="27"/>
      <c r="CO595" s="27"/>
      <c r="CP595" s="27"/>
      <c r="CQ595" s="27"/>
      <c r="CR595" s="27"/>
      <c r="CS595" s="27"/>
      <c r="CT595" s="27"/>
      <c r="CU595" s="27"/>
      <c r="CV595" s="27"/>
      <c r="CW595" s="27"/>
      <c r="CX595" s="27"/>
      <c r="CY595" s="27"/>
      <c r="CZ595" s="27"/>
      <c r="DA595" s="27"/>
      <c r="DB595" s="27"/>
      <c r="DC595" s="27"/>
      <c r="DD595" s="27"/>
      <c r="DE595" s="27"/>
      <c r="DF595" s="27"/>
      <c r="DG595" s="27"/>
      <c r="DH595" s="27"/>
      <c r="DI595" s="27"/>
      <c r="DJ595" s="27"/>
      <c r="DK595" s="27"/>
      <c r="DL595" s="27"/>
      <c r="DM595" s="27"/>
      <c r="DN595" s="27"/>
      <c r="DO595" s="27"/>
      <c r="DP595" s="27"/>
      <c r="DQ595" s="27"/>
      <c r="DR595" s="27"/>
      <c r="DS595" s="27"/>
      <c r="DT595" s="27"/>
    </row>
    <row r="596" spans="7:124" x14ac:dyDescent="0.2">
      <c r="G596" s="27"/>
      <c r="H596" s="27"/>
      <c r="I596" s="27"/>
      <c r="J596" s="27"/>
      <c r="K596" s="27"/>
      <c r="L596" s="27"/>
      <c r="M596" s="27"/>
      <c r="N596" s="27"/>
      <c r="O596" s="27"/>
      <c r="P596" s="27"/>
      <c r="Q596" s="27"/>
      <c r="R596" s="27"/>
      <c r="S596" s="27"/>
      <c r="T596" s="27"/>
      <c r="U596" s="27"/>
      <c r="V596" s="27"/>
      <c r="W596" s="27"/>
      <c r="X596" s="27"/>
      <c r="Y596" s="27"/>
      <c r="Z596" s="27"/>
      <c r="AA596" s="27"/>
      <c r="AB596" s="27"/>
      <c r="AC596" s="27"/>
      <c r="AD596" s="27"/>
      <c r="AE596" s="27"/>
      <c r="AF596" s="27"/>
      <c r="AG596" s="27"/>
      <c r="AH596" s="27"/>
      <c r="AI596" s="27"/>
      <c r="AJ596" s="27"/>
      <c r="AK596" s="27"/>
      <c r="AL596" s="27"/>
      <c r="AM596" s="27"/>
      <c r="AN596" s="27"/>
      <c r="AO596" s="27"/>
      <c r="AP596" s="27"/>
      <c r="AQ596" s="27"/>
      <c r="AR596" s="27"/>
      <c r="AS596" s="27"/>
      <c r="AT596" s="27"/>
      <c r="AU596" s="27"/>
      <c r="AV596" s="27"/>
      <c r="AW596" s="27"/>
      <c r="AX596" s="27"/>
      <c r="AY596" s="27"/>
      <c r="AZ596" s="27"/>
      <c r="BA596" s="27"/>
      <c r="BB596" s="27"/>
      <c r="BC596" s="27"/>
      <c r="BD596" s="27"/>
      <c r="BE596" s="27"/>
      <c r="BF596" s="27"/>
      <c r="BG596" s="27"/>
      <c r="BH596" s="27"/>
      <c r="BI596" s="27"/>
      <c r="BJ596" s="27"/>
      <c r="BK596" s="27"/>
      <c r="BL596" s="27"/>
      <c r="BM596" s="27"/>
      <c r="BN596" s="27"/>
      <c r="BO596" s="27"/>
      <c r="BP596" s="27"/>
      <c r="BQ596" s="27"/>
      <c r="BR596" s="27"/>
      <c r="BS596" s="27"/>
      <c r="BT596" s="27"/>
      <c r="BU596" s="27"/>
      <c r="BV596" s="27"/>
      <c r="BW596" s="27"/>
      <c r="BX596" s="27"/>
      <c r="BY596" s="27"/>
      <c r="BZ596" s="27"/>
      <c r="CA596" s="27"/>
      <c r="CB596" s="27"/>
      <c r="CC596" s="27"/>
      <c r="CD596" s="27"/>
      <c r="CE596" s="27"/>
      <c r="CF596" s="27"/>
      <c r="CG596" s="27"/>
      <c r="CH596" s="27"/>
      <c r="CI596" s="27"/>
      <c r="CJ596" s="27"/>
      <c r="CK596" s="27"/>
      <c r="CL596" s="27"/>
      <c r="CM596" s="27"/>
      <c r="CN596" s="27"/>
      <c r="CO596" s="27"/>
      <c r="CP596" s="27"/>
      <c r="CQ596" s="27"/>
      <c r="CR596" s="27"/>
      <c r="CS596" s="27"/>
      <c r="CT596" s="27"/>
      <c r="CU596" s="27"/>
      <c r="CV596" s="27"/>
      <c r="CW596" s="27"/>
      <c r="CX596" s="27"/>
      <c r="CY596" s="27"/>
      <c r="CZ596" s="27"/>
      <c r="DA596" s="27"/>
      <c r="DB596" s="27"/>
      <c r="DC596" s="27"/>
      <c r="DD596" s="27"/>
      <c r="DE596" s="27"/>
      <c r="DF596" s="27"/>
      <c r="DG596" s="27"/>
      <c r="DH596" s="27"/>
      <c r="DI596" s="27"/>
      <c r="DJ596" s="27"/>
      <c r="DK596" s="27"/>
      <c r="DL596" s="27"/>
      <c r="DM596" s="27"/>
      <c r="DN596" s="27"/>
      <c r="DO596" s="27"/>
      <c r="DP596" s="27"/>
      <c r="DQ596" s="27"/>
      <c r="DR596" s="27"/>
      <c r="DS596" s="27"/>
      <c r="DT596" s="27"/>
    </row>
    <row r="597" spans="7:124" x14ac:dyDescent="0.2">
      <c r="G597" s="27"/>
      <c r="H597" s="27"/>
      <c r="I597" s="27"/>
      <c r="J597" s="27"/>
      <c r="K597" s="27"/>
      <c r="L597" s="27"/>
      <c r="M597" s="27"/>
      <c r="N597" s="27"/>
      <c r="O597" s="27"/>
      <c r="P597" s="27"/>
      <c r="Q597" s="27"/>
      <c r="R597" s="27"/>
      <c r="S597" s="27"/>
      <c r="T597" s="27"/>
      <c r="U597" s="27"/>
      <c r="V597" s="27"/>
      <c r="W597" s="27"/>
      <c r="X597" s="27"/>
      <c r="Y597" s="27"/>
      <c r="Z597" s="27"/>
      <c r="AA597" s="27"/>
      <c r="AB597" s="27"/>
      <c r="AC597" s="27"/>
      <c r="AD597" s="27"/>
      <c r="AE597" s="27"/>
      <c r="AF597" s="27"/>
      <c r="AG597" s="27"/>
      <c r="AH597" s="27"/>
      <c r="AI597" s="27"/>
      <c r="AJ597" s="27"/>
      <c r="AK597" s="27"/>
      <c r="AL597" s="27"/>
      <c r="AM597" s="27"/>
      <c r="AN597" s="27"/>
      <c r="AO597" s="27"/>
      <c r="AP597" s="27"/>
      <c r="AQ597" s="27"/>
      <c r="AR597" s="27"/>
      <c r="AS597" s="27"/>
      <c r="AT597" s="27"/>
      <c r="AU597" s="27"/>
      <c r="AV597" s="27"/>
      <c r="AW597" s="27"/>
      <c r="AX597" s="27"/>
      <c r="AY597" s="27"/>
      <c r="AZ597" s="27"/>
      <c r="BA597" s="27"/>
      <c r="BB597" s="27"/>
      <c r="BC597" s="27"/>
      <c r="BD597" s="27"/>
      <c r="BE597" s="27"/>
      <c r="BF597" s="27"/>
      <c r="BG597" s="27"/>
      <c r="BH597" s="27"/>
      <c r="BI597" s="27"/>
      <c r="BJ597" s="27"/>
      <c r="BK597" s="27"/>
      <c r="BL597" s="27"/>
      <c r="BM597" s="27"/>
      <c r="BN597" s="27"/>
      <c r="BO597" s="27"/>
      <c r="BP597" s="27"/>
      <c r="BQ597" s="27"/>
      <c r="BR597" s="27"/>
      <c r="BS597" s="27"/>
      <c r="BT597" s="27"/>
      <c r="BU597" s="27"/>
      <c r="BV597" s="27"/>
      <c r="BW597" s="27"/>
      <c r="BX597" s="27"/>
      <c r="BY597" s="27"/>
      <c r="BZ597" s="27"/>
      <c r="CA597" s="27"/>
      <c r="CB597" s="27"/>
      <c r="CC597" s="27"/>
      <c r="CD597" s="27"/>
      <c r="CE597" s="27"/>
      <c r="CF597" s="27"/>
      <c r="CG597" s="27"/>
      <c r="CH597" s="27"/>
      <c r="CI597" s="27"/>
      <c r="CJ597" s="27"/>
      <c r="CK597" s="27"/>
      <c r="CL597" s="27"/>
      <c r="CM597" s="27"/>
      <c r="CN597" s="27"/>
      <c r="CO597" s="27"/>
      <c r="CP597" s="27"/>
      <c r="CQ597" s="27"/>
      <c r="CR597" s="27"/>
      <c r="CS597" s="27"/>
      <c r="CT597" s="27"/>
      <c r="CU597" s="27"/>
      <c r="CV597" s="27"/>
      <c r="CW597" s="27"/>
      <c r="CX597" s="27"/>
      <c r="CY597" s="27"/>
      <c r="CZ597" s="27"/>
      <c r="DA597" s="27"/>
      <c r="DB597" s="27"/>
      <c r="DC597" s="27"/>
      <c r="DD597" s="27"/>
      <c r="DE597" s="27"/>
      <c r="DF597" s="27"/>
      <c r="DG597" s="27"/>
      <c r="DH597" s="27"/>
      <c r="DI597" s="27"/>
      <c r="DJ597" s="27"/>
      <c r="DK597" s="27"/>
      <c r="DL597" s="27"/>
      <c r="DM597" s="27"/>
      <c r="DN597" s="27"/>
      <c r="DO597" s="27"/>
      <c r="DP597" s="27"/>
      <c r="DQ597" s="27"/>
      <c r="DR597" s="27"/>
      <c r="DS597" s="27"/>
      <c r="DT597" s="27"/>
    </row>
    <row r="598" spans="7:124" x14ac:dyDescent="0.2">
      <c r="G598" s="27"/>
      <c r="H598" s="27"/>
      <c r="I598" s="27"/>
      <c r="J598" s="27"/>
      <c r="K598" s="27"/>
      <c r="L598" s="27"/>
      <c r="M598" s="27"/>
      <c r="N598" s="27"/>
      <c r="O598" s="27"/>
      <c r="P598" s="27"/>
      <c r="Q598" s="27"/>
      <c r="R598" s="27"/>
      <c r="S598" s="27"/>
      <c r="T598" s="27"/>
      <c r="U598" s="27"/>
      <c r="V598" s="27"/>
      <c r="W598" s="27"/>
      <c r="X598" s="27"/>
      <c r="Y598" s="27"/>
      <c r="Z598" s="27"/>
      <c r="AA598" s="27"/>
      <c r="AB598" s="27"/>
      <c r="AC598" s="27"/>
      <c r="AD598" s="27"/>
      <c r="AE598" s="27"/>
      <c r="AF598" s="27"/>
      <c r="AG598" s="27"/>
      <c r="AH598" s="27"/>
      <c r="AI598" s="27"/>
      <c r="AJ598" s="27"/>
      <c r="AK598" s="27"/>
      <c r="AL598" s="27"/>
      <c r="AM598" s="27"/>
      <c r="AN598" s="27"/>
      <c r="AO598" s="27"/>
      <c r="AP598" s="27"/>
      <c r="AQ598" s="27"/>
      <c r="AR598" s="27"/>
      <c r="AS598" s="27"/>
      <c r="AT598" s="27"/>
      <c r="AU598" s="27"/>
      <c r="AV598" s="27"/>
      <c r="AW598" s="27"/>
      <c r="AX598" s="27"/>
      <c r="AY598" s="27"/>
      <c r="AZ598" s="27"/>
      <c r="BA598" s="27"/>
      <c r="BB598" s="27"/>
      <c r="BC598" s="27"/>
      <c r="BD598" s="27"/>
      <c r="BE598" s="27"/>
      <c r="BF598" s="27"/>
      <c r="BG598" s="27"/>
      <c r="BH598" s="27"/>
      <c r="BI598" s="27"/>
      <c r="BJ598" s="27"/>
      <c r="BK598" s="27"/>
      <c r="BL598" s="27"/>
      <c r="BM598" s="27"/>
      <c r="BN598" s="27"/>
      <c r="BO598" s="27"/>
      <c r="BP598" s="27"/>
      <c r="BQ598" s="27"/>
      <c r="BR598" s="27"/>
      <c r="BS598" s="27"/>
      <c r="BT598" s="27"/>
      <c r="BU598" s="27"/>
      <c r="BV598" s="27"/>
      <c r="BW598" s="27"/>
      <c r="BX598" s="27"/>
      <c r="BY598" s="27"/>
      <c r="BZ598" s="27"/>
      <c r="CA598" s="27"/>
      <c r="CB598" s="27"/>
      <c r="CC598" s="27"/>
      <c r="CD598" s="27"/>
      <c r="CE598" s="27"/>
      <c r="CF598" s="27"/>
      <c r="CG598" s="27"/>
      <c r="CH598" s="27"/>
      <c r="CI598" s="27"/>
      <c r="CJ598" s="27"/>
      <c r="CK598" s="27"/>
      <c r="CL598" s="27"/>
      <c r="CM598" s="27"/>
      <c r="CN598" s="27"/>
      <c r="CO598" s="27"/>
      <c r="CP598" s="27"/>
      <c r="CQ598" s="27"/>
      <c r="CR598" s="27"/>
      <c r="CS598" s="27"/>
      <c r="CT598" s="27"/>
      <c r="CU598" s="27"/>
      <c r="CV598" s="27"/>
      <c r="CW598" s="27"/>
      <c r="CX598" s="27"/>
      <c r="CY598" s="27"/>
      <c r="CZ598" s="27"/>
      <c r="DA598" s="27"/>
      <c r="DB598" s="27"/>
      <c r="DC598" s="27"/>
      <c r="DD598" s="27"/>
      <c r="DE598" s="27"/>
      <c r="DF598" s="27"/>
      <c r="DG598" s="27"/>
      <c r="DH598" s="27"/>
      <c r="DI598" s="27"/>
      <c r="DJ598" s="27"/>
      <c r="DK598" s="27"/>
      <c r="DL598" s="27"/>
      <c r="DM598" s="27"/>
      <c r="DN598" s="27"/>
      <c r="DO598" s="27"/>
      <c r="DP598" s="27"/>
      <c r="DQ598" s="27"/>
      <c r="DR598" s="27"/>
      <c r="DS598" s="27"/>
      <c r="DT598" s="27"/>
    </row>
    <row r="599" spans="7:124" x14ac:dyDescent="0.2">
      <c r="G599" s="27"/>
      <c r="H599" s="27"/>
      <c r="I599" s="27"/>
      <c r="J599" s="27"/>
      <c r="K599" s="27"/>
      <c r="L599" s="27"/>
      <c r="M599" s="27"/>
      <c r="N599" s="27"/>
      <c r="O599" s="27"/>
      <c r="P599" s="27"/>
      <c r="Q599" s="27"/>
      <c r="R599" s="27"/>
      <c r="S599" s="27"/>
      <c r="T599" s="27"/>
      <c r="U599" s="27"/>
      <c r="V599" s="27"/>
      <c r="W599" s="27"/>
      <c r="X599" s="27"/>
      <c r="Y599" s="27"/>
      <c r="Z599" s="27"/>
      <c r="AA599" s="27"/>
      <c r="AB599" s="27"/>
      <c r="AC599" s="27"/>
      <c r="AD599" s="27"/>
      <c r="AE599" s="27"/>
      <c r="AF599" s="27"/>
      <c r="AG599" s="27"/>
      <c r="AH599" s="27"/>
      <c r="AI599" s="27"/>
      <c r="AJ599" s="27"/>
      <c r="AK599" s="27"/>
      <c r="AL599" s="27"/>
      <c r="AM599" s="27"/>
      <c r="AN599" s="27"/>
      <c r="AO599" s="27"/>
      <c r="AP599" s="27"/>
      <c r="AQ599" s="27"/>
      <c r="AR599" s="27"/>
      <c r="AS599" s="27"/>
      <c r="AT599" s="27"/>
      <c r="AU599" s="27"/>
      <c r="AV599" s="27"/>
      <c r="AW599" s="27"/>
      <c r="AX599" s="27"/>
      <c r="AY599" s="27"/>
      <c r="AZ599" s="27"/>
      <c r="BA599" s="27"/>
      <c r="BB599" s="27"/>
      <c r="BC599" s="27"/>
      <c r="BD599" s="27"/>
      <c r="BE599" s="27"/>
      <c r="BF599" s="27"/>
      <c r="BG599" s="27"/>
      <c r="BH599" s="27"/>
      <c r="BI599" s="27"/>
      <c r="BJ599" s="27"/>
      <c r="BK599" s="27"/>
      <c r="BL599" s="27"/>
      <c r="BM599" s="27"/>
      <c r="BN599" s="27"/>
      <c r="BO599" s="27"/>
      <c r="BP599" s="27"/>
      <c r="BQ599" s="27"/>
      <c r="BR599" s="27"/>
      <c r="BS599" s="27"/>
      <c r="BT599" s="27"/>
      <c r="BU599" s="27"/>
      <c r="BV599" s="27"/>
      <c r="BW599" s="27"/>
      <c r="BX599" s="27"/>
      <c r="BY599" s="27"/>
      <c r="BZ599" s="27"/>
      <c r="CA599" s="27"/>
      <c r="CB599" s="27"/>
      <c r="CC599" s="27"/>
      <c r="CD599" s="27"/>
      <c r="CE599" s="27"/>
      <c r="CF599" s="27"/>
      <c r="CG599" s="27"/>
      <c r="CH599" s="27"/>
      <c r="CI599" s="27"/>
      <c r="CJ599" s="27"/>
      <c r="CK599" s="27"/>
      <c r="CL599" s="27"/>
      <c r="CM599" s="27"/>
      <c r="CN599" s="27"/>
      <c r="CO599" s="27"/>
      <c r="CP599" s="27"/>
      <c r="CQ599" s="27"/>
      <c r="CR599" s="27"/>
      <c r="CS599" s="27"/>
      <c r="CT599" s="27"/>
      <c r="CU599" s="27"/>
      <c r="CV599" s="27"/>
      <c r="CW599" s="27"/>
      <c r="CX599" s="27"/>
      <c r="CY599" s="27"/>
      <c r="CZ599" s="27"/>
      <c r="DA599" s="27"/>
      <c r="DB599" s="27"/>
      <c r="DC599" s="27"/>
      <c r="DD599" s="27"/>
      <c r="DE599" s="27"/>
      <c r="DF599" s="27"/>
      <c r="DG599" s="27"/>
      <c r="DH599" s="27"/>
      <c r="DI599" s="27"/>
      <c r="DJ599" s="27"/>
      <c r="DK599" s="27"/>
      <c r="DL599" s="27"/>
      <c r="DM599" s="27"/>
      <c r="DN599" s="27"/>
      <c r="DO599" s="27"/>
      <c r="DP599" s="27"/>
      <c r="DQ599" s="27"/>
      <c r="DR599" s="27"/>
      <c r="DS599" s="27"/>
      <c r="DT599" s="27"/>
    </row>
    <row r="600" spans="7:124" x14ac:dyDescent="0.2">
      <c r="G600" s="27"/>
      <c r="H600" s="27"/>
      <c r="I600" s="27"/>
      <c r="J600" s="27"/>
      <c r="K600" s="27"/>
      <c r="L600" s="27"/>
      <c r="M600" s="27"/>
      <c r="N600" s="27"/>
      <c r="O600" s="27"/>
      <c r="P600" s="27"/>
      <c r="Q600" s="27"/>
      <c r="R600" s="27"/>
      <c r="S600" s="27"/>
      <c r="T600" s="27"/>
      <c r="U600" s="27"/>
      <c r="V600" s="27"/>
      <c r="W600" s="27"/>
      <c r="X600" s="27"/>
      <c r="Y600" s="27"/>
      <c r="Z600" s="27"/>
      <c r="AA600" s="27"/>
      <c r="AB600" s="27"/>
      <c r="AC600" s="27"/>
      <c r="AD600" s="27"/>
      <c r="AE600" s="27"/>
      <c r="AF600" s="27"/>
      <c r="AG600" s="27"/>
      <c r="AH600" s="27"/>
      <c r="AI600" s="27"/>
      <c r="AJ600" s="27"/>
      <c r="AK600" s="27"/>
      <c r="AL600" s="27"/>
      <c r="AM600" s="27"/>
      <c r="AN600" s="27"/>
      <c r="AO600" s="27"/>
      <c r="AP600" s="27"/>
      <c r="AQ600" s="27"/>
      <c r="AR600" s="27"/>
      <c r="AS600" s="27"/>
      <c r="AT600" s="27"/>
      <c r="AU600" s="27"/>
      <c r="AV600" s="27"/>
      <c r="AW600" s="27"/>
      <c r="AX600" s="27"/>
      <c r="AY600" s="27"/>
      <c r="AZ600" s="27"/>
      <c r="BA600" s="27"/>
      <c r="BB600" s="27"/>
      <c r="BC600" s="27"/>
      <c r="BD600" s="27"/>
      <c r="BE600" s="27"/>
      <c r="BF600" s="27"/>
      <c r="BG600" s="27"/>
      <c r="BH600" s="27"/>
      <c r="BI600" s="27"/>
      <c r="BJ600" s="27"/>
      <c r="BK600" s="27"/>
      <c r="BL600" s="27"/>
      <c r="BM600" s="27"/>
      <c r="BN600" s="27"/>
      <c r="BO600" s="27"/>
      <c r="BP600" s="27"/>
      <c r="BQ600" s="27"/>
      <c r="BR600" s="27"/>
      <c r="BS600" s="27"/>
      <c r="BT600" s="27"/>
      <c r="BU600" s="27"/>
      <c r="BV600" s="27"/>
      <c r="BW600" s="27"/>
      <c r="BX600" s="27"/>
      <c r="BY600" s="27"/>
      <c r="BZ600" s="27"/>
      <c r="CA600" s="27"/>
      <c r="CB600" s="27"/>
      <c r="CC600" s="27"/>
      <c r="CD600" s="27"/>
      <c r="CE600" s="27"/>
      <c r="CF600" s="27"/>
      <c r="CG600" s="27"/>
      <c r="CH600" s="27"/>
      <c r="CI600" s="27"/>
      <c r="CJ600" s="27"/>
      <c r="CK600" s="27"/>
      <c r="CL600" s="27"/>
      <c r="CM600" s="27"/>
      <c r="CN600" s="27"/>
      <c r="CO600" s="27"/>
      <c r="CP600" s="27"/>
      <c r="CQ600" s="27"/>
      <c r="CR600" s="27"/>
      <c r="CS600" s="27"/>
      <c r="CT600" s="27"/>
      <c r="CU600" s="27"/>
      <c r="CV600" s="27"/>
      <c r="CW600" s="27"/>
      <c r="CX600" s="27"/>
      <c r="CY600" s="27"/>
      <c r="CZ600" s="27"/>
      <c r="DA600" s="27"/>
      <c r="DB600" s="27"/>
      <c r="DC600" s="27"/>
      <c r="DD600" s="27"/>
      <c r="DE600" s="27"/>
      <c r="DF600" s="27"/>
      <c r="DG600" s="27"/>
      <c r="DH600" s="27"/>
      <c r="DI600" s="27"/>
      <c r="DJ600" s="27"/>
      <c r="DK600" s="27"/>
      <c r="DL600" s="27"/>
      <c r="DM600" s="27"/>
      <c r="DN600" s="27"/>
      <c r="DO600" s="27"/>
      <c r="DP600" s="27"/>
      <c r="DQ600" s="27"/>
      <c r="DR600" s="27"/>
      <c r="DS600" s="27"/>
      <c r="DT600" s="27"/>
    </row>
    <row r="601" spans="7:124" x14ac:dyDescent="0.2">
      <c r="G601" s="27"/>
      <c r="H601" s="27"/>
      <c r="I601" s="27"/>
      <c r="J601" s="27"/>
      <c r="K601" s="27"/>
      <c r="L601" s="27"/>
      <c r="M601" s="27"/>
      <c r="N601" s="27"/>
      <c r="O601" s="27"/>
      <c r="P601" s="27"/>
      <c r="Q601" s="27"/>
      <c r="R601" s="27"/>
      <c r="S601" s="27"/>
      <c r="T601" s="27"/>
      <c r="U601" s="27"/>
      <c r="V601" s="27"/>
      <c r="W601" s="27"/>
      <c r="X601" s="27"/>
      <c r="Y601" s="27"/>
      <c r="Z601" s="27"/>
      <c r="AA601" s="27"/>
      <c r="AB601" s="27"/>
      <c r="AC601" s="27"/>
      <c r="AD601" s="27"/>
      <c r="AE601" s="27"/>
      <c r="AF601" s="27"/>
      <c r="AG601" s="27"/>
      <c r="AH601" s="27"/>
      <c r="AI601" s="27"/>
      <c r="AJ601" s="27"/>
      <c r="AK601" s="27"/>
      <c r="AL601" s="27"/>
      <c r="AM601" s="27"/>
      <c r="AN601" s="27"/>
      <c r="AO601" s="27"/>
      <c r="AP601" s="27"/>
      <c r="AQ601" s="27"/>
      <c r="AR601" s="27"/>
      <c r="AS601" s="27"/>
      <c r="AT601" s="27"/>
      <c r="AU601" s="27"/>
      <c r="AV601" s="27"/>
      <c r="AW601" s="27"/>
      <c r="AX601" s="27"/>
      <c r="AY601" s="27"/>
      <c r="AZ601" s="27"/>
      <c r="BA601" s="27"/>
      <c r="BB601" s="27"/>
      <c r="BC601" s="27"/>
      <c r="BD601" s="27"/>
      <c r="BE601" s="27"/>
      <c r="BF601" s="27"/>
      <c r="BG601" s="27"/>
      <c r="BH601" s="27"/>
      <c r="BI601" s="27"/>
      <c r="BJ601" s="27"/>
      <c r="BK601" s="27"/>
      <c r="BL601" s="27"/>
      <c r="BM601" s="27"/>
      <c r="BN601" s="27"/>
      <c r="BO601" s="27"/>
      <c r="BP601" s="27"/>
      <c r="BQ601" s="27"/>
      <c r="BR601" s="27"/>
      <c r="BS601" s="27"/>
      <c r="BT601" s="27"/>
      <c r="BU601" s="27"/>
      <c r="BV601" s="27"/>
      <c r="BW601" s="27"/>
      <c r="BX601" s="27"/>
      <c r="BY601" s="27"/>
      <c r="BZ601" s="27"/>
      <c r="CA601" s="27"/>
      <c r="CB601" s="27"/>
      <c r="CC601" s="27"/>
      <c r="CD601" s="27"/>
      <c r="CE601" s="27"/>
      <c r="CF601" s="27"/>
      <c r="CG601" s="27"/>
      <c r="CH601" s="27"/>
      <c r="CI601" s="27"/>
      <c r="CJ601" s="27"/>
      <c r="CK601" s="27"/>
      <c r="CL601" s="27"/>
      <c r="CM601" s="27"/>
      <c r="CN601" s="27"/>
      <c r="CO601" s="27"/>
      <c r="CP601" s="27"/>
      <c r="CQ601" s="27"/>
      <c r="CR601" s="27"/>
      <c r="CS601" s="27"/>
      <c r="CT601" s="27"/>
      <c r="CU601" s="27"/>
      <c r="CV601" s="27"/>
      <c r="CW601" s="27"/>
      <c r="CX601" s="27"/>
      <c r="CY601" s="27"/>
      <c r="CZ601" s="27"/>
      <c r="DA601" s="27"/>
      <c r="DB601" s="27"/>
      <c r="DC601" s="27"/>
      <c r="DD601" s="27"/>
      <c r="DE601" s="27"/>
      <c r="DF601" s="27"/>
      <c r="DG601" s="27"/>
      <c r="DH601" s="27"/>
      <c r="DI601" s="27"/>
      <c r="DJ601" s="27"/>
      <c r="DK601" s="27"/>
      <c r="DL601" s="27"/>
      <c r="DM601" s="27"/>
      <c r="DN601" s="27"/>
      <c r="DO601" s="27"/>
      <c r="DP601" s="27"/>
      <c r="DQ601" s="27"/>
      <c r="DR601" s="27"/>
      <c r="DS601" s="27"/>
      <c r="DT601" s="27"/>
    </row>
    <row r="602" spans="7:124" x14ac:dyDescent="0.2">
      <c r="G602" s="27"/>
      <c r="H602" s="27"/>
      <c r="I602" s="27"/>
      <c r="J602" s="27"/>
      <c r="K602" s="27"/>
      <c r="L602" s="27"/>
      <c r="M602" s="27"/>
      <c r="N602" s="27"/>
      <c r="O602" s="27"/>
      <c r="P602" s="27"/>
      <c r="Q602" s="27"/>
      <c r="R602" s="27"/>
      <c r="S602" s="27"/>
      <c r="T602" s="27"/>
      <c r="U602" s="27"/>
      <c r="V602" s="27"/>
      <c r="W602" s="27"/>
      <c r="X602" s="27"/>
      <c r="Y602" s="27"/>
      <c r="Z602" s="27"/>
      <c r="AA602" s="27"/>
      <c r="AB602" s="27"/>
      <c r="AC602" s="27"/>
      <c r="AD602" s="27"/>
      <c r="AE602" s="27"/>
      <c r="AF602" s="27"/>
      <c r="AG602" s="27"/>
      <c r="AH602" s="27"/>
      <c r="AI602" s="27"/>
      <c r="AJ602" s="27"/>
      <c r="AK602" s="27"/>
      <c r="AL602" s="27"/>
      <c r="AM602" s="27"/>
      <c r="AN602" s="27"/>
      <c r="AO602" s="27"/>
      <c r="AP602" s="27"/>
      <c r="AQ602" s="27"/>
      <c r="AR602" s="27"/>
      <c r="AS602" s="27"/>
      <c r="AT602" s="27"/>
      <c r="AU602" s="27"/>
      <c r="AV602" s="27"/>
      <c r="AW602" s="27"/>
      <c r="AX602" s="27"/>
      <c r="AY602" s="27"/>
      <c r="AZ602" s="27"/>
      <c r="BA602" s="27"/>
      <c r="BB602" s="27"/>
      <c r="BC602" s="27"/>
      <c r="BD602" s="27"/>
      <c r="BE602" s="27"/>
      <c r="BF602" s="27"/>
      <c r="BG602" s="27"/>
      <c r="BH602" s="27"/>
      <c r="BI602" s="27"/>
      <c r="BJ602" s="27"/>
      <c r="BK602" s="27"/>
      <c r="BL602" s="27"/>
      <c r="BM602" s="27"/>
      <c r="BN602" s="27"/>
      <c r="BO602" s="27"/>
      <c r="BP602" s="27"/>
      <c r="BQ602" s="27"/>
      <c r="BR602" s="27"/>
      <c r="BS602" s="27"/>
      <c r="BT602" s="27"/>
      <c r="BU602" s="27"/>
      <c r="BV602" s="27"/>
      <c r="BW602" s="27"/>
      <c r="BX602" s="27"/>
      <c r="BY602" s="27"/>
      <c r="BZ602" s="27"/>
      <c r="CA602" s="27"/>
      <c r="CB602" s="27"/>
      <c r="CC602" s="27"/>
      <c r="CD602" s="27"/>
      <c r="CE602" s="27"/>
      <c r="CF602" s="27"/>
      <c r="CG602" s="27"/>
      <c r="CH602" s="27"/>
      <c r="CI602" s="27"/>
      <c r="CJ602" s="27"/>
      <c r="CK602" s="27"/>
      <c r="CL602" s="27"/>
      <c r="CM602" s="27"/>
      <c r="CN602" s="27"/>
      <c r="CO602" s="27"/>
      <c r="CP602" s="27"/>
      <c r="CQ602" s="27"/>
      <c r="CR602" s="27"/>
      <c r="CS602" s="27"/>
      <c r="CT602" s="27"/>
      <c r="CU602" s="27"/>
      <c r="CV602" s="27"/>
      <c r="CW602" s="27"/>
      <c r="CX602" s="27"/>
      <c r="CY602" s="27"/>
      <c r="CZ602" s="27"/>
      <c r="DA602" s="27"/>
      <c r="DB602" s="27"/>
      <c r="DC602" s="27"/>
      <c r="DD602" s="27"/>
      <c r="DE602" s="27"/>
      <c r="DF602" s="27"/>
      <c r="DG602" s="27"/>
      <c r="DH602" s="27"/>
      <c r="DI602" s="27"/>
      <c r="DJ602" s="27"/>
      <c r="DK602" s="27"/>
      <c r="DL602" s="27"/>
      <c r="DM602" s="27"/>
      <c r="DN602" s="27"/>
      <c r="DO602" s="27"/>
      <c r="DP602" s="27"/>
      <c r="DQ602" s="27"/>
      <c r="DR602" s="27"/>
      <c r="DS602" s="27"/>
      <c r="DT602" s="27"/>
    </row>
    <row r="603" spans="7:124" x14ac:dyDescent="0.2">
      <c r="G603" s="27"/>
      <c r="H603" s="27"/>
      <c r="I603" s="27"/>
      <c r="J603" s="27"/>
      <c r="K603" s="27"/>
      <c r="L603" s="27"/>
      <c r="M603" s="27"/>
      <c r="N603" s="27"/>
      <c r="O603" s="27"/>
      <c r="P603" s="27"/>
      <c r="Q603" s="27"/>
      <c r="R603" s="27"/>
      <c r="S603" s="27"/>
      <c r="T603" s="27"/>
      <c r="U603" s="27"/>
      <c r="V603" s="27"/>
      <c r="W603" s="27"/>
      <c r="X603" s="27"/>
      <c r="Y603" s="27"/>
      <c r="Z603" s="27"/>
      <c r="AA603" s="27"/>
      <c r="AB603" s="27"/>
      <c r="AC603" s="27"/>
      <c r="AD603" s="27"/>
      <c r="AE603" s="27"/>
      <c r="AF603" s="27"/>
      <c r="AG603" s="27"/>
      <c r="AH603" s="27"/>
      <c r="AI603" s="27"/>
      <c r="AJ603" s="27"/>
      <c r="AK603" s="27"/>
      <c r="AL603" s="27"/>
      <c r="AM603" s="27"/>
      <c r="AN603" s="27"/>
      <c r="AO603" s="27"/>
      <c r="AP603" s="27"/>
      <c r="AQ603" s="27"/>
      <c r="AR603" s="27"/>
      <c r="AS603" s="27"/>
      <c r="AT603" s="27"/>
      <c r="AU603" s="27"/>
      <c r="AV603" s="27"/>
      <c r="AW603" s="27"/>
      <c r="AX603" s="27"/>
      <c r="AY603" s="27"/>
      <c r="AZ603" s="27"/>
      <c r="BA603" s="27"/>
      <c r="BB603" s="27"/>
      <c r="BC603" s="27"/>
      <c r="BD603" s="27"/>
      <c r="BE603" s="27"/>
      <c r="BF603" s="27"/>
      <c r="BG603" s="27"/>
      <c r="BH603" s="27"/>
      <c r="BI603" s="27"/>
      <c r="BJ603" s="27"/>
      <c r="BK603" s="27"/>
      <c r="BL603" s="27"/>
      <c r="BM603" s="27"/>
      <c r="BN603" s="27"/>
      <c r="BO603" s="27"/>
      <c r="BP603" s="27"/>
      <c r="BQ603" s="27"/>
      <c r="BR603" s="27"/>
      <c r="BS603" s="27"/>
      <c r="BT603" s="27"/>
      <c r="BU603" s="27"/>
      <c r="BV603" s="27"/>
      <c r="BW603" s="27"/>
      <c r="BX603" s="27"/>
      <c r="BY603" s="27"/>
      <c r="BZ603" s="27"/>
      <c r="CA603" s="27"/>
      <c r="CB603" s="27"/>
      <c r="CC603" s="27"/>
      <c r="CD603" s="27"/>
      <c r="CE603" s="27"/>
      <c r="CF603" s="27"/>
      <c r="CG603" s="27"/>
      <c r="CH603" s="27"/>
      <c r="CI603" s="27"/>
      <c r="CJ603" s="27"/>
      <c r="CK603" s="27"/>
      <c r="CL603" s="27"/>
      <c r="CM603" s="27"/>
      <c r="CN603" s="27"/>
      <c r="CO603" s="27"/>
      <c r="CP603" s="27"/>
      <c r="CQ603" s="27"/>
      <c r="CR603" s="27"/>
      <c r="CS603" s="27"/>
      <c r="CT603" s="27"/>
      <c r="CU603" s="27"/>
      <c r="CV603" s="27"/>
      <c r="CW603" s="27"/>
      <c r="CX603" s="27"/>
      <c r="CY603" s="27"/>
      <c r="CZ603" s="27"/>
      <c r="DA603" s="27"/>
      <c r="DB603" s="27"/>
      <c r="DC603" s="27"/>
      <c r="DD603" s="27"/>
      <c r="DE603" s="27"/>
      <c r="DF603" s="27"/>
      <c r="DG603" s="27"/>
      <c r="DH603" s="27"/>
      <c r="DI603" s="27"/>
      <c r="DJ603" s="27"/>
      <c r="DK603" s="27"/>
      <c r="DL603" s="27"/>
      <c r="DM603" s="27"/>
      <c r="DN603" s="27"/>
      <c r="DO603" s="27"/>
      <c r="DP603" s="27"/>
      <c r="DQ603" s="27"/>
      <c r="DR603" s="27"/>
      <c r="DS603" s="27"/>
      <c r="DT603" s="27"/>
    </row>
    <row r="604" spans="7:124" x14ac:dyDescent="0.2">
      <c r="G604" s="27"/>
      <c r="H604" s="27"/>
      <c r="I604" s="27"/>
      <c r="J604" s="27"/>
      <c r="K604" s="27"/>
      <c r="L604" s="27"/>
      <c r="M604" s="27"/>
      <c r="N604" s="27"/>
      <c r="O604" s="27"/>
      <c r="P604" s="27"/>
      <c r="Q604" s="27"/>
      <c r="R604" s="27"/>
      <c r="S604" s="27"/>
      <c r="T604" s="27"/>
      <c r="U604" s="27"/>
      <c r="V604" s="27"/>
      <c r="W604" s="27"/>
      <c r="X604" s="27"/>
      <c r="Y604" s="27"/>
      <c r="Z604" s="27"/>
      <c r="AA604" s="27"/>
      <c r="AB604" s="27"/>
      <c r="AC604" s="27"/>
      <c r="AD604" s="27"/>
      <c r="AE604" s="27"/>
      <c r="AF604" s="27"/>
      <c r="AG604" s="27"/>
      <c r="AH604" s="27"/>
      <c r="AI604" s="27"/>
      <c r="AJ604" s="27"/>
      <c r="AK604" s="27"/>
      <c r="AL604" s="27"/>
      <c r="AM604" s="27"/>
      <c r="AN604" s="27"/>
      <c r="AO604" s="27"/>
      <c r="AP604" s="27"/>
      <c r="AQ604" s="27"/>
      <c r="AR604" s="27"/>
      <c r="AS604" s="27"/>
      <c r="AT604" s="27"/>
      <c r="AU604" s="27"/>
      <c r="AV604" s="27"/>
      <c r="AW604" s="27"/>
      <c r="AX604" s="27"/>
      <c r="AY604" s="27"/>
      <c r="AZ604" s="27"/>
      <c r="BA604" s="27"/>
      <c r="BB604" s="27"/>
      <c r="BC604" s="27"/>
      <c r="BD604" s="27"/>
      <c r="BE604" s="27"/>
      <c r="BF604" s="27"/>
      <c r="BG604" s="27"/>
      <c r="BH604" s="27"/>
      <c r="BI604" s="27"/>
      <c r="BJ604" s="27"/>
      <c r="BK604" s="27"/>
      <c r="BL604" s="27"/>
      <c r="BM604" s="27"/>
      <c r="BN604" s="27"/>
      <c r="BO604" s="27"/>
      <c r="BP604" s="27"/>
      <c r="BQ604" s="27"/>
      <c r="BR604" s="27"/>
      <c r="BS604" s="27"/>
      <c r="BT604" s="27"/>
      <c r="BU604" s="27"/>
      <c r="BV604" s="27"/>
      <c r="BW604" s="27"/>
      <c r="BX604" s="27"/>
      <c r="BY604" s="27"/>
      <c r="BZ604" s="27"/>
      <c r="CA604" s="27"/>
      <c r="CB604" s="27"/>
      <c r="CC604" s="27"/>
      <c r="CD604" s="27"/>
      <c r="CE604" s="27"/>
      <c r="CF604" s="27"/>
      <c r="CG604" s="27"/>
      <c r="CH604" s="27"/>
      <c r="CI604" s="27"/>
      <c r="CJ604" s="27"/>
      <c r="CK604" s="27"/>
      <c r="CL604" s="27"/>
      <c r="CM604" s="27"/>
      <c r="CN604" s="27"/>
      <c r="CO604" s="27"/>
      <c r="CP604" s="27"/>
      <c r="CQ604" s="27"/>
      <c r="CR604" s="27"/>
      <c r="CS604" s="27"/>
      <c r="CT604" s="27"/>
      <c r="CU604" s="27"/>
      <c r="CV604" s="27"/>
      <c r="CW604" s="27"/>
      <c r="CX604" s="27"/>
      <c r="CY604" s="27"/>
      <c r="CZ604" s="27"/>
      <c r="DA604" s="27"/>
      <c r="DB604" s="27"/>
      <c r="DC604" s="27"/>
      <c r="DD604" s="27"/>
      <c r="DE604" s="27"/>
      <c r="DF604" s="27"/>
      <c r="DG604" s="27"/>
      <c r="DH604" s="27"/>
      <c r="DI604" s="27"/>
      <c r="DJ604" s="27"/>
      <c r="DK604" s="27"/>
      <c r="DL604" s="27"/>
      <c r="DM604" s="27"/>
      <c r="DN604" s="27"/>
      <c r="DO604" s="27"/>
      <c r="DP604" s="27"/>
      <c r="DQ604" s="27"/>
      <c r="DR604" s="27"/>
      <c r="DS604" s="27"/>
      <c r="DT604" s="27"/>
    </row>
    <row r="605" spans="7:124" x14ac:dyDescent="0.2">
      <c r="G605" s="27"/>
      <c r="H605" s="27"/>
      <c r="I605" s="27"/>
      <c r="J605" s="27"/>
      <c r="K605" s="27"/>
      <c r="L605" s="27"/>
      <c r="M605" s="27"/>
      <c r="N605" s="27"/>
      <c r="O605" s="27"/>
      <c r="P605" s="27"/>
      <c r="Q605" s="27"/>
      <c r="R605" s="27"/>
      <c r="S605" s="27"/>
      <c r="T605" s="27"/>
      <c r="U605" s="27"/>
      <c r="V605" s="27"/>
      <c r="W605" s="27"/>
      <c r="X605" s="27"/>
      <c r="Y605" s="27"/>
      <c r="Z605" s="27"/>
      <c r="AA605" s="27"/>
      <c r="AB605" s="27"/>
      <c r="AC605" s="27"/>
      <c r="AD605" s="27"/>
      <c r="AE605" s="27"/>
      <c r="AF605" s="27"/>
      <c r="AG605" s="27"/>
      <c r="AH605" s="27"/>
      <c r="AI605" s="27"/>
      <c r="AJ605" s="27"/>
      <c r="AK605" s="27"/>
      <c r="AL605" s="27"/>
      <c r="AM605" s="27"/>
      <c r="AN605" s="27"/>
      <c r="AO605" s="27"/>
      <c r="AP605" s="27"/>
      <c r="AQ605" s="27"/>
      <c r="AR605" s="27"/>
      <c r="AS605" s="27"/>
      <c r="AT605" s="27"/>
      <c r="AU605" s="27"/>
      <c r="AV605" s="27"/>
      <c r="AW605" s="27"/>
      <c r="AX605" s="27"/>
      <c r="AY605" s="27"/>
      <c r="AZ605" s="27"/>
      <c r="BA605" s="27"/>
      <c r="BB605" s="27"/>
      <c r="BC605" s="27"/>
      <c r="BD605" s="27"/>
      <c r="BE605" s="27"/>
      <c r="BF605" s="27"/>
      <c r="BG605" s="27"/>
      <c r="BH605" s="27"/>
      <c r="BI605" s="27"/>
      <c r="BJ605" s="27"/>
      <c r="BK605" s="27"/>
      <c r="BL605" s="27"/>
      <c r="BM605" s="27"/>
      <c r="BN605" s="27"/>
      <c r="BO605" s="27"/>
      <c r="BP605" s="27"/>
      <c r="BQ605" s="27"/>
      <c r="BR605" s="27"/>
      <c r="BS605" s="27"/>
      <c r="BT605" s="27"/>
      <c r="BU605" s="27"/>
      <c r="BV605" s="27"/>
      <c r="BW605" s="27"/>
      <c r="BX605" s="27"/>
      <c r="BY605" s="27"/>
      <c r="BZ605" s="27"/>
      <c r="CA605" s="27"/>
      <c r="CB605" s="27"/>
      <c r="CC605" s="27"/>
      <c r="CD605" s="27"/>
      <c r="CE605" s="27"/>
      <c r="CF605" s="27"/>
      <c r="CG605" s="27"/>
      <c r="CH605" s="27"/>
      <c r="CI605" s="27"/>
      <c r="CJ605" s="27"/>
      <c r="CK605" s="27"/>
      <c r="CL605" s="27"/>
      <c r="CM605" s="27"/>
      <c r="CN605" s="27"/>
      <c r="CO605" s="27"/>
      <c r="CP605" s="27"/>
      <c r="CQ605" s="27"/>
      <c r="CR605" s="27"/>
      <c r="CS605" s="27"/>
      <c r="CT605" s="27"/>
      <c r="CU605" s="27"/>
      <c r="CV605" s="27"/>
      <c r="CW605" s="27"/>
      <c r="CX605" s="27"/>
      <c r="CY605" s="27"/>
      <c r="CZ605" s="27"/>
      <c r="DA605" s="27"/>
      <c r="DB605" s="27"/>
      <c r="DC605" s="27"/>
      <c r="DD605" s="27"/>
      <c r="DE605" s="27"/>
      <c r="DF605" s="27"/>
      <c r="DG605" s="27"/>
      <c r="DH605" s="27"/>
      <c r="DI605" s="27"/>
      <c r="DJ605" s="27"/>
      <c r="DK605" s="27"/>
      <c r="DL605" s="27"/>
      <c r="DM605" s="27"/>
      <c r="DN605" s="27"/>
      <c r="DO605" s="27"/>
      <c r="DP605" s="27"/>
      <c r="DQ605" s="27"/>
      <c r="DR605" s="27"/>
      <c r="DS605" s="27"/>
      <c r="DT605" s="27"/>
    </row>
    <row r="606" spans="7:124" x14ac:dyDescent="0.2">
      <c r="G606" s="27"/>
      <c r="H606" s="27"/>
      <c r="I606" s="27"/>
      <c r="J606" s="27"/>
      <c r="K606" s="27"/>
      <c r="L606" s="27"/>
      <c r="M606" s="27"/>
      <c r="N606" s="27"/>
      <c r="O606" s="27"/>
      <c r="P606" s="27"/>
      <c r="Q606" s="27"/>
      <c r="R606" s="27"/>
      <c r="S606" s="27"/>
      <c r="T606" s="27"/>
      <c r="U606" s="27"/>
      <c r="V606" s="27"/>
      <c r="W606" s="27"/>
      <c r="X606" s="27"/>
      <c r="Y606" s="27"/>
      <c r="Z606" s="27"/>
      <c r="AA606" s="27"/>
      <c r="AB606" s="27"/>
      <c r="AC606" s="27"/>
      <c r="AD606" s="27"/>
      <c r="AE606" s="27"/>
      <c r="AF606" s="27"/>
      <c r="AG606" s="27"/>
      <c r="AH606" s="27"/>
      <c r="AI606" s="27"/>
      <c r="AJ606" s="27"/>
      <c r="AK606" s="27"/>
      <c r="AL606" s="27"/>
      <c r="AM606" s="27"/>
      <c r="AN606" s="27"/>
      <c r="AO606" s="27"/>
      <c r="AP606" s="27"/>
      <c r="AQ606" s="27"/>
      <c r="AR606" s="27"/>
      <c r="AS606" s="27"/>
      <c r="AT606" s="27"/>
      <c r="AU606" s="27"/>
      <c r="AV606" s="27"/>
      <c r="AW606" s="27"/>
      <c r="AX606" s="27"/>
      <c r="AY606" s="27"/>
      <c r="AZ606" s="27"/>
      <c r="BA606" s="27"/>
      <c r="BB606" s="27"/>
      <c r="BC606" s="27"/>
      <c r="BD606" s="27"/>
      <c r="BE606" s="27"/>
      <c r="BF606" s="27"/>
      <c r="BG606" s="27"/>
      <c r="BH606" s="27"/>
      <c r="BI606" s="27"/>
      <c r="BJ606" s="27"/>
      <c r="BK606" s="27"/>
      <c r="BL606" s="27"/>
      <c r="BM606" s="27"/>
      <c r="BN606" s="27"/>
      <c r="BO606" s="27"/>
      <c r="BP606" s="27"/>
      <c r="BQ606" s="27"/>
      <c r="BR606" s="27"/>
      <c r="BS606" s="27"/>
      <c r="BT606" s="27"/>
      <c r="BU606" s="27"/>
      <c r="BV606" s="27"/>
      <c r="BW606" s="27"/>
      <c r="BX606" s="27"/>
      <c r="BY606" s="27"/>
      <c r="BZ606" s="27"/>
      <c r="CA606" s="27"/>
      <c r="CB606" s="27"/>
      <c r="CC606" s="27"/>
      <c r="CD606" s="27"/>
      <c r="CE606" s="27"/>
      <c r="CF606" s="27"/>
      <c r="CG606" s="27"/>
      <c r="CH606" s="27"/>
      <c r="CI606" s="27"/>
      <c r="CJ606" s="27"/>
      <c r="CK606" s="27"/>
      <c r="CL606" s="27"/>
      <c r="CM606" s="27"/>
      <c r="CN606" s="27"/>
      <c r="CO606" s="27"/>
      <c r="CP606" s="27"/>
      <c r="CQ606" s="27"/>
      <c r="CR606" s="27"/>
      <c r="CS606" s="27"/>
      <c r="CT606" s="27"/>
      <c r="CU606" s="27"/>
      <c r="CV606" s="27"/>
      <c r="CW606" s="27"/>
      <c r="CX606" s="27"/>
      <c r="CY606" s="27"/>
      <c r="CZ606" s="27"/>
      <c r="DA606" s="27"/>
      <c r="DB606" s="27"/>
      <c r="DC606" s="27"/>
      <c r="DD606" s="27"/>
      <c r="DE606" s="27"/>
      <c r="DF606" s="27"/>
      <c r="DG606" s="27"/>
      <c r="DH606" s="27"/>
      <c r="DI606" s="27"/>
      <c r="DJ606" s="27"/>
      <c r="DK606" s="27"/>
      <c r="DL606" s="27"/>
      <c r="DM606" s="27"/>
      <c r="DN606" s="27"/>
      <c r="DO606" s="27"/>
      <c r="DP606" s="27"/>
      <c r="DQ606" s="27"/>
      <c r="DR606" s="27"/>
      <c r="DS606" s="27"/>
      <c r="DT606" s="27"/>
    </row>
    <row r="607" spans="7:124" x14ac:dyDescent="0.2">
      <c r="G607" s="27"/>
      <c r="H607" s="27"/>
      <c r="I607" s="27"/>
      <c r="J607" s="27"/>
      <c r="K607" s="27"/>
      <c r="L607" s="27"/>
      <c r="M607" s="27"/>
      <c r="N607" s="27"/>
      <c r="O607" s="27"/>
      <c r="P607" s="27"/>
      <c r="Q607" s="27"/>
      <c r="R607" s="27"/>
      <c r="S607" s="27"/>
      <c r="T607" s="27"/>
      <c r="U607" s="27"/>
      <c r="V607" s="27"/>
      <c r="W607" s="27"/>
      <c r="X607" s="27"/>
      <c r="Y607" s="27"/>
      <c r="Z607" s="27"/>
      <c r="AA607" s="27"/>
      <c r="AB607" s="27"/>
      <c r="AC607" s="27"/>
      <c r="AD607" s="27"/>
      <c r="AE607" s="27"/>
      <c r="AF607" s="27"/>
      <c r="AG607" s="27"/>
      <c r="AH607" s="27"/>
      <c r="AI607" s="27"/>
      <c r="AJ607" s="27"/>
      <c r="AK607" s="27"/>
      <c r="AL607" s="27"/>
      <c r="AM607" s="27"/>
      <c r="AN607" s="27"/>
      <c r="AO607" s="27"/>
      <c r="AP607" s="27"/>
      <c r="AQ607" s="27"/>
      <c r="AR607" s="27"/>
      <c r="AS607" s="27"/>
      <c r="AT607" s="27"/>
      <c r="AU607" s="27"/>
      <c r="AV607" s="27"/>
      <c r="AW607" s="27"/>
      <c r="AX607" s="27"/>
      <c r="AY607" s="27"/>
      <c r="AZ607" s="27"/>
      <c r="BA607" s="27"/>
      <c r="BB607" s="27"/>
      <c r="BC607" s="27"/>
      <c r="BD607" s="27"/>
      <c r="BE607" s="27"/>
      <c r="BF607" s="27"/>
      <c r="BG607" s="27"/>
      <c r="BH607" s="27"/>
      <c r="BI607" s="27"/>
      <c r="BJ607" s="27"/>
      <c r="BK607" s="27"/>
      <c r="BL607" s="27"/>
      <c r="BM607" s="27"/>
      <c r="BN607" s="27"/>
      <c r="BO607" s="27"/>
      <c r="BP607" s="27"/>
      <c r="BQ607" s="27"/>
      <c r="BR607" s="27"/>
      <c r="BS607" s="27"/>
      <c r="BT607" s="27"/>
      <c r="BU607" s="27"/>
      <c r="BV607" s="27"/>
      <c r="BW607" s="27"/>
      <c r="BX607" s="27"/>
      <c r="BY607" s="27"/>
      <c r="BZ607" s="27"/>
      <c r="CA607" s="27"/>
      <c r="CB607" s="27"/>
      <c r="CC607" s="27"/>
      <c r="CD607" s="27"/>
      <c r="CE607" s="27"/>
      <c r="CF607" s="27"/>
      <c r="CG607" s="27"/>
      <c r="CH607" s="27"/>
      <c r="CI607" s="27"/>
      <c r="CJ607" s="27"/>
      <c r="CK607" s="27"/>
      <c r="CL607" s="27"/>
      <c r="CM607" s="27"/>
      <c r="CN607" s="27"/>
      <c r="CO607" s="27"/>
      <c r="CP607" s="27"/>
      <c r="CQ607" s="27"/>
      <c r="CR607" s="27"/>
      <c r="CS607" s="27"/>
      <c r="CT607" s="27"/>
      <c r="CU607" s="27"/>
      <c r="CV607" s="27"/>
      <c r="CW607" s="27"/>
      <c r="CX607" s="27"/>
      <c r="CY607" s="27"/>
      <c r="CZ607" s="27"/>
      <c r="DA607" s="27"/>
      <c r="DB607" s="27"/>
      <c r="DC607" s="27"/>
      <c r="DD607" s="27"/>
      <c r="DE607" s="27"/>
      <c r="DF607" s="27"/>
      <c r="DG607" s="27"/>
      <c r="DH607" s="27"/>
      <c r="DI607" s="27"/>
      <c r="DJ607" s="27"/>
      <c r="DK607" s="27"/>
      <c r="DL607" s="27"/>
      <c r="DM607" s="27"/>
      <c r="DN607" s="27"/>
      <c r="DO607" s="27"/>
      <c r="DP607" s="27"/>
      <c r="DQ607" s="27"/>
      <c r="DR607" s="27"/>
      <c r="DS607" s="27"/>
      <c r="DT607" s="27"/>
    </row>
    <row r="608" spans="7:124" x14ac:dyDescent="0.2">
      <c r="G608" s="27"/>
      <c r="H608" s="27"/>
      <c r="I608" s="27"/>
      <c r="J608" s="27"/>
      <c r="K608" s="27"/>
      <c r="L608" s="27"/>
      <c r="M608" s="27"/>
      <c r="N608" s="27"/>
      <c r="O608" s="27"/>
      <c r="P608" s="27"/>
      <c r="Q608" s="27"/>
      <c r="R608" s="27"/>
      <c r="S608" s="27"/>
      <c r="T608" s="27"/>
      <c r="U608" s="27"/>
      <c r="V608" s="27"/>
      <c r="W608" s="27"/>
      <c r="X608" s="27"/>
      <c r="Y608" s="27"/>
      <c r="Z608" s="27"/>
      <c r="AA608" s="27"/>
      <c r="AB608" s="27"/>
      <c r="AC608" s="27"/>
      <c r="AD608" s="27"/>
      <c r="AE608" s="27"/>
      <c r="AF608" s="27"/>
      <c r="AG608" s="27"/>
      <c r="AH608" s="27"/>
      <c r="AI608" s="27"/>
      <c r="AJ608" s="27"/>
      <c r="AK608" s="27"/>
      <c r="AL608" s="27"/>
      <c r="AM608" s="27"/>
      <c r="AN608" s="27"/>
      <c r="AO608" s="27"/>
      <c r="AP608" s="27"/>
      <c r="AQ608" s="27"/>
      <c r="AR608" s="27"/>
      <c r="AS608" s="27"/>
      <c r="AT608" s="27"/>
      <c r="AU608" s="27"/>
      <c r="AV608" s="27"/>
      <c r="AW608" s="27"/>
      <c r="AX608" s="27"/>
      <c r="AY608" s="27"/>
      <c r="AZ608" s="27"/>
      <c r="BA608" s="27"/>
      <c r="BB608" s="27"/>
      <c r="BC608" s="27"/>
      <c r="BD608" s="27"/>
      <c r="BE608" s="27"/>
      <c r="BF608" s="27"/>
      <c r="BG608" s="27"/>
      <c r="BH608" s="27"/>
      <c r="BI608" s="27"/>
      <c r="BJ608" s="27"/>
      <c r="BK608" s="27"/>
      <c r="BL608" s="27"/>
      <c r="BM608" s="27"/>
      <c r="BN608" s="27"/>
      <c r="BO608" s="27"/>
      <c r="BP608" s="27"/>
      <c r="BQ608" s="27"/>
      <c r="BR608" s="27"/>
      <c r="BS608" s="27"/>
      <c r="BT608" s="27"/>
      <c r="BU608" s="27"/>
      <c r="BV608" s="27"/>
      <c r="BW608" s="27"/>
      <c r="BX608" s="27"/>
      <c r="BY608" s="27"/>
      <c r="BZ608" s="27"/>
      <c r="CA608" s="27"/>
      <c r="CB608" s="27"/>
      <c r="CC608" s="27"/>
      <c r="CD608" s="27"/>
      <c r="CE608" s="27"/>
      <c r="CF608" s="27"/>
      <c r="CG608" s="27"/>
      <c r="CH608" s="27"/>
      <c r="CI608" s="27"/>
      <c r="CJ608" s="27"/>
      <c r="CK608" s="27"/>
      <c r="CL608" s="27"/>
      <c r="CM608" s="27"/>
      <c r="CN608" s="27"/>
      <c r="CO608" s="27"/>
      <c r="CP608" s="27"/>
      <c r="CQ608" s="27"/>
      <c r="CR608" s="27"/>
      <c r="CS608" s="27"/>
      <c r="CT608" s="27"/>
      <c r="CU608" s="27"/>
      <c r="CV608" s="27"/>
      <c r="CW608" s="27"/>
      <c r="CX608" s="27"/>
      <c r="CY608" s="27"/>
      <c r="CZ608" s="27"/>
      <c r="DA608" s="27"/>
      <c r="DB608" s="27"/>
      <c r="DC608" s="27"/>
      <c r="DD608" s="27"/>
      <c r="DE608" s="27"/>
      <c r="DF608" s="27"/>
      <c r="DG608" s="27"/>
      <c r="DH608" s="27"/>
      <c r="DI608" s="27"/>
      <c r="DJ608" s="27"/>
      <c r="DK608" s="27"/>
      <c r="DL608" s="27"/>
      <c r="DM608" s="27"/>
      <c r="DN608" s="27"/>
      <c r="DO608" s="27"/>
      <c r="DP608" s="27"/>
      <c r="DQ608" s="27"/>
      <c r="DR608" s="27"/>
      <c r="DS608" s="27"/>
      <c r="DT608" s="27"/>
    </row>
    <row r="609" spans="7:124" x14ac:dyDescent="0.2">
      <c r="G609" s="27"/>
      <c r="H609" s="27"/>
      <c r="I609" s="27"/>
      <c r="J609" s="27"/>
      <c r="K609" s="27"/>
      <c r="L609" s="27"/>
      <c r="M609" s="27"/>
      <c r="N609" s="27"/>
      <c r="O609" s="27"/>
      <c r="P609" s="27"/>
      <c r="Q609" s="27"/>
      <c r="R609" s="27"/>
      <c r="S609" s="27"/>
      <c r="T609" s="27"/>
      <c r="U609" s="27"/>
      <c r="V609" s="27"/>
      <c r="W609" s="27"/>
      <c r="X609" s="27"/>
      <c r="Y609" s="27"/>
      <c r="Z609" s="27"/>
      <c r="AA609" s="27"/>
      <c r="AB609" s="27"/>
      <c r="AC609" s="27"/>
      <c r="AD609" s="27"/>
      <c r="AE609" s="27"/>
      <c r="AF609" s="27"/>
      <c r="AG609" s="27"/>
      <c r="AH609" s="27"/>
      <c r="AI609" s="27"/>
      <c r="AJ609" s="27"/>
      <c r="AK609" s="27"/>
      <c r="AL609" s="27"/>
      <c r="AM609" s="27"/>
      <c r="AN609" s="27"/>
      <c r="AO609" s="27"/>
      <c r="AP609" s="27"/>
      <c r="AQ609" s="27"/>
      <c r="AR609" s="27"/>
      <c r="AS609" s="27"/>
      <c r="AT609" s="27"/>
      <c r="AU609" s="27"/>
      <c r="AV609" s="27"/>
      <c r="AW609" s="27"/>
      <c r="AX609" s="27"/>
      <c r="AY609" s="27"/>
      <c r="AZ609" s="27"/>
      <c r="BA609" s="27"/>
      <c r="BB609" s="27"/>
      <c r="BC609" s="27"/>
      <c r="BD609" s="27"/>
      <c r="BE609" s="27"/>
      <c r="BF609" s="27"/>
      <c r="BG609" s="27"/>
      <c r="BH609" s="27"/>
      <c r="BI609" s="27"/>
      <c r="BJ609" s="27"/>
      <c r="BK609" s="27"/>
      <c r="BL609" s="27"/>
      <c r="BM609" s="27"/>
      <c r="BN609" s="27"/>
      <c r="BO609" s="27"/>
      <c r="BP609" s="27"/>
      <c r="BQ609" s="27"/>
      <c r="BR609" s="27"/>
      <c r="BS609" s="27"/>
      <c r="BT609" s="27"/>
      <c r="BU609" s="27"/>
      <c r="BV609" s="27"/>
      <c r="BW609" s="27"/>
      <c r="BX609" s="27"/>
      <c r="BY609" s="27"/>
      <c r="BZ609" s="27"/>
      <c r="CA609" s="27"/>
      <c r="CB609" s="27"/>
      <c r="CC609" s="27"/>
      <c r="CD609" s="27"/>
      <c r="CE609" s="27"/>
      <c r="CF609" s="27"/>
      <c r="CG609" s="27"/>
      <c r="CH609" s="27"/>
      <c r="CI609" s="27"/>
      <c r="CJ609" s="27"/>
      <c r="CK609" s="27"/>
      <c r="CL609" s="27"/>
      <c r="CM609" s="27"/>
      <c r="CN609" s="27"/>
      <c r="CO609" s="27"/>
      <c r="CP609" s="27"/>
      <c r="CQ609" s="27"/>
      <c r="CR609" s="27"/>
      <c r="CS609" s="27"/>
      <c r="CT609" s="27"/>
      <c r="CU609" s="27"/>
      <c r="CV609" s="27"/>
      <c r="CW609" s="27"/>
      <c r="CX609" s="27"/>
      <c r="CY609" s="27"/>
      <c r="CZ609" s="27"/>
      <c r="DA609" s="27"/>
      <c r="DB609" s="27"/>
      <c r="DC609" s="27"/>
      <c r="DD609" s="27"/>
      <c r="DE609" s="27"/>
      <c r="DF609" s="27"/>
      <c r="DG609" s="27"/>
      <c r="DH609" s="27"/>
      <c r="DI609" s="27"/>
      <c r="DJ609" s="27"/>
      <c r="DK609" s="27"/>
      <c r="DL609" s="27"/>
      <c r="DM609" s="27"/>
      <c r="DN609" s="27"/>
      <c r="DO609" s="27"/>
      <c r="DP609" s="27"/>
      <c r="DQ609" s="27"/>
      <c r="DR609" s="27"/>
      <c r="DS609" s="27"/>
      <c r="DT609" s="27"/>
    </row>
    <row r="610" spans="7:124" x14ac:dyDescent="0.2">
      <c r="G610" s="27"/>
      <c r="H610" s="27"/>
      <c r="I610" s="27"/>
      <c r="J610" s="27"/>
      <c r="K610" s="27"/>
      <c r="L610" s="27"/>
      <c r="M610" s="27"/>
      <c r="N610" s="27"/>
      <c r="O610" s="27"/>
      <c r="P610" s="27"/>
      <c r="Q610" s="27"/>
      <c r="R610" s="27"/>
      <c r="S610" s="27"/>
      <c r="T610" s="27"/>
      <c r="U610" s="27"/>
      <c r="V610" s="27"/>
      <c r="W610" s="27"/>
      <c r="X610" s="27"/>
      <c r="Y610" s="27"/>
      <c r="Z610" s="27"/>
      <c r="AA610" s="27"/>
      <c r="AB610" s="27"/>
      <c r="AC610" s="27"/>
      <c r="AD610" s="27"/>
      <c r="AE610" s="27"/>
      <c r="AF610" s="27"/>
      <c r="AG610" s="27"/>
      <c r="AH610" s="27"/>
      <c r="AI610" s="27"/>
      <c r="AJ610" s="27"/>
      <c r="AK610" s="27"/>
      <c r="AL610" s="27"/>
      <c r="AM610" s="27"/>
      <c r="AN610" s="27"/>
      <c r="AO610" s="27"/>
      <c r="AP610" s="27"/>
      <c r="AQ610" s="27"/>
      <c r="AR610" s="27"/>
      <c r="AS610" s="27"/>
      <c r="AT610" s="27"/>
      <c r="AU610" s="27"/>
      <c r="AV610" s="27"/>
      <c r="AW610" s="27"/>
      <c r="AX610" s="27"/>
      <c r="AY610" s="27"/>
      <c r="AZ610" s="27"/>
      <c r="BA610" s="27"/>
      <c r="BB610" s="27"/>
      <c r="BC610" s="27"/>
      <c r="BD610" s="27"/>
      <c r="BE610" s="27"/>
      <c r="BF610" s="27"/>
      <c r="BG610" s="27"/>
      <c r="BH610" s="27"/>
      <c r="BI610" s="27"/>
      <c r="BJ610" s="27"/>
      <c r="BK610" s="27"/>
      <c r="BL610" s="27"/>
      <c r="BM610" s="27"/>
      <c r="BN610" s="27"/>
      <c r="BO610" s="27"/>
      <c r="BP610" s="27"/>
      <c r="BQ610" s="27"/>
      <c r="BR610" s="27"/>
      <c r="BS610" s="27"/>
      <c r="BT610" s="27"/>
      <c r="BU610" s="27"/>
      <c r="BV610" s="27"/>
      <c r="BW610" s="27"/>
      <c r="BX610" s="27"/>
      <c r="BY610" s="27"/>
      <c r="BZ610" s="27"/>
      <c r="CA610" s="27"/>
      <c r="CB610" s="27"/>
      <c r="CC610" s="27"/>
      <c r="CD610" s="27"/>
      <c r="CE610" s="27"/>
      <c r="CF610" s="27"/>
      <c r="CG610" s="27"/>
      <c r="CH610" s="27"/>
      <c r="CI610" s="27"/>
      <c r="CJ610" s="27"/>
      <c r="CK610" s="27"/>
      <c r="CL610" s="27"/>
      <c r="CM610" s="27"/>
      <c r="CN610" s="27"/>
      <c r="CO610" s="27"/>
      <c r="CP610" s="27"/>
      <c r="CQ610" s="27"/>
      <c r="CR610" s="27"/>
      <c r="CS610" s="27"/>
      <c r="CT610" s="27"/>
      <c r="CU610" s="27"/>
      <c r="CV610" s="27"/>
      <c r="CW610" s="27"/>
      <c r="CX610" s="27"/>
      <c r="CY610" s="27"/>
      <c r="CZ610" s="27"/>
      <c r="DA610" s="27"/>
      <c r="DB610" s="27"/>
      <c r="DC610" s="27"/>
      <c r="DD610" s="27"/>
      <c r="DE610" s="27"/>
      <c r="DF610" s="27"/>
      <c r="DG610" s="27"/>
      <c r="DH610" s="27"/>
      <c r="DI610" s="27"/>
      <c r="DJ610" s="27"/>
      <c r="DK610" s="27"/>
      <c r="DL610" s="27"/>
      <c r="DM610" s="27"/>
      <c r="DN610" s="27"/>
      <c r="DO610" s="27"/>
      <c r="DP610" s="27"/>
      <c r="DQ610" s="27"/>
      <c r="DR610" s="27"/>
      <c r="DS610" s="27"/>
      <c r="DT610" s="27"/>
    </row>
    <row r="611" spans="7:124" x14ac:dyDescent="0.2">
      <c r="G611" s="27"/>
      <c r="H611" s="27"/>
      <c r="I611" s="27"/>
      <c r="J611" s="27"/>
      <c r="K611" s="27"/>
      <c r="L611" s="27"/>
      <c r="M611" s="27"/>
      <c r="N611" s="27"/>
      <c r="O611" s="27"/>
      <c r="P611" s="27"/>
      <c r="Q611" s="27"/>
      <c r="R611" s="27"/>
      <c r="S611" s="27"/>
      <c r="T611" s="27"/>
      <c r="U611" s="27"/>
      <c r="V611" s="27"/>
      <c r="W611" s="27"/>
      <c r="X611" s="27"/>
      <c r="Y611" s="27"/>
      <c r="Z611" s="27"/>
      <c r="AA611" s="27"/>
      <c r="AB611" s="27"/>
      <c r="AC611" s="27"/>
      <c r="AD611" s="27"/>
      <c r="AE611" s="27"/>
      <c r="AF611" s="27"/>
      <c r="AG611" s="27"/>
      <c r="AH611" s="27"/>
      <c r="AI611" s="27"/>
      <c r="AJ611" s="27"/>
      <c r="AK611" s="27"/>
      <c r="AL611" s="27"/>
      <c r="AM611" s="27"/>
      <c r="AN611" s="27"/>
      <c r="AO611" s="27"/>
      <c r="AP611" s="27"/>
      <c r="AQ611" s="27"/>
      <c r="AR611" s="27"/>
      <c r="AS611" s="27"/>
      <c r="AT611" s="27"/>
      <c r="AU611" s="27"/>
      <c r="AV611" s="27"/>
      <c r="AW611" s="27"/>
      <c r="AX611" s="27"/>
      <c r="AY611" s="27"/>
      <c r="AZ611" s="27"/>
      <c r="BA611" s="27"/>
      <c r="BB611" s="27"/>
      <c r="BC611" s="27"/>
      <c r="BD611" s="27"/>
      <c r="BE611" s="27"/>
      <c r="BF611" s="27"/>
      <c r="BG611" s="27"/>
      <c r="BH611" s="27"/>
      <c r="BI611" s="27"/>
      <c r="BJ611" s="27"/>
      <c r="BK611" s="27"/>
      <c r="BL611" s="27"/>
      <c r="BM611" s="27"/>
      <c r="BN611" s="27"/>
      <c r="BO611" s="27"/>
      <c r="BP611" s="27"/>
      <c r="BQ611" s="27"/>
      <c r="BR611" s="27"/>
      <c r="BS611" s="27"/>
      <c r="BT611" s="27"/>
      <c r="BU611" s="27"/>
      <c r="BV611" s="27"/>
      <c r="BW611" s="27"/>
      <c r="BX611" s="27"/>
      <c r="BY611" s="27"/>
      <c r="BZ611" s="27"/>
      <c r="CA611" s="27"/>
      <c r="CB611" s="27"/>
      <c r="CC611" s="27"/>
      <c r="CD611" s="27"/>
      <c r="CE611" s="27"/>
      <c r="CF611" s="27"/>
      <c r="CG611" s="27"/>
      <c r="CH611" s="27"/>
      <c r="CI611" s="27"/>
      <c r="CJ611" s="27"/>
      <c r="CK611" s="27"/>
      <c r="CL611" s="27"/>
      <c r="CM611" s="27"/>
      <c r="CN611" s="27"/>
      <c r="CO611" s="27"/>
      <c r="CP611" s="27"/>
      <c r="CQ611" s="27"/>
      <c r="CR611" s="27"/>
      <c r="CS611" s="27"/>
      <c r="CT611" s="27"/>
      <c r="CU611" s="27"/>
      <c r="CV611" s="27"/>
      <c r="CW611" s="27"/>
      <c r="CX611" s="27"/>
      <c r="CY611" s="27"/>
      <c r="CZ611" s="27"/>
      <c r="DA611" s="27"/>
      <c r="DB611" s="27"/>
      <c r="DC611" s="27"/>
      <c r="DD611" s="27"/>
      <c r="DE611" s="27"/>
      <c r="DF611" s="27"/>
      <c r="DG611" s="27"/>
      <c r="DH611" s="27"/>
      <c r="DI611" s="27"/>
      <c r="DJ611" s="27"/>
      <c r="DK611" s="27"/>
      <c r="DL611" s="27"/>
      <c r="DM611" s="27"/>
      <c r="DN611" s="27"/>
      <c r="DO611" s="27"/>
      <c r="DP611" s="27"/>
      <c r="DQ611" s="27"/>
      <c r="DR611" s="27"/>
      <c r="DS611" s="27"/>
      <c r="DT611" s="27"/>
    </row>
    <row r="612" spans="7:124" x14ac:dyDescent="0.2">
      <c r="G612" s="27"/>
      <c r="H612" s="27"/>
      <c r="I612" s="27"/>
      <c r="J612" s="27"/>
      <c r="K612" s="27"/>
      <c r="L612" s="27"/>
      <c r="M612" s="27"/>
      <c r="N612" s="27"/>
      <c r="O612" s="27"/>
      <c r="P612" s="27"/>
      <c r="Q612" s="27"/>
      <c r="R612" s="27"/>
      <c r="S612" s="27"/>
      <c r="T612" s="27"/>
      <c r="U612" s="27"/>
      <c r="V612" s="27"/>
      <c r="W612" s="27"/>
      <c r="X612" s="27"/>
      <c r="Y612" s="27"/>
      <c r="Z612" s="27"/>
      <c r="AA612" s="27"/>
      <c r="AB612" s="27"/>
      <c r="AC612" s="27"/>
      <c r="AD612" s="27"/>
      <c r="AE612" s="27"/>
      <c r="AF612" s="27"/>
      <c r="AG612" s="27"/>
      <c r="AH612" s="27"/>
      <c r="AI612" s="27"/>
      <c r="AJ612" s="27"/>
      <c r="AK612" s="27"/>
      <c r="AL612" s="27"/>
      <c r="AM612" s="27"/>
      <c r="AN612" s="27"/>
      <c r="AO612" s="27"/>
      <c r="AP612" s="27"/>
      <c r="AQ612" s="27"/>
      <c r="AR612" s="27"/>
      <c r="AS612" s="27"/>
      <c r="AT612" s="27"/>
      <c r="AU612" s="27"/>
      <c r="AV612" s="27"/>
      <c r="AW612" s="27"/>
      <c r="AX612" s="27"/>
      <c r="AY612" s="27"/>
      <c r="AZ612" s="27"/>
      <c r="BA612" s="27"/>
      <c r="BB612" s="27"/>
      <c r="BC612" s="27"/>
      <c r="BD612" s="27"/>
      <c r="BE612" s="27"/>
      <c r="BF612" s="27"/>
      <c r="BG612" s="27"/>
      <c r="BH612" s="27"/>
      <c r="BI612" s="27"/>
      <c r="BJ612" s="27"/>
      <c r="BK612" s="27"/>
      <c r="BL612" s="27"/>
      <c r="BM612" s="27"/>
      <c r="BN612" s="27"/>
      <c r="BO612" s="27"/>
      <c r="BP612" s="27"/>
      <c r="BQ612" s="27"/>
      <c r="BR612" s="27"/>
      <c r="BS612" s="27"/>
      <c r="BT612" s="27"/>
      <c r="BU612" s="27"/>
      <c r="BV612" s="27"/>
      <c r="BW612" s="27"/>
      <c r="BX612" s="27"/>
      <c r="BY612" s="27"/>
      <c r="BZ612" s="27"/>
      <c r="CA612" s="27"/>
      <c r="CB612" s="27"/>
      <c r="CC612" s="27"/>
      <c r="CD612" s="27"/>
      <c r="CE612" s="27"/>
      <c r="CF612" s="27"/>
      <c r="CG612" s="27"/>
      <c r="CH612" s="27"/>
      <c r="CI612" s="27"/>
      <c r="CJ612" s="27"/>
      <c r="CK612" s="27"/>
      <c r="CL612" s="27"/>
      <c r="CM612" s="27"/>
      <c r="CN612" s="27"/>
      <c r="CO612" s="27"/>
      <c r="CP612" s="27"/>
      <c r="CQ612" s="27"/>
      <c r="CR612" s="27"/>
      <c r="CS612" s="27"/>
      <c r="CT612" s="27"/>
      <c r="CU612" s="27"/>
      <c r="CV612" s="27"/>
      <c r="CW612" s="27"/>
      <c r="CX612" s="27"/>
      <c r="CY612" s="27"/>
      <c r="CZ612" s="27"/>
      <c r="DA612" s="27"/>
      <c r="DB612" s="27"/>
      <c r="DC612" s="27"/>
      <c r="DD612" s="27"/>
      <c r="DE612" s="27"/>
      <c r="DF612" s="27"/>
      <c r="DG612" s="27"/>
      <c r="DH612" s="27"/>
      <c r="DI612" s="27"/>
      <c r="DJ612" s="27"/>
      <c r="DK612" s="27"/>
      <c r="DL612" s="27"/>
      <c r="DM612" s="27"/>
      <c r="DN612" s="27"/>
      <c r="DO612" s="27"/>
      <c r="DP612" s="27"/>
      <c r="DQ612" s="27"/>
      <c r="DR612" s="27"/>
      <c r="DS612" s="27"/>
      <c r="DT612" s="27"/>
    </row>
    <row r="613" spans="7:124" x14ac:dyDescent="0.2">
      <c r="G613" s="27"/>
      <c r="H613" s="27"/>
      <c r="I613" s="27"/>
      <c r="J613" s="27"/>
      <c r="K613" s="27"/>
      <c r="L613" s="27"/>
      <c r="M613" s="27"/>
      <c r="N613" s="27"/>
      <c r="O613" s="27"/>
      <c r="P613" s="27"/>
      <c r="Q613" s="27"/>
      <c r="R613" s="27"/>
      <c r="S613" s="27"/>
      <c r="T613" s="27"/>
      <c r="U613" s="27"/>
      <c r="V613" s="27"/>
      <c r="W613" s="27"/>
      <c r="X613" s="27"/>
      <c r="Y613" s="27"/>
      <c r="Z613" s="27"/>
      <c r="AA613" s="27"/>
      <c r="AB613" s="27"/>
      <c r="AC613" s="27"/>
      <c r="AD613" s="27"/>
      <c r="AE613" s="27"/>
      <c r="AF613" s="27"/>
      <c r="AG613" s="27"/>
      <c r="AH613" s="27"/>
      <c r="AI613" s="27"/>
      <c r="AJ613" s="27"/>
      <c r="AK613" s="27"/>
      <c r="AL613" s="27"/>
      <c r="AM613" s="27"/>
      <c r="AN613" s="27"/>
      <c r="AO613" s="27"/>
      <c r="AP613" s="27"/>
      <c r="AQ613" s="27"/>
      <c r="AR613" s="27"/>
      <c r="AS613" s="27"/>
      <c r="AT613" s="27"/>
      <c r="AU613" s="27"/>
      <c r="AV613" s="27"/>
      <c r="AW613" s="27"/>
      <c r="AX613" s="27"/>
      <c r="AY613" s="27"/>
      <c r="AZ613" s="27"/>
      <c r="BA613" s="27"/>
      <c r="BB613" s="27"/>
      <c r="BC613" s="27"/>
      <c r="BD613" s="27"/>
      <c r="BE613" s="27"/>
      <c r="BF613" s="27"/>
      <c r="BG613" s="27"/>
      <c r="BH613" s="27"/>
      <c r="BI613" s="27"/>
      <c r="BJ613" s="27"/>
      <c r="BK613" s="27"/>
      <c r="BL613" s="27"/>
      <c r="BM613" s="27"/>
      <c r="BN613" s="27"/>
      <c r="BO613" s="27"/>
      <c r="BP613" s="27"/>
      <c r="BQ613" s="27"/>
      <c r="BR613" s="27"/>
      <c r="BS613" s="27"/>
      <c r="BT613" s="27"/>
      <c r="BU613" s="27"/>
      <c r="BV613" s="27"/>
      <c r="BW613" s="27"/>
      <c r="BX613" s="27"/>
      <c r="BY613" s="27"/>
      <c r="BZ613" s="27"/>
      <c r="CA613" s="27"/>
      <c r="CB613" s="27"/>
      <c r="CC613" s="27"/>
      <c r="CD613" s="27"/>
      <c r="CE613" s="27"/>
      <c r="CF613" s="27"/>
      <c r="CG613" s="27"/>
      <c r="CH613" s="27"/>
      <c r="CI613" s="27"/>
      <c r="CJ613" s="27"/>
      <c r="CK613" s="27"/>
      <c r="CL613" s="27"/>
      <c r="CM613" s="27"/>
      <c r="CN613" s="27"/>
      <c r="CO613" s="27"/>
      <c r="CP613" s="27"/>
      <c r="CQ613" s="27"/>
      <c r="CR613" s="27"/>
      <c r="CS613" s="27"/>
      <c r="CT613" s="27"/>
      <c r="CU613" s="27"/>
      <c r="CV613" s="27"/>
      <c r="CW613" s="27"/>
      <c r="CX613" s="27"/>
      <c r="CY613" s="27"/>
      <c r="CZ613" s="27"/>
      <c r="DA613" s="27"/>
      <c r="DB613" s="27"/>
      <c r="DC613" s="27"/>
      <c r="DD613" s="27"/>
      <c r="DE613" s="27"/>
      <c r="DF613" s="27"/>
      <c r="DG613" s="27"/>
      <c r="DH613" s="27"/>
      <c r="DI613" s="27"/>
      <c r="DJ613" s="27"/>
      <c r="DK613" s="27"/>
      <c r="DL613" s="27"/>
      <c r="DM613" s="27"/>
      <c r="DN613" s="27"/>
      <c r="DO613" s="27"/>
      <c r="DP613" s="27"/>
      <c r="DQ613" s="27"/>
      <c r="DR613" s="27"/>
      <c r="DS613" s="27"/>
      <c r="DT613" s="27"/>
    </row>
    <row r="614" spans="7:124" x14ac:dyDescent="0.2">
      <c r="G614" s="27"/>
      <c r="H614" s="27"/>
      <c r="I614" s="27"/>
      <c r="J614" s="27"/>
      <c r="K614" s="27"/>
      <c r="L614" s="27"/>
      <c r="M614" s="27"/>
      <c r="N614" s="27"/>
      <c r="O614" s="27"/>
      <c r="P614" s="27"/>
      <c r="Q614" s="27"/>
      <c r="R614" s="27"/>
      <c r="S614" s="27"/>
      <c r="T614" s="27"/>
      <c r="U614" s="27"/>
      <c r="V614" s="27"/>
      <c r="W614" s="27"/>
      <c r="X614" s="27"/>
      <c r="Y614" s="27"/>
      <c r="Z614" s="27"/>
      <c r="AA614" s="27"/>
      <c r="AB614" s="27"/>
      <c r="AC614" s="27"/>
      <c r="AD614" s="27"/>
      <c r="AE614" s="27"/>
      <c r="AF614" s="27"/>
      <c r="AG614" s="27"/>
      <c r="AH614" s="27"/>
      <c r="AI614" s="27"/>
      <c r="AJ614" s="27"/>
      <c r="AK614" s="27"/>
      <c r="AL614" s="27"/>
      <c r="AM614" s="27"/>
      <c r="AN614" s="27"/>
      <c r="AO614" s="27"/>
      <c r="AP614" s="27"/>
      <c r="AQ614" s="27"/>
      <c r="AR614" s="27"/>
      <c r="AS614" s="27"/>
      <c r="AT614" s="27"/>
      <c r="AU614" s="27"/>
      <c r="AV614" s="27"/>
      <c r="AW614" s="27"/>
      <c r="AX614" s="27"/>
      <c r="AY614" s="27"/>
      <c r="AZ614" s="27"/>
      <c r="BA614" s="27"/>
      <c r="BB614" s="27"/>
      <c r="BC614" s="27"/>
      <c r="BD614" s="27"/>
      <c r="BE614" s="27"/>
      <c r="BF614" s="27"/>
      <c r="BG614" s="27"/>
      <c r="BH614" s="27"/>
      <c r="BI614" s="27"/>
      <c r="BJ614" s="27"/>
      <c r="BK614" s="27"/>
      <c r="BL614" s="27"/>
      <c r="BM614" s="27"/>
      <c r="BN614" s="27"/>
      <c r="BO614" s="27"/>
      <c r="BP614" s="27"/>
      <c r="BQ614" s="27"/>
      <c r="BR614" s="27"/>
      <c r="BS614" s="27"/>
      <c r="BT614" s="27"/>
      <c r="BU614" s="27"/>
      <c r="BV614" s="27"/>
      <c r="BW614" s="27"/>
      <c r="BX614" s="27"/>
      <c r="BY614" s="27"/>
      <c r="BZ614" s="27"/>
      <c r="CA614" s="27"/>
      <c r="CB614" s="27"/>
      <c r="CC614" s="27"/>
      <c r="CD614" s="27"/>
      <c r="CE614" s="27"/>
      <c r="CF614" s="27"/>
      <c r="CG614" s="27"/>
      <c r="CH614" s="27"/>
      <c r="CI614" s="27"/>
      <c r="CJ614" s="27"/>
      <c r="CK614" s="27"/>
      <c r="CL614" s="27"/>
      <c r="CM614" s="27"/>
      <c r="CN614" s="27"/>
      <c r="CO614" s="27"/>
      <c r="CP614" s="27"/>
      <c r="CQ614" s="27"/>
      <c r="CR614" s="27"/>
      <c r="CS614" s="27"/>
      <c r="CT614" s="27"/>
      <c r="CU614" s="27"/>
      <c r="CV614" s="27"/>
      <c r="CW614" s="27"/>
      <c r="CX614" s="27"/>
      <c r="CY614" s="27"/>
      <c r="CZ614" s="27"/>
      <c r="DA614" s="27"/>
      <c r="DB614" s="27"/>
      <c r="DC614" s="27"/>
      <c r="DD614" s="27"/>
      <c r="DE614" s="27"/>
      <c r="DF614" s="27"/>
      <c r="DG614" s="27"/>
      <c r="DH614" s="27"/>
      <c r="DI614" s="27"/>
      <c r="DJ614" s="27"/>
      <c r="DK614" s="27"/>
      <c r="DL614" s="27"/>
      <c r="DM614" s="27"/>
      <c r="DN614" s="27"/>
      <c r="DO614" s="27"/>
      <c r="DP614" s="27"/>
      <c r="DQ614" s="27"/>
      <c r="DR614" s="27"/>
      <c r="DS614" s="27"/>
      <c r="DT614" s="27"/>
    </row>
    <row r="615" spans="7:124" x14ac:dyDescent="0.2">
      <c r="G615" s="27"/>
      <c r="H615" s="27"/>
      <c r="I615" s="27"/>
      <c r="J615" s="27"/>
      <c r="K615" s="27"/>
      <c r="L615" s="27"/>
      <c r="M615" s="27"/>
      <c r="N615" s="27"/>
      <c r="O615" s="27"/>
      <c r="P615" s="27"/>
      <c r="Q615" s="27"/>
      <c r="R615" s="27"/>
      <c r="S615" s="27"/>
      <c r="T615" s="27"/>
      <c r="U615" s="27"/>
      <c r="V615" s="27"/>
      <c r="W615" s="27"/>
      <c r="X615" s="27"/>
      <c r="Y615" s="27"/>
      <c r="Z615" s="27"/>
      <c r="AA615" s="27"/>
      <c r="AB615" s="27"/>
      <c r="AC615" s="27"/>
      <c r="AD615" s="27"/>
      <c r="AE615" s="27"/>
      <c r="AF615" s="27"/>
      <c r="AG615" s="27"/>
      <c r="AH615" s="27"/>
      <c r="AI615" s="27"/>
      <c r="AJ615" s="27"/>
      <c r="AK615" s="27"/>
      <c r="AL615" s="27"/>
      <c r="AM615" s="27"/>
      <c r="AN615" s="27"/>
      <c r="AO615" s="27"/>
      <c r="AP615" s="27"/>
      <c r="AQ615" s="27"/>
      <c r="AR615" s="27"/>
      <c r="AS615" s="27"/>
      <c r="AT615" s="27"/>
      <c r="AU615" s="27"/>
      <c r="AV615" s="27"/>
      <c r="AW615" s="27"/>
      <c r="AX615" s="27"/>
      <c r="AY615" s="27"/>
      <c r="AZ615" s="27"/>
      <c r="BA615" s="27"/>
      <c r="BB615" s="27"/>
      <c r="BC615" s="27"/>
      <c r="BD615" s="27"/>
      <c r="BE615" s="27"/>
      <c r="BF615" s="27"/>
      <c r="BG615" s="27"/>
      <c r="BH615" s="27"/>
      <c r="BI615" s="27"/>
      <c r="BJ615" s="27"/>
      <c r="BK615" s="27"/>
      <c r="BL615" s="27"/>
      <c r="BM615" s="27"/>
      <c r="BN615" s="27"/>
      <c r="BO615" s="27"/>
      <c r="BP615" s="27"/>
      <c r="BQ615" s="27"/>
      <c r="BR615" s="27"/>
      <c r="BS615" s="27"/>
      <c r="BT615" s="27"/>
      <c r="BU615" s="27"/>
      <c r="BV615" s="27"/>
      <c r="BW615" s="27"/>
      <c r="BX615" s="27"/>
      <c r="BY615" s="27"/>
      <c r="BZ615" s="27"/>
      <c r="CA615" s="27"/>
      <c r="CB615" s="27"/>
      <c r="CC615" s="27"/>
      <c r="CD615" s="27"/>
      <c r="CE615" s="27"/>
      <c r="CF615" s="27"/>
      <c r="CG615" s="27"/>
      <c r="CH615" s="27"/>
      <c r="CI615" s="27"/>
      <c r="CJ615" s="27"/>
      <c r="CK615" s="27"/>
      <c r="CL615" s="27"/>
      <c r="CM615" s="27"/>
      <c r="CN615" s="27"/>
      <c r="CO615" s="27"/>
      <c r="CP615" s="27"/>
      <c r="CQ615" s="27"/>
      <c r="CR615" s="27"/>
      <c r="CS615" s="27"/>
      <c r="CT615" s="27"/>
      <c r="CU615" s="27"/>
      <c r="CV615" s="27"/>
      <c r="CW615" s="27"/>
      <c r="CX615" s="27"/>
      <c r="CY615" s="27"/>
      <c r="CZ615" s="27"/>
      <c r="DA615" s="27"/>
      <c r="DB615" s="27"/>
      <c r="DC615" s="27"/>
      <c r="DD615" s="27"/>
      <c r="DE615" s="27"/>
      <c r="DF615" s="27"/>
      <c r="DG615" s="27"/>
      <c r="DH615" s="27"/>
      <c r="DI615" s="27"/>
      <c r="DJ615" s="27"/>
      <c r="DK615" s="27"/>
      <c r="DL615" s="27"/>
      <c r="DM615" s="27"/>
      <c r="DN615" s="27"/>
      <c r="DO615" s="27"/>
      <c r="DP615" s="27"/>
      <c r="DQ615" s="27"/>
      <c r="DR615" s="27"/>
      <c r="DS615" s="27"/>
      <c r="DT615" s="27"/>
    </row>
    <row r="616" spans="7:124" x14ac:dyDescent="0.2">
      <c r="G616" s="27"/>
      <c r="H616" s="27"/>
      <c r="I616" s="27"/>
      <c r="J616" s="27"/>
      <c r="K616" s="27"/>
      <c r="L616" s="27"/>
      <c r="M616" s="27"/>
      <c r="N616" s="27"/>
      <c r="O616" s="27"/>
      <c r="P616" s="27"/>
      <c r="Q616" s="27"/>
      <c r="R616" s="27"/>
      <c r="S616" s="27"/>
      <c r="T616" s="27"/>
      <c r="U616" s="27"/>
      <c r="V616" s="27"/>
      <c r="W616" s="27"/>
      <c r="X616" s="27"/>
      <c r="Y616" s="27"/>
      <c r="Z616" s="27"/>
      <c r="AA616" s="27"/>
      <c r="AB616" s="27"/>
      <c r="AC616" s="27"/>
      <c r="AD616" s="27"/>
      <c r="AE616" s="27"/>
      <c r="AF616" s="27"/>
      <c r="AG616" s="27"/>
      <c r="AH616" s="27"/>
      <c r="AI616" s="27"/>
      <c r="AJ616" s="27"/>
      <c r="AK616" s="27"/>
      <c r="AL616" s="27"/>
      <c r="AM616" s="27"/>
      <c r="AN616" s="27"/>
      <c r="AO616" s="27"/>
      <c r="AP616" s="27"/>
      <c r="AQ616" s="27"/>
      <c r="AR616" s="27"/>
      <c r="AS616" s="27"/>
      <c r="AT616" s="27"/>
      <c r="AU616" s="27"/>
      <c r="AV616" s="27"/>
      <c r="AW616" s="27"/>
      <c r="AX616" s="27"/>
      <c r="AY616" s="27"/>
      <c r="AZ616" s="27"/>
      <c r="BA616" s="27"/>
      <c r="BB616" s="27"/>
      <c r="BC616" s="27"/>
      <c r="BD616" s="27"/>
      <c r="BE616" s="27"/>
      <c r="BF616" s="27"/>
      <c r="BG616" s="27"/>
      <c r="BH616" s="27"/>
      <c r="BI616" s="27"/>
      <c r="BJ616" s="27"/>
      <c r="BK616" s="27"/>
      <c r="BL616" s="27"/>
      <c r="BM616" s="27"/>
      <c r="BN616" s="27"/>
      <c r="BO616" s="27"/>
      <c r="BP616" s="27"/>
      <c r="BQ616" s="27"/>
      <c r="BR616" s="27"/>
      <c r="BS616" s="27"/>
      <c r="BT616" s="27"/>
      <c r="BU616" s="27"/>
      <c r="BV616" s="27"/>
      <c r="BW616" s="27"/>
      <c r="BX616" s="27"/>
      <c r="BY616" s="27"/>
      <c r="BZ616" s="27"/>
      <c r="CA616" s="27"/>
      <c r="CB616" s="27"/>
      <c r="CC616" s="27"/>
      <c r="CD616" s="27"/>
      <c r="CE616" s="27"/>
      <c r="CF616" s="27"/>
      <c r="CG616" s="27"/>
      <c r="CH616" s="27"/>
      <c r="CI616" s="27"/>
      <c r="CJ616" s="27"/>
      <c r="CK616" s="27"/>
      <c r="CL616" s="27"/>
      <c r="CM616" s="27"/>
      <c r="CN616" s="27"/>
      <c r="CO616" s="27"/>
      <c r="CP616" s="27"/>
      <c r="CQ616" s="27"/>
      <c r="CR616" s="27"/>
      <c r="CS616" s="27"/>
      <c r="CT616" s="27"/>
      <c r="CU616" s="27"/>
      <c r="CV616" s="27"/>
      <c r="CW616" s="27"/>
      <c r="CX616" s="27"/>
      <c r="CY616" s="27"/>
      <c r="CZ616" s="27"/>
      <c r="DA616" s="27"/>
      <c r="DB616" s="27"/>
      <c r="DC616" s="27"/>
      <c r="DD616" s="27"/>
      <c r="DE616" s="27"/>
      <c r="DF616" s="27"/>
      <c r="DG616" s="27"/>
      <c r="DH616" s="27"/>
      <c r="DI616" s="27"/>
      <c r="DJ616" s="27"/>
      <c r="DK616" s="27"/>
      <c r="DL616" s="27"/>
      <c r="DM616" s="27"/>
      <c r="DN616" s="27"/>
      <c r="DO616" s="27"/>
      <c r="DP616" s="27"/>
      <c r="DQ616" s="27"/>
      <c r="DR616" s="27"/>
      <c r="DS616" s="27"/>
      <c r="DT616" s="27"/>
    </row>
    <row r="617" spans="7:124" x14ac:dyDescent="0.2">
      <c r="G617" s="27"/>
      <c r="H617" s="27"/>
      <c r="I617" s="27"/>
      <c r="J617" s="27"/>
      <c r="K617" s="27"/>
      <c r="L617" s="27"/>
      <c r="M617" s="27"/>
      <c r="N617" s="27"/>
      <c r="O617" s="27"/>
      <c r="P617" s="27"/>
      <c r="Q617" s="27"/>
      <c r="R617" s="27"/>
      <c r="S617" s="27"/>
      <c r="T617" s="27"/>
      <c r="U617" s="27"/>
      <c r="V617" s="27"/>
      <c r="W617" s="27"/>
      <c r="X617" s="27"/>
      <c r="Y617" s="27"/>
      <c r="Z617" s="27"/>
      <c r="AA617" s="27"/>
      <c r="AB617" s="27"/>
      <c r="AC617" s="27"/>
      <c r="AD617" s="27"/>
      <c r="AE617" s="27"/>
      <c r="AF617" s="27"/>
      <c r="AG617" s="27"/>
      <c r="AH617" s="27"/>
      <c r="AI617" s="27"/>
      <c r="AJ617" s="27"/>
      <c r="AK617" s="27"/>
      <c r="AL617" s="27"/>
      <c r="AM617" s="27"/>
      <c r="AN617" s="27"/>
      <c r="AO617" s="27"/>
      <c r="AP617" s="27"/>
      <c r="AQ617" s="27"/>
      <c r="AR617" s="27"/>
      <c r="AS617" s="27"/>
      <c r="AT617" s="27"/>
      <c r="AU617" s="27"/>
      <c r="AV617" s="27"/>
      <c r="AW617" s="27"/>
      <c r="AX617" s="27"/>
      <c r="AY617" s="27"/>
      <c r="AZ617" s="27"/>
      <c r="BA617" s="27"/>
      <c r="BB617" s="27"/>
      <c r="BC617" s="27"/>
      <c r="BD617" s="27"/>
      <c r="BE617" s="27"/>
      <c r="BF617" s="27"/>
      <c r="BG617" s="27"/>
      <c r="BH617" s="27"/>
      <c r="BI617" s="27"/>
      <c r="BJ617" s="27"/>
      <c r="BK617" s="27"/>
      <c r="BL617" s="27"/>
      <c r="BM617" s="27"/>
      <c r="BN617" s="27"/>
      <c r="BO617" s="27"/>
      <c r="BP617" s="27"/>
      <c r="BQ617" s="27"/>
      <c r="BR617" s="27"/>
      <c r="BS617" s="27"/>
      <c r="BT617" s="27"/>
      <c r="BU617" s="27"/>
      <c r="BV617" s="27"/>
      <c r="BW617" s="27"/>
      <c r="BX617" s="27"/>
      <c r="BY617" s="27"/>
      <c r="BZ617" s="27"/>
      <c r="CA617" s="27"/>
      <c r="CB617" s="27"/>
      <c r="CC617" s="27"/>
      <c r="CD617" s="27"/>
      <c r="CE617" s="27"/>
      <c r="CF617" s="27"/>
      <c r="CG617" s="27"/>
      <c r="CH617" s="27"/>
      <c r="CI617" s="27"/>
      <c r="CJ617" s="27"/>
      <c r="CK617" s="27"/>
      <c r="CL617" s="27"/>
      <c r="CM617" s="27"/>
      <c r="CN617" s="27"/>
      <c r="CO617" s="27"/>
      <c r="CP617" s="27"/>
      <c r="CQ617" s="27"/>
      <c r="CR617" s="27"/>
      <c r="CS617" s="27"/>
      <c r="CT617" s="27"/>
      <c r="CU617" s="27"/>
      <c r="CV617" s="27"/>
      <c r="CW617" s="27"/>
      <c r="CX617" s="27"/>
      <c r="CY617" s="27"/>
      <c r="CZ617" s="27"/>
      <c r="DA617" s="27"/>
      <c r="DB617" s="27"/>
      <c r="DC617" s="27"/>
      <c r="DD617" s="27"/>
      <c r="DE617" s="27"/>
      <c r="DF617" s="27"/>
      <c r="DG617" s="27"/>
      <c r="DH617" s="27"/>
      <c r="DI617" s="27"/>
      <c r="DJ617" s="27"/>
      <c r="DK617" s="27"/>
      <c r="DL617" s="27"/>
      <c r="DM617" s="27"/>
      <c r="DN617" s="27"/>
      <c r="DO617" s="27"/>
      <c r="DP617" s="27"/>
      <c r="DQ617" s="27"/>
      <c r="DR617" s="27"/>
      <c r="DS617" s="27"/>
      <c r="DT617" s="27"/>
    </row>
    <row r="618" spans="7:124" x14ac:dyDescent="0.2">
      <c r="G618" s="27"/>
      <c r="H618" s="27"/>
      <c r="I618" s="27"/>
      <c r="J618" s="27"/>
      <c r="K618" s="27"/>
      <c r="L618" s="27"/>
      <c r="M618" s="27"/>
      <c r="N618" s="27"/>
      <c r="O618" s="27"/>
      <c r="P618" s="27"/>
      <c r="Q618" s="27"/>
      <c r="R618" s="27"/>
      <c r="S618" s="27"/>
      <c r="T618" s="27"/>
      <c r="U618" s="27"/>
      <c r="V618" s="27"/>
      <c r="W618" s="27"/>
      <c r="X618" s="27"/>
      <c r="Y618" s="27"/>
      <c r="Z618" s="27"/>
      <c r="AA618" s="27"/>
      <c r="AB618" s="27"/>
      <c r="AC618" s="27"/>
      <c r="AD618" s="27"/>
      <c r="AE618" s="27"/>
      <c r="AF618" s="27"/>
      <c r="AG618" s="27"/>
      <c r="AH618" s="27"/>
      <c r="AI618" s="27"/>
      <c r="AJ618" s="27"/>
      <c r="AK618" s="27"/>
      <c r="AL618" s="27"/>
      <c r="AM618" s="27"/>
      <c r="AN618" s="27"/>
      <c r="AO618" s="27"/>
      <c r="AP618" s="27"/>
      <c r="AQ618" s="27"/>
      <c r="AR618" s="27"/>
      <c r="AS618" s="27"/>
      <c r="AT618" s="27"/>
      <c r="AU618" s="27"/>
      <c r="AV618" s="27"/>
      <c r="AW618" s="27"/>
      <c r="AX618" s="27"/>
      <c r="AY618" s="27"/>
      <c r="AZ618" s="27"/>
      <c r="BA618" s="27"/>
      <c r="BB618" s="27"/>
      <c r="BC618" s="27"/>
      <c r="BD618" s="27"/>
      <c r="BE618" s="27"/>
      <c r="BF618" s="27"/>
      <c r="BG618" s="27"/>
      <c r="BH618" s="27"/>
      <c r="BI618" s="27"/>
      <c r="BJ618" s="27"/>
      <c r="BK618" s="27"/>
      <c r="BL618" s="27"/>
      <c r="BM618" s="27"/>
      <c r="BN618" s="27"/>
      <c r="BO618" s="27"/>
      <c r="BP618" s="27"/>
      <c r="BQ618" s="27"/>
      <c r="BR618" s="27"/>
      <c r="BS618" s="27"/>
      <c r="BT618" s="27"/>
      <c r="BU618" s="27"/>
      <c r="BV618" s="27"/>
      <c r="BW618" s="27"/>
      <c r="BX618" s="27"/>
      <c r="BY618" s="27"/>
      <c r="BZ618" s="27"/>
      <c r="CA618" s="27"/>
      <c r="CB618" s="27"/>
      <c r="CC618" s="27"/>
      <c r="CD618" s="27"/>
      <c r="CE618" s="27"/>
      <c r="CF618" s="27"/>
      <c r="CG618" s="27"/>
      <c r="CH618" s="27"/>
      <c r="CI618" s="27"/>
      <c r="CJ618" s="27"/>
      <c r="CK618" s="27"/>
      <c r="CL618" s="27"/>
      <c r="CM618" s="27"/>
      <c r="CN618" s="27"/>
      <c r="CO618" s="27"/>
      <c r="CP618" s="27"/>
      <c r="CQ618" s="27"/>
      <c r="CR618" s="27"/>
      <c r="CS618" s="27"/>
      <c r="CT618" s="27"/>
      <c r="CU618" s="27"/>
      <c r="CV618" s="27"/>
      <c r="CW618" s="27"/>
      <c r="CX618" s="27"/>
      <c r="CY618" s="27"/>
      <c r="CZ618" s="27"/>
      <c r="DA618" s="27"/>
      <c r="DB618" s="27"/>
      <c r="DC618" s="27"/>
      <c r="DD618" s="27"/>
      <c r="DE618" s="27"/>
      <c r="DF618" s="27"/>
      <c r="DG618" s="27"/>
      <c r="DH618" s="27"/>
      <c r="DI618" s="27"/>
      <c r="DJ618" s="27"/>
      <c r="DK618" s="27"/>
      <c r="DL618" s="27"/>
      <c r="DM618" s="27"/>
      <c r="DN618" s="27"/>
      <c r="DO618" s="27"/>
      <c r="DP618" s="27"/>
      <c r="DQ618" s="27"/>
      <c r="DR618" s="27"/>
      <c r="DS618" s="27"/>
      <c r="DT618" s="27"/>
    </row>
    <row r="619" spans="7:124" x14ac:dyDescent="0.2">
      <c r="G619" s="27"/>
      <c r="H619" s="27"/>
      <c r="I619" s="27"/>
      <c r="J619" s="27"/>
      <c r="K619" s="27"/>
      <c r="L619" s="27"/>
      <c r="M619" s="27"/>
      <c r="N619" s="27"/>
      <c r="O619" s="27"/>
      <c r="P619" s="27"/>
      <c r="Q619" s="27"/>
      <c r="R619" s="27"/>
      <c r="S619" s="27"/>
      <c r="T619" s="27"/>
      <c r="U619" s="27"/>
      <c r="V619" s="27"/>
      <c r="W619" s="27"/>
      <c r="X619" s="27"/>
      <c r="Y619" s="27"/>
      <c r="Z619" s="27"/>
      <c r="AA619" s="27"/>
      <c r="AB619" s="27"/>
      <c r="AC619" s="27"/>
      <c r="AD619" s="27"/>
      <c r="AE619" s="27"/>
      <c r="AF619" s="27"/>
      <c r="AG619" s="27"/>
      <c r="AH619" s="27"/>
      <c r="AI619" s="27"/>
      <c r="AJ619" s="27"/>
      <c r="AK619" s="27"/>
      <c r="AL619" s="27"/>
      <c r="AM619" s="27"/>
      <c r="AN619" s="27"/>
      <c r="AO619" s="27"/>
      <c r="AP619" s="27"/>
      <c r="AQ619" s="27"/>
      <c r="AR619" s="27"/>
      <c r="AS619" s="27"/>
      <c r="AT619" s="27"/>
      <c r="AU619" s="27"/>
      <c r="AV619" s="27"/>
      <c r="AW619" s="27"/>
      <c r="AX619" s="27"/>
      <c r="AY619" s="27"/>
      <c r="AZ619" s="27"/>
      <c r="BA619" s="27"/>
      <c r="BB619" s="27"/>
      <c r="BC619" s="27"/>
      <c r="BD619" s="27"/>
      <c r="BE619" s="27"/>
      <c r="BF619" s="27"/>
      <c r="BG619" s="27"/>
      <c r="BH619" s="27"/>
      <c r="BI619" s="27"/>
      <c r="BJ619" s="27"/>
      <c r="BK619" s="27"/>
      <c r="BL619" s="27"/>
      <c r="BM619" s="27"/>
      <c r="BN619" s="27"/>
      <c r="BO619" s="27"/>
      <c r="BP619" s="27"/>
      <c r="BQ619" s="27"/>
      <c r="BR619" s="27"/>
      <c r="BS619" s="27"/>
      <c r="BT619" s="27"/>
      <c r="BU619" s="27"/>
      <c r="BV619" s="27"/>
      <c r="BW619" s="27"/>
      <c r="BX619" s="27"/>
      <c r="BY619" s="27"/>
      <c r="BZ619" s="27"/>
      <c r="CA619" s="27"/>
      <c r="CB619" s="27"/>
      <c r="CC619" s="27"/>
      <c r="CD619" s="27"/>
      <c r="CE619" s="27"/>
      <c r="CF619" s="27"/>
      <c r="CG619" s="27"/>
      <c r="CH619" s="27"/>
      <c r="CI619" s="27"/>
      <c r="CJ619" s="27"/>
      <c r="CK619" s="27"/>
      <c r="CL619" s="27"/>
      <c r="CM619" s="27"/>
      <c r="CN619" s="27"/>
      <c r="CO619" s="27"/>
      <c r="CP619" s="27"/>
      <c r="CQ619" s="27"/>
      <c r="CR619" s="27"/>
      <c r="CS619" s="27"/>
      <c r="CT619" s="27"/>
      <c r="CU619" s="27"/>
      <c r="CV619" s="27"/>
      <c r="CW619" s="27"/>
      <c r="CX619" s="27"/>
      <c r="CY619" s="27"/>
      <c r="CZ619" s="27"/>
      <c r="DA619" s="27"/>
      <c r="DB619" s="27"/>
      <c r="DC619" s="27"/>
      <c r="DD619" s="27"/>
      <c r="DE619" s="27"/>
      <c r="DF619" s="27"/>
      <c r="DG619" s="27"/>
      <c r="DH619" s="27"/>
      <c r="DI619" s="27"/>
      <c r="DJ619" s="27"/>
      <c r="DK619" s="27"/>
      <c r="DL619" s="27"/>
      <c r="DM619" s="27"/>
      <c r="DN619" s="27"/>
      <c r="DO619" s="27"/>
      <c r="DP619" s="27"/>
      <c r="DQ619" s="27"/>
      <c r="DR619" s="27"/>
      <c r="DS619" s="27"/>
      <c r="DT619" s="27"/>
    </row>
    <row r="620" spans="7:124" x14ac:dyDescent="0.2">
      <c r="G620" s="27"/>
      <c r="H620" s="27"/>
      <c r="I620" s="27"/>
      <c r="J620" s="27"/>
      <c r="K620" s="27"/>
      <c r="L620" s="27"/>
      <c r="M620" s="27"/>
      <c r="N620" s="27"/>
      <c r="O620" s="27"/>
      <c r="P620" s="27"/>
      <c r="Q620" s="27"/>
      <c r="R620" s="27"/>
      <c r="S620" s="27"/>
      <c r="T620" s="27"/>
      <c r="U620" s="27"/>
      <c r="V620" s="27"/>
      <c r="W620" s="27"/>
      <c r="X620" s="27"/>
      <c r="Y620" s="27"/>
      <c r="Z620" s="27"/>
      <c r="AA620" s="27"/>
      <c r="AB620" s="27"/>
      <c r="AC620" s="27"/>
      <c r="AD620" s="27"/>
      <c r="AE620" s="27"/>
      <c r="AF620" s="27"/>
      <c r="AG620" s="27"/>
      <c r="AH620" s="27"/>
      <c r="AI620" s="27"/>
      <c r="AJ620" s="27"/>
      <c r="AK620" s="27"/>
      <c r="AL620" s="27"/>
      <c r="AM620" s="27"/>
      <c r="AN620" s="27"/>
      <c r="AO620" s="27"/>
      <c r="AP620" s="27"/>
      <c r="AQ620" s="27"/>
      <c r="AR620" s="27"/>
      <c r="AS620" s="27"/>
      <c r="AT620" s="27"/>
      <c r="AU620" s="27"/>
      <c r="AV620" s="27"/>
      <c r="AW620" s="27"/>
      <c r="AX620" s="27"/>
      <c r="AY620" s="27"/>
      <c r="AZ620" s="27"/>
      <c r="BA620" s="27"/>
      <c r="BB620" s="27"/>
      <c r="BC620" s="27"/>
      <c r="BD620" s="27"/>
      <c r="BE620" s="27"/>
      <c r="BF620" s="27"/>
      <c r="BG620" s="27"/>
      <c r="BH620" s="27"/>
      <c r="BI620" s="27"/>
      <c r="BJ620" s="27"/>
      <c r="BK620" s="27"/>
      <c r="BL620" s="27"/>
      <c r="BM620" s="27"/>
      <c r="BN620" s="27"/>
      <c r="BO620" s="27"/>
      <c r="BP620" s="27"/>
      <c r="BQ620" s="27"/>
      <c r="BR620" s="27"/>
      <c r="BS620" s="27"/>
      <c r="BT620" s="27"/>
      <c r="BU620" s="27"/>
      <c r="BV620" s="27"/>
      <c r="BW620" s="27"/>
      <c r="BX620" s="27"/>
      <c r="BY620" s="27"/>
      <c r="BZ620" s="27"/>
      <c r="CA620" s="27"/>
      <c r="CB620" s="27"/>
      <c r="CC620" s="27"/>
      <c r="CD620" s="27"/>
      <c r="CE620" s="27"/>
      <c r="CF620" s="27"/>
      <c r="CG620" s="27"/>
      <c r="CH620" s="27"/>
      <c r="CI620" s="27"/>
      <c r="CJ620" s="27"/>
      <c r="CK620" s="27"/>
      <c r="CL620" s="27"/>
      <c r="CM620" s="27"/>
      <c r="CN620" s="27"/>
      <c r="CO620" s="27"/>
      <c r="CP620" s="27"/>
      <c r="CQ620" s="27"/>
      <c r="CR620" s="27"/>
      <c r="CS620" s="27"/>
      <c r="CT620" s="27"/>
      <c r="CU620" s="27"/>
      <c r="CV620" s="27"/>
      <c r="CW620" s="27"/>
      <c r="CX620" s="27"/>
      <c r="CY620" s="27"/>
      <c r="CZ620" s="27"/>
      <c r="DA620" s="27"/>
      <c r="DB620" s="27"/>
      <c r="DC620" s="27"/>
      <c r="DD620" s="27"/>
      <c r="DE620" s="27"/>
      <c r="DF620" s="27"/>
      <c r="DG620" s="27"/>
      <c r="DH620" s="27"/>
      <c r="DI620" s="27"/>
      <c r="DJ620" s="27"/>
      <c r="DK620" s="27"/>
      <c r="DL620" s="27"/>
      <c r="DM620" s="27"/>
      <c r="DN620" s="27"/>
      <c r="DO620" s="27"/>
      <c r="DP620" s="27"/>
      <c r="DQ620" s="27"/>
      <c r="DR620" s="27"/>
      <c r="DS620" s="27"/>
      <c r="DT620" s="27"/>
    </row>
    <row r="621" spans="7:124" x14ac:dyDescent="0.2">
      <c r="G621" s="27"/>
      <c r="H621" s="27"/>
      <c r="I621" s="27"/>
      <c r="J621" s="27"/>
      <c r="K621" s="27"/>
      <c r="L621" s="27"/>
      <c r="M621" s="27"/>
      <c r="N621" s="27"/>
      <c r="O621" s="27"/>
      <c r="P621" s="27"/>
      <c r="Q621" s="27"/>
      <c r="R621" s="27"/>
      <c r="S621" s="27"/>
      <c r="T621" s="27"/>
      <c r="U621" s="27"/>
      <c r="V621" s="27"/>
      <c r="W621" s="27"/>
      <c r="X621" s="27"/>
      <c r="Y621" s="27"/>
      <c r="Z621" s="27"/>
      <c r="AA621" s="27"/>
      <c r="AB621" s="27"/>
      <c r="AC621" s="27"/>
      <c r="AD621" s="27"/>
      <c r="AE621" s="27"/>
      <c r="AF621" s="27"/>
      <c r="AG621" s="27"/>
      <c r="AH621" s="27"/>
      <c r="AI621" s="27"/>
      <c r="AJ621" s="27"/>
      <c r="AK621" s="27"/>
      <c r="AL621" s="27"/>
      <c r="AM621" s="27"/>
      <c r="AN621" s="27"/>
      <c r="AO621" s="27"/>
      <c r="AP621" s="27"/>
      <c r="AQ621" s="27"/>
      <c r="AR621" s="27"/>
      <c r="AS621" s="27"/>
      <c r="AT621" s="27"/>
      <c r="AU621" s="27"/>
      <c r="AV621" s="27"/>
      <c r="AW621" s="27"/>
      <c r="AX621" s="27"/>
      <c r="AY621" s="27"/>
      <c r="AZ621" s="27"/>
      <c r="BA621" s="27"/>
      <c r="BB621" s="27"/>
      <c r="BC621" s="27"/>
      <c r="BD621" s="27"/>
      <c r="BE621" s="27"/>
      <c r="BF621" s="27"/>
      <c r="BG621" s="27"/>
      <c r="BH621" s="27"/>
      <c r="BI621" s="27"/>
      <c r="BJ621" s="27"/>
      <c r="BK621" s="27"/>
      <c r="BL621" s="27"/>
      <c r="BM621" s="27"/>
      <c r="BN621" s="27"/>
      <c r="BO621" s="27"/>
      <c r="BP621" s="27"/>
      <c r="BQ621" s="27"/>
      <c r="BR621" s="27"/>
      <c r="BS621" s="27"/>
      <c r="BT621" s="27"/>
      <c r="BU621" s="27"/>
      <c r="BV621" s="27"/>
      <c r="BW621" s="27"/>
      <c r="BX621" s="27"/>
      <c r="BY621" s="27"/>
      <c r="BZ621" s="27"/>
      <c r="CA621" s="27"/>
      <c r="CB621" s="27"/>
      <c r="CC621" s="27"/>
      <c r="CD621" s="27"/>
      <c r="CE621" s="27"/>
      <c r="CF621" s="27"/>
      <c r="CG621" s="27"/>
      <c r="CH621" s="27"/>
      <c r="CI621" s="27"/>
      <c r="CJ621" s="27"/>
      <c r="CK621" s="27"/>
      <c r="CL621" s="27"/>
      <c r="CM621" s="27"/>
      <c r="CN621" s="27"/>
      <c r="CO621" s="27"/>
      <c r="CP621" s="27"/>
      <c r="CQ621" s="27"/>
      <c r="CR621" s="27"/>
      <c r="CS621" s="27"/>
      <c r="CT621" s="27"/>
      <c r="CU621" s="27"/>
      <c r="CV621" s="27"/>
      <c r="CW621" s="27"/>
      <c r="CX621" s="27"/>
      <c r="CY621" s="27"/>
      <c r="CZ621" s="27"/>
      <c r="DA621" s="27"/>
      <c r="DB621" s="27"/>
      <c r="DC621" s="27"/>
      <c r="DD621" s="27"/>
      <c r="DE621" s="27"/>
      <c r="DF621" s="27"/>
      <c r="DG621" s="27"/>
      <c r="DH621" s="27"/>
      <c r="DI621" s="27"/>
      <c r="DJ621" s="27"/>
      <c r="DK621" s="27"/>
      <c r="DL621" s="27"/>
      <c r="DM621" s="27"/>
      <c r="DN621" s="27"/>
      <c r="DO621" s="27"/>
      <c r="DP621" s="27"/>
      <c r="DQ621" s="27"/>
      <c r="DR621" s="27"/>
      <c r="DS621" s="27"/>
      <c r="DT621" s="27"/>
    </row>
    <row r="622" spans="7:124" x14ac:dyDescent="0.2">
      <c r="G622" s="27"/>
      <c r="H622" s="27"/>
      <c r="I622" s="27"/>
      <c r="J622" s="27"/>
      <c r="K622" s="27"/>
      <c r="L622" s="27"/>
      <c r="M622" s="27"/>
      <c r="N622" s="27"/>
      <c r="O622" s="27"/>
      <c r="P622" s="27"/>
      <c r="Q622" s="27"/>
      <c r="R622" s="27"/>
      <c r="S622" s="27"/>
      <c r="T622" s="27"/>
      <c r="U622" s="27"/>
      <c r="V622" s="27"/>
      <c r="W622" s="27"/>
      <c r="X622" s="27"/>
      <c r="Y622" s="27"/>
      <c r="Z622" s="27"/>
      <c r="AA622" s="27"/>
      <c r="AB622" s="27"/>
      <c r="AC622" s="27"/>
      <c r="AD622" s="27"/>
      <c r="AE622" s="27"/>
      <c r="AF622" s="27"/>
      <c r="AG622" s="27"/>
      <c r="AH622" s="27"/>
      <c r="AI622" s="27"/>
      <c r="AJ622" s="27"/>
      <c r="AK622" s="27"/>
      <c r="AL622" s="27"/>
      <c r="AM622" s="27"/>
      <c r="AN622" s="27"/>
      <c r="AO622" s="27"/>
      <c r="AP622" s="27"/>
      <c r="AQ622" s="27"/>
      <c r="AR622" s="27"/>
      <c r="AS622" s="27"/>
      <c r="AT622" s="27"/>
      <c r="AU622" s="27"/>
      <c r="AV622" s="27"/>
      <c r="AW622" s="27"/>
      <c r="AX622" s="27"/>
      <c r="AY622" s="27"/>
      <c r="AZ622" s="27"/>
      <c r="BA622" s="27"/>
      <c r="BB622" s="27"/>
      <c r="BC622" s="27"/>
      <c r="BD622" s="27"/>
      <c r="BE622" s="27"/>
      <c r="BF622" s="27"/>
      <c r="BG622" s="27"/>
      <c r="BH622" s="27"/>
      <c r="BI622" s="27"/>
      <c r="BJ622" s="27"/>
      <c r="BK622" s="27"/>
      <c r="BL622" s="27"/>
      <c r="BM622" s="27"/>
      <c r="BN622" s="27"/>
      <c r="BO622" s="27"/>
      <c r="BP622" s="27"/>
      <c r="BQ622" s="27"/>
      <c r="BR622" s="27"/>
      <c r="BS622" s="27"/>
      <c r="BT622" s="27"/>
      <c r="BU622" s="27"/>
      <c r="BV622" s="27"/>
      <c r="BW622" s="27"/>
      <c r="BX622" s="27"/>
      <c r="BY622" s="27"/>
      <c r="BZ622" s="27"/>
      <c r="CA622" s="27"/>
      <c r="CB622" s="27"/>
      <c r="CC622" s="27"/>
      <c r="CD622" s="27"/>
      <c r="CE622" s="27"/>
      <c r="CF622" s="27"/>
      <c r="CG622" s="27"/>
      <c r="CH622" s="27"/>
      <c r="CI622" s="27"/>
      <c r="CJ622" s="27"/>
      <c r="CK622" s="27"/>
      <c r="CL622" s="27"/>
      <c r="CM622" s="27"/>
      <c r="CN622" s="27"/>
      <c r="CO622" s="27"/>
      <c r="CP622" s="27"/>
      <c r="CQ622" s="27"/>
      <c r="CR622" s="27"/>
      <c r="CS622" s="27"/>
      <c r="CT622" s="27"/>
      <c r="CU622" s="27"/>
      <c r="CV622" s="27"/>
      <c r="CW622" s="27"/>
      <c r="CX622" s="27"/>
      <c r="CY622" s="27"/>
      <c r="CZ622" s="27"/>
      <c r="DA622" s="27"/>
      <c r="DB622" s="27"/>
      <c r="DC622" s="27"/>
      <c r="DD622" s="27"/>
      <c r="DE622" s="27"/>
      <c r="DF622" s="27"/>
      <c r="DG622" s="27"/>
      <c r="DH622" s="27"/>
      <c r="DI622" s="27"/>
      <c r="DJ622" s="27"/>
      <c r="DK622" s="27"/>
      <c r="DL622" s="27"/>
      <c r="DM622" s="27"/>
      <c r="DN622" s="27"/>
      <c r="DO622" s="27"/>
      <c r="DP622" s="27"/>
      <c r="DQ622" s="27"/>
      <c r="DR622" s="27"/>
      <c r="DS622" s="27"/>
      <c r="DT622" s="27"/>
    </row>
    <row r="623" spans="7:124" x14ac:dyDescent="0.2">
      <c r="G623" s="27"/>
      <c r="H623" s="27"/>
      <c r="I623" s="27"/>
      <c r="J623" s="27"/>
      <c r="K623" s="27"/>
      <c r="L623" s="27"/>
      <c r="M623" s="27"/>
      <c r="N623" s="27"/>
      <c r="O623" s="27"/>
      <c r="P623" s="27"/>
      <c r="Q623" s="27"/>
      <c r="R623" s="27"/>
      <c r="S623" s="27"/>
      <c r="T623" s="27"/>
      <c r="U623" s="27"/>
      <c r="V623" s="27"/>
      <c r="W623" s="27"/>
      <c r="X623" s="27"/>
      <c r="Y623" s="27"/>
      <c r="Z623" s="27"/>
      <c r="AA623" s="27"/>
      <c r="AB623" s="27"/>
      <c r="AC623" s="27"/>
      <c r="AD623" s="27"/>
      <c r="AE623" s="27"/>
      <c r="AF623" s="27"/>
      <c r="AG623" s="27"/>
      <c r="AH623" s="27"/>
      <c r="AI623" s="27"/>
      <c r="AJ623" s="27"/>
      <c r="AK623" s="27"/>
      <c r="AL623" s="27"/>
      <c r="AM623" s="27"/>
      <c r="AN623" s="27"/>
      <c r="AO623" s="27"/>
      <c r="AP623" s="27"/>
      <c r="AQ623" s="27"/>
      <c r="AR623" s="27"/>
      <c r="AS623" s="27"/>
      <c r="AT623" s="27"/>
      <c r="AU623" s="27"/>
      <c r="AV623" s="27"/>
      <c r="AW623" s="27"/>
      <c r="AX623" s="27"/>
      <c r="AY623" s="27"/>
      <c r="AZ623" s="27"/>
      <c r="BA623" s="27"/>
      <c r="BB623" s="27"/>
      <c r="BC623" s="27"/>
      <c r="BD623" s="27"/>
      <c r="BE623" s="27"/>
      <c r="BF623" s="27"/>
      <c r="BG623" s="27"/>
      <c r="BH623" s="27"/>
      <c r="BI623" s="27"/>
      <c r="BJ623" s="27"/>
      <c r="BK623" s="27"/>
      <c r="BL623" s="27"/>
      <c r="BM623" s="27"/>
      <c r="BN623" s="27"/>
      <c r="BO623" s="27"/>
      <c r="BP623" s="27"/>
      <c r="BQ623" s="27"/>
      <c r="BR623" s="27"/>
      <c r="BS623" s="27"/>
      <c r="BT623" s="27"/>
      <c r="BU623" s="27"/>
      <c r="BV623" s="27"/>
      <c r="BW623" s="27"/>
      <c r="BX623" s="27"/>
      <c r="BY623" s="27"/>
      <c r="BZ623" s="27"/>
      <c r="CA623" s="27"/>
      <c r="CB623" s="27"/>
      <c r="CC623" s="27"/>
      <c r="CD623" s="27"/>
      <c r="CE623" s="27"/>
      <c r="CF623" s="27"/>
      <c r="CG623" s="27"/>
      <c r="CH623" s="27"/>
      <c r="CI623" s="27"/>
      <c r="CJ623" s="27"/>
      <c r="CK623" s="27"/>
      <c r="CL623" s="27"/>
      <c r="CM623" s="27"/>
      <c r="CN623" s="27"/>
      <c r="CO623" s="27"/>
      <c r="CP623" s="27"/>
      <c r="CQ623" s="27"/>
      <c r="CR623" s="27"/>
      <c r="CS623" s="27"/>
      <c r="CT623" s="27"/>
      <c r="CU623" s="27"/>
      <c r="CV623" s="27"/>
      <c r="CW623" s="27"/>
      <c r="CX623" s="27"/>
      <c r="CY623" s="27"/>
      <c r="CZ623" s="27"/>
      <c r="DA623" s="27"/>
      <c r="DB623" s="27"/>
      <c r="DC623" s="27"/>
      <c r="DD623" s="27"/>
      <c r="DE623" s="27"/>
      <c r="DF623" s="27"/>
      <c r="DG623" s="27"/>
      <c r="DH623" s="27"/>
      <c r="DI623" s="27"/>
      <c r="DJ623" s="27"/>
      <c r="DK623" s="27"/>
      <c r="DL623" s="27"/>
      <c r="DM623" s="27"/>
      <c r="DN623" s="27"/>
      <c r="DO623" s="27"/>
      <c r="DP623" s="27"/>
      <c r="DQ623" s="27"/>
      <c r="DR623" s="27"/>
      <c r="DS623" s="27"/>
      <c r="DT623" s="27"/>
    </row>
    <row r="624" spans="7:124" x14ac:dyDescent="0.2">
      <c r="G624" s="27"/>
      <c r="H624" s="27"/>
      <c r="I624" s="27"/>
      <c r="J624" s="27"/>
      <c r="K624" s="27"/>
      <c r="L624" s="27"/>
      <c r="M624" s="27"/>
      <c r="N624" s="27"/>
      <c r="O624" s="27"/>
      <c r="P624" s="27"/>
      <c r="Q624" s="27"/>
      <c r="R624" s="27"/>
      <c r="S624" s="27"/>
      <c r="T624" s="27"/>
      <c r="U624" s="27"/>
      <c r="V624" s="27"/>
      <c r="W624" s="27"/>
      <c r="X624" s="27"/>
      <c r="Y624" s="27"/>
      <c r="Z624" s="27"/>
      <c r="AA624" s="27"/>
      <c r="AB624" s="27"/>
      <c r="AC624" s="27"/>
      <c r="AD624" s="27"/>
      <c r="AE624" s="27"/>
      <c r="AF624" s="27"/>
      <c r="AG624" s="27"/>
      <c r="AH624" s="27"/>
      <c r="AI624" s="27"/>
      <c r="AJ624" s="27"/>
      <c r="AK624" s="27"/>
      <c r="AL624" s="27"/>
      <c r="AM624" s="27"/>
      <c r="AN624" s="27"/>
      <c r="AO624" s="27"/>
      <c r="AP624" s="27"/>
      <c r="AQ624" s="27"/>
      <c r="AR624" s="27"/>
      <c r="AS624" s="27"/>
      <c r="AT624" s="27"/>
      <c r="AU624" s="27"/>
      <c r="AV624" s="27"/>
      <c r="AW624" s="27"/>
      <c r="AX624" s="27"/>
      <c r="AY624" s="27"/>
      <c r="AZ624" s="27"/>
      <c r="BA624" s="27"/>
      <c r="BB624" s="27"/>
      <c r="BC624" s="27"/>
      <c r="BD624" s="27"/>
      <c r="BE624" s="27"/>
      <c r="BF624" s="27"/>
      <c r="BG624" s="27"/>
      <c r="BH624" s="27"/>
      <c r="BI624" s="27"/>
      <c r="BJ624" s="27"/>
      <c r="BK624" s="27"/>
      <c r="BL624" s="27"/>
      <c r="BM624" s="27"/>
      <c r="BN624" s="27"/>
      <c r="BO624" s="27"/>
      <c r="BP624" s="27"/>
      <c r="BQ624" s="27"/>
      <c r="BR624" s="27"/>
      <c r="BS624" s="27"/>
      <c r="BT624" s="27"/>
      <c r="BU624" s="27"/>
      <c r="BV624" s="27"/>
      <c r="BW624" s="27"/>
      <c r="BX624" s="27"/>
      <c r="BY624" s="27"/>
      <c r="BZ624" s="27"/>
      <c r="CA624" s="27"/>
      <c r="CB624" s="27"/>
      <c r="CC624" s="27"/>
      <c r="CD624" s="27"/>
      <c r="CE624" s="27"/>
      <c r="CF624" s="27"/>
      <c r="CG624" s="27"/>
      <c r="CH624" s="27"/>
      <c r="CI624" s="27"/>
      <c r="CJ624" s="27"/>
      <c r="CK624" s="27"/>
      <c r="CL624" s="27"/>
      <c r="CM624" s="27"/>
      <c r="CN624" s="27"/>
      <c r="CO624" s="27"/>
      <c r="CP624" s="27"/>
      <c r="CQ624" s="27"/>
      <c r="CR624" s="27"/>
      <c r="CS624" s="27"/>
      <c r="CT624" s="27"/>
      <c r="CU624" s="27"/>
      <c r="CV624" s="27"/>
      <c r="CW624" s="27"/>
      <c r="CX624" s="27"/>
      <c r="CY624" s="27"/>
      <c r="CZ624" s="27"/>
      <c r="DA624" s="27"/>
      <c r="DB624" s="27"/>
      <c r="DC624" s="27"/>
      <c r="DD624" s="27"/>
      <c r="DE624" s="27"/>
      <c r="DF624" s="27"/>
      <c r="DG624" s="27"/>
      <c r="DH624" s="27"/>
      <c r="DI624" s="27"/>
      <c r="DJ624" s="27"/>
      <c r="DK624" s="27"/>
      <c r="DL624" s="27"/>
      <c r="DM624" s="27"/>
      <c r="DN624" s="27"/>
      <c r="DO624" s="27"/>
      <c r="DP624" s="27"/>
      <c r="DQ624" s="27"/>
      <c r="DR624" s="27"/>
      <c r="DS624" s="27"/>
      <c r="DT624" s="27"/>
    </row>
    <row r="625" spans="7:124" x14ac:dyDescent="0.2">
      <c r="G625" s="27"/>
      <c r="H625" s="27"/>
      <c r="I625" s="27"/>
      <c r="J625" s="27"/>
      <c r="K625" s="27"/>
      <c r="L625" s="27"/>
      <c r="M625" s="27"/>
      <c r="N625" s="27"/>
      <c r="O625" s="27"/>
      <c r="P625" s="27"/>
      <c r="Q625" s="27"/>
      <c r="R625" s="27"/>
      <c r="S625" s="27"/>
      <c r="T625" s="27"/>
      <c r="U625" s="27"/>
      <c r="V625" s="27"/>
      <c r="W625" s="27"/>
      <c r="X625" s="27"/>
      <c r="Y625" s="27"/>
      <c r="Z625" s="27"/>
      <c r="AA625" s="27"/>
      <c r="AB625" s="27"/>
      <c r="AC625" s="27"/>
      <c r="AD625" s="27"/>
      <c r="AE625" s="27"/>
      <c r="AF625" s="27"/>
      <c r="AG625" s="27"/>
      <c r="AH625" s="27"/>
      <c r="AI625" s="27"/>
      <c r="AJ625" s="27"/>
      <c r="AK625" s="27"/>
      <c r="AL625" s="27"/>
      <c r="AM625" s="27"/>
      <c r="AN625" s="27"/>
      <c r="AO625" s="27"/>
      <c r="AP625" s="27"/>
      <c r="AQ625" s="27"/>
      <c r="AR625" s="27"/>
      <c r="AS625" s="27"/>
      <c r="AT625" s="27"/>
      <c r="AU625" s="27"/>
      <c r="AV625" s="27"/>
      <c r="AW625" s="27"/>
      <c r="AX625" s="27"/>
      <c r="AY625" s="27"/>
      <c r="AZ625" s="27"/>
      <c r="BA625" s="27"/>
      <c r="BB625" s="27"/>
      <c r="BC625" s="27"/>
      <c r="BD625" s="27"/>
      <c r="BE625" s="27"/>
      <c r="BF625" s="27"/>
      <c r="BG625" s="27"/>
      <c r="BH625" s="27"/>
      <c r="BI625" s="27"/>
      <c r="BJ625" s="27"/>
      <c r="BK625" s="27"/>
      <c r="BL625" s="27"/>
      <c r="BM625" s="27"/>
      <c r="BN625" s="27"/>
      <c r="BO625" s="27"/>
      <c r="BP625" s="27"/>
      <c r="BQ625" s="27"/>
      <c r="BR625" s="27"/>
      <c r="BS625" s="27"/>
      <c r="BT625" s="27"/>
      <c r="BU625" s="27"/>
      <c r="BV625" s="27"/>
      <c r="BW625" s="27"/>
      <c r="BX625" s="27"/>
      <c r="BY625" s="27"/>
      <c r="BZ625" s="27"/>
      <c r="CA625" s="27"/>
      <c r="CB625" s="27"/>
      <c r="CC625" s="27"/>
      <c r="CD625" s="27"/>
      <c r="CE625" s="27"/>
      <c r="CF625" s="27"/>
      <c r="CG625" s="27"/>
      <c r="CH625" s="27"/>
      <c r="CI625" s="27"/>
      <c r="CJ625" s="27"/>
      <c r="CK625" s="27"/>
      <c r="CL625" s="27"/>
      <c r="CM625" s="27"/>
      <c r="CN625" s="27"/>
      <c r="CO625" s="27"/>
      <c r="CP625" s="27"/>
      <c r="CQ625" s="27"/>
      <c r="CR625" s="27"/>
      <c r="CS625" s="27"/>
      <c r="CT625" s="27"/>
      <c r="CU625" s="27"/>
      <c r="CV625" s="27"/>
      <c r="CW625" s="27"/>
      <c r="CX625" s="27"/>
      <c r="CY625" s="27"/>
      <c r="CZ625" s="27"/>
      <c r="DA625" s="27"/>
      <c r="DB625" s="27"/>
      <c r="DC625" s="27"/>
      <c r="DD625" s="27"/>
      <c r="DE625" s="27"/>
      <c r="DF625" s="27"/>
      <c r="DG625" s="27"/>
      <c r="DH625" s="27"/>
      <c r="DI625" s="27"/>
      <c r="DJ625" s="27"/>
      <c r="DK625" s="27"/>
      <c r="DL625" s="27"/>
      <c r="DM625" s="27"/>
      <c r="DN625" s="27"/>
      <c r="DO625" s="27"/>
      <c r="DP625" s="27"/>
      <c r="DQ625" s="27"/>
      <c r="DR625" s="27"/>
      <c r="DS625" s="27"/>
      <c r="DT625" s="27"/>
    </row>
    <row r="626" spans="7:124" x14ac:dyDescent="0.2">
      <c r="G626" s="27"/>
      <c r="H626" s="27"/>
      <c r="I626" s="27"/>
      <c r="J626" s="27"/>
      <c r="K626" s="27"/>
      <c r="L626" s="27"/>
      <c r="M626" s="27"/>
      <c r="N626" s="27"/>
      <c r="O626" s="27"/>
      <c r="P626" s="27"/>
      <c r="Q626" s="27"/>
      <c r="R626" s="27"/>
      <c r="S626" s="27"/>
      <c r="T626" s="27"/>
      <c r="U626" s="27"/>
      <c r="V626" s="27"/>
      <c r="W626" s="27"/>
      <c r="X626" s="27"/>
      <c r="Y626" s="27"/>
      <c r="Z626" s="27"/>
      <c r="AA626" s="27"/>
      <c r="AB626" s="27"/>
      <c r="AC626" s="27"/>
      <c r="AD626" s="27"/>
      <c r="AE626" s="27"/>
      <c r="AF626" s="27"/>
      <c r="AG626" s="27"/>
      <c r="AH626" s="27"/>
      <c r="AI626" s="27"/>
      <c r="AJ626" s="27"/>
      <c r="AK626" s="27"/>
      <c r="AL626" s="27"/>
      <c r="AM626" s="27"/>
      <c r="AN626" s="27"/>
      <c r="AO626" s="27"/>
      <c r="AP626" s="27"/>
      <c r="AQ626" s="27"/>
      <c r="AR626" s="27"/>
      <c r="AS626" s="27"/>
      <c r="AT626" s="27"/>
      <c r="AU626" s="27"/>
      <c r="AV626" s="27"/>
      <c r="AW626" s="27"/>
      <c r="AX626" s="27"/>
      <c r="AY626" s="27"/>
      <c r="AZ626" s="27"/>
      <c r="BA626" s="27"/>
      <c r="BB626" s="27"/>
      <c r="BC626" s="27"/>
      <c r="BD626" s="27"/>
      <c r="BE626" s="27"/>
      <c r="BF626" s="27"/>
      <c r="BG626" s="27"/>
      <c r="BH626" s="27"/>
      <c r="BI626" s="27"/>
      <c r="BJ626" s="27"/>
      <c r="BK626" s="27"/>
      <c r="BL626" s="27"/>
      <c r="BM626" s="27"/>
      <c r="BN626" s="27"/>
      <c r="BO626" s="27"/>
      <c r="BP626" s="27"/>
      <c r="BQ626" s="27"/>
      <c r="BR626" s="27"/>
      <c r="BS626" s="27"/>
      <c r="BT626" s="27"/>
      <c r="BU626" s="27"/>
      <c r="BV626" s="27"/>
      <c r="BW626" s="27"/>
      <c r="BX626" s="27"/>
      <c r="BY626" s="27"/>
      <c r="BZ626" s="27"/>
      <c r="CA626" s="27"/>
      <c r="CB626" s="27"/>
      <c r="CC626" s="27"/>
      <c r="CD626" s="27"/>
      <c r="CE626" s="27"/>
      <c r="CF626" s="27"/>
      <c r="CG626" s="27"/>
      <c r="CH626" s="27"/>
      <c r="CI626" s="27"/>
      <c r="CJ626" s="27"/>
      <c r="CK626" s="27"/>
      <c r="CL626" s="27"/>
      <c r="CM626" s="27"/>
      <c r="CN626" s="27"/>
      <c r="CO626" s="27"/>
      <c r="CP626" s="27"/>
      <c r="CQ626" s="27"/>
      <c r="CR626" s="27"/>
      <c r="CS626" s="27"/>
      <c r="CT626" s="27"/>
      <c r="CU626" s="27"/>
      <c r="CV626" s="27"/>
      <c r="CW626" s="27"/>
      <c r="CX626" s="27"/>
      <c r="CY626" s="27"/>
      <c r="CZ626" s="27"/>
      <c r="DA626" s="27"/>
      <c r="DB626" s="27"/>
      <c r="DC626" s="27"/>
      <c r="DD626" s="27"/>
      <c r="DE626" s="27"/>
      <c r="DF626" s="27"/>
      <c r="DG626" s="27"/>
      <c r="DH626" s="27"/>
      <c r="DI626" s="27"/>
      <c r="DJ626" s="27"/>
      <c r="DK626" s="27"/>
      <c r="DL626" s="27"/>
      <c r="DM626" s="27"/>
      <c r="DN626" s="27"/>
      <c r="DO626" s="27"/>
      <c r="DP626" s="27"/>
      <c r="DQ626" s="27"/>
      <c r="DR626" s="27"/>
      <c r="DS626" s="27"/>
      <c r="DT626" s="27"/>
    </row>
    <row r="627" spans="7:124" x14ac:dyDescent="0.2">
      <c r="G627" s="27"/>
      <c r="H627" s="27"/>
      <c r="I627" s="27"/>
      <c r="J627" s="27"/>
      <c r="K627" s="27"/>
      <c r="L627" s="27"/>
      <c r="M627" s="27"/>
      <c r="N627" s="27"/>
      <c r="O627" s="27"/>
      <c r="P627" s="27"/>
      <c r="Q627" s="27"/>
      <c r="R627" s="27"/>
      <c r="S627" s="27"/>
      <c r="T627" s="27"/>
      <c r="U627" s="27"/>
      <c r="V627" s="27"/>
      <c r="W627" s="27"/>
      <c r="X627" s="27"/>
      <c r="Y627" s="27"/>
      <c r="Z627" s="27"/>
      <c r="AA627" s="27"/>
      <c r="AB627" s="27"/>
      <c r="AC627" s="27"/>
      <c r="AD627" s="27"/>
      <c r="AE627" s="27"/>
      <c r="AF627" s="27"/>
      <c r="AG627" s="27"/>
      <c r="AH627" s="27"/>
      <c r="AI627" s="27"/>
      <c r="AJ627" s="27"/>
      <c r="AK627" s="27"/>
      <c r="AL627" s="27"/>
      <c r="AM627" s="27"/>
      <c r="AN627" s="27"/>
      <c r="AO627" s="27"/>
      <c r="AP627" s="27"/>
      <c r="AQ627" s="27"/>
      <c r="AR627" s="27"/>
      <c r="AS627" s="27"/>
      <c r="AT627" s="27"/>
      <c r="AU627" s="27"/>
      <c r="AV627" s="27"/>
      <c r="AW627" s="27"/>
      <c r="AX627" s="27"/>
      <c r="AY627" s="27"/>
      <c r="AZ627" s="27"/>
      <c r="BA627" s="27"/>
      <c r="BB627" s="27"/>
      <c r="BC627" s="27"/>
      <c r="BD627" s="27"/>
      <c r="BE627" s="27"/>
      <c r="BF627" s="27"/>
      <c r="BG627" s="27"/>
      <c r="BH627" s="27"/>
      <c r="BI627" s="27"/>
      <c r="BJ627" s="27"/>
      <c r="BK627" s="27"/>
      <c r="BL627" s="27"/>
      <c r="BM627" s="27"/>
      <c r="BN627" s="27"/>
      <c r="BO627" s="27"/>
      <c r="BP627" s="27"/>
      <c r="BQ627" s="27"/>
      <c r="BR627" s="27"/>
      <c r="BS627" s="27"/>
      <c r="BT627" s="27"/>
      <c r="BU627" s="27"/>
      <c r="BV627" s="27"/>
      <c r="BW627" s="27"/>
      <c r="BX627" s="27"/>
      <c r="BY627" s="27"/>
      <c r="BZ627" s="27"/>
      <c r="CA627" s="27"/>
      <c r="CB627" s="27"/>
      <c r="CC627" s="27"/>
      <c r="CD627" s="27"/>
      <c r="CE627" s="27"/>
      <c r="CF627" s="27"/>
      <c r="CG627" s="27"/>
      <c r="CH627" s="27"/>
      <c r="CI627" s="27"/>
      <c r="CJ627" s="27"/>
      <c r="CK627" s="27"/>
      <c r="CL627" s="27"/>
      <c r="CM627" s="27"/>
      <c r="CN627" s="27"/>
      <c r="CO627" s="27"/>
      <c r="CP627" s="27"/>
      <c r="CQ627" s="27"/>
      <c r="CR627" s="27"/>
      <c r="CS627" s="27"/>
      <c r="CT627" s="27"/>
      <c r="CU627" s="27"/>
      <c r="CV627" s="27"/>
      <c r="CW627" s="27"/>
      <c r="CX627" s="27"/>
      <c r="CY627" s="27"/>
      <c r="CZ627" s="27"/>
      <c r="DA627" s="27"/>
      <c r="DB627" s="27"/>
      <c r="DC627" s="27"/>
      <c r="DD627" s="27"/>
      <c r="DE627" s="27"/>
      <c r="DF627" s="27"/>
      <c r="DG627" s="27"/>
      <c r="DH627" s="27"/>
      <c r="DI627" s="27"/>
      <c r="DJ627" s="27"/>
      <c r="DK627" s="27"/>
      <c r="DL627" s="27"/>
      <c r="DM627" s="27"/>
      <c r="DN627" s="27"/>
      <c r="DO627" s="27"/>
      <c r="DP627" s="27"/>
      <c r="DQ627" s="27"/>
      <c r="DR627" s="27"/>
      <c r="DS627" s="27"/>
      <c r="DT627" s="27"/>
    </row>
    <row r="628" spans="7:124" x14ac:dyDescent="0.2">
      <c r="G628" s="27"/>
      <c r="H628" s="27"/>
      <c r="I628" s="27"/>
      <c r="J628" s="27"/>
      <c r="K628" s="27"/>
      <c r="L628" s="27"/>
      <c r="M628" s="27"/>
      <c r="N628" s="27"/>
      <c r="O628" s="27"/>
      <c r="P628" s="27"/>
      <c r="Q628" s="27"/>
      <c r="R628" s="27"/>
      <c r="S628" s="27"/>
      <c r="T628" s="27"/>
      <c r="U628" s="27"/>
      <c r="V628" s="27"/>
      <c r="W628" s="27"/>
      <c r="X628" s="27"/>
      <c r="Y628" s="27"/>
      <c r="Z628" s="27"/>
      <c r="AA628" s="27"/>
      <c r="AB628" s="27"/>
      <c r="AC628" s="27"/>
      <c r="AD628" s="27"/>
      <c r="AE628" s="27"/>
      <c r="AF628" s="27"/>
      <c r="AG628" s="27"/>
      <c r="AH628" s="27"/>
      <c r="AI628" s="27"/>
      <c r="AJ628" s="27"/>
      <c r="AK628" s="27"/>
      <c r="AL628" s="27"/>
      <c r="AM628" s="27"/>
      <c r="AN628" s="27"/>
      <c r="AO628" s="27"/>
      <c r="AP628" s="27"/>
      <c r="AQ628" s="27"/>
      <c r="AR628" s="27"/>
      <c r="AS628" s="27"/>
      <c r="AT628" s="27"/>
      <c r="AU628" s="27"/>
      <c r="AV628" s="27"/>
      <c r="AW628" s="27"/>
      <c r="AX628" s="27"/>
      <c r="AY628" s="27"/>
      <c r="AZ628" s="27"/>
      <c r="BA628" s="27"/>
      <c r="BB628" s="27"/>
      <c r="BC628" s="27"/>
      <c r="BD628" s="27"/>
      <c r="BE628" s="27"/>
      <c r="BF628" s="27"/>
      <c r="BG628" s="27"/>
      <c r="BH628" s="27"/>
      <c r="BI628" s="27"/>
      <c r="BJ628" s="27"/>
      <c r="BK628" s="27"/>
      <c r="BL628" s="27"/>
      <c r="BM628" s="27"/>
      <c r="BN628" s="27"/>
      <c r="BO628" s="27"/>
      <c r="BP628" s="27"/>
      <c r="BQ628" s="27"/>
      <c r="BR628" s="27"/>
      <c r="BS628" s="27"/>
      <c r="BT628" s="27"/>
      <c r="BU628" s="27"/>
      <c r="BV628" s="27"/>
      <c r="BW628" s="27"/>
      <c r="BX628" s="27"/>
      <c r="BY628" s="27"/>
      <c r="BZ628" s="27"/>
      <c r="CA628" s="27"/>
      <c r="CB628" s="27"/>
      <c r="CC628" s="27"/>
      <c r="CD628" s="27"/>
      <c r="CE628" s="27"/>
      <c r="CF628" s="27"/>
      <c r="CG628" s="27"/>
      <c r="CH628" s="27"/>
      <c r="CI628" s="27"/>
      <c r="CJ628" s="27"/>
      <c r="CK628" s="27"/>
      <c r="CL628" s="27"/>
      <c r="CM628" s="27"/>
      <c r="CN628" s="27"/>
      <c r="CO628" s="27"/>
      <c r="CP628" s="27"/>
      <c r="CQ628" s="27"/>
      <c r="CR628" s="27"/>
      <c r="CS628" s="27"/>
      <c r="CT628" s="27"/>
      <c r="CU628" s="27"/>
      <c r="CV628" s="27"/>
      <c r="CW628" s="27"/>
      <c r="CX628" s="27"/>
      <c r="CY628" s="27"/>
      <c r="CZ628" s="27"/>
      <c r="DA628" s="27"/>
      <c r="DB628" s="27"/>
      <c r="DC628" s="27"/>
      <c r="DD628" s="27"/>
      <c r="DE628" s="27"/>
      <c r="DF628" s="27"/>
      <c r="DG628" s="27"/>
      <c r="DH628" s="27"/>
      <c r="DI628" s="27"/>
      <c r="DJ628" s="27"/>
      <c r="DK628" s="27"/>
      <c r="DL628" s="27"/>
      <c r="DM628" s="27"/>
      <c r="DN628" s="27"/>
      <c r="DO628" s="27"/>
      <c r="DP628" s="27"/>
      <c r="DQ628" s="27"/>
      <c r="DR628" s="27"/>
      <c r="DS628" s="27"/>
      <c r="DT628" s="27"/>
    </row>
    <row r="629" spans="7:124" x14ac:dyDescent="0.2">
      <c r="G629" s="27"/>
      <c r="H629" s="27"/>
      <c r="I629" s="27"/>
      <c r="J629" s="27"/>
      <c r="K629" s="27"/>
      <c r="L629" s="27"/>
      <c r="M629" s="27"/>
      <c r="N629" s="27"/>
      <c r="O629" s="27"/>
      <c r="P629" s="27"/>
      <c r="Q629" s="27"/>
      <c r="R629" s="27"/>
      <c r="S629" s="27"/>
      <c r="T629" s="27"/>
      <c r="U629" s="27"/>
      <c r="V629" s="27"/>
      <c r="W629" s="27"/>
      <c r="X629" s="27"/>
      <c r="Y629" s="27"/>
      <c r="Z629" s="27"/>
      <c r="AA629" s="27"/>
      <c r="AB629" s="27"/>
      <c r="AC629" s="27"/>
      <c r="AD629" s="27"/>
      <c r="AE629" s="27"/>
      <c r="AF629" s="27"/>
      <c r="AG629" s="27"/>
      <c r="AH629" s="27"/>
      <c r="AI629" s="27"/>
      <c r="AJ629" s="27"/>
      <c r="AK629" s="27"/>
      <c r="AL629" s="27"/>
      <c r="AM629" s="27"/>
      <c r="AN629" s="27"/>
      <c r="AO629" s="27"/>
      <c r="AP629" s="27"/>
      <c r="AQ629" s="27"/>
      <c r="AR629" s="27"/>
      <c r="AS629" s="27"/>
      <c r="AT629" s="27"/>
      <c r="AU629" s="27"/>
      <c r="AV629" s="27"/>
      <c r="AW629" s="27"/>
      <c r="AX629" s="27"/>
      <c r="AY629" s="27"/>
      <c r="AZ629" s="27"/>
      <c r="BA629" s="27"/>
      <c r="BB629" s="27"/>
      <c r="BC629" s="27"/>
      <c r="BD629" s="27"/>
      <c r="BE629" s="27"/>
      <c r="BF629" s="27"/>
      <c r="BG629" s="27"/>
      <c r="BH629" s="27"/>
      <c r="BI629" s="27"/>
      <c r="BJ629" s="27"/>
      <c r="BK629" s="27"/>
      <c r="BL629" s="27"/>
      <c r="BM629" s="27"/>
      <c r="BN629" s="27"/>
      <c r="BO629" s="27"/>
      <c r="BP629" s="27"/>
      <c r="BQ629" s="27"/>
      <c r="BR629" s="27"/>
      <c r="BS629" s="27"/>
      <c r="BT629" s="27"/>
      <c r="BU629" s="27"/>
      <c r="BV629" s="27"/>
      <c r="BW629" s="27"/>
      <c r="BX629" s="27"/>
      <c r="BY629" s="27"/>
      <c r="BZ629" s="27"/>
      <c r="CA629" s="27"/>
      <c r="CB629" s="27"/>
      <c r="CC629" s="27"/>
      <c r="CD629" s="27"/>
      <c r="CE629" s="27"/>
      <c r="CF629" s="27"/>
      <c r="CG629" s="27"/>
      <c r="CH629" s="27"/>
      <c r="CI629" s="27"/>
      <c r="CJ629" s="27"/>
      <c r="CK629" s="27"/>
      <c r="CL629" s="27"/>
      <c r="CM629" s="27"/>
      <c r="CN629" s="27"/>
      <c r="CO629" s="27"/>
      <c r="CP629" s="27"/>
      <c r="CQ629" s="27"/>
      <c r="CR629" s="27"/>
      <c r="CS629" s="27"/>
      <c r="CT629" s="27"/>
      <c r="CU629" s="27"/>
      <c r="CV629" s="27"/>
      <c r="CW629" s="27"/>
      <c r="CX629" s="27"/>
      <c r="CY629" s="27"/>
      <c r="CZ629" s="27"/>
      <c r="DA629" s="27"/>
      <c r="DB629" s="27"/>
      <c r="DC629" s="27"/>
      <c r="DD629" s="27"/>
      <c r="DE629" s="27"/>
      <c r="DF629" s="27"/>
      <c r="DG629" s="27"/>
      <c r="DH629" s="27"/>
      <c r="DI629" s="27"/>
      <c r="DJ629" s="27"/>
      <c r="DK629" s="27"/>
      <c r="DL629" s="27"/>
      <c r="DM629" s="27"/>
      <c r="DN629" s="27"/>
      <c r="DO629" s="27"/>
      <c r="DP629" s="27"/>
      <c r="DQ629" s="27"/>
      <c r="DR629" s="27"/>
      <c r="DS629" s="27"/>
      <c r="DT629" s="27"/>
    </row>
    <row r="630" spans="7:124" x14ac:dyDescent="0.2">
      <c r="G630" s="27"/>
      <c r="H630" s="27"/>
      <c r="I630" s="27"/>
      <c r="J630" s="27"/>
      <c r="K630" s="27"/>
      <c r="L630" s="27"/>
      <c r="M630" s="27"/>
      <c r="N630" s="27"/>
      <c r="O630" s="27"/>
      <c r="P630" s="27"/>
      <c r="Q630" s="27"/>
      <c r="R630" s="27"/>
      <c r="S630" s="27"/>
      <c r="T630" s="27"/>
      <c r="U630" s="27"/>
      <c r="V630" s="27"/>
      <c r="W630" s="27"/>
      <c r="X630" s="27"/>
      <c r="Y630" s="27"/>
      <c r="Z630" s="27"/>
      <c r="AA630" s="27"/>
      <c r="AB630" s="27"/>
      <c r="AC630" s="27"/>
      <c r="AD630" s="27"/>
      <c r="AE630" s="27"/>
      <c r="AF630" s="27"/>
      <c r="AG630" s="27"/>
      <c r="AH630" s="27"/>
      <c r="AI630" s="27"/>
      <c r="AJ630" s="27"/>
      <c r="AK630" s="27"/>
      <c r="AL630" s="27"/>
      <c r="AM630" s="27"/>
      <c r="AN630" s="27"/>
      <c r="AO630" s="27"/>
      <c r="AP630" s="27"/>
      <c r="AQ630" s="27"/>
      <c r="AR630" s="27"/>
      <c r="AS630" s="27"/>
      <c r="AT630" s="27"/>
      <c r="AU630" s="27"/>
      <c r="AV630" s="27"/>
      <c r="AW630" s="27"/>
      <c r="AX630" s="27"/>
      <c r="AY630" s="27"/>
      <c r="AZ630" s="27"/>
      <c r="BA630" s="27"/>
      <c r="BB630" s="27"/>
      <c r="BC630" s="27"/>
      <c r="BD630" s="27"/>
      <c r="BE630" s="27"/>
      <c r="BF630" s="27"/>
      <c r="BG630" s="27"/>
      <c r="BH630" s="27"/>
      <c r="BI630" s="27"/>
      <c r="BJ630" s="27"/>
      <c r="BK630" s="27"/>
      <c r="BL630" s="27"/>
      <c r="BM630" s="27"/>
      <c r="BN630" s="27"/>
      <c r="BO630" s="27"/>
      <c r="BP630" s="27"/>
      <c r="BQ630" s="27"/>
      <c r="BR630" s="27"/>
      <c r="BS630" s="27"/>
      <c r="BT630" s="27"/>
      <c r="BU630" s="27"/>
      <c r="BV630" s="27"/>
      <c r="BW630" s="27"/>
      <c r="BX630" s="27"/>
      <c r="BY630" s="27"/>
      <c r="BZ630" s="27"/>
      <c r="CA630" s="27"/>
      <c r="CB630" s="27"/>
      <c r="CC630" s="27"/>
      <c r="CD630" s="27"/>
      <c r="CE630" s="27"/>
      <c r="CF630" s="27"/>
      <c r="CG630" s="27"/>
      <c r="CH630" s="27"/>
      <c r="CI630" s="27"/>
      <c r="CJ630" s="27"/>
      <c r="CK630" s="27"/>
      <c r="CL630" s="27"/>
      <c r="CM630" s="27"/>
      <c r="CN630" s="27"/>
      <c r="CO630" s="27"/>
      <c r="CP630" s="27"/>
      <c r="CQ630" s="27"/>
      <c r="CR630" s="27"/>
      <c r="CS630" s="27"/>
      <c r="CT630" s="27"/>
      <c r="CU630" s="27"/>
      <c r="CV630" s="27"/>
      <c r="CW630" s="27"/>
      <c r="CX630" s="27"/>
      <c r="CY630" s="27"/>
      <c r="CZ630" s="27"/>
      <c r="DA630" s="27"/>
      <c r="DB630" s="27"/>
      <c r="DC630" s="27"/>
      <c r="DD630" s="27"/>
      <c r="DE630" s="27"/>
      <c r="DF630" s="27"/>
      <c r="DG630" s="27"/>
      <c r="DH630" s="27"/>
      <c r="DI630" s="27"/>
      <c r="DJ630" s="27"/>
      <c r="DK630" s="27"/>
      <c r="DL630" s="27"/>
      <c r="DM630" s="27"/>
      <c r="DN630" s="27"/>
      <c r="DO630" s="27"/>
      <c r="DP630" s="27"/>
      <c r="DQ630" s="27"/>
      <c r="DR630" s="27"/>
      <c r="DS630" s="27"/>
      <c r="DT630" s="27"/>
    </row>
    <row r="631" spans="7:124" x14ac:dyDescent="0.2">
      <c r="G631" s="27"/>
      <c r="H631" s="27"/>
      <c r="I631" s="27"/>
      <c r="J631" s="27"/>
      <c r="K631" s="27"/>
      <c r="L631" s="27"/>
      <c r="M631" s="27"/>
      <c r="N631" s="27"/>
      <c r="O631" s="27"/>
      <c r="P631" s="27"/>
      <c r="Q631" s="27"/>
      <c r="R631" s="27"/>
      <c r="S631" s="27"/>
      <c r="T631" s="27"/>
      <c r="U631" s="27"/>
      <c r="V631" s="27"/>
      <c r="W631" s="27"/>
      <c r="X631" s="27"/>
      <c r="Y631" s="27"/>
      <c r="Z631" s="27"/>
      <c r="AA631" s="27"/>
      <c r="AB631" s="27"/>
      <c r="AC631" s="27"/>
      <c r="AD631" s="27"/>
      <c r="AE631" s="27"/>
      <c r="AF631" s="27"/>
      <c r="AG631" s="27"/>
      <c r="AH631" s="27"/>
      <c r="AI631" s="27"/>
      <c r="AJ631" s="27"/>
      <c r="AK631" s="27"/>
      <c r="AL631" s="27"/>
      <c r="AM631" s="27"/>
      <c r="AN631" s="27"/>
      <c r="AO631" s="27"/>
      <c r="AP631" s="27"/>
      <c r="AQ631" s="27"/>
      <c r="AR631" s="27"/>
      <c r="AS631" s="27"/>
      <c r="AT631" s="27"/>
      <c r="AU631" s="27"/>
      <c r="AV631" s="27"/>
      <c r="AW631" s="27"/>
      <c r="AX631" s="27"/>
      <c r="AY631" s="27"/>
      <c r="AZ631" s="27"/>
      <c r="BA631" s="27"/>
      <c r="BB631" s="27"/>
      <c r="BC631" s="27"/>
      <c r="BD631" s="27"/>
      <c r="BE631" s="27"/>
      <c r="BF631" s="27"/>
      <c r="BG631" s="27"/>
      <c r="BH631" s="27"/>
      <c r="BI631" s="27"/>
      <c r="BJ631" s="27"/>
      <c r="BK631" s="27"/>
      <c r="BL631" s="27"/>
      <c r="BM631" s="27"/>
      <c r="BN631" s="27"/>
      <c r="BO631" s="27"/>
      <c r="BP631" s="27"/>
      <c r="BQ631" s="27"/>
      <c r="BR631" s="27"/>
      <c r="BS631" s="27"/>
      <c r="BT631" s="27"/>
      <c r="BU631" s="27"/>
      <c r="BV631" s="27"/>
      <c r="BW631" s="27"/>
      <c r="BX631" s="27"/>
      <c r="BY631" s="27"/>
      <c r="BZ631" s="27"/>
      <c r="CA631" s="27"/>
      <c r="CB631" s="27"/>
      <c r="CC631" s="27"/>
      <c r="CD631" s="27"/>
      <c r="CE631" s="27"/>
      <c r="CF631" s="27"/>
      <c r="CG631" s="27"/>
      <c r="CH631" s="27"/>
      <c r="CI631" s="27"/>
      <c r="CJ631" s="27"/>
      <c r="CK631" s="27"/>
      <c r="CL631" s="27"/>
      <c r="CM631" s="27"/>
      <c r="CN631" s="27"/>
      <c r="CO631" s="27"/>
      <c r="CP631" s="27"/>
      <c r="CQ631" s="27"/>
      <c r="CR631" s="27"/>
      <c r="CS631" s="27"/>
      <c r="CT631" s="27"/>
      <c r="CU631" s="27"/>
      <c r="CV631" s="27"/>
      <c r="CW631" s="27"/>
      <c r="CX631" s="27"/>
      <c r="CY631" s="27"/>
      <c r="CZ631" s="27"/>
      <c r="DA631" s="27"/>
      <c r="DB631" s="27"/>
      <c r="DC631" s="27"/>
      <c r="DD631" s="27"/>
      <c r="DE631" s="27"/>
      <c r="DF631" s="27"/>
      <c r="DG631" s="27"/>
      <c r="DH631" s="27"/>
      <c r="DI631" s="27"/>
      <c r="DJ631" s="27"/>
      <c r="DK631" s="27"/>
      <c r="DL631" s="27"/>
      <c r="DM631" s="27"/>
      <c r="DN631" s="27"/>
      <c r="DO631" s="27"/>
      <c r="DP631" s="27"/>
      <c r="DQ631" s="27"/>
      <c r="DR631" s="27"/>
      <c r="DS631" s="27"/>
      <c r="DT631" s="27"/>
    </row>
    <row r="632" spans="7:124" x14ac:dyDescent="0.2">
      <c r="G632" s="27"/>
      <c r="H632" s="27"/>
      <c r="I632" s="27"/>
      <c r="J632" s="27"/>
      <c r="K632" s="27"/>
      <c r="L632" s="27"/>
      <c r="M632" s="27"/>
      <c r="N632" s="27"/>
      <c r="O632" s="27"/>
      <c r="P632" s="27"/>
      <c r="Q632" s="27"/>
      <c r="R632" s="27"/>
      <c r="S632" s="27"/>
      <c r="T632" s="27"/>
      <c r="U632" s="27"/>
      <c r="V632" s="27"/>
      <c r="W632" s="27"/>
      <c r="X632" s="27"/>
      <c r="Y632" s="27"/>
      <c r="Z632" s="27"/>
      <c r="AA632" s="27"/>
      <c r="AB632" s="27"/>
      <c r="AC632" s="27"/>
      <c r="AD632" s="27"/>
      <c r="AE632" s="27"/>
      <c r="AF632" s="27"/>
      <c r="AG632" s="27"/>
      <c r="AH632" s="27"/>
      <c r="AI632" s="27"/>
      <c r="AJ632" s="27"/>
      <c r="AK632" s="27"/>
      <c r="AL632" s="27"/>
      <c r="AM632" s="27"/>
      <c r="AN632" s="27"/>
      <c r="AO632" s="27"/>
      <c r="AP632" s="27"/>
      <c r="AQ632" s="27"/>
      <c r="AR632" s="27"/>
      <c r="AS632" s="27"/>
      <c r="AT632" s="27"/>
      <c r="AU632" s="27"/>
      <c r="AV632" s="27"/>
      <c r="AW632" s="27"/>
      <c r="AX632" s="27"/>
      <c r="AY632" s="27"/>
      <c r="AZ632" s="27"/>
      <c r="BA632" s="27"/>
      <c r="BB632" s="27"/>
      <c r="BC632" s="27"/>
      <c r="BD632" s="27"/>
      <c r="BE632" s="27"/>
      <c r="BF632" s="27"/>
      <c r="BG632" s="27"/>
      <c r="BH632" s="27"/>
      <c r="BI632" s="27"/>
      <c r="BJ632" s="27"/>
      <c r="BK632" s="27"/>
      <c r="BL632" s="27"/>
      <c r="BM632" s="27"/>
      <c r="BN632" s="27"/>
      <c r="BO632" s="27"/>
      <c r="BP632" s="27"/>
      <c r="BQ632" s="27"/>
      <c r="BR632" s="27"/>
      <c r="BS632" s="27"/>
      <c r="BT632" s="27"/>
      <c r="BU632" s="27"/>
      <c r="BV632" s="27"/>
      <c r="BW632" s="27"/>
      <c r="BX632" s="27"/>
      <c r="BY632" s="27"/>
      <c r="BZ632" s="27"/>
      <c r="CA632" s="27"/>
      <c r="CB632" s="27"/>
      <c r="CC632" s="27"/>
      <c r="CD632" s="27"/>
      <c r="CE632" s="27"/>
      <c r="CF632" s="27"/>
      <c r="CG632" s="27"/>
      <c r="CH632" s="27"/>
      <c r="CI632" s="27"/>
      <c r="CJ632" s="27"/>
      <c r="CK632" s="27"/>
      <c r="CL632" s="27"/>
      <c r="CM632" s="27"/>
      <c r="CN632" s="27"/>
      <c r="CO632" s="27"/>
      <c r="CP632" s="27"/>
      <c r="CQ632" s="27"/>
      <c r="CR632" s="27"/>
      <c r="CS632" s="27"/>
      <c r="CT632" s="27"/>
      <c r="CU632" s="27"/>
      <c r="CV632" s="27"/>
      <c r="CW632" s="27"/>
      <c r="CX632" s="27"/>
      <c r="CY632" s="27"/>
      <c r="CZ632" s="27"/>
      <c r="DA632" s="27"/>
      <c r="DB632" s="27"/>
      <c r="DC632" s="27"/>
      <c r="DD632" s="27"/>
      <c r="DE632" s="27"/>
      <c r="DF632" s="27"/>
      <c r="DG632" s="27"/>
      <c r="DH632" s="27"/>
      <c r="DI632" s="27"/>
      <c r="DJ632" s="27"/>
      <c r="DK632" s="27"/>
      <c r="DL632" s="27"/>
      <c r="DM632" s="27"/>
      <c r="DN632" s="27"/>
      <c r="DO632" s="27"/>
      <c r="DP632" s="27"/>
      <c r="DQ632" s="27"/>
      <c r="DR632" s="27"/>
      <c r="DS632" s="27"/>
      <c r="DT632" s="27"/>
    </row>
    <row r="633" spans="7:124" x14ac:dyDescent="0.2">
      <c r="G633" s="27"/>
      <c r="H633" s="27"/>
      <c r="I633" s="27"/>
      <c r="J633" s="27"/>
      <c r="K633" s="27"/>
      <c r="L633" s="27"/>
      <c r="M633" s="27"/>
      <c r="N633" s="27"/>
      <c r="O633" s="27"/>
      <c r="P633" s="27"/>
      <c r="Q633" s="27"/>
      <c r="R633" s="27"/>
      <c r="S633" s="27"/>
      <c r="T633" s="27"/>
      <c r="U633" s="27"/>
      <c r="V633" s="27"/>
      <c r="W633" s="27"/>
      <c r="X633" s="27"/>
      <c r="Y633" s="27"/>
      <c r="Z633" s="27"/>
      <c r="AA633" s="27"/>
      <c r="AB633" s="27"/>
      <c r="AC633" s="27"/>
      <c r="AD633" s="27"/>
      <c r="AE633" s="27"/>
      <c r="AF633" s="27"/>
      <c r="AG633" s="27"/>
      <c r="AH633" s="27"/>
      <c r="AI633" s="27"/>
      <c r="AJ633" s="27"/>
      <c r="AK633" s="27"/>
      <c r="AL633" s="27"/>
      <c r="AM633" s="27"/>
      <c r="AN633" s="27"/>
      <c r="AO633" s="27"/>
      <c r="AP633" s="27"/>
      <c r="AQ633" s="27"/>
      <c r="AR633" s="27"/>
      <c r="AS633" s="27"/>
      <c r="AT633" s="27"/>
      <c r="AU633" s="27"/>
      <c r="AV633" s="27"/>
      <c r="AW633" s="27"/>
      <c r="AX633" s="27"/>
      <c r="AY633" s="27"/>
      <c r="AZ633" s="27"/>
      <c r="BA633" s="27"/>
      <c r="BB633" s="27"/>
      <c r="BC633" s="27"/>
      <c r="BD633" s="27"/>
      <c r="BE633" s="27"/>
      <c r="BF633" s="27"/>
      <c r="BG633" s="27"/>
      <c r="BH633" s="27"/>
      <c r="BI633" s="27"/>
      <c r="BJ633" s="27"/>
      <c r="BK633" s="27"/>
      <c r="BL633" s="27"/>
      <c r="BM633" s="27"/>
      <c r="BN633" s="27"/>
      <c r="BO633" s="27"/>
      <c r="BP633" s="27"/>
      <c r="BQ633" s="27"/>
      <c r="BR633" s="27"/>
      <c r="BS633" s="27"/>
      <c r="BT633" s="27"/>
      <c r="BU633" s="27"/>
      <c r="BV633" s="27"/>
      <c r="BW633" s="27"/>
      <c r="BX633" s="27"/>
      <c r="BY633" s="27"/>
      <c r="BZ633" s="27"/>
      <c r="CA633" s="27"/>
      <c r="CB633" s="27"/>
      <c r="CC633" s="27"/>
      <c r="CD633" s="27"/>
      <c r="CE633" s="27"/>
      <c r="CF633" s="27"/>
      <c r="CG633" s="27"/>
      <c r="CH633" s="27"/>
      <c r="CI633" s="27"/>
      <c r="CJ633" s="27"/>
      <c r="CK633" s="27"/>
      <c r="CL633" s="27"/>
      <c r="CM633" s="27"/>
      <c r="CN633" s="27"/>
      <c r="CO633" s="27"/>
      <c r="CP633" s="27"/>
      <c r="CQ633" s="27"/>
      <c r="CR633" s="27"/>
      <c r="CS633" s="27"/>
      <c r="CT633" s="27"/>
      <c r="CU633" s="27"/>
      <c r="CV633" s="27"/>
      <c r="CW633" s="27"/>
      <c r="CX633" s="27"/>
      <c r="CY633" s="27"/>
      <c r="CZ633" s="27"/>
      <c r="DA633" s="27"/>
      <c r="DB633" s="27"/>
      <c r="DC633" s="27"/>
      <c r="DD633" s="27"/>
      <c r="DE633" s="27"/>
      <c r="DF633" s="27"/>
      <c r="DG633" s="27"/>
      <c r="DH633" s="27"/>
      <c r="DI633" s="27"/>
      <c r="DJ633" s="27"/>
      <c r="DK633" s="27"/>
      <c r="DL633" s="27"/>
      <c r="DM633" s="27"/>
      <c r="DN633" s="27"/>
      <c r="DO633" s="27"/>
      <c r="DP633" s="27"/>
      <c r="DQ633" s="27"/>
      <c r="DR633" s="27"/>
      <c r="DS633" s="27"/>
      <c r="DT633" s="27"/>
    </row>
    <row r="634" spans="7:124" x14ac:dyDescent="0.2">
      <c r="G634" s="27"/>
      <c r="H634" s="27"/>
      <c r="I634" s="27"/>
      <c r="J634" s="27"/>
      <c r="K634" s="27"/>
      <c r="L634" s="27"/>
      <c r="M634" s="27"/>
      <c r="N634" s="27"/>
      <c r="O634" s="27"/>
      <c r="P634" s="27"/>
      <c r="Q634" s="27"/>
      <c r="R634" s="27"/>
      <c r="S634" s="27"/>
      <c r="T634" s="27"/>
      <c r="U634" s="27"/>
      <c r="V634" s="27"/>
      <c r="W634" s="27"/>
      <c r="X634" s="27"/>
      <c r="Y634" s="27"/>
      <c r="Z634" s="27"/>
      <c r="AA634" s="27"/>
      <c r="AB634" s="27"/>
      <c r="AC634" s="27"/>
      <c r="AD634" s="27"/>
      <c r="AE634" s="27"/>
      <c r="AF634" s="27"/>
      <c r="AG634" s="27"/>
      <c r="AH634" s="27"/>
      <c r="AI634" s="27"/>
      <c r="AJ634" s="27"/>
      <c r="AK634" s="27"/>
      <c r="AL634" s="27"/>
      <c r="AM634" s="27"/>
      <c r="AN634" s="27"/>
      <c r="AO634" s="27"/>
      <c r="AP634" s="27"/>
      <c r="AQ634" s="27"/>
      <c r="AR634" s="27"/>
      <c r="AS634" s="27"/>
      <c r="AT634" s="27"/>
      <c r="AU634" s="27"/>
      <c r="AV634" s="27"/>
      <c r="AW634" s="27"/>
      <c r="AX634" s="27"/>
      <c r="AY634" s="27"/>
      <c r="AZ634" s="27"/>
      <c r="BA634" s="27"/>
      <c r="BB634" s="27"/>
      <c r="BC634" s="27"/>
      <c r="BD634" s="27"/>
      <c r="BE634" s="27"/>
      <c r="BF634" s="27"/>
      <c r="BG634" s="27"/>
      <c r="BH634" s="27"/>
      <c r="BI634" s="27"/>
      <c r="BJ634" s="27"/>
      <c r="BK634" s="27"/>
      <c r="BL634" s="27"/>
      <c r="BM634" s="27"/>
      <c r="BN634" s="27"/>
      <c r="BO634" s="27"/>
      <c r="BP634" s="27"/>
      <c r="BQ634" s="27"/>
      <c r="BR634" s="27"/>
      <c r="BS634" s="27"/>
      <c r="BT634" s="27"/>
      <c r="BU634" s="27"/>
      <c r="BV634" s="27"/>
      <c r="BW634" s="27"/>
      <c r="BX634" s="27"/>
      <c r="BY634" s="27"/>
      <c r="BZ634" s="27"/>
      <c r="CA634" s="27"/>
      <c r="CB634" s="27"/>
      <c r="CC634" s="27"/>
      <c r="CD634" s="27"/>
      <c r="CE634" s="27"/>
      <c r="CF634" s="27"/>
      <c r="CG634" s="27"/>
      <c r="CH634" s="27"/>
      <c r="CI634" s="27"/>
      <c r="CJ634" s="27"/>
      <c r="CK634" s="27"/>
      <c r="CL634" s="27"/>
      <c r="CM634" s="27"/>
      <c r="CN634" s="27"/>
      <c r="CO634" s="27"/>
      <c r="CP634" s="27"/>
      <c r="CQ634" s="27"/>
      <c r="CR634" s="27"/>
      <c r="CS634" s="27"/>
      <c r="CT634" s="27"/>
      <c r="CU634" s="27"/>
      <c r="CV634" s="27"/>
      <c r="CW634" s="27"/>
      <c r="CX634" s="27"/>
      <c r="CY634" s="27"/>
      <c r="CZ634" s="27"/>
      <c r="DA634" s="27"/>
      <c r="DB634" s="27"/>
      <c r="DC634" s="27"/>
      <c r="DD634" s="27"/>
      <c r="DE634" s="27"/>
      <c r="DF634" s="27"/>
      <c r="DG634" s="27"/>
      <c r="DH634" s="27"/>
      <c r="DI634" s="27"/>
      <c r="DJ634" s="27"/>
      <c r="DK634" s="27"/>
      <c r="DL634" s="27"/>
      <c r="DM634" s="27"/>
      <c r="DN634" s="27"/>
      <c r="DO634" s="27"/>
      <c r="DP634" s="27"/>
      <c r="DQ634" s="27"/>
      <c r="DR634" s="27"/>
      <c r="DS634" s="27"/>
      <c r="DT634" s="27"/>
    </row>
    <row r="635" spans="7:124" x14ac:dyDescent="0.2">
      <c r="G635" s="27"/>
      <c r="H635" s="27"/>
      <c r="I635" s="27"/>
      <c r="J635" s="27"/>
      <c r="K635" s="27"/>
      <c r="L635" s="27"/>
      <c r="M635" s="27"/>
      <c r="N635" s="27"/>
      <c r="O635" s="27"/>
      <c r="P635" s="27"/>
      <c r="Q635" s="27"/>
      <c r="R635" s="27"/>
      <c r="S635" s="27"/>
      <c r="T635" s="27"/>
      <c r="U635" s="27"/>
      <c r="V635" s="27"/>
      <c r="W635" s="27"/>
      <c r="X635" s="27"/>
      <c r="Y635" s="27"/>
      <c r="Z635" s="27"/>
      <c r="AA635" s="27"/>
      <c r="AB635" s="27"/>
      <c r="AC635" s="27"/>
      <c r="AD635" s="27"/>
      <c r="AE635" s="27"/>
      <c r="AF635" s="27"/>
      <c r="AG635" s="27"/>
      <c r="AH635" s="27"/>
      <c r="AI635" s="27"/>
      <c r="AJ635" s="27"/>
      <c r="AK635" s="27"/>
      <c r="AL635" s="27"/>
      <c r="AM635" s="27"/>
      <c r="AN635" s="27"/>
      <c r="AO635" s="27"/>
      <c r="AP635" s="27"/>
      <c r="AQ635" s="27"/>
      <c r="AR635" s="27"/>
      <c r="AS635" s="27"/>
      <c r="AT635" s="27"/>
      <c r="AU635" s="27"/>
      <c r="AV635" s="27"/>
      <c r="AW635" s="27"/>
      <c r="AX635" s="27"/>
      <c r="AY635" s="27"/>
      <c r="AZ635" s="27"/>
      <c r="BA635" s="27"/>
      <c r="BB635" s="27"/>
      <c r="BC635" s="27"/>
      <c r="BD635" s="27"/>
      <c r="BE635" s="27"/>
      <c r="BF635" s="27"/>
      <c r="BG635" s="27"/>
      <c r="BH635" s="27"/>
      <c r="BI635" s="27"/>
      <c r="BJ635" s="27"/>
      <c r="BK635" s="27"/>
      <c r="BL635" s="27"/>
      <c r="BM635" s="27"/>
      <c r="BN635" s="27"/>
      <c r="BO635" s="27"/>
      <c r="BP635" s="27"/>
      <c r="BQ635" s="27"/>
      <c r="BR635" s="27"/>
      <c r="BS635" s="27"/>
      <c r="BT635" s="27"/>
      <c r="BU635" s="27"/>
      <c r="BV635" s="27"/>
      <c r="BW635" s="27"/>
      <c r="BX635" s="27"/>
      <c r="BY635" s="27"/>
      <c r="BZ635" s="27"/>
      <c r="CA635" s="27"/>
      <c r="CB635" s="27"/>
      <c r="CC635" s="27"/>
      <c r="CD635" s="27"/>
      <c r="CE635" s="27"/>
      <c r="CF635" s="27"/>
      <c r="CG635" s="27"/>
      <c r="CH635" s="27"/>
      <c r="CI635" s="27"/>
      <c r="CJ635" s="27"/>
      <c r="CK635" s="27"/>
      <c r="CL635" s="27"/>
      <c r="CM635" s="27"/>
      <c r="CN635" s="27"/>
      <c r="CO635" s="27"/>
      <c r="CP635" s="27"/>
      <c r="CQ635" s="27"/>
      <c r="CR635" s="27"/>
      <c r="CS635" s="27"/>
      <c r="CT635" s="27"/>
      <c r="CU635" s="27"/>
      <c r="CV635" s="27"/>
      <c r="CW635" s="27"/>
      <c r="CX635" s="27"/>
      <c r="CY635" s="27"/>
      <c r="CZ635" s="27"/>
      <c r="DA635" s="27"/>
      <c r="DB635" s="27"/>
      <c r="DC635" s="27"/>
      <c r="DD635" s="27"/>
      <c r="DE635" s="27"/>
      <c r="DF635" s="27"/>
      <c r="DG635" s="27"/>
      <c r="DH635" s="27"/>
      <c r="DI635" s="27"/>
      <c r="DJ635" s="27"/>
      <c r="DK635" s="27"/>
      <c r="DL635" s="27"/>
      <c r="DM635" s="27"/>
      <c r="DN635" s="27"/>
      <c r="DO635" s="27"/>
      <c r="DP635" s="27"/>
      <c r="DQ635" s="27"/>
      <c r="DR635" s="27"/>
      <c r="DS635" s="27"/>
      <c r="DT635" s="27"/>
    </row>
    <row r="636" spans="7:124" x14ac:dyDescent="0.2">
      <c r="G636" s="27"/>
      <c r="H636" s="27"/>
      <c r="I636" s="27"/>
      <c r="J636" s="27"/>
      <c r="K636" s="27"/>
      <c r="L636" s="27"/>
      <c r="M636" s="27"/>
      <c r="N636" s="27"/>
      <c r="O636" s="27"/>
      <c r="P636" s="27"/>
      <c r="Q636" s="27"/>
      <c r="R636" s="27"/>
      <c r="S636" s="27"/>
      <c r="T636" s="27"/>
      <c r="U636" s="27"/>
      <c r="V636" s="27"/>
      <c r="W636" s="27"/>
      <c r="X636" s="27"/>
      <c r="Y636" s="27"/>
      <c r="Z636" s="27"/>
      <c r="AA636" s="27"/>
      <c r="AB636" s="27"/>
      <c r="AC636" s="27"/>
      <c r="AD636" s="27"/>
      <c r="AE636" s="27"/>
      <c r="AF636" s="27"/>
      <c r="AG636" s="27"/>
      <c r="AH636" s="27"/>
      <c r="AI636" s="27"/>
      <c r="AJ636" s="27"/>
      <c r="AK636" s="27"/>
      <c r="AL636" s="27"/>
      <c r="AM636" s="27"/>
      <c r="AN636" s="27"/>
      <c r="AO636" s="27"/>
      <c r="AP636" s="27"/>
      <c r="AQ636" s="27"/>
      <c r="AR636" s="27"/>
      <c r="AS636" s="27"/>
      <c r="AT636" s="27"/>
      <c r="AU636" s="27"/>
      <c r="AV636" s="27"/>
      <c r="AW636" s="27"/>
      <c r="AX636" s="27"/>
      <c r="AY636" s="27"/>
      <c r="AZ636" s="27"/>
      <c r="BA636" s="27"/>
      <c r="BB636" s="27"/>
      <c r="BC636" s="27"/>
      <c r="BD636" s="27"/>
      <c r="BE636" s="27"/>
      <c r="BF636" s="27"/>
      <c r="BG636" s="27"/>
      <c r="BH636" s="27"/>
      <c r="BI636" s="27"/>
      <c r="BJ636" s="27"/>
      <c r="BK636" s="27"/>
      <c r="BL636" s="27"/>
      <c r="BM636" s="27"/>
      <c r="BN636" s="27"/>
      <c r="BO636" s="27"/>
      <c r="BP636" s="27"/>
      <c r="BQ636" s="27"/>
      <c r="BR636" s="27"/>
      <c r="BS636" s="27"/>
      <c r="BT636" s="27"/>
      <c r="BU636" s="27"/>
      <c r="BV636" s="27"/>
      <c r="BW636" s="27"/>
      <c r="BX636" s="27"/>
      <c r="BY636" s="27"/>
      <c r="BZ636" s="27"/>
      <c r="CA636" s="27"/>
      <c r="CB636" s="27"/>
      <c r="CC636" s="27"/>
      <c r="CD636" s="27"/>
      <c r="CE636" s="27"/>
      <c r="CF636" s="27"/>
      <c r="CG636" s="27"/>
      <c r="CH636" s="27"/>
      <c r="CI636" s="27"/>
      <c r="CJ636" s="27"/>
      <c r="CK636" s="27"/>
      <c r="CL636" s="27"/>
      <c r="CM636" s="27"/>
      <c r="CN636" s="27"/>
      <c r="CO636" s="27"/>
      <c r="CP636" s="27"/>
      <c r="CQ636" s="27"/>
      <c r="CR636" s="27"/>
      <c r="CS636" s="27"/>
      <c r="CT636" s="27"/>
      <c r="CU636" s="27"/>
      <c r="CV636" s="27"/>
      <c r="CW636" s="27"/>
      <c r="CX636" s="27"/>
      <c r="CY636" s="27"/>
      <c r="CZ636" s="27"/>
      <c r="DA636" s="27"/>
      <c r="DB636" s="27"/>
      <c r="DC636" s="27"/>
      <c r="DD636" s="27"/>
      <c r="DE636" s="27"/>
      <c r="DF636" s="27"/>
      <c r="DG636" s="27"/>
      <c r="DH636" s="27"/>
      <c r="DI636" s="27"/>
      <c r="DJ636" s="27"/>
      <c r="DK636" s="27"/>
      <c r="DL636" s="27"/>
      <c r="DM636" s="27"/>
      <c r="DN636" s="27"/>
      <c r="DO636" s="27"/>
      <c r="DP636" s="27"/>
      <c r="DQ636" s="27"/>
      <c r="DR636" s="27"/>
      <c r="DS636" s="27"/>
      <c r="DT636" s="27"/>
    </row>
    <row r="637" spans="7:124" x14ac:dyDescent="0.2">
      <c r="G637" s="27"/>
      <c r="H637" s="27"/>
      <c r="I637" s="27"/>
      <c r="J637" s="27"/>
      <c r="K637" s="27"/>
      <c r="L637" s="27"/>
      <c r="M637" s="27"/>
      <c r="N637" s="27"/>
      <c r="O637" s="27"/>
      <c r="P637" s="27"/>
      <c r="Q637" s="27"/>
      <c r="R637" s="27"/>
      <c r="S637" s="27"/>
      <c r="T637" s="27"/>
      <c r="U637" s="27"/>
      <c r="V637" s="27"/>
      <c r="W637" s="27"/>
      <c r="X637" s="27"/>
      <c r="Y637" s="27"/>
      <c r="Z637" s="27"/>
      <c r="AA637" s="27"/>
      <c r="AB637" s="27"/>
      <c r="AC637" s="27"/>
      <c r="AD637" s="27"/>
      <c r="AE637" s="27"/>
      <c r="AF637" s="27"/>
      <c r="AG637" s="27"/>
      <c r="AH637" s="27"/>
      <c r="AI637" s="27"/>
      <c r="AJ637" s="27"/>
      <c r="AK637" s="27"/>
      <c r="AL637" s="27"/>
      <c r="AM637" s="27"/>
      <c r="AN637" s="27"/>
      <c r="AO637" s="27"/>
      <c r="AP637" s="27"/>
      <c r="AQ637" s="27"/>
      <c r="AR637" s="27"/>
      <c r="AS637" s="27"/>
      <c r="AT637" s="27"/>
      <c r="AU637" s="27"/>
      <c r="AV637" s="27"/>
      <c r="AW637" s="27"/>
      <c r="AX637" s="27"/>
      <c r="AY637" s="27"/>
      <c r="AZ637" s="27"/>
      <c r="BA637" s="27"/>
      <c r="BB637" s="27"/>
      <c r="BC637" s="27"/>
      <c r="BD637" s="27"/>
      <c r="BE637" s="27"/>
      <c r="BF637" s="27"/>
      <c r="BG637" s="27"/>
      <c r="BH637" s="27"/>
      <c r="BI637" s="27"/>
      <c r="BJ637" s="27"/>
      <c r="BK637" s="27"/>
      <c r="BL637" s="27"/>
      <c r="BM637" s="27"/>
      <c r="BN637" s="27"/>
      <c r="BO637" s="27"/>
      <c r="BP637" s="27"/>
      <c r="BQ637" s="27"/>
      <c r="BR637" s="27"/>
      <c r="BS637" s="27"/>
      <c r="BT637" s="27"/>
      <c r="BU637" s="27"/>
      <c r="BV637" s="27"/>
      <c r="BW637" s="27"/>
      <c r="BX637" s="27"/>
      <c r="BY637" s="27"/>
      <c r="BZ637" s="27"/>
      <c r="CA637" s="27"/>
      <c r="CB637" s="27"/>
      <c r="CC637" s="27"/>
      <c r="CD637" s="27"/>
      <c r="CE637" s="27"/>
      <c r="CF637" s="27"/>
      <c r="CG637" s="27"/>
      <c r="CH637" s="27"/>
      <c r="CI637" s="27"/>
      <c r="CJ637" s="27"/>
      <c r="CK637" s="27"/>
      <c r="CL637" s="27"/>
      <c r="CM637" s="27"/>
      <c r="CN637" s="27"/>
      <c r="CO637" s="27"/>
      <c r="CP637" s="27"/>
      <c r="CQ637" s="27"/>
      <c r="CR637" s="27"/>
      <c r="CS637" s="27"/>
      <c r="CT637" s="27"/>
      <c r="CU637" s="27"/>
      <c r="CV637" s="27"/>
      <c r="CW637" s="27"/>
      <c r="CX637" s="27"/>
      <c r="CY637" s="27"/>
      <c r="CZ637" s="27"/>
      <c r="DA637" s="27"/>
      <c r="DB637" s="27"/>
      <c r="DC637" s="27"/>
      <c r="DD637" s="27"/>
      <c r="DE637" s="27"/>
      <c r="DF637" s="27"/>
      <c r="DG637" s="27"/>
      <c r="DH637" s="27"/>
      <c r="DI637" s="27"/>
      <c r="DJ637" s="27"/>
      <c r="DK637" s="27"/>
      <c r="DL637" s="27"/>
      <c r="DM637" s="27"/>
      <c r="DN637" s="27"/>
      <c r="DO637" s="27"/>
      <c r="DP637" s="27"/>
      <c r="DQ637" s="27"/>
      <c r="DR637" s="27"/>
      <c r="DS637" s="27"/>
      <c r="DT637" s="27"/>
    </row>
    <row r="638" spans="7:124" x14ac:dyDescent="0.2">
      <c r="G638" s="27"/>
      <c r="H638" s="27"/>
      <c r="I638" s="27"/>
      <c r="J638" s="27"/>
      <c r="K638" s="27"/>
      <c r="L638" s="27"/>
      <c r="M638" s="27"/>
      <c r="N638" s="27"/>
      <c r="O638" s="27"/>
      <c r="P638" s="27"/>
      <c r="Q638" s="27"/>
      <c r="R638" s="27"/>
      <c r="S638" s="27"/>
      <c r="T638" s="27"/>
      <c r="U638" s="27"/>
      <c r="V638" s="27"/>
      <c r="W638" s="27"/>
      <c r="X638" s="27"/>
      <c r="Y638" s="27"/>
      <c r="Z638" s="27"/>
      <c r="AA638" s="27"/>
      <c r="AB638" s="27"/>
      <c r="AC638" s="27"/>
      <c r="AD638" s="27"/>
      <c r="AE638" s="27"/>
      <c r="AF638" s="27"/>
      <c r="AG638" s="27"/>
      <c r="AH638" s="27"/>
      <c r="AI638" s="27"/>
      <c r="AJ638" s="27"/>
      <c r="AK638" s="27"/>
      <c r="AL638" s="27"/>
      <c r="AM638" s="27"/>
      <c r="AN638" s="27"/>
      <c r="AO638" s="27"/>
      <c r="AP638" s="27"/>
      <c r="AQ638" s="27"/>
      <c r="AR638" s="27"/>
      <c r="AS638" s="27"/>
      <c r="AT638" s="27"/>
      <c r="AU638" s="27"/>
      <c r="AV638" s="27"/>
      <c r="AW638" s="27"/>
      <c r="AX638" s="27"/>
      <c r="AY638" s="27"/>
      <c r="AZ638" s="27"/>
      <c r="BA638" s="27"/>
      <c r="BB638" s="27"/>
      <c r="BC638" s="27"/>
      <c r="BD638" s="27"/>
      <c r="BE638" s="27"/>
      <c r="BF638" s="27"/>
      <c r="BG638" s="27"/>
      <c r="BH638" s="27"/>
      <c r="BI638" s="27"/>
      <c r="BJ638" s="27"/>
      <c r="BK638" s="27"/>
      <c r="BL638" s="27"/>
      <c r="BM638" s="27"/>
      <c r="BN638" s="27"/>
      <c r="BO638" s="27"/>
      <c r="BP638" s="27"/>
      <c r="BQ638" s="27"/>
      <c r="BR638" s="27"/>
      <c r="BS638" s="27"/>
      <c r="BT638" s="27"/>
      <c r="BU638" s="27"/>
      <c r="BV638" s="27"/>
      <c r="BW638" s="27"/>
      <c r="BX638" s="27"/>
      <c r="BY638" s="27"/>
      <c r="BZ638" s="27"/>
      <c r="CA638" s="27"/>
      <c r="CB638" s="27"/>
      <c r="CC638" s="27"/>
      <c r="CD638" s="27"/>
      <c r="CE638" s="27"/>
      <c r="CF638" s="27"/>
      <c r="CG638" s="27"/>
      <c r="CH638" s="27"/>
      <c r="CI638" s="27"/>
      <c r="CJ638" s="27"/>
      <c r="CK638" s="27"/>
      <c r="CL638" s="27"/>
      <c r="CM638" s="27"/>
      <c r="CN638" s="27"/>
      <c r="CO638" s="27"/>
      <c r="CP638" s="27"/>
      <c r="CQ638" s="27"/>
      <c r="CR638" s="27"/>
      <c r="CS638" s="27"/>
      <c r="CT638" s="27"/>
      <c r="CU638" s="27"/>
      <c r="CV638" s="27"/>
      <c r="CW638" s="27"/>
      <c r="CX638" s="27"/>
      <c r="CY638" s="27"/>
      <c r="CZ638" s="27"/>
      <c r="DA638" s="27"/>
      <c r="DB638" s="27"/>
      <c r="DC638" s="27"/>
      <c r="DD638" s="27"/>
      <c r="DE638" s="27"/>
      <c r="DF638" s="27"/>
      <c r="DG638" s="27"/>
      <c r="DH638" s="27"/>
      <c r="DI638" s="27"/>
      <c r="DJ638" s="27"/>
      <c r="DK638" s="27"/>
      <c r="DL638" s="27"/>
      <c r="DM638" s="27"/>
      <c r="DN638" s="27"/>
      <c r="DO638" s="27"/>
      <c r="DP638" s="27"/>
      <c r="DQ638" s="27"/>
      <c r="DR638" s="27"/>
      <c r="DS638" s="27"/>
      <c r="DT638" s="27"/>
    </row>
    <row r="639" spans="7:124" x14ac:dyDescent="0.2">
      <c r="G639" s="27"/>
      <c r="H639" s="27"/>
      <c r="I639" s="27"/>
      <c r="J639" s="27"/>
      <c r="K639" s="27"/>
      <c r="L639" s="27"/>
      <c r="M639" s="27"/>
      <c r="N639" s="27"/>
      <c r="O639" s="27"/>
      <c r="P639" s="27"/>
      <c r="Q639" s="27"/>
      <c r="R639" s="27"/>
      <c r="S639" s="27"/>
      <c r="T639" s="27"/>
      <c r="U639" s="27"/>
      <c r="V639" s="27"/>
      <c r="W639" s="27"/>
      <c r="X639" s="27"/>
      <c r="Y639" s="27"/>
      <c r="Z639" s="27"/>
      <c r="AA639" s="27"/>
      <c r="AB639" s="27"/>
      <c r="AC639" s="27"/>
      <c r="AD639" s="27"/>
      <c r="AE639" s="27"/>
      <c r="AF639" s="27"/>
      <c r="AG639" s="27"/>
      <c r="AH639" s="27"/>
      <c r="AI639" s="27"/>
      <c r="AJ639" s="27"/>
      <c r="AK639" s="27"/>
      <c r="AL639" s="27"/>
      <c r="AM639" s="27"/>
      <c r="AN639" s="27"/>
      <c r="AO639" s="27"/>
      <c r="AP639" s="27"/>
      <c r="AQ639" s="27"/>
      <c r="AR639" s="27"/>
      <c r="AS639" s="27"/>
      <c r="AT639" s="27"/>
      <c r="AU639" s="27"/>
      <c r="AV639" s="27"/>
      <c r="AW639" s="27"/>
      <c r="AX639" s="27"/>
      <c r="AY639" s="27"/>
      <c r="AZ639" s="27"/>
      <c r="BA639" s="27"/>
      <c r="BB639" s="27"/>
      <c r="BC639" s="27"/>
      <c r="BD639" s="27"/>
      <c r="BE639" s="27"/>
      <c r="BF639" s="27"/>
      <c r="BG639" s="27"/>
      <c r="BH639" s="27"/>
      <c r="BI639" s="27"/>
      <c r="BJ639" s="27"/>
      <c r="BK639" s="27"/>
      <c r="BL639" s="27"/>
      <c r="BM639" s="27"/>
      <c r="BN639" s="27"/>
      <c r="BO639" s="27"/>
      <c r="BP639" s="27"/>
      <c r="BQ639" s="27"/>
      <c r="BR639" s="27"/>
      <c r="BS639" s="27"/>
      <c r="BT639" s="27"/>
      <c r="BU639" s="27"/>
      <c r="BV639" s="27"/>
      <c r="BW639" s="27"/>
      <c r="BX639" s="27"/>
      <c r="BY639" s="27"/>
      <c r="BZ639" s="27"/>
      <c r="CA639" s="27"/>
      <c r="CB639" s="27"/>
      <c r="CC639" s="27"/>
      <c r="CD639" s="27"/>
      <c r="CE639" s="27"/>
      <c r="CF639" s="27"/>
      <c r="CG639" s="27"/>
      <c r="CH639" s="27"/>
      <c r="CI639" s="27"/>
      <c r="CJ639" s="27"/>
      <c r="CK639" s="27"/>
      <c r="CL639" s="27"/>
      <c r="CM639" s="27"/>
      <c r="CN639" s="27"/>
      <c r="CO639" s="27"/>
      <c r="CP639" s="27"/>
      <c r="CQ639" s="27"/>
      <c r="CR639" s="27"/>
      <c r="CS639" s="27"/>
      <c r="CT639" s="27"/>
      <c r="CU639" s="27"/>
      <c r="CV639" s="27"/>
      <c r="CW639" s="27"/>
      <c r="CX639" s="27"/>
      <c r="CY639" s="27"/>
      <c r="CZ639" s="27"/>
      <c r="DA639" s="27"/>
      <c r="DB639" s="27"/>
      <c r="DC639" s="27"/>
      <c r="DD639" s="27"/>
      <c r="DE639" s="27"/>
      <c r="DF639" s="27"/>
      <c r="DG639" s="27"/>
      <c r="DH639" s="27"/>
      <c r="DI639" s="27"/>
      <c r="DJ639" s="27"/>
      <c r="DK639" s="27"/>
      <c r="DL639" s="27"/>
      <c r="DM639" s="27"/>
      <c r="DN639" s="27"/>
      <c r="DO639" s="27"/>
      <c r="DP639" s="27"/>
      <c r="DQ639" s="27"/>
      <c r="DR639" s="27"/>
      <c r="DS639" s="27"/>
      <c r="DT639" s="27"/>
    </row>
    <row r="640" spans="7:124" x14ac:dyDescent="0.2">
      <c r="G640" s="27"/>
      <c r="H640" s="27"/>
      <c r="I640" s="27"/>
      <c r="J640" s="27"/>
      <c r="K640" s="27"/>
      <c r="L640" s="27"/>
      <c r="M640" s="27"/>
      <c r="N640" s="27"/>
      <c r="O640" s="27"/>
      <c r="P640" s="27"/>
      <c r="Q640" s="27"/>
      <c r="R640" s="27"/>
      <c r="S640" s="27"/>
      <c r="T640" s="27"/>
      <c r="U640" s="27"/>
      <c r="V640" s="27"/>
      <c r="W640" s="27"/>
      <c r="X640" s="27"/>
      <c r="Y640" s="27"/>
      <c r="Z640" s="27"/>
      <c r="AA640" s="27"/>
      <c r="AB640" s="27"/>
      <c r="AC640" s="27"/>
      <c r="AD640" s="27"/>
      <c r="AE640" s="27"/>
      <c r="AF640" s="27"/>
      <c r="AG640" s="27"/>
      <c r="AH640" s="27"/>
      <c r="AI640" s="27"/>
      <c r="AJ640" s="27"/>
      <c r="AK640" s="27"/>
      <c r="AL640" s="27"/>
      <c r="AM640" s="27"/>
      <c r="AN640" s="27"/>
      <c r="AO640" s="27"/>
      <c r="AP640" s="27"/>
      <c r="AQ640" s="27"/>
      <c r="AR640" s="27"/>
      <c r="AS640" s="27"/>
      <c r="AT640" s="27"/>
      <c r="AU640" s="27"/>
      <c r="AV640" s="27"/>
      <c r="AW640" s="27"/>
      <c r="AX640" s="27"/>
      <c r="AY640" s="27"/>
      <c r="AZ640" s="27"/>
      <c r="BA640" s="27"/>
      <c r="BB640" s="27"/>
      <c r="BC640" s="27"/>
      <c r="BD640" s="27"/>
      <c r="BE640" s="27"/>
      <c r="BF640" s="27"/>
      <c r="BG640" s="27"/>
      <c r="BH640" s="27"/>
      <c r="BI640" s="27"/>
      <c r="BJ640" s="27"/>
      <c r="BK640" s="27"/>
      <c r="BL640" s="27"/>
      <c r="BM640" s="27"/>
      <c r="BN640" s="27"/>
      <c r="BO640" s="27"/>
      <c r="BP640" s="27"/>
      <c r="BQ640" s="27"/>
      <c r="BR640" s="27"/>
      <c r="BS640" s="27"/>
      <c r="BT640" s="27"/>
      <c r="BU640" s="27"/>
      <c r="BV640" s="27"/>
      <c r="BW640" s="27"/>
      <c r="BX640" s="27"/>
      <c r="BY640" s="27"/>
      <c r="BZ640" s="27"/>
      <c r="CA640" s="27"/>
      <c r="CB640" s="27"/>
      <c r="CC640" s="27"/>
      <c r="CD640" s="27"/>
      <c r="CE640" s="27"/>
      <c r="CF640" s="27"/>
      <c r="CG640" s="27"/>
      <c r="CH640" s="27"/>
      <c r="CI640" s="27"/>
      <c r="CJ640" s="27"/>
      <c r="CK640" s="27"/>
      <c r="CL640" s="27"/>
      <c r="CM640" s="27"/>
      <c r="CN640" s="27"/>
      <c r="CO640" s="27"/>
      <c r="CP640" s="27"/>
      <c r="CQ640" s="27"/>
      <c r="CR640" s="27"/>
      <c r="CS640" s="27"/>
      <c r="CT640" s="27"/>
      <c r="CU640" s="27"/>
      <c r="CV640" s="27"/>
      <c r="CW640" s="27"/>
      <c r="CX640" s="27"/>
      <c r="CY640" s="27"/>
      <c r="CZ640" s="27"/>
      <c r="DA640" s="27"/>
      <c r="DB640" s="27"/>
      <c r="DC640" s="27"/>
      <c r="DD640" s="27"/>
      <c r="DE640" s="27"/>
      <c r="DF640" s="27"/>
      <c r="DG640" s="27"/>
      <c r="DH640" s="27"/>
      <c r="DI640" s="27"/>
      <c r="DJ640" s="27"/>
      <c r="DK640" s="27"/>
      <c r="DL640" s="27"/>
      <c r="DM640" s="27"/>
      <c r="DN640" s="27"/>
      <c r="DO640" s="27"/>
      <c r="DP640" s="27"/>
      <c r="DQ640" s="27"/>
      <c r="DR640" s="27"/>
      <c r="DS640" s="27"/>
      <c r="DT640" s="27"/>
    </row>
    <row r="641" spans="7:124" x14ac:dyDescent="0.2">
      <c r="G641" s="27"/>
      <c r="H641" s="27"/>
      <c r="I641" s="27"/>
      <c r="J641" s="27"/>
      <c r="K641" s="27"/>
      <c r="L641" s="27"/>
      <c r="M641" s="27"/>
      <c r="N641" s="27"/>
      <c r="O641" s="27"/>
      <c r="P641" s="27"/>
      <c r="Q641" s="27"/>
      <c r="R641" s="27"/>
      <c r="S641" s="27"/>
      <c r="T641" s="27"/>
      <c r="U641" s="27"/>
      <c r="V641" s="27"/>
      <c r="W641" s="27"/>
      <c r="X641" s="27"/>
      <c r="Y641" s="27"/>
      <c r="Z641" s="27"/>
      <c r="AA641" s="27"/>
      <c r="AB641" s="27"/>
      <c r="AC641" s="27"/>
      <c r="AD641" s="27"/>
      <c r="AE641" s="27"/>
      <c r="AF641" s="27"/>
      <c r="AG641" s="27"/>
      <c r="AH641" s="27"/>
      <c r="AI641" s="27"/>
      <c r="AJ641" s="27"/>
      <c r="AK641" s="27"/>
      <c r="AL641" s="27"/>
      <c r="AM641" s="27"/>
      <c r="AN641" s="27"/>
      <c r="AO641" s="27"/>
      <c r="AP641" s="27"/>
      <c r="AQ641" s="27"/>
      <c r="AR641" s="27"/>
      <c r="AS641" s="27"/>
      <c r="AT641" s="27"/>
      <c r="AU641" s="27"/>
      <c r="AV641" s="27"/>
      <c r="AW641" s="27"/>
      <c r="AX641" s="27"/>
      <c r="AY641" s="27"/>
      <c r="AZ641" s="27"/>
      <c r="BA641" s="27"/>
      <c r="BB641" s="27"/>
      <c r="BC641" s="27"/>
      <c r="BD641" s="27"/>
      <c r="BE641" s="27"/>
      <c r="BF641" s="27"/>
      <c r="BG641" s="27"/>
      <c r="BH641" s="27"/>
      <c r="BI641" s="27"/>
      <c r="BJ641" s="27"/>
      <c r="BK641" s="27"/>
      <c r="BL641" s="27"/>
      <c r="BM641" s="27"/>
      <c r="BN641" s="27"/>
      <c r="BO641" s="27"/>
      <c r="BP641" s="27"/>
      <c r="BQ641" s="27"/>
      <c r="BR641" s="27"/>
      <c r="BS641" s="27"/>
      <c r="BT641" s="27"/>
      <c r="BU641" s="27"/>
      <c r="BV641" s="27"/>
      <c r="BW641" s="27"/>
      <c r="BX641" s="27"/>
      <c r="BY641" s="27"/>
      <c r="BZ641" s="27"/>
      <c r="CA641" s="27"/>
      <c r="CB641" s="27"/>
      <c r="CC641" s="27"/>
      <c r="CD641" s="27"/>
      <c r="CE641" s="27"/>
      <c r="CF641" s="27"/>
      <c r="CG641" s="27"/>
      <c r="CH641" s="27"/>
      <c r="CI641" s="27"/>
      <c r="CJ641" s="27"/>
      <c r="CK641" s="27"/>
      <c r="CL641" s="27"/>
      <c r="CM641" s="27"/>
      <c r="CN641" s="27"/>
      <c r="CO641" s="27"/>
      <c r="CP641" s="27"/>
      <c r="CQ641" s="27"/>
      <c r="CR641" s="27"/>
      <c r="CS641" s="27"/>
      <c r="CT641" s="27"/>
      <c r="CU641" s="27"/>
      <c r="CV641" s="27"/>
      <c r="CW641" s="27"/>
      <c r="CX641" s="27"/>
      <c r="CY641" s="27"/>
      <c r="CZ641" s="27"/>
      <c r="DA641" s="27"/>
      <c r="DB641" s="27"/>
      <c r="DC641" s="27"/>
      <c r="DD641" s="27"/>
      <c r="DE641" s="27"/>
      <c r="DF641" s="27"/>
      <c r="DG641" s="27"/>
      <c r="DH641" s="27"/>
      <c r="DI641" s="27"/>
      <c r="DJ641" s="27"/>
      <c r="DK641" s="27"/>
      <c r="DL641" s="27"/>
      <c r="DM641" s="27"/>
      <c r="DN641" s="27"/>
      <c r="DO641" s="27"/>
      <c r="DP641" s="27"/>
      <c r="DQ641" s="27"/>
      <c r="DR641" s="27"/>
      <c r="DS641" s="27"/>
      <c r="DT641" s="27"/>
    </row>
    <row r="642" spans="7:124" x14ac:dyDescent="0.2">
      <c r="G642" s="27"/>
      <c r="H642" s="27"/>
      <c r="I642" s="27"/>
      <c r="J642" s="27"/>
      <c r="K642" s="27"/>
      <c r="L642" s="27"/>
      <c r="M642" s="27"/>
      <c r="N642" s="27"/>
      <c r="O642" s="27"/>
      <c r="P642" s="27"/>
      <c r="Q642" s="27"/>
      <c r="R642" s="27"/>
      <c r="S642" s="27"/>
      <c r="T642" s="27"/>
      <c r="U642" s="27"/>
      <c r="V642" s="27"/>
      <c r="W642" s="27"/>
      <c r="X642" s="27"/>
      <c r="Y642" s="27"/>
      <c r="Z642" s="27"/>
      <c r="AA642" s="27"/>
      <c r="AB642" s="27"/>
      <c r="AC642" s="27"/>
      <c r="AD642" s="27"/>
      <c r="AE642" s="27"/>
      <c r="AF642" s="27"/>
      <c r="AG642" s="27"/>
      <c r="AH642" s="27"/>
      <c r="AI642" s="27"/>
      <c r="AJ642" s="27"/>
      <c r="AK642" s="27"/>
      <c r="AL642" s="27"/>
      <c r="AM642" s="27"/>
      <c r="AN642" s="27"/>
      <c r="AO642" s="27"/>
      <c r="AP642" s="27"/>
      <c r="AQ642" s="27"/>
      <c r="AR642" s="27"/>
      <c r="AS642" s="27"/>
      <c r="AT642" s="27"/>
      <c r="AU642" s="27"/>
      <c r="AV642" s="27"/>
      <c r="AW642" s="27"/>
      <c r="AX642" s="27"/>
      <c r="AY642" s="27"/>
      <c r="AZ642" s="27"/>
      <c r="BA642" s="27"/>
      <c r="BB642" s="27"/>
      <c r="BC642" s="27"/>
      <c r="BD642" s="27"/>
      <c r="BE642" s="27"/>
      <c r="BF642" s="27"/>
      <c r="BG642" s="27"/>
      <c r="BH642" s="27"/>
      <c r="BI642" s="27"/>
      <c r="BJ642" s="27"/>
      <c r="BK642" s="27"/>
      <c r="BL642" s="27"/>
      <c r="BM642" s="27"/>
      <c r="BN642" s="27"/>
      <c r="BO642" s="27"/>
      <c r="BP642" s="27"/>
      <c r="BQ642" s="27"/>
      <c r="BR642" s="27"/>
      <c r="BS642" s="27"/>
      <c r="BT642" s="27"/>
      <c r="BU642" s="27"/>
      <c r="BV642" s="27"/>
      <c r="BW642" s="27"/>
      <c r="BX642" s="27"/>
      <c r="BY642" s="27"/>
      <c r="BZ642" s="27"/>
      <c r="CA642" s="27"/>
      <c r="CB642" s="27"/>
      <c r="CC642" s="27"/>
      <c r="CD642" s="27"/>
      <c r="CE642" s="27"/>
      <c r="CF642" s="27"/>
      <c r="CG642" s="27"/>
      <c r="CH642" s="27"/>
      <c r="CI642" s="27"/>
      <c r="CJ642" s="27"/>
      <c r="CK642" s="27"/>
      <c r="CL642" s="27"/>
      <c r="CM642" s="27"/>
      <c r="CN642" s="27"/>
      <c r="CO642" s="27"/>
      <c r="CP642" s="27"/>
      <c r="CQ642" s="27"/>
      <c r="CR642" s="27"/>
      <c r="CS642" s="27"/>
      <c r="CT642" s="27"/>
      <c r="CU642" s="27"/>
      <c r="CV642" s="27"/>
      <c r="CW642" s="27"/>
      <c r="CX642" s="27"/>
      <c r="CY642" s="27"/>
      <c r="CZ642" s="27"/>
      <c r="DA642" s="27"/>
      <c r="DB642" s="27"/>
      <c r="DC642" s="27"/>
      <c r="DD642" s="27"/>
      <c r="DE642" s="27"/>
      <c r="DF642" s="27"/>
      <c r="DG642" s="27"/>
      <c r="DH642" s="27"/>
      <c r="DI642" s="27"/>
      <c r="DJ642" s="27"/>
      <c r="DK642" s="27"/>
      <c r="DL642" s="27"/>
      <c r="DM642" s="27"/>
      <c r="DN642" s="27"/>
      <c r="DO642" s="27"/>
      <c r="DP642" s="27"/>
      <c r="DQ642" s="27"/>
      <c r="DR642" s="27"/>
      <c r="DS642" s="27"/>
      <c r="DT642" s="27"/>
    </row>
    <row r="643" spans="7:124" x14ac:dyDescent="0.2">
      <c r="G643" s="27"/>
      <c r="H643" s="27"/>
      <c r="I643" s="27"/>
      <c r="J643" s="27"/>
      <c r="K643" s="27"/>
      <c r="L643" s="27"/>
      <c r="M643" s="27"/>
      <c r="N643" s="27"/>
      <c r="O643" s="27"/>
      <c r="P643" s="27"/>
      <c r="Q643" s="27"/>
      <c r="R643" s="27"/>
      <c r="S643" s="27"/>
      <c r="T643" s="27"/>
      <c r="U643" s="27"/>
      <c r="V643" s="27"/>
      <c r="W643" s="27"/>
      <c r="X643" s="27"/>
      <c r="Y643" s="27"/>
      <c r="Z643" s="27"/>
      <c r="AA643" s="27"/>
      <c r="AB643" s="27"/>
      <c r="AC643" s="27"/>
      <c r="AD643" s="27"/>
      <c r="AE643" s="27"/>
      <c r="AF643" s="27"/>
      <c r="AG643" s="27"/>
      <c r="AH643" s="27"/>
      <c r="AI643" s="27"/>
      <c r="AJ643" s="27"/>
      <c r="AK643" s="27"/>
      <c r="AL643" s="27"/>
      <c r="AM643" s="27"/>
      <c r="AN643" s="27"/>
      <c r="AO643" s="27"/>
      <c r="AP643" s="27"/>
      <c r="AQ643" s="27"/>
      <c r="AR643" s="27"/>
      <c r="AS643" s="27"/>
      <c r="AT643" s="27"/>
      <c r="AU643" s="27"/>
      <c r="AV643" s="27"/>
      <c r="AW643" s="27"/>
      <c r="AX643" s="27"/>
      <c r="AY643" s="27"/>
      <c r="AZ643" s="27"/>
      <c r="BA643" s="27"/>
      <c r="BB643" s="27"/>
      <c r="BC643" s="27"/>
      <c r="BD643" s="27"/>
      <c r="BE643" s="27"/>
      <c r="BF643" s="27"/>
      <c r="BG643" s="27"/>
      <c r="BH643" s="27"/>
      <c r="BI643" s="27"/>
      <c r="BJ643" s="27"/>
      <c r="BK643" s="27"/>
      <c r="BL643" s="27"/>
      <c r="BM643" s="27"/>
      <c r="BN643" s="27"/>
      <c r="BO643" s="27"/>
      <c r="BP643" s="27"/>
      <c r="BQ643" s="27"/>
      <c r="BR643" s="27"/>
      <c r="BS643" s="27"/>
      <c r="BT643" s="27"/>
      <c r="BU643" s="27"/>
      <c r="BV643" s="27"/>
      <c r="BW643" s="27"/>
      <c r="BX643" s="27"/>
      <c r="BY643" s="27"/>
      <c r="BZ643" s="27"/>
      <c r="CA643" s="27"/>
      <c r="CB643" s="27"/>
      <c r="CC643" s="27"/>
      <c r="CD643" s="27"/>
      <c r="CE643" s="27"/>
      <c r="CF643" s="27"/>
      <c r="CG643" s="27"/>
      <c r="CH643" s="27"/>
      <c r="CI643" s="27"/>
      <c r="CJ643" s="27"/>
      <c r="CK643" s="27"/>
      <c r="CL643" s="27"/>
      <c r="CM643" s="27"/>
      <c r="CN643" s="27"/>
      <c r="CO643" s="27"/>
      <c r="CP643" s="27"/>
      <c r="CQ643" s="27"/>
      <c r="CR643" s="27"/>
      <c r="CS643" s="27"/>
      <c r="CT643" s="27"/>
      <c r="CU643" s="27"/>
      <c r="CV643" s="27"/>
      <c r="CW643" s="27"/>
      <c r="CX643" s="27"/>
      <c r="CY643" s="27"/>
      <c r="CZ643" s="27"/>
      <c r="DA643" s="27"/>
      <c r="DB643" s="27"/>
      <c r="DC643" s="27"/>
      <c r="DD643" s="27"/>
      <c r="DE643" s="27"/>
      <c r="DF643" s="27"/>
      <c r="DG643" s="27"/>
      <c r="DH643" s="27"/>
      <c r="DI643" s="27"/>
      <c r="DJ643" s="27"/>
      <c r="DK643" s="27"/>
      <c r="DL643" s="27"/>
      <c r="DM643" s="27"/>
      <c r="DN643" s="27"/>
      <c r="DO643" s="27"/>
      <c r="DP643" s="27"/>
      <c r="DQ643" s="27"/>
      <c r="DR643" s="27"/>
      <c r="DS643" s="27"/>
      <c r="DT643" s="27"/>
    </row>
    <row r="644" spans="7:124" x14ac:dyDescent="0.2">
      <c r="G644" s="27"/>
      <c r="H644" s="27"/>
      <c r="I644" s="27"/>
      <c r="J644" s="27"/>
      <c r="K644" s="27"/>
      <c r="L644" s="27"/>
      <c r="M644" s="27"/>
      <c r="N644" s="27"/>
      <c r="O644" s="27"/>
      <c r="P644" s="27"/>
      <c r="Q644" s="27"/>
      <c r="R644" s="27"/>
      <c r="S644" s="27"/>
      <c r="T644" s="27"/>
      <c r="U644" s="27"/>
      <c r="V644" s="27"/>
      <c r="W644" s="27"/>
      <c r="X644" s="27"/>
      <c r="Y644" s="27"/>
      <c r="Z644" s="27"/>
      <c r="AA644" s="27"/>
      <c r="AB644" s="27"/>
      <c r="AC644" s="27"/>
      <c r="AD644" s="27"/>
      <c r="AE644" s="27"/>
      <c r="AF644" s="27"/>
      <c r="AG644" s="27"/>
      <c r="AH644" s="27"/>
      <c r="AI644" s="27"/>
      <c r="AJ644" s="27"/>
      <c r="AK644" s="27"/>
      <c r="AL644" s="27"/>
      <c r="AM644" s="27"/>
      <c r="AN644" s="27"/>
      <c r="AO644" s="27"/>
      <c r="AP644" s="27"/>
      <c r="AQ644" s="27"/>
      <c r="AR644" s="27"/>
      <c r="AS644" s="27"/>
      <c r="AT644" s="27"/>
      <c r="AU644" s="27"/>
      <c r="AV644" s="27"/>
      <c r="AW644" s="27"/>
      <c r="AX644" s="27"/>
      <c r="AY644" s="27"/>
      <c r="AZ644" s="27"/>
      <c r="BA644" s="27"/>
      <c r="BB644" s="27"/>
      <c r="BC644" s="27"/>
      <c r="BD644" s="27"/>
      <c r="BE644" s="27"/>
      <c r="BF644" s="27"/>
      <c r="BG644" s="27"/>
      <c r="BH644" s="27"/>
      <c r="BI644" s="27"/>
      <c r="BJ644" s="27"/>
      <c r="BK644" s="27"/>
      <c r="BL644" s="27"/>
      <c r="BM644" s="27"/>
      <c r="BN644" s="27"/>
      <c r="BO644" s="27"/>
      <c r="BP644" s="27"/>
      <c r="BQ644" s="27"/>
      <c r="BR644" s="27"/>
      <c r="BS644" s="27"/>
      <c r="BT644" s="27"/>
      <c r="BU644" s="27"/>
      <c r="BV644" s="27"/>
      <c r="BW644" s="27"/>
      <c r="BX644" s="27"/>
      <c r="BY644" s="27"/>
      <c r="BZ644" s="27"/>
      <c r="CA644" s="27"/>
      <c r="CB644" s="27"/>
      <c r="CC644" s="27"/>
      <c r="CD644" s="27"/>
      <c r="CE644" s="27"/>
      <c r="CF644" s="27"/>
      <c r="CG644" s="27"/>
      <c r="CH644" s="27"/>
      <c r="CI644" s="27"/>
      <c r="CJ644" s="27"/>
      <c r="CK644" s="27"/>
      <c r="CL644" s="27"/>
      <c r="CM644" s="27"/>
      <c r="CN644" s="27"/>
      <c r="CO644" s="27"/>
      <c r="CP644" s="27"/>
      <c r="CQ644" s="27"/>
      <c r="CR644" s="27"/>
      <c r="CS644" s="27"/>
      <c r="CT644" s="27"/>
      <c r="CU644" s="27"/>
      <c r="CV644" s="27"/>
      <c r="CW644" s="27"/>
      <c r="CX644" s="27"/>
      <c r="CY644" s="27"/>
      <c r="CZ644" s="27"/>
      <c r="DA644" s="27"/>
      <c r="DB644" s="27"/>
      <c r="DC644" s="27"/>
      <c r="DD644" s="27"/>
      <c r="DE644" s="27"/>
      <c r="DF644" s="27"/>
      <c r="DG644" s="27"/>
      <c r="DH644" s="27"/>
      <c r="DI644" s="27"/>
      <c r="DJ644" s="27"/>
      <c r="DK644" s="27"/>
      <c r="DL644" s="27"/>
      <c r="DM644" s="27"/>
      <c r="DN644" s="27"/>
      <c r="DO644" s="27"/>
      <c r="DP644" s="27"/>
      <c r="DQ644" s="27"/>
      <c r="DR644" s="27"/>
      <c r="DS644" s="27"/>
      <c r="DT644" s="27"/>
    </row>
    <row r="645" spans="7:124" x14ac:dyDescent="0.2">
      <c r="G645" s="27"/>
      <c r="H645" s="27"/>
      <c r="I645" s="27"/>
      <c r="J645" s="27"/>
      <c r="K645" s="27"/>
      <c r="L645" s="27"/>
      <c r="M645" s="27"/>
      <c r="N645" s="27"/>
      <c r="O645" s="27"/>
      <c r="P645" s="27"/>
      <c r="Q645" s="27"/>
      <c r="R645" s="27"/>
      <c r="S645" s="27"/>
      <c r="T645" s="27"/>
      <c r="U645" s="27"/>
      <c r="V645" s="27"/>
      <c r="W645" s="27"/>
      <c r="X645" s="27"/>
      <c r="Y645" s="27"/>
      <c r="Z645" s="27"/>
      <c r="AA645" s="27"/>
      <c r="AB645" s="27"/>
      <c r="AC645" s="27"/>
      <c r="AD645" s="27"/>
      <c r="AE645" s="27"/>
      <c r="AF645" s="27"/>
      <c r="AG645" s="27"/>
      <c r="AH645" s="27"/>
      <c r="AI645" s="27"/>
      <c r="AJ645" s="27"/>
      <c r="AK645" s="27"/>
      <c r="AL645" s="27"/>
      <c r="AM645" s="27"/>
      <c r="AN645" s="27"/>
      <c r="AO645" s="27"/>
      <c r="AP645" s="27"/>
      <c r="AQ645" s="27"/>
      <c r="AR645" s="27"/>
      <c r="AS645" s="27"/>
      <c r="AT645" s="27"/>
      <c r="AU645" s="27"/>
      <c r="AV645" s="27"/>
      <c r="AW645" s="27"/>
      <c r="AX645" s="27"/>
      <c r="AY645" s="27"/>
      <c r="AZ645" s="27"/>
      <c r="BA645" s="27"/>
      <c r="BB645" s="27"/>
      <c r="BC645" s="27"/>
      <c r="BD645" s="27"/>
      <c r="BE645" s="27"/>
      <c r="BF645" s="27"/>
      <c r="BG645" s="27"/>
      <c r="BH645" s="27"/>
      <c r="BI645" s="27"/>
      <c r="BJ645" s="27"/>
      <c r="BK645" s="27"/>
      <c r="BL645" s="27"/>
      <c r="BM645" s="27"/>
      <c r="BN645" s="27"/>
      <c r="BO645" s="27"/>
      <c r="BP645" s="27"/>
      <c r="BQ645" s="27"/>
      <c r="BR645" s="27"/>
      <c r="BS645" s="27"/>
      <c r="BT645" s="27"/>
      <c r="BU645" s="27"/>
      <c r="BV645" s="27"/>
      <c r="BW645" s="27"/>
      <c r="BX645" s="27"/>
      <c r="BY645" s="27"/>
      <c r="BZ645" s="27"/>
      <c r="CA645" s="27"/>
      <c r="CB645" s="27"/>
      <c r="CC645" s="27"/>
      <c r="CD645" s="27"/>
      <c r="CE645" s="27"/>
      <c r="CF645" s="27"/>
      <c r="CG645" s="27"/>
      <c r="CH645" s="27"/>
      <c r="CI645" s="27"/>
      <c r="CJ645" s="27"/>
      <c r="CK645" s="27"/>
      <c r="CL645" s="27"/>
      <c r="CM645" s="27"/>
      <c r="CN645" s="27"/>
      <c r="CO645" s="27"/>
      <c r="CP645" s="27"/>
      <c r="CQ645" s="27"/>
      <c r="CR645" s="27"/>
      <c r="CS645" s="27"/>
      <c r="CT645" s="27"/>
      <c r="CU645" s="27"/>
      <c r="CV645" s="27"/>
      <c r="CW645" s="27"/>
      <c r="CX645" s="27"/>
      <c r="CY645" s="27"/>
      <c r="CZ645" s="27"/>
      <c r="DA645" s="27"/>
      <c r="DB645" s="27"/>
      <c r="DC645" s="27"/>
      <c r="DD645" s="27"/>
      <c r="DE645" s="27"/>
      <c r="DF645" s="27"/>
      <c r="DG645" s="27"/>
      <c r="DH645" s="27"/>
      <c r="DI645" s="27"/>
      <c r="DJ645" s="27"/>
      <c r="DK645" s="27"/>
      <c r="DL645" s="27"/>
      <c r="DM645" s="27"/>
      <c r="DN645" s="27"/>
      <c r="DO645" s="27"/>
      <c r="DP645" s="27"/>
      <c r="DQ645" s="27"/>
      <c r="DR645" s="27"/>
      <c r="DS645" s="27"/>
      <c r="DT645" s="27"/>
    </row>
    <row r="646" spans="7:124" x14ac:dyDescent="0.2">
      <c r="G646" s="27"/>
      <c r="H646" s="27"/>
      <c r="I646" s="27"/>
      <c r="J646" s="27"/>
      <c r="K646" s="27"/>
      <c r="L646" s="27"/>
      <c r="M646" s="27"/>
      <c r="N646" s="27"/>
      <c r="O646" s="27"/>
      <c r="P646" s="27"/>
      <c r="Q646" s="27"/>
      <c r="R646" s="27"/>
      <c r="S646" s="27"/>
      <c r="T646" s="27"/>
      <c r="U646" s="27"/>
      <c r="V646" s="27"/>
      <c r="W646" s="27"/>
      <c r="X646" s="27"/>
      <c r="Y646" s="27"/>
      <c r="Z646" s="27"/>
      <c r="AA646" s="27"/>
      <c r="AB646" s="27"/>
      <c r="AC646" s="27"/>
      <c r="AD646" s="27"/>
      <c r="AE646" s="27"/>
      <c r="AF646" s="27"/>
      <c r="AG646" s="27"/>
      <c r="AH646" s="27"/>
      <c r="AI646" s="27"/>
      <c r="AJ646" s="27"/>
      <c r="AK646" s="27"/>
      <c r="AL646" s="27"/>
      <c r="AM646" s="27"/>
      <c r="AN646" s="27"/>
      <c r="AO646" s="27"/>
      <c r="AP646" s="27"/>
      <c r="AQ646" s="27"/>
      <c r="AR646" s="27"/>
      <c r="AS646" s="27"/>
      <c r="AT646" s="27"/>
      <c r="AU646" s="27"/>
      <c r="AV646" s="27"/>
      <c r="AW646" s="27"/>
      <c r="AX646" s="27"/>
      <c r="AY646" s="27"/>
      <c r="AZ646" s="27"/>
      <c r="BA646" s="27"/>
      <c r="BB646" s="27"/>
      <c r="BC646" s="27"/>
      <c r="BD646" s="27"/>
      <c r="BE646" s="27"/>
      <c r="BF646" s="27"/>
      <c r="BG646" s="27"/>
      <c r="BH646" s="27"/>
      <c r="BI646" s="27"/>
      <c r="BJ646" s="27"/>
      <c r="BK646" s="27"/>
      <c r="BL646" s="27"/>
      <c r="BM646" s="27"/>
      <c r="BN646" s="27"/>
      <c r="BO646" s="27"/>
      <c r="BP646" s="27"/>
      <c r="BQ646" s="27"/>
      <c r="BR646" s="27"/>
      <c r="BS646" s="27"/>
      <c r="BT646" s="27"/>
      <c r="BU646" s="27"/>
      <c r="BV646" s="27"/>
      <c r="BW646" s="27"/>
      <c r="BX646" s="27"/>
      <c r="BY646" s="27"/>
      <c r="BZ646" s="27"/>
      <c r="CA646" s="27"/>
      <c r="CB646" s="27"/>
      <c r="CC646" s="27"/>
      <c r="CD646" s="27"/>
      <c r="CE646" s="27"/>
      <c r="CF646" s="27"/>
      <c r="CG646" s="27"/>
      <c r="CH646" s="27"/>
      <c r="CI646" s="27"/>
      <c r="CJ646" s="27"/>
      <c r="CK646" s="27"/>
      <c r="CL646" s="27"/>
      <c r="CM646" s="27"/>
      <c r="CN646" s="27"/>
      <c r="CO646" s="27"/>
      <c r="CP646" s="27"/>
      <c r="CQ646" s="27"/>
      <c r="CR646" s="27"/>
      <c r="CS646" s="27"/>
      <c r="CT646" s="27"/>
      <c r="CU646" s="27"/>
      <c r="CV646" s="27"/>
      <c r="CW646" s="27"/>
      <c r="CX646" s="27"/>
      <c r="CY646" s="27"/>
      <c r="CZ646" s="27"/>
      <c r="DA646" s="27"/>
      <c r="DB646" s="27"/>
      <c r="DC646" s="27"/>
      <c r="DD646" s="27"/>
      <c r="DE646" s="27"/>
      <c r="DF646" s="27"/>
      <c r="DG646" s="27"/>
      <c r="DH646" s="27"/>
      <c r="DI646" s="27"/>
      <c r="DJ646" s="27"/>
      <c r="DK646" s="27"/>
      <c r="DL646" s="27"/>
      <c r="DM646" s="27"/>
      <c r="DN646" s="27"/>
      <c r="DO646" s="27"/>
      <c r="DP646" s="27"/>
      <c r="DQ646" s="27"/>
      <c r="DR646" s="27"/>
      <c r="DS646" s="27"/>
      <c r="DT646" s="27"/>
    </row>
    <row r="647" spans="7:124" x14ac:dyDescent="0.2">
      <c r="G647" s="27"/>
      <c r="H647" s="27"/>
      <c r="I647" s="27"/>
      <c r="J647" s="27"/>
      <c r="K647" s="27"/>
      <c r="L647" s="27"/>
      <c r="M647" s="27"/>
      <c r="N647" s="27"/>
      <c r="O647" s="27"/>
      <c r="P647" s="27"/>
      <c r="Q647" s="27"/>
      <c r="R647" s="27"/>
      <c r="S647" s="27"/>
      <c r="T647" s="27"/>
      <c r="U647" s="27"/>
      <c r="V647" s="27"/>
      <c r="W647" s="27"/>
      <c r="X647" s="27"/>
      <c r="Y647" s="27"/>
      <c r="Z647" s="27"/>
      <c r="AA647" s="27"/>
      <c r="AB647" s="27"/>
      <c r="AC647" s="27"/>
      <c r="AD647" s="27"/>
      <c r="AE647" s="27"/>
      <c r="AF647" s="27"/>
      <c r="AG647" s="27"/>
      <c r="AH647" s="27"/>
      <c r="AI647" s="27"/>
      <c r="AJ647" s="27"/>
      <c r="AK647" s="27"/>
      <c r="AL647" s="27"/>
      <c r="AM647" s="27"/>
      <c r="AN647" s="27"/>
      <c r="AO647" s="27"/>
      <c r="AP647" s="27"/>
      <c r="AQ647" s="27"/>
      <c r="AR647" s="27"/>
      <c r="AS647" s="27"/>
      <c r="AT647" s="27"/>
      <c r="AU647" s="27"/>
      <c r="AV647" s="27"/>
      <c r="AW647" s="27"/>
      <c r="AX647" s="27"/>
      <c r="AY647" s="27"/>
      <c r="AZ647" s="27"/>
      <c r="BA647" s="27"/>
      <c r="BB647" s="27"/>
      <c r="BC647" s="27"/>
      <c r="BD647" s="27"/>
      <c r="BE647" s="27"/>
      <c r="BF647" s="27"/>
      <c r="BG647" s="27"/>
      <c r="BH647" s="27"/>
      <c r="BI647" s="27"/>
      <c r="BJ647" s="27"/>
      <c r="BK647" s="27"/>
      <c r="BL647" s="27"/>
      <c r="BM647" s="27"/>
      <c r="BN647" s="27"/>
      <c r="BO647" s="27"/>
      <c r="BP647" s="27"/>
      <c r="BQ647" s="27"/>
      <c r="BR647" s="27"/>
      <c r="BS647" s="27"/>
      <c r="BT647" s="27"/>
      <c r="BU647" s="27"/>
      <c r="BV647" s="27"/>
      <c r="BW647" s="27"/>
      <c r="BX647" s="27"/>
      <c r="BY647" s="27"/>
      <c r="BZ647" s="27"/>
      <c r="CA647" s="27"/>
      <c r="CB647" s="27"/>
      <c r="CC647" s="27"/>
      <c r="CD647" s="27"/>
      <c r="CE647" s="27"/>
      <c r="CF647" s="27"/>
      <c r="CG647" s="27"/>
      <c r="CH647" s="27"/>
      <c r="CI647" s="27"/>
      <c r="CJ647" s="27"/>
      <c r="CK647" s="27"/>
      <c r="CL647" s="27"/>
      <c r="CM647" s="27"/>
      <c r="CN647" s="27"/>
      <c r="CO647" s="27"/>
      <c r="CP647" s="27"/>
      <c r="CQ647" s="27"/>
      <c r="CR647" s="27"/>
      <c r="CS647" s="27"/>
      <c r="CT647" s="27"/>
      <c r="CU647" s="27"/>
      <c r="CV647" s="27"/>
      <c r="CW647" s="27"/>
      <c r="CX647" s="27"/>
      <c r="CY647" s="27"/>
      <c r="CZ647" s="27"/>
      <c r="DA647" s="27"/>
      <c r="DB647" s="27"/>
      <c r="DC647" s="27"/>
      <c r="DD647" s="27"/>
      <c r="DE647" s="27"/>
      <c r="DF647" s="27"/>
      <c r="DG647" s="27"/>
      <c r="DH647" s="27"/>
      <c r="DI647" s="27"/>
      <c r="DJ647" s="27"/>
      <c r="DK647" s="27"/>
      <c r="DL647" s="27"/>
      <c r="DM647" s="27"/>
      <c r="DN647" s="27"/>
      <c r="DO647" s="27"/>
      <c r="DP647" s="27"/>
      <c r="DQ647" s="27"/>
      <c r="DR647" s="27"/>
      <c r="DS647" s="27"/>
      <c r="DT647" s="27"/>
    </row>
    <row r="648" spans="7:124" x14ac:dyDescent="0.2">
      <c r="G648" s="27"/>
      <c r="H648" s="27"/>
      <c r="I648" s="27"/>
      <c r="J648" s="27"/>
      <c r="K648" s="27"/>
      <c r="L648" s="27"/>
      <c r="M648" s="27"/>
      <c r="N648" s="27"/>
      <c r="O648" s="27"/>
      <c r="P648" s="27"/>
      <c r="Q648" s="27"/>
      <c r="R648" s="27"/>
      <c r="S648" s="27"/>
      <c r="T648" s="27"/>
      <c r="U648" s="27"/>
      <c r="V648" s="27"/>
      <c r="W648" s="27"/>
      <c r="X648" s="27"/>
      <c r="Y648" s="27"/>
      <c r="Z648" s="27"/>
      <c r="AA648" s="27"/>
      <c r="AB648" s="27"/>
      <c r="AC648" s="27"/>
      <c r="AD648" s="27"/>
      <c r="AE648" s="27"/>
      <c r="AF648" s="27"/>
      <c r="AG648" s="27"/>
      <c r="AH648" s="27"/>
      <c r="AI648" s="27"/>
      <c r="AJ648" s="27"/>
      <c r="AK648" s="27"/>
      <c r="AL648" s="27"/>
      <c r="AM648" s="27"/>
      <c r="AN648" s="27"/>
      <c r="AO648" s="27"/>
      <c r="AP648" s="27"/>
      <c r="AQ648" s="27"/>
      <c r="AR648" s="27"/>
      <c r="AS648" s="27"/>
      <c r="AT648" s="27"/>
      <c r="AU648" s="27"/>
      <c r="AV648" s="27"/>
      <c r="AW648" s="27"/>
      <c r="AX648" s="27"/>
      <c r="AY648" s="27"/>
      <c r="AZ648" s="27"/>
      <c r="BA648" s="27"/>
      <c r="BB648" s="27"/>
      <c r="BC648" s="27"/>
      <c r="BD648" s="27"/>
      <c r="BE648" s="27"/>
      <c r="BF648" s="27"/>
      <c r="BG648" s="27"/>
      <c r="BH648" s="27"/>
      <c r="BI648" s="27"/>
      <c r="BJ648" s="27"/>
      <c r="BK648" s="27"/>
      <c r="BL648" s="27"/>
      <c r="BM648" s="27"/>
      <c r="BN648" s="27"/>
      <c r="BO648" s="27"/>
      <c r="BP648" s="27"/>
      <c r="BQ648" s="27"/>
      <c r="BR648" s="27"/>
      <c r="BS648" s="27"/>
      <c r="BT648" s="27"/>
      <c r="BU648" s="27"/>
      <c r="BV648" s="27"/>
      <c r="BW648" s="27"/>
      <c r="BX648" s="27"/>
      <c r="BY648" s="27"/>
      <c r="BZ648" s="27"/>
      <c r="CA648" s="27"/>
      <c r="CB648" s="27"/>
      <c r="CC648" s="27"/>
      <c r="CD648" s="27"/>
      <c r="CE648" s="27"/>
      <c r="CF648" s="27"/>
      <c r="CG648" s="27"/>
      <c r="CH648" s="27"/>
      <c r="CI648" s="27"/>
      <c r="CJ648" s="27"/>
      <c r="CK648" s="27"/>
      <c r="CL648" s="27"/>
      <c r="CM648" s="27"/>
      <c r="CN648" s="27"/>
      <c r="CO648" s="27"/>
      <c r="CP648" s="27"/>
      <c r="CQ648" s="27"/>
      <c r="CR648" s="27"/>
      <c r="CS648" s="27"/>
      <c r="CT648" s="27"/>
      <c r="CU648" s="27"/>
      <c r="CV648" s="27"/>
      <c r="CW648" s="27"/>
      <c r="CX648" s="27"/>
      <c r="CY648" s="27"/>
      <c r="CZ648" s="27"/>
      <c r="DA648" s="27"/>
      <c r="DB648" s="27"/>
      <c r="DC648" s="27"/>
      <c r="DD648" s="27"/>
      <c r="DE648" s="27"/>
      <c r="DF648" s="27"/>
      <c r="DG648" s="27"/>
      <c r="DH648" s="27"/>
      <c r="DI648" s="27"/>
      <c r="DJ648" s="27"/>
      <c r="DK648" s="27"/>
      <c r="DL648" s="27"/>
      <c r="DM648" s="27"/>
      <c r="DN648" s="27"/>
      <c r="DO648" s="27"/>
      <c r="DP648" s="27"/>
      <c r="DQ648" s="27"/>
      <c r="DR648" s="27"/>
      <c r="DS648" s="27"/>
      <c r="DT648" s="27"/>
    </row>
    <row r="649" spans="7:124" x14ac:dyDescent="0.2">
      <c r="G649" s="27"/>
      <c r="H649" s="27"/>
      <c r="I649" s="27"/>
      <c r="J649" s="27"/>
      <c r="K649" s="27"/>
      <c r="L649" s="27"/>
      <c r="M649" s="27"/>
      <c r="N649" s="27"/>
      <c r="O649" s="27"/>
      <c r="P649" s="27"/>
      <c r="Q649" s="27"/>
      <c r="R649" s="27"/>
      <c r="S649" s="27"/>
      <c r="T649" s="27"/>
      <c r="U649" s="27"/>
      <c r="V649" s="27"/>
      <c r="W649" s="27"/>
      <c r="X649" s="27"/>
      <c r="Y649" s="27"/>
      <c r="Z649" s="27"/>
      <c r="AA649" s="27"/>
      <c r="AB649" s="27"/>
      <c r="AC649" s="27"/>
      <c r="AD649" s="27"/>
      <c r="AE649" s="27"/>
      <c r="AF649" s="27"/>
      <c r="AG649" s="27"/>
      <c r="AH649" s="27"/>
      <c r="AI649" s="27"/>
      <c r="AJ649" s="27"/>
      <c r="AK649" s="27"/>
      <c r="AL649" s="27"/>
      <c r="AM649" s="27"/>
      <c r="AN649" s="27"/>
      <c r="AO649" s="27"/>
      <c r="AP649" s="27"/>
      <c r="AQ649" s="27"/>
      <c r="AR649" s="27"/>
      <c r="AS649" s="27"/>
      <c r="AT649" s="27"/>
      <c r="AU649" s="27"/>
      <c r="AV649" s="27"/>
      <c r="AW649" s="27"/>
      <c r="AX649" s="27"/>
      <c r="AY649" s="27"/>
      <c r="AZ649" s="27"/>
      <c r="BA649" s="27"/>
      <c r="BB649" s="27"/>
      <c r="BC649" s="27"/>
      <c r="BD649" s="27"/>
      <c r="BE649" s="27"/>
      <c r="BF649" s="27"/>
      <c r="BG649" s="27"/>
      <c r="BH649" s="27"/>
      <c r="BI649" s="27"/>
      <c r="BJ649" s="27"/>
      <c r="BK649" s="27"/>
      <c r="BL649" s="27"/>
      <c r="BM649" s="27"/>
      <c r="BN649" s="27"/>
      <c r="BO649" s="27"/>
      <c r="BP649" s="27"/>
      <c r="BQ649" s="27"/>
      <c r="BR649" s="27"/>
      <c r="BS649" s="27"/>
      <c r="BT649" s="27"/>
      <c r="BU649" s="27"/>
      <c r="BV649" s="27"/>
      <c r="BW649" s="27"/>
      <c r="BX649" s="27"/>
      <c r="BY649" s="27"/>
      <c r="BZ649" s="27"/>
      <c r="CA649" s="27"/>
      <c r="CB649" s="27"/>
      <c r="CC649" s="27"/>
      <c r="CD649" s="27"/>
      <c r="CE649" s="27"/>
      <c r="CF649" s="27"/>
      <c r="CG649" s="27"/>
      <c r="CH649" s="27"/>
      <c r="CI649" s="27"/>
      <c r="CJ649" s="27"/>
      <c r="CK649" s="27"/>
      <c r="CL649" s="27"/>
      <c r="CM649" s="27"/>
      <c r="CN649" s="27"/>
      <c r="CO649" s="27"/>
      <c r="CP649" s="27"/>
      <c r="CQ649" s="27"/>
      <c r="CR649" s="27"/>
      <c r="CS649" s="27"/>
      <c r="CT649" s="27"/>
      <c r="CU649" s="27"/>
      <c r="CV649" s="27"/>
      <c r="CW649" s="27"/>
      <c r="CX649" s="27"/>
      <c r="CY649" s="27"/>
      <c r="CZ649" s="27"/>
      <c r="DA649" s="27"/>
      <c r="DB649" s="27"/>
      <c r="DC649" s="27"/>
      <c r="DD649" s="27"/>
      <c r="DE649" s="27"/>
      <c r="DF649" s="27"/>
      <c r="DG649" s="27"/>
      <c r="DH649" s="27"/>
      <c r="DI649" s="27"/>
      <c r="DJ649" s="27"/>
      <c r="DK649" s="27"/>
      <c r="DL649" s="27"/>
      <c r="DM649" s="27"/>
      <c r="DN649" s="27"/>
      <c r="DO649" s="27"/>
      <c r="DP649" s="27"/>
      <c r="DQ649" s="27"/>
      <c r="DR649" s="27"/>
      <c r="DS649" s="27"/>
      <c r="DT649" s="27"/>
    </row>
    <row r="650" spans="7:124" x14ac:dyDescent="0.2">
      <c r="G650" s="27"/>
      <c r="H650" s="27"/>
      <c r="I650" s="27"/>
      <c r="J650" s="27"/>
      <c r="K650" s="27"/>
      <c r="L650" s="27"/>
      <c r="M650" s="27"/>
      <c r="N650" s="27"/>
      <c r="O650" s="27"/>
      <c r="P650" s="27"/>
      <c r="Q650" s="27"/>
      <c r="R650" s="27"/>
      <c r="S650" s="27"/>
      <c r="T650" s="27"/>
      <c r="U650" s="27"/>
      <c r="V650" s="27"/>
      <c r="W650" s="27"/>
      <c r="X650" s="27"/>
      <c r="Y650" s="27"/>
      <c r="Z650" s="27"/>
      <c r="AA650" s="27"/>
      <c r="AB650" s="27"/>
      <c r="AC650" s="27"/>
      <c r="AD650" s="27"/>
      <c r="AE650" s="27"/>
      <c r="AF650" s="27"/>
      <c r="AG650" s="27"/>
      <c r="AH650" s="27"/>
      <c r="AI650" s="27"/>
      <c r="AJ650" s="27"/>
      <c r="AK650" s="27"/>
      <c r="AL650" s="27"/>
      <c r="AM650" s="27"/>
      <c r="AN650" s="27"/>
      <c r="AO650" s="27"/>
      <c r="AP650" s="27"/>
      <c r="AQ650" s="27"/>
      <c r="AR650" s="27"/>
      <c r="AS650" s="27"/>
      <c r="AT650" s="27"/>
      <c r="AU650" s="27"/>
      <c r="AV650" s="27"/>
      <c r="AW650" s="27"/>
      <c r="AX650" s="27"/>
      <c r="AY650" s="27"/>
      <c r="AZ650" s="27"/>
      <c r="BA650" s="27"/>
      <c r="BB650" s="27"/>
      <c r="BC650" s="27"/>
      <c r="BD650" s="27"/>
      <c r="BE650" s="27"/>
      <c r="BF650" s="27"/>
      <c r="BG650" s="27"/>
      <c r="BH650" s="27"/>
      <c r="BI650" s="27"/>
      <c r="BJ650" s="27"/>
      <c r="BK650" s="27"/>
      <c r="BL650" s="27"/>
      <c r="BM650" s="27"/>
      <c r="BN650" s="27"/>
      <c r="BO650" s="27"/>
      <c r="BP650" s="27"/>
      <c r="BQ650" s="27"/>
      <c r="BR650" s="27"/>
      <c r="BS650" s="27"/>
      <c r="BT650" s="27"/>
      <c r="BU650" s="27"/>
      <c r="BV650" s="27"/>
      <c r="BW650" s="27"/>
      <c r="BX650" s="27"/>
      <c r="BY650" s="27"/>
      <c r="BZ650" s="27"/>
      <c r="CA650" s="27"/>
      <c r="CB650" s="27"/>
      <c r="CC650" s="27"/>
      <c r="CD650" s="27"/>
      <c r="CE650" s="27"/>
      <c r="CF650" s="27"/>
      <c r="CG650" s="27"/>
      <c r="CH650" s="27"/>
      <c r="CI650" s="27"/>
      <c r="CJ650" s="27"/>
      <c r="CK650" s="27"/>
      <c r="CL650" s="27"/>
      <c r="CM650" s="27"/>
      <c r="CN650" s="27"/>
      <c r="CO650" s="27"/>
      <c r="CP650" s="27"/>
      <c r="CQ650" s="27"/>
      <c r="CR650" s="27"/>
      <c r="CS650" s="27"/>
      <c r="CT650" s="27"/>
      <c r="CU650" s="27"/>
      <c r="CV650" s="27"/>
      <c r="CW650" s="27"/>
      <c r="CX650" s="27"/>
      <c r="CY650" s="27"/>
      <c r="CZ650" s="27"/>
      <c r="DA650" s="27"/>
      <c r="DB650" s="27"/>
      <c r="DC650" s="27"/>
      <c r="DD650" s="27"/>
      <c r="DE650" s="27"/>
      <c r="DF650" s="27"/>
      <c r="DG650" s="27"/>
      <c r="DH650" s="27"/>
      <c r="DI650" s="27"/>
      <c r="DJ650" s="27"/>
      <c r="DK650" s="27"/>
      <c r="DL650" s="27"/>
      <c r="DM650" s="27"/>
      <c r="DN650" s="27"/>
      <c r="DO650" s="27"/>
      <c r="DP650" s="27"/>
      <c r="DQ650" s="27"/>
      <c r="DR650" s="27"/>
      <c r="DS650" s="27"/>
      <c r="DT650" s="27"/>
    </row>
    <row r="651" spans="7:124" x14ac:dyDescent="0.2">
      <c r="G651" s="27"/>
      <c r="H651" s="27"/>
      <c r="I651" s="27"/>
      <c r="J651" s="27"/>
      <c r="K651" s="27"/>
      <c r="L651" s="27"/>
      <c r="M651" s="27"/>
      <c r="N651" s="27"/>
      <c r="O651" s="27"/>
      <c r="P651" s="27"/>
      <c r="Q651" s="27"/>
      <c r="R651" s="27"/>
      <c r="S651" s="27"/>
      <c r="T651" s="27"/>
      <c r="U651" s="27"/>
      <c r="V651" s="27"/>
      <c r="W651" s="27"/>
      <c r="X651" s="27"/>
      <c r="Y651" s="27"/>
      <c r="Z651" s="27"/>
      <c r="AA651" s="27"/>
      <c r="AB651" s="27"/>
      <c r="AC651" s="27"/>
      <c r="AD651" s="27"/>
      <c r="AE651" s="27"/>
      <c r="AF651" s="27"/>
      <c r="AG651" s="27"/>
      <c r="AH651" s="27"/>
      <c r="AI651" s="27"/>
      <c r="AJ651" s="27"/>
      <c r="AK651" s="27"/>
      <c r="AL651" s="27"/>
      <c r="AM651" s="27"/>
      <c r="AN651" s="27"/>
      <c r="AO651" s="27"/>
      <c r="AP651" s="27"/>
      <c r="AQ651" s="27"/>
      <c r="AR651" s="27"/>
      <c r="AS651" s="27"/>
      <c r="AT651" s="27"/>
      <c r="AU651" s="27"/>
      <c r="AV651" s="27"/>
      <c r="AW651" s="27"/>
      <c r="AX651" s="27"/>
      <c r="AY651" s="27"/>
      <c r="AZ651" s="27"/>
      <c r="BA651" s="27"/>
      <c r="BB651" s="27"/>
      <c r="BC651" s="27"/>
      <c r="BD651" s="27"/>
      <c r="BE651" s="27"/>
      <c r="BF651" s="27"/>
      <c r="BG651" s="27"/>
      <c r="BH651" s="27"/>
      <c r="BI651" s="27"/>
      <c r="BJ651" s="27"/>
      <c r="BK651" s="27"/>
      <c r="BL651" s="27"/>
      <c r="BM651" s="27"/>
      <c r="BN651" s="27"/>
      <c r="BO651" s="27"/>
      <c r="BP651" s="27"/>
      <c r="BQ651" s="27"/>
      <c r="BR651" s="27"/>
      <c r="BS651" s="27"/>
      <c r="BT651" s="27"/>
      <c r="BU651" s="27"/>
      <c r="BV651" s="27"/>
      <c r="BW651" s="27"/>
      <c r="BX651" s="27"/>
      <c r="BY651" s="27"/>
      <c r="BZ651" s="27"/>
      <c r="CA651" s="27"/>
      <c r="CB651" s="27"/>
      <c r="CC651" s="27"/>
      <c r="CD651" s="27"/>
      <c r="CE651" s="27"/>
      <c r="CF651" s="27"/>
      <c r="CG651" s="27"/>
      <c r="CH651" s="27"/>
      <c r="CI651" s="27"/>
      <c r="CJ651" s="27"/>
      <c r="CK651" s="27"/>
      <c r="CL651" s="27"/>
      <c r="CM651" s="27"/>
      <c r="CN651" s="27"/>
      <c r="CO651" s="27"/>
      <c r="CP651" s="27"/>
      <c r="CQ651" s="27"/>
      <c r="CR651" s="27"/>
      <c r="CS651" s="27"/>
      <c r="CT651" s="27"/>
      <c r="CU651" s="27"/>
      <c r="CV651" s="27"/>
      <c r="CW651" s="27"/>
      <c r="CX651" s="27"/>
      <c r="CY651" s="27"/>
      <c r="CZ651" s="27"/>
      <c r="DA651" s="27"/>
      <c r="DB651" s="27"/>
      <c r="DC651" s="27"/>
      <c r="DD651" s="27"/>
      <c r="DE651" s="27"/>
      <c r="DF651" s="27"/>
      <c r="DG651" s="27"/>
      <c r="DH651" s="27"/>
      <c r="DI651" s="27"/>
      <c r="DJ651" s="27"/>
      <c r="DK651" s="27"/>
      <c r="DL651" s="27"/>
      <c r="DM651" s="27"/>
      <c r="DN651" s="27"/>
      <c r="DO651" s="27"/>
      <c r="DP651" s="27"/>
      <c r="DQ651" s="27"/>
      <c r="DR651" s="27"/>
      <c r="DS651" s="27"/>
      <c r="DT651" s="27"/>
    </row>
    <row r="652" spans="7:124" x14ac:dyDescent="0.2">
      <c r="G652" s="27"/>
      <c r="H652" s="27"/>
      <c r="I652" s="27"/>
      <c r="J652" s="27"/>
      <c r="K652" s="27"/>
      <c r="L652" s="27"/>
      <c r="M652" s="27"/>
      <c r="N652" s="27"/>
      <c r="O652" s="27"/>
      <c r="P652" s="27"/>
      <c r="Q652" s="27"/>
      <c r="R652" s="27"/>
      <c r="S652" s="27"/>
      <c r="T652" s="27"/>
      <c r="U652" s="27"/>
      <c r="V652" s="27"/>
      <c r="W652" s="27"/>
      <c r="X652" s="27"/>
      <c r="Y652" s="27"/>
      <c r="Z652" s="27"/>
      <c r="AA652" s="27"/>
      <c r="AB652" s="27"/>
      <c r="AC652" s="27"/>
      <c r="AD652" s="27"/>
      <c r="AE652" s="27"/>
      <c r="AF652" s="27"/>
      <c r="AG652" s="27"/>
      <c r="AH652" s="27"/>
      <c r="AI652" s="27"/>
      <c r="AJ652" s="27"/>
      <c r="AK652" s="27"/>
      <c r="AL652" s="27"/>
      <c r="AM652" s="27"/>
      <c r="AN652" s="27"/>
      <c r="AO652" s="27"/>
      <c r="AP652" s="27"/>
      <c r="AQ652" s="27"/>
      <c r="AR652" s="27"/>
      <c r="AS652" s="27"/>
      <c r="AT652" s="27"/>
      <c r="AU652" s="27"/>
      <c r="AV652" s="27"/>
      <c r="AW652" s="27"/>
      <c r="AX652" s="27"/>
      <c r="AY652" s="27"/>
      <c r="AZ652" s="27"/>
      <c r="BA652" s="27"/>
      <c r="BB652" s="27"/>
      <c r="BC652" s="27"/>
      <c r="BD652" s="27"/>
      <c r="BE652" s="27"/>
      <c r="BF652" s="27"/>
      <c r="BG652" s="27"/>
      <c r="BH652" s="27"/>
      <c r="BI652" s="27"/>
      <c r="BJ652" s="27"/>
      <c r="BK652" s="27"/>
      <c r="BL652" s="27"/>
      <c r="BM652" s="27"/>
      <c r="BN652" s="27"/>
      <c r="BO652" s="27"/>
      <c r="BP652" s="27"/>
      <c r="BQ652" s="27"/>
      <c r="BR652" s="27"/>
      <c r="BS652" s="27"/>
      <c r="BT652" s="27"/>
      <c r="BU652" s="27"/>
      <c r="BV652" s="27"/>
      <c r="BW652" s="27"/>
      <c r="BX652" s="27"/>
      <c r="BY652" s="27"/>
      <c r="BZ652" s="27"/>
      <c r="CA652" s="27"/>
      <c r="CB652" s="27"/>
      <c r="CC652" s="27"/>
      <c r="CD652" s="27"/>
      <c r="CE652" s="27"/>
      <c r="CF652" s="27"/>
      <c r="CG652" s="27"/>
      <c r="CH652" s="27"/>
      <c r="CI652" s="27"/>
      <c r="CJ652" s="27"/>
      <c r="CK652" s="27"/>
      <c r="CL652" s="27"/>
      <c r="CM652" s="27"/>
      <c r="CN652" s="27"/>
      <c r="CO652" s="27"/>
      <c r="CP652" s="27"/>
      <c r="CQ652" s="27"/>
      <c r="CR652" s="27"/>
      <c r="CS652" s="27"/>
      <c r="CT652" s="27"/>
      <c r="CU652" s="27"/>
      <c r="CV652" s="27"/>
      <c r="CW652" s="27"/>
      <c r="CX652" s="27"/>
      <c r="CY652" s="27"/>
      <c r="CZ652" s="27"/>
      <c r="DA652" s="27"/>
      <c r="DB652" s="27"/>
      <c r="DC652" s="27"/>
      <c r="DD652" s="27"/>
      <c r="DE652" s="27"/>
      <c r="DF652" s="27"/>
      <c r="DG652" s="27"/>
      <c r="DH652" s="27"/>
      <c r="DI652" s="27"/>
      <c r="DJ652" s="27"/>
      <c r="DK652" s="27"/>
      <c r="DL652" s="27"/>
      <c r="DM652" s="27"/>
      <c r="DN652" s="27"/>
      <c r="DO652" s="27"/>
      <c r="DP652" s="27"/>
      <c r="DQ652" s="27"/>
      <c r="DR652" s="27"/>
      <c r="DS652" s="27"/>
      <c r="DT652" s="27"/>
    </row>
    <row r="653" spans="7:124" x14ac:dyDescent="0.2">
      <c r="G653" s="27"/>
      <c r="H653" s="27"/>
      <c r="I653" s="27"/>
      <c r="J653" s="27"/>
      <c r="K653" s="27"/>
      <c r="L653" s="27"/>
      <c r="M653" s="27"/>
      <c r="N653" s="27"/>
      <c r="O653" s="27"/>
      <c r="P653" s="27"/>
      <c r="Q653" s="27"/>
      <c r="R653" s="27"/>
      <c r="S653" s="27"/>
      <c r="T653" s="27"/>
      <c r="U653" s="27"/>
      <c r="V653" s="27"/>
      <c r="W653" s="27"/>
      <c r="X653" s="27"/>
      <c r="Y653" s="27"/>
      <c r="Z653" s="27"/>
      <c r="AA653" s="27"/>
      <c r="AB653" s="27"/>
      <c r="AC653" s="27"/>
      <c r="AD653" s="27"/>
      <c r="AE653" s="27"/>
      <c r="AF653" s="27"/>
      <c r="AG653" s="27"/>
      <c r="AH653" s="27"/>
      <c r="AI653" s="27"/>
      <c r="AJ653" s="27"/>
      <c r="AK653" s="27"/>
      <c r="AL653" s="27"/>
      <c r="AM653" s="27"/>
      <c r="AN653" s="27"/>
      <c r="AO653" s="27"/>
      <c r="AP653" s="27"/>
      <c r="AQ653" s="27"/>
      <c r="AR653" s="27"/>
      <c r="AS653" s="27"/>
      <c r="AT653" s="27"/>
      <c r="AU653" s="27"/>
      <c r="AV653" s="27"/>
      <c r="AW653" s="27"/>
      <c r="AX653" s="27"/>
      <c r="AY653" s="27"/>
      <c r="AZ653" s="27"/>
      <c r="BA653" s="27"/>
      <c r="BB653" s="27"/>
      <c r="BC653" s="27"/>
      <c r="BD653" s="27"/>
      <c r="BE653" s="27"/>
      <c r="BF653" s="27"/>
      <c r="BG653" s="27"/>
      <c r="BH653" s="27"/>
      <c r="BI653" s="27"/>
      <c r="BJ653" s="27"/>
      <c r="BK653" s="27"/>
      <c r="BL653" s="27"/>
      <c r="BM653" s="27"/>
      <c r="BN653" s="27"/>
      <c r="BO653" s="27"/>
      <c r="BP653" s="27"/>
      <c r="BQ653" s="27"/>
      <c r="BR653" s="27"/>
      <c r="BS653" s="27"/>
      <c r="BT653" s="27"/>
      <c r="BU653" s="27"/>
      <c r="BV653" s="27"/>
      <c r="BW653" s="27"/>
      <c r="BX653" s="27"/>
      <c r="BY653" s="27"/>
      <c r="BZ653" s="27"/>
      <c r="CA653" s="27"/>
      <c r="CB653" s="27"/>
      <c r="CC653" s="27"/>
      <c r="CD653" s="27"/>
      <c r="CE653" s="27"/>
      <c r="CF653" s="27"/>
      <c r="CG653" s="27"/>
      <c r="CH653" s="27"/>
      <c r="CI653" s="27"/>
      <c r="CJ653" s="27"/>
      <c r="CK653" s="27"/>
      <c r="CL653" s="27"/>
      <c r="CM653" s="27"/>
      <c r="CN653" s="27"/>
      <c r="CO653" s="27"/>
      <c r="CP653" s="27"/>
      <c r="CQ653" s="27"/>
      <c r="CR653" s="27"/>
      <c r="CS653" s="27"/>
      <c r="CT653" s="27"/>
      <c r="CU653" s="27"/>
      <c r="CV653" s="27"/>
      <c r="CW653" s="27"/>
      <c r="CX653" s="27"/>
      <c r="CY653" s="27"/>
      <c r="CZ653" s="27"/>
      <c r="DA653" s="27"/>
      <c r="DB653" s="27"/>
      <c r="DC653" s="27"/>
      <c r="DD653" s="27"/>
      <c r="DE653" s="27"/>
      <c r="DF653" s="27"/>
      <c r="DG653" s="27"/>
      <c r="DH653" s="27"/>
      <c r="DI653" s="27"/>
      <c r="DJ653" s="27"/>
      <c r="DK653" s="27"/>
      <c r="DL653" s="27"/>
      <c r="DM653" s="27"/>
      <c r="DN653" s="27"/>
      <c r="DO653" s="27"/>
      <c r="DP653" s="27"/>
      <c r="DQ653" s="27"/>
      <c r="DR653" s="27"/>
      <c r="DS653" s="27"/>
      <c r="DT653" s="27"/>
    </row>
    <row r="654" spans="7:124" x14ac:dyDescent="0.2">
      <c r="G654" s="27"/>
      <c r="H654" s="27"/>
      <c r="I654" s="27"/>
      <c r="J654" s="27"/>
      <c r="K654" s="27"/>
      <c r="L654" s="27"/>
      <c r="M654" s="27"/>
      <c r="N654" s="27"/>
      <c r="O654" s="27"/>
      <c r="P654" s="27"/>
      <c r="Q654" s="27"/>
      <c r="R654" s="27"/>
      <c r="S654" s="27"/>
      <c r="T654" s="27"/>
      <c r="U654" s="27"/>
      <c r="V654" s="27"/>
      <c r="W654" s="27"/>
      <c r="X654" s="27"/>
      <c r="Y654" s="27"/>
      <c r="Z654" s="27"/>
      <c r="AA654" s="27"/>
      <c r="AB654" s="27"/>
      <c r="AC654" s="27"/>
      <c r="AD654" s="27"/>
      <c r="AE654" s="27"/>
      <c r="AF654" s="27"/>
      <c r="AG654" s="27"/>
      <c r="AH654" s="27"/>
      <c r="AI654" s="27"/>
      <c r="AJ654" s="27"/>
      <c r="AK654" s="27"/>
      <c r="AL654" s="27"/>
      <c r="AM654" s="27"/>
      <c r="AN654" s="27"/>
      <c r="AO654" s="27"/>
      <c r="AP654" s="27"/>
      <c r="AQ654" s="27"/>
      <c r="AR654" s="27"/>
      <c r="AS654" s="27"/>
      <c r="AT654" s="27"/>
      <c r="AU654" s="27"/>
      <c r="AV654" s="27"/>
      <c r="AW654" s="27"/>
      <c r="AX654" s="27"/>
      <c r="AY654" s="27"/>
      <c r="AZ654" s="27"/>
      <c r="BA654" s="27"/>
      <c r="BB654" s="27"/>
      <c r="BC654" s="27"/>
      <c r="BD654" s="27"/>
      <c r="BE654" s="27"/>
      <c r="BF654" s="27"/>
      <c r="BG654" s="27"/>
      <c r="BH654" s="27"/>
      <c r="BI654" s="27"/>
      <c r="BJ654" s="27"/>
      <c r="BK654" s="27"/>
      <c r="BL654" s="27"/>
      <c r="BM654" s="27"/>
      <c r="BN654" s="27"/>
      <c r="BO654" s="27"/>
      <c r="BP654" s="27"/>
      <c r="BQ654" s="27"/>
      <c r="BR654" s="27"/>
      <c r="BS654" s="27"/>
      <c r="BT654" s="27"/>
      <c r="BU654" s="27"/>
      <c r="BV654" s="27"/>
      <c r="BW654" s="27"/>
      <c r="BX654" s="27"/>
      <c r="BY654" s="27"/>
      <c r="BZ654" s="27"/>
      <c r="CA654" s="27"/>
      <c r="CB654" s="27"/>
      <c r="CC654" s="27"/>
      <c r="CD654" s="27"/>
      <c r="CE654" s="27"/>
      <c r="CF654" s="27"/>
      <c r="CG654" s="27"/>
      <c r="CH654" s="27"/>
      <c r="CI654" s="27"/>
      <c r="CJ654" s="27"/>
      <c r="CK654" s="27"/>
      <c r="CL654" s="27"/>
      <c r="CM654" s="27"/>
      <c r="CN654" s="27"/>
      <c r="CO654" s="27"/>
      <c r="CP654" s="27"/>
      <c r="CQ654" s="27"/>
      <c r="CR654" s="27"/>
      <c r="CS654" s="27"/>
      <c r="CT654" s="27"/>
      <c r="CU654" s="27"/>
      <c r="CV654" s="27"/>
      <c r="CW654" s="27"/>
      <c r="CX654" s="27"/>
      <c r="CY654" s="27"/>
      <c r="CZ654" s="27"/>
      <c r="DA654" s="27"/>
      <c r="DB654" s="27"/>
      <c r="DC654" s="27"/>
      <c r="DD654" s="27"/>
      <c r="DE654" s="27"/>
      <c r="DF654" s="27"/>
      <c r="DG654" s="27"/>
      <c r="DH654" s="27"/>
      <c r="DI654" s="27"/>
      <c r="DJ654" s="27"/>
      <c r="DK654" s="27"/>
      <c r="DL654" s="27"/>
      <c r="DM654" s="27"/>
      <c r="DN654" s="27"/>
      <c r="DO654" s="27"/>
      <c r="DP654" s="27"/>
      <c r="DQ654" s="27"/>
      <c r="DR654" s="27"/>
      <c r="DS654" s="27"/>
      <c r="DT654" s="27"/>
    </row>
    <row r="655" spans="7:124" x14ac:dyDescent="0.2">
      <c r="G655" s="27"/>
      <c r="H655" s="27"/>
      <c r="I655" s="27"/>
      <c r="J655" s="27"/>
      <c r="K655" s="27"/>
      <c r="L655" s="27"/>
      <c r="M655" s="27"/>
      <c r="N655" s="27"/>
      <c r="O655" s="27"/>
      <c r="P655" s="27"/>
      <c r="Q655" s="27"/>
      <c r="R655" s="27"/>
      <c r="S655" s="27"/>
      <c r="T655" s="27"/>
      <c r="U655" s="27"/>
      <c r="V655" s="27"/>
      <c r="W655" s="27"/>
      <c r="X655" s="27"/>
      <c r="Y655" s="27"/>
      <c r="Z655" s="27"/>
      <c r="AA655" s="27"/>
      <c r="AB655" s="27"/>
      <c r="AC655" s="27"/>
      <c r="AD655" s="27"/>
      <c r="AE655" s="27"/>
      <c r="AF655" s="27"/>
      <c r="AG655" s="27"/>
      <c r="AH655" s="27"/>
      <c r="AI655" s="27"/>
      <c r="AJ655" s="27"/>
      <c r="AK655" s="27"/>
      <c r="AL655" s="27"/>
      <c r="AM655" s="27"/>
      <c r="AN655" s="27"/>
      <c r="AO655" s="27"/>
      <c r="AP655" s="27"/>
      <c r="AQ655" s="27"/>
      <c r="AR655" s="27"/>
      <c r="AS655" s="27"/>
      <c r="AT655" s="27"/>
      <c r="AU655" s="27"/>
      <c r="AV655" s="27"/>
      <c r="AW655" s="27"/>
      <c r="AX655" s="27"/>
      <c r="AY655" s="27"/>
      <c r="AZ655" s="27"/>
      <c r="BA655" s="27"/>
      <c r="BB655" s="27"/>
      <c r="BC655" s="27"/>
      <c r="BD655" s="27"/>
      <c r="BE655" s="27"/>
      <c r="BF655" s="27"/>
      <c r="BG655" s="27"/>
      <c r="BH655" s="27"/>
      <c r="BI655" s="27"/>
      <c r="BJ655" s="27"/>
      <c r="BK655" s="27"/>
      <c r="BL655" s="27"/>
      <c r="BM655" s="27"/>
      <c r="BN655" s="27"/>
      <c r="BO655" s="27"/>
      <c r="BP655" s="27"/>
      <c r="BQ655" s="27"/>
      <c r="BR655" s="27"/>
      <c r="BS655" s="27"/>
      <c r="BT655" s="27"/>
      <c r="BU655" s="27"/>
      <c r="BV655" s="27"/>
      <c r="BW655" s="27"/>
      <c r="BX655" s="27"/>
      <c r="BY655" s="27"/>
      <c r="BZ655" s="27"/>
      <c r="CA655" s="27"/>
      <c r="CB655" s="27"/>
      <c r="CC655" s="27"/>
      <c r="CD655" s="27"/>
      <c r="CE655" s="27"/>
      <c r="CF655" s="27"/>
      <c r="CG655" s="27"/>
      <c r="CH655" s="27"/>
      <c r="CI655" s="27"/>
      <c r="CJ655" s="27"/>
      <c r="CK655" s="27"/>
      <c r="CL655" s="27"/>
      <c r="CM655" s="27"/>
      <c r="CN655" s="27"/>
      <c r="CO655" s="27"/>
      <c r="CP655" s="27"/>
      <c r="CQ655" s="27"/>
      <c r="CR655" s="27"/>
      <c r="CS655" s="27"/>
      <c r="CT655" s="27"/>
      <c r="CU655" s="27"/>
      <c r="CV655" s="27"/>
      <c r="CW655" s="27"/>
      <c r="CX655" s="27"/>
      <c r="CY655" s="27"/>
      <c r="CZ655" s="27"/>
      <c r="DA655" s="27"/>
      <c r="DB655" s="27"/>
      <c r="DC655" s="27"/>
      <c r="DD655" s="27"/>
      <c r="DE655" s="27"/>
      <c r="DF655" s="27"/>
      <c r="DG655" s="27"/>
      <c r="DH655" s="27"/>
      <c r="DI655" s="27"/>
      <c r="DJ655" s="27"/>
      <c r="DK655" s="27"/>
      <c r="DL655" s="27"/>
      <c r="DM655" s="27"/>
      <c r="DN655" s="27"/>
      <c r="DO655" s="27"/>
      <c r="DP655" s="27"/>
      <c r="DQ655" s="27"/>
      <c r="DR655" s="27"/>
      <c r="DS655" s="27"/>
      <c r="DT655" s="27"/>
    </row>
    <row r="656" spans="7:124" x14ac:dyDescent="0.2">
      <c r="G656" s="27"/>
      <c r="H656" s="27"/>
      <c r="I656" s="27"/>
      <c r="J656" s="27"/>
      <c r="K656" s="27"/>
      <c r="L656" s="27"/>
      <c r="M656" s="27"/>
      <c r="N656" s="27"/>
      <c r="O656" s="27"/>
      <c r="P656" s="27"/>
      <c r="Q656" s="27"/>
      <c r="R656" s="27"/>
      <c r="S656" s="27"/>
      <c r="T656" s="27"/>
      <c r="U656" s="27"/>
      <c r="V656" s="27"/>
      <c r="W656" s="27"/>
      <c r="X656" s="27"/>
      <c r="Y656" s="27"/>
      <c r="Z656" s="27"/>
      <c r="AA656" s="27"/>
      <c r="AB656" s="27"/>
      <c r="AC656" s="27"/>
      <c r="AD656" s="27"/>
      <c r="AE656" s="27"/>
      <c r="AF656" s="27"/>
      <c r="AG656" s="27"/>
      <c r="AH656" s="27"/>
      <c r="AI656" s="27"/>
      <c r="AJ656" s="27"/>
      <c r="AK656" s="27"/>
      <c r="AL656" s="27"/>
      <c r="AM656" s="27"/>
      <c r="AN656" s="27"/>
      <c r="AO656" s="27"/>
      <c r="AP656" s="27"/>
      <c r="AQ656" s="27"/>
      <c r="AR656" s="27"/>
      <c r="AS656" s="27"/>
      <c r="AT656" s="27"/>
      <c r="AU656" s="27"/>
      <c r="AV656" s="27"/>
      <c r="AW656" s="27"/>
      <c r="AX656" s="27"/>
      <c r="AY656" s="27"/>
      <c r="AZ656" s="27"/>
      <c r="BA656" s="27"/>
      <c r="BB656" s="27"/>
      <c r="BC656" s="27"/>
      <c r="BD656" s="27"/>
      <c r="BE656" s="27"/>
      <c r="BF656" s="27"/>
      <c r="BG656" s="27"/>
      <c r="BH656" s="27"/>
      <c r="BI656" s="27"/>
      <c r="BJ656" s="27"/>
      <c r="BK656" s="27"/>
      <c r="BL656" s="27"/>
      <c r="BM656" s="27"/>
      <c r="BN656" s="27"/>
      <c r="BO656" s="27"/>
      <c r="BP656" s="27"/>
      <c r="BQ656" s="27"/>
      <c r="BR656" s="27"/>
      <c r="BS656" s="27"/>
      <c r="BT656" s="27"/>
      <c r="BU656" s="27"/>
      <c r="BV656" s="27"/>
      <c r="BW656" s="27"/>
      <c r="BX656" s="27"/>
      <c r="BY656" s="27"/>
      <c r="BZ656" s="27"/>
      <c r="CA656" s="27"/>
      <c r="CB656" s="27"/>
      <c r="CC656" s="27"/>
      <c r="CD656" s="27"/>
      <c r="CE656" s="27"/>
      <c r="CF656" s="27"/>
      <c r="CG656" s="27"/>
      <c r="CH656" s="27"/>
      <c r="CI656" s="27"/>
      <c r="CJ656" s="27"/>
      <c r="CK656" s="27"/>
      <c r="CL656" s="27"/>
      <c r="CM656" s="27"/>
      <c r="CN656" s="27"/>
      <c r="CO656" s="27"/>
      <c r="CP656" s="27"/>
      <c r="CQ656" s="27"/>
      <c r="CR656" s="27"/>
      <c r="CS656" s="27"/>
      <c r="CT656" s="27"/>
      <c r="CU656" s="27"/>
      <c r="CV656" s="27"/>
      <c r="CW656" s="27"/>
      <c r="CX656" s="27"/>
      <c r="CY656" s="27"/>
      <c r="CZ656" s="27"/>
      <c r="DA656" s="27"/>
      <c r="DB656" s="27"/>
      <c r="DC656" s="27"/>
      <c r="DD656" s="27"/>
      <c r="DE656" s="27"/>
      <c r="DF656" s="27"/>
      <c r="DG656" s="27"/>
      <c r="DH656" s="27"/>
      <c r="DI656" s="27"/>
      <c r="DJ656" s="27"/>
      <c r="DK656" s="27"/>
      <c r="DL656" s="27"/>
      <c r="DM656" s="27"/>
      <c r="DN656" s="27"/>
      <c r="DO656" s="27"/>
      <c r="DP656" s="27"/>
      <c r="DQ656" s="27"/>
      <c r="DR656" s="27"/>
      <c r="DS656" s="27"/>
      <c r="DT656" s="27"/>
    </row>
    <row r="657" spans="7:124" x14ac:dyDescent="0.2">
      <c r="G657" s="27"/>
      <c r="H657" s="27"/>
      <c r="I657" s="27"/>
      <c r="J657" s="27"/>
      <c r="K657" s="27"/>
      <c r="L657" s="27"/>
      <c r="M657" s="27"/>
      <c r="N657" s="27"/>
      <c r="O657" s="27"/>
      <c r="P657" s="27"/>
      <c r="Q657" s="27"/>
      <c r="R657" s="27"/>
      <c r="S657" s="27"/>
      <c r="T657" s="27"/>
      <c r="U657" s="27"/>
      <c r="V657" s="27"/>
      <c r="W657" s="27"/>
      <c r="X657" s="27"/>
      <c r="Y657" s="27"/>
      <c r="Z657" s="27"/>
      <c r="AA657" s="27"/>
      <c r="AB657" s="27"/>
      <c r="AC657" s="27"/>
      <c r="AD657" s="27"/>
      <c r="AE657" s="27"/>
      <c r="AF657" s="27"/>
      <c r="AG657" s="27"/>
      <c r="AH657" s="27"/>
      <c r="AI657" s="27"/>
      <c r="AJ657" s="27"/>
      <c r="AK657" s="27"/>
      <c r="AL657" s="27"/>
      <c r="AM657" s="27"/>
      <c r="AN657" s="27"/>
      <c r="AO657" s="27"/>
      <c r="AP657" s="27"/>
      <c r="AQ657" s="27"/>
      <c r="AR657" s="27"/>
      <c r="AS657" s="27"/>
      <c r="AT657" s="27"/>
      <c r="AU657" s="27"/>
      <c r="AV657" s="27"/>
      <c r="AW657" s="27"/>
      <c r="AX657" s="27"/>
      <c r="AY657" s="27"/>
      <c r="AZ657" s="27"/>
      <c r="BA657" s="27"/>
      <c r="BB657" s="27"/>
      <c r="BC657" s="27"/>
      <c r="BD657" s="27"/>
      <c r="BE657" s="27"/>
      <c r="BF657" s="27"/>
      <c r="BG657" s="27"/>
      <c r="BH657" s="27"/>
      <c r="BI657" s="27"/>
      <c r="BJ657" s="27"/>
      <c r="BK657" s="27"/>
      <c r="BL657" s="27"/>
      <c r="BM657" s="27"/>
      <c r="BN657" s="27"/>
      <c r="BO657" s="27"/>
      <c r="BP657" s="27"/>
      <c r="BQ657" s="27"/>
      <c r="BR657" s="27"/>
      <c r="BS657" s="27"/>
      <c r="BT657" s="27"/>
      <c r="BU657" s="27"/>
      <c r="BV657" s="27"/>
      <c r="BW657" s="27"/>
      <c r="BX657" s="27"/>
      <c r="BY657" s="27"/>
      <c r="BZ657" s="27"/>
      <c r="CA657" s="27"/>
      <c r="CB657" s="27"/>
      <c r="CC657" s="27"/>
      <c r="CD657" s="27"/>
      <c r="CE657" s="27"/>
      <c r="CF657" s="27"/>
      <c r="CG657" s="27"/>
      <c r="CH657" s="27"/>
      <c r="CI657" s="27"/>
      <c r="CJ657" s="27"/>
      <c r="CK657" s="27"/>
      <c r="CL657" s="27"/>
      <c r="CM657" s="27"/>
      <c r="CN657" s="27"/>
      <c r="CO657" s="27"/>
      <c r="CP657" s="27"/>
      <c r="CQ657" s="27"/>
      <c r="CR657" s="27"/>
      <c r="CS657" s="27"/>
      <c r="CT657" s="27"/>
      <c r="CU657" s="27"/>
      <c r="CV657" s="27"/>
      <c r="CW657" s="27"/>
      <c r="CX657" s="27"/>
      <c r="CY657" s="27"/>
      <c r="CZ657" s="27"/>
      <c r="DA657" s="27"/>
      <c r="DB657" s="27"/>
      <c r="DC657" s="27"/>
      <c r="DD657" s="27"/>
      <c r="DE657" s="27"/>
      <c r="DF657" s="27"/>
      <c r="DG657" s="27"/>
      <c r="DH657" s="27"/>
      <c r="DI657" s="27"/>
      <c r="DJ657" s="27"/>
      <c r="DK657" s="27"/>
      <c r="DL657" s="27"/>
      <c r="DM657" s="27"/>
      <c r="DN657" s="27"/>
      <c r="DO657" s="27"/>
      <c r="DP657" s="27"/>
      <c r="DQ657" s="27"/>
      <c r="DR657" s="27"/>
      <c r="DS657" s="27"/>
      <c r="DT657" s="27"/>
    </row>
    <row r="658" spans="7:124" x14ac:dyDescent="0.2">
      <c r="G658" s="27"/>
      <c r="H658" s="27"/>
      <c r="I658" s="27"/>
      <c r="J658" s="27"/>
      <c r="K658" s="27"/>
      <c r="L658" s="27"/>
      <c r="M658" s="27"/>
      <c r="N658" s="27"/>
      <c r="O658" s="27"/>
      <c r="P658" s="27"/>
      <c r="Q658" s="27"/>
      <c r="R658" s="27"/>
      <c r="S658" s="27"/>
      <c r="T658" s="27"/>
      <c r="U658" s="27"/>
      <c r="V658" s="27"/>
      <c r="W658" s="27"/>
      <c r="X658" s="27"/>
      <c r="Y658" s="27"/>
      <c r="Z658" s="27"/>
      <c r="AA658" s="27"/>
      <c r="AB658" s="27"/>
      <c r="AC658" s="27"/>
      <c r="AD658" s="27"/>
      <c r="AE658" s="27"/>
      <c r="AF658" s="27"/>
      <c r="AG658" s="27"/>
      <c r="AH658" s="27"/>
      <c r="AI658" s="27"/>
      <c r="AJ658" s="27"/>
      <c r="AK658" s="27"/>
      <c r="AL658" s="27"/>
      <c r="AM658" s="27"/>
      <c r="AN658" s="27"/>
      <c r="AO658" s="27"/>
      <c r="AP658" s="27"/>
      <c r="AQ658" s="27"/>
      <c r="AR658" s="27"/>
      <c r="AS658" s="27"/>
      <c r="AT658" s="27"/>
      <c r="AU658" s="27"/>
      <c r="AV658" s="27"/>
      <c r="AW658" s="27"/>
      <c r="AX658" s="27"/>
      <c r="AY658" s="27"/>
      <c r="AZ658" s="27"/>
      <c r="BA658" s="27"/>
      <c r="BB658" s="27"/>
      <c r="BC658" s="27"/>
      <c r="BD658" s="27"/>
      <c r="BE658" s="27"/>
      <c r="BF658" s="27"/>
      <c r="BG658" s="27"/>
      <c r="BH658" s="27"/>
      <c r="BI658" s="27"/>
      <c r="BJ658" s="27"/>
      <c r="BK658" s="27"/>
      <c r="BL658" s="27"/>
      <c r="BM658" s="27"/>
      <c r="BN658" s="27"/>
      <c r="BO658" s="27"/>
      <c r="BP658" s="27"/>
      <c r="BQ658" s="27"/>
      <c r="BR658" s="27"/>
      <c r="BS658" s="27"/>
      <c r="BT658" s="27"/>
      <c r="BU658" s="27"/>
      <c r="BV658" s="27"/>
      <c r="BW658" s="27"/>
      <c r="BX658" s="27"/>
      <c r="BY658" s="27"/>
      <c r="BZ658" s="27"/>
      <c r="CA658" s="27"/>
      <c r="CB658" s="27"/>
      <c r="CC658" s="27"/>
      <c r="CD658" s="27"/>
      <c r="CE658" s="27"/>
      <c r="CF658" s="27"/>
      <c r="CG658" s="27"/>
      <c r="CH658" s="27"/>
      <c r="CI658" s="27"/>
      <c r="CJ658" s="27"/>
      <c r="CK658" s="27"/>
      <c r="CL658" s="27"/>
      <c r="CM658" s="27"/>
      <c r="CN658" s="27"/>
      <c r="CO658" s="27"/>
      <c r="CP658" s="27"/>
      <c r="CQ658" s="27"/>
      <c r="CR658" s="27"/>
      <c r="CS658" s="27"/>
      <c r="CT658" s="27"/>
      <c r="CU658" s="27"/>
      <c r="CV658" s="27"/>
      <c r="CW658" s="27"/>
      <c r="CX658" s="27"/>
      <c r="CY658" s="27"/>
      <c r="CZ658" s="27"/>
      <c r="DA658" s="27"/>
      <c r="DB658" s="27"/>
      <c r="DC658" s="27"/>
      <c r="DD658" s="27"/>
      <c r="DE658" s="27"/>
      <c r="DF658" s="27"/>
      <c r="DG658" s="27"/>
      <c r="DH658" s="27"/>
      <c r="DI658" s="27"/>
      <c r="DJ658" s="27"/>
      <c r="DK658" s="27"/>
      <c r="DL658" s="27"/>
      <c r="DM658" s="27"/>
      <c r="DN658" s="27"/>
      <c r="DO658" s="27"/>
      <c r="DP658" s="27"/>
      <c r="DQ658" s="27"/>
      <c r="DR658" s="27"/>
      <c r="DS658" s="27"/>
      <c r="DT658" s="27"/>
    </row>
    <row r="659" spans="7:124" x14ac:dyDescent="0.2">
      <c r="G659" s="27"/>
      <c r="H659" s="27"/>
      <c r="I659" s="27"/>
      <c r="J659" s="27"/>
      <c r="K659" s="27"/>
      <c r="L659" s="27"/>
      <c r="M659" s="27"/>
      <c r="N659" s="27"/>
      <c r="O659" s="27"/>
      <c r="P659" s="27"/>
      <c r="Q659" s="27"/>
      <c r="R659" s="27"/>
      <c r="S659" s="27"/>
      <c r="T659" s="27"/>
      <c r="U659" s="27"/>
      <c r="V659" s="27"/>
      <c r="W659" s="27"/>
      <c r="X659" s="27"/>
      <c r="Y659" s="27"/>
      <c r="Z659" s="27"/>
      <c r="AA659" s="27"/>
      <c r="AB659" s="27"/>
      <c r="AC659" s="27"/>
      <c r="AD659" s="27"/>
      <c r="AE659" s="27"/>
      <c r="AF659" s="27"/>
      <c r="AG659" s="27"/>
      <c r="AH659" s="27"/>
      <c r="AI659" s="27"/>
      <c r="AJ659" s="27"/>
      <c r="AK659" s="27"/>
      <c r="AL659" s="27"/>
      <c r="AM659" s="27"/>
      <c r="AN659" s="27"/>
      <c r="AO659" s="27"/>
      <c r="AP659" s="27"/>
      <c r="AQ659" s="27"/>
      <c r="AR659" s="27"/>
      <c r="AS659" s="27"/>
      <c r="AT659" s="27"/>
      <c r="AU659" s="27"/>
      <c r="AV659" s="27"/>
      <c r="AW659" s="27"/>
      <c r="AX659" s="27"/>
      <c r="AY659" s="27"/>
      <c r="AZ659" s="27"/>
      <c r="BA659" s="27"/>
      <c r="BB659" s="27"/>
      <c r="BC659" s="27"/>
      <c r="BD659" s="27"/>
      <c r="BE659" s="27"/>
      <c r="BF659" s="27"/>
      <c r="BG659" s="27"/>
      <c r="BH659" s="27"/>
      <c r="BI659" s="27"/>
      <c r="BJ659" s="27"/>
      <c r="BK659" s="27"/>
      <c r="BL659" s="27"/>
      <c r="BM659" s="27"/>
      <c r="BN659" s="27"/>
      <c r="BO659" s="27"/>
      <c r="BP659" s="27"/>
      <c r="BQ659" s="27"/>
      <c r="BR659" s="27"/>
      <c r="BS659" s="27"/>
      <c r="BT659" s="27"/>
      <c r="BU659" s="27"/>
      <c r="BV659" s="27"/>
      <c r="BW659" s="27"/>
      <c r="BX659" s="27"/>
      <c r="BY659" s="27"/>
      <c r="BZ659" s="27"/>
      <c r="CA659" s="27"/>
      <c r="CB659" s="27"/>
      <c r="CC659" s="27"/>
      <c r="CD659" s="27"/>
      <c r="CE659" s="27"/>
      <c r="CF659" s="27"/>
      <c r="CG659" s="27"/>
      <c r="CH659" s="27"/>
      <c r="CI659" s="27"/>
      <c r="CJ659" s="27"/>
      <c r="CK659" s="27"/>
      <c r="CL659" s="27"/>
      <c r="CM659" s="27"/>
      <c r="CN659" s="27"/>
      <c r="CO659" s="27"/>
      <c r="CP659" s="27"/>
      <c r="CQ659" s="27"/>
      <c r="CR659" s="27"/>
      <c r="CS659" s="27"/>
      <c r="CT659" s="27"/>
      <c r="CU659" s="27"/>
      <c r="CV659" s="27"/>
      <c r="CW659" s="27"/>
      <c r="CX659" s="27"/>
      <c r="CY659" s="27"/>
      <c r="CZ659" s="27"/>
      <c r="DA659" s="27"/>
      <c r="DB659" s="27"/>
      <c r="DC659" s="27"/>
      <c r="DD659" s="27"/>
      <c r="DE659" s="27"/>
      <c r="DF659" s="27"/>
      <c r="DG659" s="27"/>
      <c r="DH659" s="27"/>
      <c r="DI659" s="27"/>
      <c r="DJ659" s="27"/>
      <c r="DK659" s="27"/>
      <c r="DL659" s="27"/>
      <c r="DM659" s="27"/>
      <c r="DN659" s="27"/>
      <c r="DO659" s="27"/>
      <c r="DP659" s="27"/>
      <c r="DQ659" s="27"/>
      <c r="DR659" s="27"/>
      <c r="DS659" s="27"/>
      <c r="DT659" s="27"/>
    </row>
    <row r="660" spans="7:124" x14ac:dyDescent="0.2">
      <c r="G660" s="27"/>
      <c r="H660" s="27"/>
      <c r="I660" s="27"/>
      <c r="J660" s="27"/>
      <c r="K660" s="27"/>
      <c r="L660" s="27"/>
      <c r="M660" s="27"/>
      <c r="N660" s="27"/>
      <c r="O660" s="27"/>
      <c r="P660" s="27"/>
      <c r="Q660" s="27"/>
      <c r="R660" s="27"/>
      <c r="S660" s="27"/>
      <c r="T660" s="27"/>
      <c r="U660" s="27"/>
      <c r="V660" s="27"/>
      <c r="W660" s="27"/>
      <c r="X660" s="27"/>
      <c r="Y660" s="27"/>
      <c r="Z660" s="27"/>
      <c r="AA660" s="27"/>
      <c r="AB660" s="27"/>
      <c r="AC660" s="27"/>
      <c r="AD660" s="27"/>
      <c r="AE660" s="27"/>
      <c r="AF660" s="27"/>
      <c r="AG660" s="27"/>
      <c r="AH660" s="27"/>
      <c r="AI660" s="27"/>
      <c r="AJ660" s="27"/>
      <c r="AK660" s="27"/>
      <c r="AL660" s="27"/>
      <c r="AM660" s="27"/>
      <c r="AN660" s="27"/>
      <c r="AO660" s="27"/>
      <c r="AP660" s="27"/>
      <c r="AQ660" s="27"/>
      <c r="AR660" s="27"/>
      <c r="AS660" s="27"/>
      <c r="AT660" s="27"/>
      <c r="AU660" s="27"/>
      <c r="AV660" s="27"/>
      <c r="AW660" s="27"/>
      <c r="AX660" s="27"/>
      <c r="AY660" s="27"/>
      <c r="AZ660" s="27"/>
      <c r="BA660" s="27"/>
      <c r="BB660" s="27"/>
      <c r="BC660" s="27"/>
      <c r="BD660" s="27"/>
      <c r="BE660" s="27"/>
      <c r="BF660" s="27"/>
      <c r="BG660" s="27"/>
      <c r="BH660" s="27"/>
      <c r="BI660" s="27"/>
      <c r="BJ660" s="27"/>
      <c r="BK660" s="27"/>
      <c r="BL660" s="27"/>
      <c r="BM660" s="27"/>
      <c r="BN660" s="27"/>
      <c r="BO660" s="27"/>
      <c r="BP660" s="27"/>
      <c r="BQ660" s="27"/>
      <c r="BR660" s="27"/>
      <c r="BS660" s="27"/>
      <c r="BT660" s="27"/>
      <c r="BU660" s="27"/>
      <c r="BV660" s="27"/>
      <c r="BW660" s="27"/>
      <c r="BX660" s="27"/>
      <c r="BY660" s="27"/>
      <c r="BZ660" s="27"/>
      <c r="CA660" s="27"/>
      <c r="CB660" s="27"/>
      <c r="CC660" s="27"/>
      <c r="CD660" s="27"/>
      <c r="CE660" s="27"/>
      <c r="CF660" s="27"/>
      <c r="CG660" s="27"/>
      <c r="CH660" s="27"/>
      <c r="CI660" s="27"/>
      <c r="CJ660" s="27"/>
      <c r="CK660" s="27"/>
      <c r="CL660" s="27"/>
      <c r="CM660" s="27"/>
      <c r="CN660" s="27"/>
      <c r="CO660" s="27"/>
      <c r="CP660" s="27"/>
      <c r="CQ660" s="27"/>
      <c r="CR660" s="27"/>
      <c r="CS660" s="27"/>
      <c r="CT660" s="27"/>
      <c r="CU660" s="27"/>
      <c r="CV660" s="27"/>
      <c r="CW660" s="27"/>
      <c r="CX660" s="27"/>
      <c r="CY660" s="27"/>
      <c r="CZ660" s="27"/>
      <c r="DA660" s="27"/>
      <c r="DB660" s="27"/>
      <c r="DC660" s="27"/>
      <c r="DD660" s="27"/>
      <c r="DE660" s="27"/>
      <c r="DF660" s="27"/>
      <c r="DG660" s="27"/>
      <c r="DH660" s="27"/>
      <c r="DI660" s="27"/>
      <c r="DJ660" s="27"/>
      <c r="DK660" s="27"/>
      <c r="DL660" s="27"/>
      <c r="DM660" s="27"/>
      <c r="DN660" s="27"/>
      <c r="DO660" s="27"/>
      <c r="DP660" s="27"/>
      <c r="DQ660" s="27"/>
      <c r="DR660" s="27"/>
      <c r="DS660" s="27"/>
      <c r="DT660" s="27"/>
    </row>
    <row r="661" spans="7:124" x14ac:dyDescent="0.2">
      <c r="G661" s="27"/>
      <c r="H661" s="27"/>
      <c r="I661" s="27"/>
      <c r="J661" s="27"/>
      <c r="K661" s="27"/>
      <c r="L661" s="27"/>
      <c r="M661" s="27"/>
      <c r="N661" s="27"/>
      <c r="O661" s="27"/>
      <c r="P661" s="27"/>
      <c r="Q661" s="27"/>
      <c r="R661" s="27"/>
      <c r="S661" s="27"/>
      <c r="T661" s="27"/>
      <c r="U661" s="27"/>
      <c r="V661" s="27"/>
      <c r="W661" s="27"/>
      <c r="X661" s="27"/>
      <c r="Y661" s="27"/>
      <c r="Z661" s="27"/>
      <c r="AA661" s="27"/>
      <c r="AB661" s="27"/>
      <c r="AC661" s="27"/>
      <c r="AD661" s="27"/>
      <c r="AE661" s="27"/>
      <c r="AF661" s="27"/>
      <c r="AG661" s="27"/>
      <c r="AH661" s="27"/>
      <c r="AI661" s="27"/>
      <c r="AJ661" s="27"/>
      <c r="AK661" s="27"/>
      <c r="AL661" s="27"/>
      <c r="AM661" s="27"/>
      <c r="AN661" s="27"/>
      <c r="AO661" s="27"/>
      <c r="AP661" s="27"/>
      <c r="AQ661" s="27"/>
      <c r="AR661" s="27"/>
      <c r="AS661" s="27"/>
      <c r="AT661" s="27"/>
      <c r="AU661" s="27"/>
      <c r="AV661" s="27"/>
      <c r="AW661" s="27"/>
      <c r="AX661" s="27"/>
      <c r="AY661" s="27"/>
      <c r="AZ661" s="27"/>
      <c r="BA661" s="27"/>
      <c r="BB661" s="27"/>
      <c r="BC661" s="27"/>
      <c r="BD661" s="27"/>
      <c r="BE661" s="27"/>
      <c r="BF661" s="27"/>
      <c r="BG661" s="27"/>
      <c r="BH661" s="27"/>
      <c r="BI661" s="27"/>
      <c r="BJ661" s="27"/>
      <c r="BK661" s="27"/>
      <c r="BL661" s="27"/>
      <c r="BM661" s="27"/>
      <c r="BN661" s="27"/>
      <c r="BO661" s="27"/>
      <c r="BP661" s="27"/>
      <c r="BQ661" s="27"/>
      <c r="BR661" s="27"/>
      <c r="BS661" s="27"/>
      <c r="BT661" s="27"/>
      <c r="BU661" s="27"/>
      <c r="BV661" s="27"/>
      <c r="BW661" s="27"/>
      <c r="BX661" s="27"/>
      <c r="BY661" s="27"/>
      <c r="BZ661" s="27"/>
      <c r="CA661" s="27"/>
      <c r="CB661" s="27"/>
      <c r="CC661" s="27"/>
      <c r="CD661" s="27"/>
      <c r="CE661" s="27"/>
      <c r="CF661" s="27"/>
      <c r="CG661" s="27"/>
      <c r="CH661" s="27"/>
      <c r="CI661" s="27"/>
      <c r="CJ661" s="27"/>
      <c r="CK661" s="27"/>
      <c r="CL661" s="27"/>
      <c r="CM661" s="27"/>
      <c r="CN661" s="27"/>
      <c r="CO661" s="27"/>
      <c r="CP661" s="27"/>
      <c r="CQ661" s="27"/>
      <c r="CR661" s="27"/>
      <c r="CS661" s="27"/>
      <c r="CT661" s="27"/>
      <c r="CU661" s="27"/>
      <c r="CV661" s="27"/>
      <c r="CW661" s="27"/>
      <c r="CX661" s="27"/>
      <c r="CY661" s="27"/>
      <c r="CZ661" s="27"/>
      <c r="DA661" s="27"/>
      <c r="DB661" s="27"/>
      <c r="DC661" s="27"/>
      <c r="DD661" s="27"/>
      <c r="DE661" s="27"/>
      <c r="DF661" s="27"/>
      <c r="DG661" s="27"/>
      <c r="DH661" s="27"/>
      <c r="DI661" s="27"/>
      <c r="DJ661" s="27"/>
      <c r="DK661" s="27"/>
      <c r="DL661" s="27"/>
      <c r="DM661" s="27"/>
      <c r="DN661" s="27"/>
      <c r="DO661" s="27"/>
      <c r="DP661" s="27"/>
      <c r="DQ661" s="27"/>
      <c r="DR661" s="27"/>
      <c r="DS661" s="27"/>
      <c r="DT661" s="27"/>
    </row>
    <row r="662" spans="7:124" x14ac:dyDescent="0.2">
      <c r="G662" s="27"/>
      <c r="H662" s="27"/>
      <c r="I662" s="27"/>
      <c r="J662" s="27"/>
      <c r="K662" s="27"/>
      <c r="L662" s="27"/>
      <c r="M662" s="27"/>
      <c r="N662" s="27"/>
      <c r="O662" s="27"/>
      <c r="P662" s="27"/>
      <c r="Q662" s="27"/>
      <c r="R662" s="27"/>
      <c r="S662" s="27"/>
      <c r="T662" s="27"/>
      <c r="U662" s="27"/>
      <c r="V662" s="27"/>
      <c r="W662" s="27"/>
      <c r="X662" s="27"/>
      <c r="Y662" s="27"/>
      <c r="Z662" s="27"/>
      <c r="AA662" s="27"/>
      <c r="AB662" s="27"/>
      <c r="AC662" s="27"/>
      <c r="AD662" s="27"/>
      <c r="AE662" s="27"/>
      <c r="AF662" s="27"/>
      <c r="AG662" s="27"/>
      <c r="AH662" s="27"/>
      <c r="AI662" s="27"/>
      <c r="AJ662" s="27"/>
      <c r="AK662" s="27"/>
      <c r="AL662" s="27"/>
      <c r="AM662" s="27"/>
      <c r="AN662" s="27"/>
      <c r="AO662" s="27"/>
      <c r="AP662" s="27"/>
      <c r="AQ662" s="27"/>
      <c r="AR662" s="27"/>
      <c r="AS662" s="27"/>
      <c r="AT662" s="27"/>
      <c r="AU662" s="27"/>
      <c r="AV662" s="27"/>
      <c r="AW662" s="27"/>
      <c r="AX662" s="27"/>
      <c r="AY662" s="27"/>
      <c r="AZ662" s="27"/>
      <c r="BA662" s="27"/>
      <c r="BB662" s="27"/>
      <c r="BC662" s="27"/>
      <c r="BD662" s="27"/>
      <c r="BE662" s="27"/>
      <c r="BF662" s="27"/>
      <c r="BG662" s="27"/>
      <c r="BH662" s="27"/>
      <c r="BI662" s="27"/>
      <c r="BJ662" s="27"/>
      <c r="BK662" s="27"/>
      <c r="BL662" s="27"/>
      <c r="BM662" s="27"/>
      <c r="BN662" s="27"/>
      <c r="BO662" s="27"/>
      <c r="BP662" s="27"/>
      <c r="BQ662" s="27"/>
      <c r="BR662" s="27"/>
      <c r="BS662" s="27"/>
      <c r="BT662" s="27"/>
      <c r="BU662" s="27"/>
      <c r="BV662" s="27"/>
      <c r="BW662" s="27"/>
      <c r="BX662" s="27"/>
      <c r="BY662" s="27"/>
      <c r="BZ662" s="27"/>
      <c r="CA662" s="27"/>
      <c r="CB662" s="27"/>
      <c r="CC662" s="27"/>
      <c r="CD662" s="27"/>
      <c r="CE662" s="27"/>
      <c r="CF662" s="27"/>
      <c r="CG662" s="27"/>
      <c r="CH662" s="27"/>
      <c r="CI662" s="27"/>
      <c r="CJ662" s="27"/>
      <c r="CK662" s="27"/>
      <c r="CL662" s="27"/>
      <c r="CM662" s="27"/>
      <c r="CN662" s="27"/>
      <c r="CO662" s="27"/>
      <c r="CP662" s="27"/>
      <c r="CQ662" s="27"/>
      <c r="CR662" s="27"/>
      <c r="CS662" s="27"/>
      <c r="CT662" s="27"/>
      <c r="CU662" s="27"/>
      <c r="CV662" s="27"/>
      <c r="CW662" s="27"/>
      <c r="CX662" s="27"/>
      <c r="CY662" s="27"/>
      <c r="CZ662" s="27"/>
      <c r="DA662" s="27"/>
      <c r="DB662" s="27"/>
      <c r="DC662" s="27"/>
      <c r="DD662" s="27"/>
      <c r="DE662" s="27"/>
      <c r="DF662" s="27"/>
      <c r="DG662" s="27"/>
      <c r="DH662" s="27"/>
      <c r="DI662" s="27"/>
      <c r="DJ662" s="27"/>
      <c r="DK662" s="27"/>
      <c r="DL662" s="27"/>
      <c r="DM662" s="27"/>
      <c r="DN662" s="27"/>
      <c r="DO662" s="27"/>
      <c r="DP662" s="27"/>
      <c r="DQ662" s="27"/>
      <c r="DR662" s="27"/>
      <c r="DS662" s="27"/>
      <c r="DT662" s="27"/>
    </row>
    <row r="663" spans="7:124" x14ac:dyDescent="0.2">
      <c r="G663" s="27"/>
      <c r="H663" s="27"/>
      <c r="I663" s="27"/>
      <c r="J663" s="27"/>
      <c r="K663" s="27"/>
      <c r="L663" s="27"/>
      <c r="M663" s="27"/>
      <c r="N663" s="27"/>
      <c r="O663" s="27"/>
      <c r="P663" s="27"/>
      <c r="Q663" s="27"/>
      <c r="R663" s="27"/>
      <c r="S663" s="27"/>
      <c r="T663" s="27"/>
      <c r="U663" s="27"/>
      <c r="V663" s="27"/>
      <c r="W663" s="27"/>
      <c r="X663" s="27"/>
      <c r="Y663" s="27"/>
      <c r="Z663" s="27"/>
      <c r="AA663" s="27"/>
      <c r="AB663" s="27"/>
      <c r="AC663" s="27"/>
      <c r="AD663" s="27"/>
      <c r="AE663" s="27"/>
      <c r="AF663" s="27"/>
      <c r="AG663" s="27"/>
      <c r="AH663" s="27"/>
      <c r="AI663" s="27"/>
      <c r="AJ663" s="27"/>
      <c r="AK663" s="27"/>
      <c r="AL663" s="27"/>
      <c r="AM663" s="27"/>
      <c r="AN663" s="27"/>
      <c r="AO663" s="27"/>
      <c r="AP663" s="27"/>
      <c r="AQ663" s="27"/>
      <c r="AR663" s="27"/>
      <c r="AS663" s="27"/>
      <c r="AT663" s="27"/>
      <c r="AU663" s="27"/>
      <c r="AV663" s="27"/>
      <c r="AW663" s="27"/>
      <c r="AX663" s="27"/>
      <c r="AY663" s="27"/>
      <c r="AZ663" s="27"/>
      <c r="BA663" s="27"/>
      <c r="BB663" s="27"/>
      <c r="BC663" s="27"/>
      <c r="BD663" s="27"/>
      <c r="BE663" s="27"/>
      <c r="BF663" s="27"/>
      <c r="BG663" s="27"/>
      <c r="BH663" s="27"/>
      <c r="BI663" s="27"/>
      <c r="BJ663" s="27"/>
      <c r="BK663" s="27"/>
      <c r="BL663" s="27"/>
      <c r="BM663" s="27"/>
      <c r="BN663" s="27"/>
      <c r="BO663" s="27"/>
      <c r="BP663" s="27"/>
      <c r="BQ663" s="27"/>
      <c r="BR663" s="27"/>
      <c r="BS663" s="27"/>
      <c r="BT663" s="27"/>
      <c r="BU663" s="27"/>
      <c r="BV663" s="27"/>
      <c r="BW663" s="27"/>
      <c r="BX663" s="27"/>
      <c r="BY663" s="27"/>
      <c r="BZ663" s="27"/>
      <c r="CA663" s="27"/>
      <c r="CB663" s="27"/>
      <c r="CC663" s="27"/>
      <c r="CD663" s="27"/>
      <c r="CE663" s="27"/>
      <c r="CF663" s="27"/>
      <c r="CG663" s="27"/>
      <c r="CH663" s="27"/>
      <c r="CI663" s="27"/>
      <c r="CJ663" s="27"/>
      <c r="CK663" s="27"/>
      <c r="CL663" s="27"/>
      <c r="CM663" s="27"/>
      <c r="CN663" s="27"/>
      <c r="CO663" s="27"/>
      <c r="CP663" s="27"/>
      <c r="CQ663" s="27"/>
      <c r="CR663" s="27"/>
      <c r="CS663" s="27"/>
      <c r="CT663" s="27"/>
      <c r="CU663" s="27"/>
      <c r="CV663" s="27"/>
      <c r="CW663" s="27"/>
      <c r="CX663" s="27"/>
      <c r="CY663" s="27"/>
      <c r="CZ663" s="27"/>
      <c r="DA663" s="27"/>
      <c r="DB663" s="27"/>
      <c r="DC663" s="27"/>
      <c r="DD663" s="27"/>
      <c r="DE663" s="27"/>
      <c r="DF663" s="27"/>
      <c r="DG663" s="27"/>
      <c r="DH663" s="27"/>
      <c r="DI663" s="27"/>
      <c r="DJ663" s="27"/>
      <c r="DK663" s="27"/>
      <c r="DL663" s="27"/>
      <c r="DM663" s="27"/>
      <c r="DN663" s="27"/>
      <c r="DO663" s="27"/>
      <c r="DP663" s="27"/>
      <c r="DQ663" s="27"/>
      <c r="DR663" s="27"/>
      <c r="DS663" s="27"/>
      <c r="DT663" s="27"/>
    </row>
    <row r="664" spans="7:124" x14ac:dyDescent="0.2">
      <c r="G664" s="27"/>
      <c r="H664" s="27"/>
      <c r="I664" s="27"/>
      <c r="J664" s="27"/>
      <c r="K664" s="27"/>
      <c r="L664" s="27"/>
      <c r="M664" s="27"/>
      <c r="N664" s="27"/>
      <c r="O664" s="27"/>
      <c r="P664" s="27"/>
      <c r="Q664" s="27"/>
      <c r="R664" s="27"/>
      <c r="S664" s="27"/>
      <c r="T664" s="27"/>
      <c r="U664" s="27"/>
      <c r="V664" s="27"/>
      <c r="W664" s="27"/>
      <c r="X664" s="27"/>
      <c r="Y664" s="27"/>
      <c r="Z664" s="27"/>
      <c r="AA664" s="27"/>
      <c r="AB664" s="27"/>
      <c r="AC664" s="27"/>
      <c r="AD664" s="27"/>
      <c r="AE664" s="27"/>
      <c r="AF664" s="27"/>
      <c r="AG664" s="27"/>
      <c r="AH664" s="27"/>
      <c r="AI664" s="27"/>
      <c r="AJ664" s="27"/>
      <c r="AK664" s="27"/>
      <c r="AL664" s="27"/>
      <c r="AM664" s="27"/>
      <c r="AN664" s="27"/>
      <c r="AO664" s="27"/>
      <c r="AP664" s="27"/>
      <c r="AQ664" s="27"/>
      <c r="AR664" s="27"/>
      <c r="AS664" s="27"/>
      <c r="AT664" s="27"/>
      <c r="AU664" s="27"/>
      <c r="AV664" s="27"/>
      <c r="AW664" s="27"/>
      <c r="AX664" s="27"/>
      <c r="AY664" s="27"/>
      <c r="AZ664" s="27"/>
      <c r="BA664" s="27"/>
      <c r="BB664" s="27"/>
      <c r="BC664" s="27"/>
      <c r="BD664" s="27"/>
      <c r="BE664" s="27"/>
      <c r="BF664" s="27"/>
      <c r="BG664" s="27"/>
      <c r="BH664" s="27"/>
      <c r="BI664" s="27"/>
      <c r="BJ664" s="27"/>
      <c r="BK664" s="27"/>
      <c r="BL664" s="27"/>
      <c r="BM664" s="27"/>
      <c r="BN664" s="27"/>
      <c r="BO664" s="27"/>
      <c r="BP664" s="27"/>
      <c r="BQ664" s="27"/>
      <c r="BR664" s="27"/>
      <c r="BS664" s="27"/>
      <c r="BT664" s="27"/>
      <c r="BU664" s="27"/>
      <c r="BV664" s="27"/>
      <c r="BW664" s="27"/>
      <c r="BX664" s="27"/>
      <c r="BY664" s="27"/>
      <c r="BZ664" s="27"/>
      <c r="CA664" s="27"/>
      <c r="CB664" s="27"/>
      <c r="CC664" s="27"/>
      <c r="CD664" s="27"/>
      <c r="CE664" s="27"/>
      <c r="CF664" s="27"/>
      <c r="CG664" s="27"/>
      <c r="CH664" s="27"/>
      <c r="CI664" s="27"/>
      <c r="CJ664" s="27"/>
      <c r="CK664" s="27"/>
      <c r="CL664" s="27"/>
      <c r="CM664" s="27"/>
      <c r="CN664" s="27"/>
      <c r="CO664" s="27"/>
      <c r="CP664" s="27"/>
      <c r="CQ664" s="27"/>
      <c r="CR664" s="27"/>
      <c r="CS664" s="27"/>
      <c r="CT664" s="27"/>
      <c r="CU664" s="27"/>
      <c r="CV664" s="27"/>
      <c r="CW664" s="27"/>
      <c r="CX664" s="27"/>
      <c r="CY664" s="27"/>
      <c r="CZ664" s="27"/>
      <c r="DA664" s="27"/>
      <c r="DB664" s="27"/>
      <c r="DC664" s="27"/>
      <c r="DD664" s="27"/>
      <c r="DE664" s="27"/>
      <c r="DF664" s="27"/>
      <c r="DG664" s="27"/>
      <c r="DH664" s="27"/>
      <c r="DI664" s="27"/>
      <c r="DJ664" s="27"/>
      <c r="DK664" s="27"/>
      <c r="DL664" s="27"/>
      <c r="DM664" s="27"/>
      <c r="DN664" s="27"/>
      <c r="DO664" s="27"/>
      <c r="DP664" s="27"/>
      <c r="DQ664" s="27"/>
      <c r="DR664" s="27"/>
      <c r="DS664" s="27"/>
      <c r="DT664" s="27"/>
    </row>
    <row r="665" spans="7:124" x14ac:dyDescent="0.2">
      <c r="G665" s="27"/>
      <c r="H665" s="27"/>
      <c r="I665" s="27"/>
      <c r="J665" s="27"/>
      <c r="K665" s="27"/>
      <c r="L665" s="27"/>
      <c r="M665" s="27"/>
      <c r="N665" s="27"/>
      <c r="O665" s="27"/>
      <c r="P665" s="27"/>
      <c r="Q665" s="27"/>
      <c r="R665" s="27"/>
      <c r="S665" s="27"/>
      <c r="T665" s="27"/>
      <c r="U665" s="27"/>
      <c r="V665" s="27"/>
      <c r="W665" s="27"/>
      <c r="X665" s="27"/>
      <c r="Y665" s="27"/>
      <c r="Z665" s="27"/>
      <c r="AA665" s="27"/>
      <c r="AB665" s="27"/>
      <c r="AC665" s="27"/>
      <c r="AD665" s="27"/>
      <c r="AE665" s="27"/>
      <c r="AF665" s="27"/>
      <c r="AG665" s="27"/>
      <c r="AH665" s="27"/>
      <c r="AI665" s="27"/>
      <c r="AJ665" s="27"/>
      <c r="AK665" s="27"/>
      <c r="AL665" s="27"/>
      <c r="AM665" s="27"/>
      <c r="AN665" s="27"/>
      <c r="AO665" s="27"/>
      <c r="AP665" s="27"/>
      <c r="AQ665" s="27"/>
      <c r="AR665" s="27"/>
      <c r="AS665" s="27"/>
      <c r="AT665" s="27"/>
      <c r="AU665" s="27"/>
      <c r="AV665" s="27"/>
      <c r="AW665" s="27"/>
      <c r="AX665" s="27"/>
      <c r="AY665" s="27"/>
      <c r="AZ665" s="27"/>
      <c r="BA665" s="27"/>
      <c r="BB665" s="27"/>
      <c r="BC665" s="27"/>
      <c r="BD665" s="27"/>
      <c r="BE665" s="27"/>
      <c r="BF665" s="27"/>
      <c r="BG665" s="27"/>
      <c r="BH665" s="27"/>
      <c r="BI665" s="27"/>
      <c r="BJ665" s="27"/>
      <c r="BK665" s="27"/>
      <c r="BL665" s="27"/>
      <c r="BM665" s="27"/>
      <c r="BN665" s="27"/>
      <c r="BO665" s="27"/>
      <c r="BP665" s="27"/>
      <c r="BQ665" s="27"/>
      <c r="BR665" s="27"/>
      <c r="BS665" s="27"/>
      <c r="BT665" s="27"/>
      <c r="BU665" s="27"/>
      <c r="BV665" s="27"/>
      <c r="BW665" s="27"/>
      <c r="BX665" s="27"/>
      <c r="BY665" s="27"/>
      <c r="BZ665" s="27"/>
      <c r="CA665" s="27"/>
      <c r="CB665" s="27"/>
      <c r="CC665" s="27"/>
      <c r="CD665" s="27"/>
      <c r="CE665" s="27"/>
      <c r="CF665" s="27"/>
      <c r="CG665" s="27"/>
      <c r="CH665" s="27"/>
      <c r="CI665" s="27"/>
      <c r="CJ665" s="27"/>
      <c r="CK665" s="27"/>
      <c r="CL665" s="27"/>
      <c r="CM665" s="27"/>
      <c r="CN665" s="27"/>
      <c r="CO665" s="27"/>
      <c r="CP665" s="27"/>
      <c r="CQ665" s="27"/>
      <c r="CR665" s="27"/>
      <c r="CS665" s="27"/>
      <c r="CT665" s="27"/>
      <c r="CU665" s="27"/>
      <c r="CV665" s="27"/>
      <c r="CW665" s="27"/>
      <c r="CX665" s="27"/>
      <c r="CY665" s="27"/>
      <c r="CZ665" s="27"/>
      <c r="DA665" s="27"/>
      <c r="DB665" s="27"/>
      <c r="DC665" s="27"/>
      <c r="DD665" s="27"/>
      <c r="DE665" s="27"/>
      <c r="DF665" s="27"/>
      <c r="DG665" s="27"/>
      <c r="DH665" s="27"/>
      <c r="DI665" s="27"/>
      <c r="DJ665" s="27"/>
      <c r="DK665" s="27"/>
      <c r="DL665" s="27"/>
      <c r="DM665" s="27"/>
      <c r="DN665" s="27"/>
      <c r="DO665" s="27"/>
      <c r="DP665" s="27"/>
      <c r="DQ665" s="27"/>
      <c r="DR665" s="27"/>
      <c r="DS665" s="27"/>
      <c r="DT665" s="27"/>
    </row>
    <row r="666" spans="7:124" x14ac:dyDescent="0.2">
      <c r="G666" s="27"/>
      <c r="H666" s="27"/>
      <c r="I666" s="27"/>
      <c r="J666" s="27"/>
      <c r="K666" s="27"/>
      <c r="L666" s="27"/>
      <c r="M666" s="27"/>
      <c r="N666" s="27"/>
      <c r="O666" s="27"/>
      <c r="P666" s="27"/>
      <c r="Q666" s="27"/>
      <c r="R666" s="27"/>
      <c r="S666" s="27"/>
      <c r="T666" s="27"/>
      <c r="U666" s="27"/>
      <c r="V666" s="27"/>
      <c r="W666" s="27"/>
      <c r="X666" s="27"/>
      <c r="Y666" s="27"/>
      <c r="Z666" s="27"/>
      <c r="AA666" s="27"/>
      <c r="AB666" s="27"/>
      <c r="AC666" s="27"/>
      <c r="AD666" s="27"/>
      <c r="AE666" s="27"/>
      <c r="AF666" s="27"/>
      <c r="AG666" s="27"/>
      <c r="AH666" s="27"/>
      <c r="AI666" s="27"/>
      <c r="AJ666" s="27"/>
      <c r="AK666" s="27"/>
      <c r="AL666" s="27"/>
      <c r="AM666" s="27"/>
      <c r="AN666" s="27"/>
      <c r="AO666" s="27"/>
      <c r="AP666" s="27"/>
      <c r="AQ666" s="27"/>
      <c r="AR666" s="27"/>
      <c r="AS666" s="27"/>
      <c r="AT666" s="27"/>
      <c r="AU666" s="27"/>
      <c r="AV666" s="27"/>
      <c r="AW666" s="27"/>
      <c r="AX666" s="27"/>
      <c r="AY666" s="27"/>
      <c r="AZ666" s="27"/>
      <c r="BA666" s="27"/>
      <c r="BB666" s="27"/>
      <c r="BC666" s="27"/>
      <c r="BD666" s="27"/>
      <c r="BE666" s="27"/>
      <c r="BF666" s="27"/>
      <c r="BG666" s="27"/>
      <c r="BH666" s="27"/>
      <c r="BI666" s="27"/>
      <c r="BJ666" s="27"/>
      <c r="BK666" s="27"/>
      <c r="BL666" s="27"/>
      <c r="BM666" s="27"/>
      <c r="BN666" s="27"/>
      <c r="BO666" s="27"/>
      <c r="BP666" s="27"/>
      <c r="BQ666" s="27"/>
      <c r="BR666" s="27"/>
      <c r="BS666" s="27"/>
      <c r="BT666" s="27"/>
      <c r="BU666" s="27"/>
      <c r="BV666" s="27"/>
      <c r="BW666" s="27"/>
      <c r="BX666" s="27"/>
      <c r="BY666" s="27"/>
      <c r="BZ666" s="27"/>
      <c r="CA666" s="27"/>
      <c r="CB666" s="27"/>
      <c r="CC666" s="27"/>
      <c r="CD666" s="27"/>
      <c r="CE666" s="27"/>
      <c r="CF666" s="27"/>
      <c r="CG666" s="27"/>
      <c r="CH666" s="27"/>
      <c r="CI666" s="27"/>
      <c r="CJ666" s="27"/>
      <c r="CK666" s="27"/>
      <c r="CL666" s="27"/>
      <c r="CM666" s="27"/>
      <c r="CN666" s="27"/>
      <c r="CO666" s="27"/>
      <c r="CP666" s="27"/>
      <c r="CQ666" s="27"/>
      <c r="CR666" s="27"/>
      <c r="CS666" s="27"/>
      <c r="CT666" s="27"/>
      <c r="CU666" s="27"/>
      <c r="CV666" s="27"/>
      <c r="CW666" s="27"/>
      <c r="CX666" s="27"/>
      <c r="CY666" s="27"/>
      <c r="CZ666" s="27"/>
      <c r="DA666" s="27"/>
      <c r="DB666" s="27"/>
      <c r="DC666" s="27"/>
      <c r="DD666" s="27"/>
      <c r="DE666" s="27"/>
      <c r="DF666" s="27"/>
      <c r="DG666" s="27"/>
      <c r="DH666" s="27"/>
      <c r="DI666" s="27"/>
      <c r="DJ666" s="27"/>
      <c r="DK666" s="27"/>
      <c r="DL666" s="27"/>
      <c r="DM666" s="27"/>
      <c r="DN666" s="27"/>
      <c r="DO666" s="27"/>
      <c r="DP666" s="27"/>
      <c r="DQ666" s="27"/>
      <c r="DR666" s="27"/>
      <c r="DS666" s="27"/>
      <c r="DT666" s="27"/>
    </row>
    <row r="667" spans="7:124" x14ac:dyDescent="0.2">
      <c r="G667" s="27"/>
      <c r="H667" s="27"/>
      <c r="I667" s="27"/>
      <c r="J667" s="27"/>
      <c r="K667" s="27"/>
      <c r="L667" s="27"/>
      <c r="M667" s="27"/>
      <c r="N667" s="27"/>
      <c r="O667" s="27"/>
      <c r="P667" s="27"/>
      <c r="Q667" s="27"/>
      <c r="R667" s="27"/>
      <c r="S667" s="27"/>
      <c r="T667" s="27"/>
      <c r="U667" s="27"/>
      <c r="V667" s="27"/>
      <c r="W667" s="27"/>
      <c r="X667" s="27"/>
      <c r="Y667" s="27"/>
      <c r="Z667" s="27"/>
      <c r="AA667" s="27"/>
      <c r="AB667" s="27"/>
      <c r="AC667" s="27"/>
      <c r="AD667" s="27"/>
      <c r="AE667" s="27"/>
      <c r="AF667" s="27"/>
      <c r="AG667" s="27"/>
      <c r="AH667" s="27"/>
      <c r="AI667" s="27"/>
      <c r="AJ667" s="27"/>
      <c r="AK667" s="27"/>
      <c r="AL667" s="27"/>
      <c r="AM667" s="27"/>
      <c r="AN667" s="27"/>
      <c r="AO667" s="27"/>
      <c r="AP667" s="27"/>
      <c r="AQ667" s="27"/>
      <c r="AR667" s="27"/>
      <c r="AS667" s="27"/>
      <c r="AT667" s="27"/>
      <c r="AU667" s="27"/>
      <c r="AV667" s="27"/>
      <c r="AW667" s="27"/>
      <c r="AX667" s="27"/>
      <c r="AY667" s="27"/>
      <c r="AZ667" s="27"/>
      <c r="BA667" s="27"/>
      <c r="BB667" s="27"/>
      <c r="BC667" s="27"/>
      <c r="BD667" s="27"/>
      <c r="BE667" s="27"/>
      <c r="BF667" s="27"/>
      <c r="BG667" s="27"/>
      <c r="BH667" s="27"/>
      <c r="BI667" s="27"/>
      <c r="BJ667" s="27"/>
      <c r="BK667" s="27"/>
      <c r="BL667" s="27"/>
      <c r="BM667" s="27"/>
      <c r="BN667" s="27"/>
      <c r="BO667" s="27"/>
      <c r="BP667" s="27"/>
      <c r="BQ667" s="27"/>
      <c r="BR667" s="27"/>
      <c r="BS667" s="27"/>
      <c r="BT667" s="27"/>
      <c r="BU667" s="27"/>
      <c r="BV667" s="27"/>
      <c r="BW667" s="27"/>
      <c r="BX667" s="27"/>
      <c r="BY667" s="27"/>
      <c r="BZ667" s="27"/>
      <c r="CA667" s="27"/>
      <c r="CB667" s="27"/>
      <c r="CC667" s="27"/>
      <c r="CD667" s="27"/>
      <c r="CE667" s="27"/>
      <c r="CF667" s="27"/>
      <c r="CG667" s="27"/>
      <c r="CH667" s="27"/>
      <c r="CI667" s="27"/>
      <c r="CJ667" s="27"/>
      <c r="CK667" s="27"/>
      <c r="CL667" s="27"/>
      <c r="CM667" s="27"/>
      <c r="CN667" s="27"/>
      <c r="CO667" s="27"/>
      <c r="CP667" s="27"/>
      <c r="CQ667" s="27"/>
      <c r="CR667" s="27"/>
      <c r="CS667" s="27"/>
      <c r="CT667" s="27"/>
      <c r="CU667" s="27"/>
      <c r="CV667" s="27"/>
      <c r="CW667" s="27"/>
      <c r="CX667" s="27"/>
      <c r="CY667" s="27"/>
      <c r="CZ667" s="27"/>
      <c r="DA667" s="27"/>
      <c r="DB667" s="27"/>
      <c r="DC667" s="27"/>
      <c r="DD667" s="27"/>
      <c r="DE667" s="27"/>
      <c r="DF667" s="27"/>
      <c r="DG667" s="27"/>
      <c r="DH667" s="27"/>
      <c r="DI667" s="27"/>
      <c r="DJ667" s="27"/>
      <c r="DK667" s="27"/>
      <c r="DL667" s="27"/>
      <c r="DM667" s="27"/>
      <c r="DN667" s="27"/>
      <c r="DO667" s="27"/>
      <c r="DP667" s="27"/>
      <c r="DQ667" s="27"/>
      <c r="DR667" s="27"/>
      <c r="DS667" s="27"/>
      <c r="DT667" s="27"/>
    </row>
    <row r="668" spans="7:124" x14ac:dyDescent="0.2">
      <c r="G668" s="27"/>
      <c r="H668" s="27"/>
      <c r="I668" s="27"/>
      <c r="J668" s="27"/>
      <c r="K668" s="27"/>
      <c r="L668" s="27"/>
      <c r="M668" s="27"/>
      <c r="N668" s="27"/>
      <c r="O668" s="27"/>
      <c r="P668" s="27"/>
      <c r="Q668" s="27"/>
      <c r="R668" s="27"/>
      <c r="S668" s="27"/>
      <c r="T668" s="27"/>
      <c r="U668" s="27"/>
      <c r="V668" s="27"/>
      <c r="W668" s="27"/>
      <c r="X668" s="27"/>
      <c r="Y668" s="27"/>
      <c r="Z668" s="27"/>
      <c r="AA668" s="27"/>
      <c r="AB668" s="27"/>
      <c r="AC668" s="27"/>
      <c r="AD668" s="27"/>
      <c r="AE668" s="27"/>
      <c r="AF668" s="27"/>
      <c r="AG668" s="27"/>
      <c r="AH668" s="27"/>
      <c r="AI668" s="27"/>
      <c r="AJ668" s="27"/>
      <c r="AK668" s="27"/>
      <c r="AL668" s="27"/>
      <c r="AM668" s="27"/>
      <c r="AN668" s="27"/>
      <c r="AO668" s="27"/>
      <c r="AP668" s="27"/>
      <c r="AQ668" s="27"/>
      <c r="AR668" s="27"/>
      <c r="AS668" s="27"/>
      <c r="AT668" s="27"/>
      <c r="AU668" s="27"/>
      <c r="AV668" s="27"/>
      <c r="AW668" s="27"/>
      <c r="AX668" s="27"/>
      <c r="AY668" s="27"/>
      <c r="AZ668" s="27"/>
      <c r="BA668" s="27"/>
      <c r="BB668" s="27"/>
      <c r="BC668" s="27"/>
      <c r="BD668" s="27"/>
      <c r="BE668" s="27"/>
      <c r="BF668" s="27"/>
      <c r="BG668" s="27"/>
      <c r="BH668" s="27"/>
      <c r="BI668" s="27"/>
      <c r="BJ668" s="27"/>
      <c r="BK668" s="27"/>
      <c r="BL668" s="27"/>
      <c r="BM668" s="27"/>
      <c r="BN668" s="27"/>
      <c r="BO668" s="27"/>
      <c r="BP668" s="27"/>
      <c r="BQ668" s="27"/>
      <c r="BR668" s="27"/>
      <c r="BS668" s="27"/>
      <c r="BT668" s="27"/>
      <c r="BU668" s="27"/>
      <c r="BV668" s="27"/>
      <c r="BW668" s="27"/>
      <c r="BX668" s="27"/>
      <c r="BY668" s="27"/>
      <c r="BZ668" s="27"/>
      <c r="CA668" s="27"/>
      <c r="CB668" s="27"/>
      <c r="CC668" s="27"/>
      <c r="CD668" s="27"/>
      <c r="CE668" s="27"/>
      <c r="CF668" s="27"/>
      <c r="CG668" s="27"/>
      <c r="CH668" s="27"/>
      <c r="CI668" s="27"/>
      <c r="CJ668" s="27"/>
      <c r="CK668" s="27"/>
      <c r="CL668" s="27"/>
      <c r="CM668" s="27"/>
      <c r="CN668" s="27"/>
      <c r="CO668" s="27"/>
      <c r="CP668" s="27"/>
      <c r="CQ668" s="27"/>
      <c r="CR668" s="27"/>
      <c r="CS668" s="27"/>
      <c r="CT668" s="27"/>
      <c r="CU668" s="27"/>
      <c r="CV668" s="27"/>
      <c r="CW668" s="27"/>
      <c r="CX668" s="27"/>
      <c r="CY668" s="27"/>
      <c r="CZ668" s="27"/>
      <c r="DA668" s="27"/>
      <c r="DB668" s="27"/>
      <c r="DC668" s="27"/>
      <c r="DD668" s="27"/>
      <c r="DE668" s="27"/>
      <c r="DF668" s="27"/>
      <c r="DG668" s="27"/>
      <c r="DH668" s="27"/>
      <c r="DI668" s="27"/>
      <c r="DJ668" s="27"/>
      <c r="DK668" s="27"/>
      <c r="DL668" s="27"/>
      <c r="DM668" s="27"/>
      <c r="DN668" s="27"/>
      <c r="DO668" s="27"/>
      <c r="DP668" s="27"/>
      <c r="DQ668" s="27"/>
      <c r="DR668" s="27"/>
      <c r="DS668" s="27"/>
      <c r="DT668" s="27"/>
    </row>
    <row r="669" spans="7:124" x14ac:dyDescent="0.2">
      <c r="G669" s="27"/>
      <c r="H669" s="27"/>
      <c r="I669" s="27"/>
      <c r="J669" s="27"/>
      <c r="K669" s="27"/>
      <c r="L669" s="27"/>
      <c r="M669" s="27"/>
      <c r="N669" s="27"/>
      <c r="O669" s="27"/>
      <c r="P669" s="27"/>
      <c r="Q669" s="27"/>
      <c r="R669" s="27"/>
      <c r="S669" s="27"/>
      <c r="T669" s="27"/>
      <c r="U669" s="27"/>
      <c r="V669" s="27"/>
      <c r="W669" s="27"/>
      <c r="X669" s="27"/>
      <c r="Y669" s="27"/>
      <c r="Z669" s="27"/>
      <c r="AA669" s="27"/>
      <c r="AB669" s="27"/>
      <c r="AC669" s="27"/>
      <c r="AD669" s="27"/>
      <c r="AE669" s="27"/>
      <c r="AF669" s="27"/>
      <c r="AG669" s="27"/>
      <c r="AH669" s="27"/>
      <c r="AI669" s="27"/>
      <c r="AJ669" s="27"/>
      <c r="AK669" s="27"/>
      <c r="AL669" s="27"/>
      <c r="AM669" s="27"/>
      <c r="AN669" s="27"/>
      <c r="AO669" s="27"/>
      <c r="AP669" s="27"/>
      <c r="AQ669" s="27"/>
      <c r="AR669" s="27"/>
      <c r="AS669" s="27"/>
      <c r="AT669" s="27"/>
      <c r="AU669" s="27"/>
      <c r="AV669" s="27"/>
      <c r="AW669" s="27"/>
      <c r="AX669" s="27"/>
      <c r="AY669" s="27"/>
      <c r="AZ669" s="27"/>
      <c r="BA669" s="27"/>
      <c r="BB669" s="27"/>
      <c r="BC669" s="27"/>
      <c r="BD669" s="27"/>
      <c r="BE669" s="27"/>
      <c r="BF669" s="27"/>
      <c r="BG669" s="27"/>
      <c r="BH669" s="27"/>
      <c r="BI669" s="27"/>
      <c r="BJ669" s="27"/>
      <c r="BK669" s="27"/>
      <c r="BL669" s="27"/>
      <c r="BM669" s="27"/>
      <c r="BN669" s="27"/>
      <c r="BO669" s="27"/>
      <c r="BP669" s="27"/>
      <c r="BQ669" s="27"/>
      <c r="BR669" s="27"/>
      <c r="BS669" s="27"/>
      <c r="BT669" s="27"/>
      <c r="BU669" s="27"/>
      <c r="BV669" s="27"/>
      <c r="BW669" s="27"/>
      <c r="BX669" s="27"/>
      <c r="BY669" s="27"/>
      <c r="BZ669" s="27"/>
      <c r="CA669" s="27"/>
      <c r="CB669" s="27"/>
      <c r="CC669" s="27"/>
      <c r="CD669" s="27"/>
      <c r="CE669" s="27"/>
      <c r="CF669" s="27"/>
      <c r="CG669" s="27"/>
      <c r="CH669" s="27"/>
      <c r="CI669" s="27"/>
      <c r="CJ669" s="27"/>
      <c r="CK669" s="27"/>
      <c r="CL669" s="27"/>
      <c r="CM669" s="27"/>
      <c r="CN669" s="27"/>
      <c r="CO669" s="27"/>
      <c r="CP669" s="27"/>
      <c r="CQ669" s="27"/>
      <c r="CR669" s="27"/>
      <c r="CS669" s="27"/>
      <c r="CT669" s="27"/>
      <c r="CU669" s="27"/>
      <c r="CV669" s="27"/>
      <c r="CW669" s="27"/>
      <c r="CX669" s="27"/>
      <c r="CY669" s="27"/>
      <c r="CZ669" s="27"/>
      <c r="DA669" s="27"/>
      <c r="DB669" s="27"/>
      <c r="DC669" s="27"/>
      <c r="DD669" s="27"/>
      <c r="DE669" s="27"/>
      <c r="DF669" s="27"/>
      <c r="DG669" s="27"/>
      <c r="DH669" s="27"/>
      <c r="DI669" s="27"/>
      <c r="DJ669" s="27"/>
      <c r="DK669" s="27"/>
      <c r="DL669" s="27"/>
      <c r="DM669" s="27"/>
      <c r="DN669" s="27"/>
      <c r="DO669" s="27"/>
      <c r="DP669" s="27"/>
      <c r="DQ669" s="27"/>
      <c r="DR669" s="27"/>
      <c r="DS669" s="27"/>
      <c r="DT669" s="27"/>
    </row>
    <row r="670" spans="7:124" x14ac:dyDescent="0.2">
      <c r="G670" s="27"/>
      <c r="H670" s="27"/>
      <c r="I670" s="27"/>
      <c r="J670" s="27"/>
      <c r="K670" s="27"/>
      <c r="L670" s="27"/>
      <c r="M670" s="27"/>
      <c r="N670" s="27"/>
      <c r="O670" s="27"/>
      <c r="P670" s="27"/>
      <c r="Q670" s="27"/>
      <c r="R670" s="27"/>
      <c r="S670" s="27"/>
      <c r="T670" s="27"/>
      <c r="U670" s="27"/>
      <c r="V670" s="27"/>
      <c r="W670" s="27"/>
      <c r="X670" s="27"/>
      <c r="Y670" s="27"/>
      <c r="Z670" s="27"/>
      <c r="AA670" s="27"/>
      <c r="AB670" s="27"/>
      <c r="AC670" s="27"/>
      <c r="AD670" s="27"/>
      <c r="AE670" s="27"/>
      <c r="AF670" s="27"/>
      <c r="AG670" s="27"/>
      <c r="AH670" s="27"/>
      <c r="AI670" s="27"/>
      <c r="AJ670" s="27"/>
      <c r="AK670" s="27"/>
      <c r="AL670" s="27"/>
      <c r="AM670" s="27"/>
      <c r="AN670" s="27"/>
      <c r="AO670" s="27"/>
      <c r="AP670" s="27"/>
      <c r="AQ670" s="27"/>
      <c r="AR670" s="27"/>
      <c r="AS670" s="27"/>
      <c r="AT670" s="27"/>
      <c r="AU670" s="27"/>
      <c r="AV670" s="27"/>
      <c r="AW670" s="27"/>
      <c r="AX670" s="27"/>
      <c r="AY670" s="27"/>
      <c r="AZ670" s="27"/>
      <c r="BA670" s="27"/>
      <c r="BB670" s="27"/>
      <c r="BC670" s="27"/>
      <c r="BD670" s="27"/>
      <c r="BE670" s="27"/>
      <c r="BF670" s="27"/>
      <c r="BG670" s="27"/>
      <c r="BH670" s="27"/>
      <c r="BI670" s="27"/>
      <c r="BJ670" s="27"/>
      <c r="BK670" s="27"/>
      <c r="BL670" s="27"/>
      <c r="BM670" s="27"/>
      <c r="BN670" s="27"/>
      <c r="BO670" s="27"/>
      <c r="BP670" s="27"/>
      <c r="BQ670" s="27"/>
      <c r="BR670" s="27"/>
      <c r="BS670" s="27"/>
      <c r="BT670" s="27"/>
      <c r="BU670" s="27"/>
      <c r="BV670" s="27"/>
      <c r="BW670" s="27"/>
      <c r="BX670" s="27"/>
      <c r="BY670" s="27"/>
      <c r="BZ670" s="27"/>
      <c r="CA670" s="27"/>
      <c r="CB670" s="27"/>
      <c r="CC670" s="27"/>
      <c r="CD670" s="27"/>
      <c r="CE670" s="27"/>
      <c r="CF670" s="27"/>
      <c r="CG670" s="27"/>
      <c r="CH670" s="27"/>
      <c r="CI670" s="27"/>
      <c r="CJ670" s="27"/>
      <c r="CK670" s="27"/>
      <c r="CL670" s="27"/>
      <c r="CM670" s="27"/>
      <c r="CN670" s="27"/>
      <c r="CO670" s="27"/>
      <c r="CP670" s="27"/>
      <c r="CQ670" s="27"/>
      <c r="CR670" s="27"/>
      <c r="CS670" s="27"/>
      <c r="CT670" s="27"/>
      <c r="CU670" s="27"/>
      <c r="CV670" s="27"/>
      <c r="CW670" s="27"/>
      <c r="CX670" s="27"/>
      <c r="CY670" s="27"/>
      <c r="CZ670" s="27"/>
      <c r="DA670" s="27"/>
      <c r="DB670" s="27"/>
      <c r="DC670" s="27"/>
      <c r="DD670" s="27"/>
      <c r="DE670" s="27"/>
      <c r="DF670" s="27"/>
      <c r="DG670" s="27"/>
      <c r="DH670" s="27"/>
      <c r="DI670" s="27"/>
      <c r="DJ670" s="27"/>
      <c r="DK670" s="27"/>
      <c r="DL670" s="27"/>
      <c r="DM670" s="27"/>
      <c r="DN670" s="27"/>
      <c r="DO670" s="27"/>
      <c r="DP670" s="27"/>
      <c r="DQ670" s="27"/>
      <c r="DR670" s="27"/>
      <c r="DS670" s="27"/>
      <c r="DT670" s="27"/>
    </row>
    <row r="671" spans="7:124" x14ac:dyDescent="0.2">
      <c r="G671" s="27"/>
      <c r="H671" s="27"/>
      <c r="I671" s="27"/>
      <c r="J671" s="27"/>
      <c r="K671" s="27"/>
      <c r="L671" s="27"/>
      <c r="M671" s="27"/>
      <c r="N671" s="27"/>
      <c r="O671" s="27"/>
      <c r="P671" s="27"/>
      <c r="Q671" s="27"/>
      <c r="R671" s="27"/>
      <c r="S671" s="27"/>
      <c r="T671" s="27"/>
      <c r="U671" s="27"/>
      <c r="V671" s="27"/>
      <c r="W671" s="27"/>
      <c r="X671" s="27"/>
      <c r="Y671" s="27"/>
      <c r="Z671" s="27"/>
      <c r="AA671" s="27"/>
      <c r="AB671" s="27"/>
      <c r="AC671" s="27"/>
      <c r="AD671" s="27"/>
      <c r="AE671" s="27"/>
      <c r="AF671" s="27"/>
      <c r="AG671" s="27"/>
      <c r="AH671" s="27"/>
      <c r="AI671" s="27"/>
      <c r="AJ671" s="27"/>
      <c r="AK671" s="27"/>
      <c r="AL671" s="27"/>
      <c r="AM671" s="27"/>
      <c r="AN671" s="27"/>
      <c r="AO671" s="27"/>
      <c r="AP671" s="27"/>
      <c r="AQ671" s="27"/>
      <c r="AR671" s="27"/>
      <c r="AS671" s="27"/>
      <c r="AT671" s="27"/>
      <c r="AU671" s="27"/>
      <c r="AV671" s="27"/>
      <c r="AW671" s="27"/>
      <c r="AX671" s="27"/>
      <c r="AY671" s="27"/>
      <c r="AZ671" s="27"/>
      <c r="BA671" s="27"/>
      <c r="BB671" s="27"/>
      <c r="BC671" s="27"/>
      <c r="BD671" s="27"/>
      <c r="BE671" s="27"/>
      <c r="BF671" s="27"/>
      <c r="BG671" s="27"/>
      <c r="BH671" s="27"/>
      <c r="BI671" s="27"/>
      <c r="BJ671" s="27"/>
      <c r="BK671" s="27"/>
      <c r="BL671" s="27"/>
      <c r="BM671" s="27"/>
      <c r="BN671" s="27"/>
      <c r="BO671" s="27"/>
      <c r="BP671" s="27"/>
      <c r="BQ671" s="27"/>
      <c r="BR671" s="27"/>
      <c r="BS671" s="27"/>
      <c r="BT671" s="27"/>
      <c r="BU671" s="27"/>
      <c r="BV671" s="27"/>
      <c r="BW671" s="27"/>
      <c r="BX671" s="27"/>
      <c r="BY671" s="27"/>
      <c r="BZ671" s="27"/>
      <c r="CA671" s="27"/>
      <c r="CB671" s="27"/>
      <c r="CC671" s="27"/>
      <c r="CD671" s="27"/>
      <c r="CE671" s="27"/>
      <c r="CF671" s="27"/>
      <c r="CG671" s="27"/>
      <c r="CH671" s="27"/>
      <c r="CI671" s="27"/>
      <c r="CJ671" s="27"/>
      <c r="CK671" s="27"/>
      <c r="CL671" s="27"/>
      <c r="CM671" s="27"/>
      <c r="CN671" s="27"/>
      <c r="CO671" s="27"/>
      <c r="CP671" s="27"/>
      <c r="CQ671" s="27"/>
      <c r="CR671" s="27"/>
      <c r="CS671" s="27"/>
      <c r="CT671" s="27"/>
      <c r="CU671" s="27"/>
      <c r="CV671" s="27"/>
      <c r="CW671" s="27"/>
      <c r="CX671" s="27"/>
      <c r="CY671" s="27"/>
      <c r="CZ671" s="27"/>
      <c r="DA671" s="27"/>
      <c r="DB671" s="27"/>
      <c r="DC671" s="27"/>
      <c r="DD671" s="27"/>
      <c r="DE671" s="27"/>
      <c r="DF671" s="27"/>
      <c r="DG671" s="27"/>
      <c r="DH671" s="27"/>
      <c r="DI671" s="27"/>
      <c r="DJ671" s="27"/>
      <c r="DK671" s="27"/>
      <c r="DL671" s="27"/>
      <c r="DM671" s="27"/>
      <c r="DN671" s="27"/>
      <c r="DO671" s="27"/>
      <c r="DP671" s="27"/>
      <c r="DQ671" s="27"/>
      <c r="DR671" s="27"/>
      <c r="DS671" s="27"/>
      <c r="DT671" s="27"/>
    </row>
    <row r="672" spans="7:124" x14ac:dyDescent="0.2">
      <c r="G672" s="27"/>
      <c r="H672" s="27"/>
      <c r="I672" s="27"/>
      <c r="J672" s="27"/>
      <c r="K672" s="27"/>
      <c r="L672" s="27"/>
      <c r="M672" s="27"/>
      <c r="N672" s="27"/>
      <c r="O672" s="27"/>
      <c r="P672" s="27"/>
      <c r="Q672" s="27"/>
      <c r="R672" s="27"/>
      <c r="S672" s="27"/>
      <c r="T672" s="27"/>
      <c r="U672" s="27"/>
      <c r="V672" s="27"/>
      <c r="W672" s="27"/>
      <c r="X672" s="27"/>
      <c r="Y672" s="27"/>
      <c r="Z672" s="27"/>
      <c r="AA672" s="27"/>
      <c r="AB672" s="27"/>
      <c r="AC672" s="27"/>
      <c r="AD672" s="27"/>
      <c r="AE672" s="27"/>
      <c r="AF672" s="27"/>
      <c r="AG672" s="27"/>
      <c r="AH672" s="27"/>
      <c r="AI672" s="27"/>
      <c r="AJ672" s="27"/>
      <c r="AK672" s="27"/>
      <c r="AL672" s="27"/>
      <c r="AM672" s="27"/>
      <c r="AN672" s="27"/>
      <c r="AO672" s="27"/>
      <c r="AP672" s="27"/>
      <c r="AQ672" s="27"/>
      <c r="AR672" s="27"/>
      <c r="AS672" s="27"/>
      <c r="AT672" s="27"/>
      <c r="AU672" s="27"/>
      <c r="AV672" s="27"/>
      <c r="AW672" s="27"/>
      <c r="AX672" s="27"/>
      <c r="AY672" s="27"/>
      <c r="AZ672" s="27"/>
      <c r="BA672" s="27"/>
      <c r="BB672" s="27"/>
      <c r="BC672" s="27"/>
      <c r="BD672" s="27"/>
      <c r="BE672" s="27"/>
      <c r="BF672" s="27"/>
      <c r="BG672" s="27"/>
      <c r="BH672" s="27"/>
      <c r="BI672" s="27"/>
      <c r="BJ672" s="27"/>
      <c r="BK672" s="27"/>
      <c r="BL672" s="27"/>
      <c r="BM672" s="27"/>
      <c r="BN672" s="27"/>
      <c r="BO672" s="27"/>
      <c r="BP672" s="27"/>
      <c r="BQ672" s="27"/>
      <c r="BR672" s="27"/>
      <c r="BS672" s="27"/>
      <c r="BT672" s="27"/>
      <c r="BU672" s="27"/>
      <c r="BV672" s="27"/>
      <c r="BW672" s="27"/>
      <c r="BX672" s="27"/>
      <c r="BY672" s="27"/>
      <c r="BZ672" s="27"/>
      <c r="CA672" s="27"/>
      <c r="CB672" s="27"/>
      <c r="CC672" s="27"/>
      <c r="CD672" s="27"/>
      <c r="CE672" s="27"/>
      <c r="CF672" s="27"/>
      <c r="CG672" s="27"/>
      <c r="CH672" s="27"/>
      <c r="CI672" s="27"/>
      <c r="CJ672" s="27"/>
      <c r="CK672" s="27"/>
      <c r="CL672" s="27"/>
      <c r="CM672" s="27"/>
      <c r="CN672" s="27"/>
      <c r="CO672" s="27"/>
      <c r="CP672" s="27"/>
      <c r="CQ672" s="27"/>
      <c r="CR672" s="27"/>
      <c r="CS672" s="27"/>
      <c r="CT672" s="27"/>
      <c r="CU672" s="27"/>
      <c r="CV672" s="27"/>
      <c r="CW672" s="27"/>
      <c r="CX672" s="27"/>
      <c r="CY672" s="27"/>
      <c r="CZ672" s="27"/>
      <c r="DA672" s="27"/>
      <c r="DB672" s="27"/>
      <c r="DC672" s="27"/>
      <c r="DD672" s="27"/>
      <c r="DE672" s="27"/>
      <c r="DF672" s="27"/>
      <c r="DG672" s="27"/>
      <c r="DH672" s="27"/>
      <c r="DI672" s="27"/>
      <c r="DJ672" s="27"/>
      <c r="DK672" s="27"/>
      <c r="DL672" s="27"/>
      <c r="DM672" s="27"/>
      <c r="DN672" s="27"/>
      <c r="DO672" s="27"/>
      <c r="DP672" s="27"/>
      <c r="DQ672" s="27"/>
      <c r="DR672" s="27"/>
      <c r="DS672" s="27"/>
      <c r="DT672" s="27"/>
    </row>
    <row r="673" spans="7:124" x14ac:dyDescent="0.2">
      <c r="G673" s="27"/>
      <c r="H673" s="27"/>
      <c r="I673" s="27"/>
      <c r="J673" s="27"/>
      <c r="K673" s="27"/>
      <c r="L673" s="27"/>
      <c r="M673" s="27"/>
      <c r="N673" s="27"/>
      <c r="O673" s="27"/>
      <c r="P673" s="27"/>
      <c r="Q673" s="27"/>
      <c r="R673" s="27"/>
      <c r="S673" s="27"/>
      <c r="T673" s="27"/>
      <c r="U673" s="27"/>
      <c r="V673" s="27"/>
      <c r="W673" s="27"/>
      <c r="X673" s="27"/>
      <c r="Y673" s="27"/>
      <c r="Z673" s="27"/>
      <c r="AA673" s="27"/>
      <c r="AB673" s="27"/>
      <c r="AC673" s="27"/>
      <c r="AD673" s="27"/>
      <c r="AE673" s="27"/>
      <c r="AF673" s="27"/>
      <c r="AG673" s="27"/>
      <c r="AH673" s="27"/>
      <c r="AI673" s="27"/>
      <c r="AJ673" s="27"/>
      <c r="AK673" s="27"/>
      <c r="AL673" s="27"/>
      <c r="AM673" s="27"/>
      <c r="AN673" s="27"/>
      <c r="AO673" s="27"/>
      <c r="AP673" s="27"/>
      <c r="AQ673" s="27"/>
      <c r="AR673" s="27"/>
      <c r="AS673" s="27"/>
      <c r="AT673" s="27"/>
      <c r="AU673" s="27"/>
      <c r="AV673" s="27"/>
      <c r="AW673" s="27"/>
      <c r="AX673" s="27"/>
      <c r="AY673" s="27"/>
      <c r="AZ673" s="27"/>
      <c r="BA673" s="27"/>
      <c r="BB673" s="27"/>
      <c r="BC673" s="27"/>
      <c r="BD673" s="27"/>
      <c r="BE673" s="27"/>
      <c r="BF673" s="27"/>
      <c r="BG673" s="27"/>
      <c r="BH673" s="27"/>
      <c r="BI673" s="27"/>
      <c r="BJ673" s="27"/>
      <c r="BK673" s="27"/>
      <c r="BL673" s="27"/>
      <c r="BM673" s="27"/>
      <c r="BN673" s="27"/>
      <c r="BO673" s="27"/>
      <c r="BP673" s="27"/>
      <c r="BQ673" s="27"/>
      <c r="BR673" s="27"/>
      <c r="BS673" s="27"/>
      <c r="BT673" s="27"/>
      <c r="BU673" s="27"/>
      <c r="BV673" s="27"/>
      <c r="BW673" s="27"/>
      <c r="BX673" s="27"/>
      <c r="BY673" s="27"/>
      <c r="BZ673" s="27"/>
      <c r="CA673" s="27"/>
      <c r="CB673" s="27"/>
      <c r="CC673" s="27"/>
      <c r="CD673" s="27"/>
      <c r="CE673" s="27"/>
      <c r="CF673" s="27"/>
      <c r="CG673" s="27"/>
      <c r="CH673" s="27"/>
      <c r="CI673" s="27"/>
      <c r="CJ673" s="27"/>
      <c r="CK673" s="27"/>
      <c r="CL673" s="27"/>
      <c r="CM673" s="27"/>
      <c r="CN673" s="27"/>
      <c r="CO673" s="27"/>
      <c r="CP673" s="27"/>
      <c r="CQ673" s="27"/>
      <c r="CR673" s="27"/>
      <c r="CS673" s="27"/>
      <c r="CT673" s="27"/>
      <c r="CU673" s="27"/>
      <c r="CV673" s="27"/>
      <c r="CW673" s="27"/>
      <c r="CX673" s="27"/>
      <c r="CY673" s="27"/>
      <c r="CZ673" s="27"/>
      <c r="DA673" s="27"/>
      <c r="DB673" s="27"/>
      <c r="DC673" s="27"/>
      <c r="DD673" s="27"/>
      <c r="DE673" s="27"/>
      <c r="DF673" s="27"/>
      <c r="DG673" s="27"/>
      <c r="DH673" s="27"/>
      <c r="DI673" s="27"/>
      <c r="DJ673" s="27"/>
      <c r="DK673" s="27"/>
      <c r="DL673" s="27"/>
      <c r="DM673" s="27"/>
      <c r="DN673" s="27"/>
      <c r="DO673" s="27"/>
      <c r="DP673" s="27"/>
      <c r="DQ673" s="27"/>
      <c r="DR673" s="27"/>
      <c r="DS673" s="27"/>
      <c r="DT673" s="27"/>
    </row>
    <row r="674" spans="7:124" x14ac:dyDescent="0.2">
      <c r="G674" s="27"/>
      <c r="H674" s="27"/>
      <c r="I674" s="27"/>
      <c r="J674" s="27"/>
      <c r="K674" s="27"/>
      <c r="L674" s="27"/>
      <c r="M674" s="27"/>
      <c r="N674" s="27"/>
      <c r="O674" s="27"/>
      <c r="P674" s="27"/>
      <c r="Q674" s="27"/>
      <c r="R674" s="27"/>
      <c r="S674" s="27"/>
      <c r="T674" s="27"/>
      <c r="U674" s="27"/>
      <c r="V674" s="27"/>
      <c r="W674" s="27"/>
      <c r="X674" s="27"/>
      <c r="Y674" s="27"/>
      <c r="Z674" s="27"/>
      <c r="AA674" s="27"/>
      <c r="AB674" s="27"/>
      <c r="AC674" s="27"/>
      <c r="AD674" s="27"/>
      <c r="AE674" s="27"/>
      <c r="AF674" s="27"/>
      <c r="AG674" s="27"/>
      <c r="AH674" s="27"/>
      <c r="AI674" s="27"/>
      <c r="AJ674" s="27"/>
      <c r="AK674" s="27"/>
      <c r="AL674" s="27"/>
      <c r="AM674" s="27"/>
      <c r="AN674" s="27"/>
      <c r="AO674" s="27"/>
      <c r="AP674" s="27"/>
      <c r="AQ674" s="27"/>
      <c r="AR674" s="27"/>
      <c r="AS674" s="27"/>
      <c r="AT674" s="27"/>
      <c r="AU674" s="27"/>
      <c r="AV674" s="27"/>
      <c r="AW674" s="27"/>
      <c r="AX674" s="27"/>
      <c r="AY674" s="27"/>
      <c r="AZ674" s="27"/>
      <c r="BA674" s="27"/>
      <c r="BB674" s="27"/>
      <c r="BC674" s="27"/>
      <c r="BD674" s="27"/>
      <c r="BE674" s="27"/>
      <c r="BF674" s="27"/>
      <c r="BG674" s="27"/>
      <c r="BH674" s="27"/>
      <c r="BI674" s="27"/>
      <c r="BJ674" s="27"/>
      <c r="BK674" s="27"/>
      <c r="BL674" s="27"/>
      <c r="BM674" s="27"/>
      <c r="BN674" s="27"/>
      <c r="BO674" s="27"/>
      <c r="BP674" s="27"/>
      <c r="BQ674" s="27"/>
      <c r="BR674" s="27"/>
      <c r="BS674" s="27"/>
      <c r="BT674" s="27"/>
      <c r="BU674" s="27"/>
      <c r="BV674" s="27"/>
      <c r="BW674" s="27"/>
      <c r="BX674" s="27"/>
      <c r="BY674" s="27"/>
      <c r="BZ674" s="27"/>
      <c r="CA674" s="27"/>
      <c r="CB674" s="27"/>
      <c r="CC674" s="27"/>
      <c r="CD674" s="27"/>
      <c r="CE674" s="27"/>
      <c r="CF674" s="27"/>
      <c r="CG674" s="27"/>
      <c r="CH674" s="27"/>
      <c r="CI674" s="27"/>
      <c r="CJ674" s="27"/>
      <c r="CK674" s="27"/>
      <c r="CL674" s="27"/>
      <c r="CM674" s="27"/>
      <c r="CN674" s="27"/>
      <c r="CO674" s="27"/>
      <c r="CP674" s="27"/>
      <c r="CQ674" s="27"/>
      <c r="CR674" s="27"/>
      <c r="CS674" s="27"/>
      <c r="CT674" s="27"/>
      <c r="CU674" s="27"/>
      <c r="CV674" s="27"/>
      <c r="CW674" s="27"/>
      <c r="CX674" s="27"/>
      <c r="CY674" s="27"/>
      <c r="CZ674" s="27"/>
      <c r="DA674" s="27"/>
      <c r="DB674" s="27"/>
      <c r="DC674" s="27"/>
      <c r="DD674" s="27"/>
      <c r="DE674" s="27"/>
      <c r="DF674" s="27"/>
      <c r="DG674" s="27"/>
      <c r="DH674" s="27"/>
      <c r="DI674" s="27"/>
      <c r="DJ674" s="27"/>
      <c r="DK674" s="27"/>
      <c r="DL674" s="27"/>
      <c r="DM674" s="27"/>
      <c r="DN674" s="27"/>
      <c r="DO674" s="27"/>
      <c r="DP674" s="27"/>
      <c r="DQ674" s="27"/>
      <c r="DR674" s="27"/>
      <c r="DS674" s="27"/>
      <c r="DT674" s="27"/>
    </row>
    <row r="675" spans="7:124" x14ac:dyDescent="0.2">
      <c r="G675" s="27"/>
      <c r="H675" s="27"/>
      <c r="I675" s="27"/>
      <c r="J675" s="27"/>
      <c r="K675" s="27"/>
      <c r="L675" s="27"/>
      <c r="M675" s="27"/>
      <c r="N675" s="27"/>
      <c r="O675" s="27"/>
      <c r="P675" s="27"/>
      <c r="Q675" s="27"/>
      <c r="R675" s="27"/>
      <c r="S675" s="27"/>
      <c r="T675" s="27"/>
      <c r="U675" s="27"/>
      <c r="V675" s="27"/>
      <c r="W675" s="27"/>
      <c r="X675" s="27"/>
      <c r="Y675" s="27"/>
      <c r="Z675" s="27"/>
      <c r="AA675" s="27"/>
      <c r="AB675" s="27"/>
      <c r="AC675" s="27"/>
      <c r="AD675" s="27"/>
      <c r="AE675" s="27"/>
      <c r="AF675" s="27"/>
      <c r="AG675" s="27"/>
      <c r="AH675" s="27"/>
      <c r="AI675" s="27"/>
      <c r="AJ675" s="27"/>
      <c r="AK675" s="27"/>
      <c r="AL675" s="27"/>
      <c r="AM675" s="27"/>
      <c r="AN675" s="27"/>
      <c r="AO675" s="27"/>
      <c r="AP675" s="27"/>
      <c r="AQ675" s="27"/>
      <c r="AR675" s="27"/>
      <c r="AS675" s="27"/>
      <c r="AT675" s="27"/>
      <c r="AU675" s="27"/>
      <c r="AV675" s="27"/>
      <c r="AW675" s="27"/>
      <c r="AX675" s="27"/>
      <c r="AY675" s="27"/>
      <c r="AZ675" s="27"/>
      <c r="BA675" s="27"/>
      <c r="BB675" s="27"/>
      <c r="BC675" s="27"/>
      <c r="BD675" s="27"/>
      <c r="BE675" s="27"/>
      <c r="BF675" s="27"/>
      <c r="BG675" s="27"/>
      <c r="BH675" s="27"/>
      <c r="BI675" s="27"/>
      <c r="BJ675" s="27"/>
      <c r="BK675" s="27"/>
      <c r="BL675" s="27"/>
      <c r="BM675" s="27"/>
      <c r="BN675" s="27"/>
      <c r="BO675" s="27"/>
      <c r="BP675" s="27"/>
      <c r="BQ675" s="27"/>
      <c r="BR675" s="27"/>
      <c r="BS675" s="27"/>
      <c r="BT675" s="27"/>
      <c r="BU675" s="27"/>
      <c r="BV675" s="27"/>
      <c r="BW675" s="27"/>
      <c r="BX675" s="27"/>
      <c r="BY675" s="27"/>
      <c r="BZ675" s="27"/>
      <c r="CA675" s="27"/>
      <c r="CB675" s="27"/>
      <c r="CC675" s="27"/>
      <c r="CD675" s="27"/>
      <c r="CE675" s="27"/>
      <c r="CF675" s="27"/>
      <c r="CG675" s="27"/>
      <c r="CH675" s="27"/>
      <c r="CI675" s="27"/>
      <c r="CJ675" s="27"/>
      <c r="CK675" s="27"/>
      <c r="CL675" s="27"/>
      <c r="CM675" s="27"/>
      <c r="CN675" s="27"/>
      <c r="CO675" s="27"/>
      <c r="CP675" s="27"/>
      <c r="CQ675" s="27"/>
      <c r="CR675" s="27"/>
      <c r="CS675" s="27"/>
      <c r="CT675" s="27"/>
      <c r="CU675" s="27"/>
      <c r="CV675" s="27"/>
      <c r="CW675" s="27"/>
      <c r="CX675" s="27"/>
      <c r="CY675" s="27"/>
      <c r="CZ675" s="27"/>
      <c r="DA675" s="27"/>
      <c r="DB675" s="27"/>
      <c r="DC675" s="27"/>
      <c r="DD675" s="27"/>
      <c r="DE675" s="27"/>
      <c r="DF675" s="27"/>
      <c r="DG675" s="27"/>
      <c r="DH675" s="27"/>
      <c r="DI675" s="27"/>
      <c r="DJ675" s="27"/>
      <c r="DK675" s="27"/>
      <c r="DL675" s="27"/>
      <c r="DM675" s="27"/>
      <c r="DN675" s="27"/>
      <c r="DO675" s="27"/>
      <c r="DP675" s="27"/>
      <c r="DQ675" s="27"/>
      <c r="DR675" s="27"/>
      <c r="DS675" s="27"/>
      <c r="DT675" s="27"/>
    </row>
    <row r="676" spans="7:124" x14ac:dyDescent="0.2">
      <c r="G676" s="27"/>
      <c r="H676" s="27"/>
      <c r="I676" s="27"/>
      <c r="J676" s="27"/>
      <c r="K676" s="27"/>
      <c r="L676" s="27"/>
      <c r="M676" s="27"/>
      <c r="N676" s="27"/>
      <c r="O676" s="27"/>
      <c r="P676" s="27"/>
      <c r="Q676" s="27"/>
      <c r="R676" s="27"/>
      <c r="S676" s="27"/>
      <c r="T676" s="27"/>
      <c r="U676" s="27"/>
      <c r="V676" s="27"/>
      <c r="W676" s="27"/>
      <c r="X676" s="27"/>
      <c r="Y676" s="27"/>
      <c r="Z676" s="27"/>
      <c r="AA676" s="27"/>
      <c r="AB676" s="27"/>
      <c r="AC676" s="27"/>
      <c r="AD676" s="27"/>
      <c r="AE676" s="27"/>
      <c r="AF676" s="27"/>
      <c r="AG676" s="27"/>
      <c r="AH676" s="27"/>
      <c r="AI676" s="27"/>
      <c r="AJ676" s="27"/>
      <c r="AK676" s="27"/>
      <c r="AL676" s="27"/>
      <c r="AM676" s="27"/>
      <c r="AN676" s="27"/>
      <c r="AO676" s="27"/>
      <c r="AP676" s="27"/>
      <c r="AQ676" s="27"/>
      <c r="AR676" s="27"/>
      <c r="AS676" s="27"/>
      <c r="AT676" s="27"/>
      <c r="AU676" s="27"/>
      <c r="AV676" s="27"/>
      <c r="AW676" s="27"/>
      <c r="AX676" s="27"/>
      <c r="AY676" s="27"/>
      <c r="AZ676" s="27"/>
      <c r="BA676" s="27"/>
      <c r="BB676" s="27"/>
      <c r="BC676" s="27"/>
      <c r="BD676" s="27"/>
      <c r="BE676" s="27"/>
      <c r="BF676" s="27"/>
      <c r="BG676" s="27"/>
      <c r="BH676" s="27"/>
      <c r="BI676" s="27"/>
      <c r="BJ676" s="27"/>
      <c r="BK676" s="27"/>
      <c r="BL676" s="27"/>
      <c r="BM676" s="27"/>
      <c r="BN676" s="27"/>
      <c r="BO676" s="27"/>
      <c r="BP676" s="27"/>
      <c r="BQ676" s="27"/>
      <c r="BR676" s="27"/>
      <c r="BS676" s="27"/>
      <c r="BT676" s="27"/>
      <c r="BU676" s="27"/>
      <c r="BV676" s="27"/>
      <c r="BW676" s="27"/>
      <c r="BX676" s="27"/>
      <c r="BY676" s="27"/>
      <c r="BZ676" s="27"/>
      <c r="CA676" s="27"/>
      <c r="CB676" s="27"/>
      <c r="CC676" s="27"/>
      <c r="CD676" s="27"/>
      <c r="CE676" s="27"/>
      <c r="CF676" s="27"/>
      <c r="CG676" s="27"/>
      <c r="CH676" s="27"/>
      <c r="CI676" s="27"/>
      <c r="CJ676" s="27"/>
      <c r="CK676" s="27"/>
      <c r="CL676" s="27"/>
      <c r="CM676" s="27"/>
      <c r="CN676" s="27"/>
      <c r="CO676" s="27"/>
      <c r="CP676" s="27"/>
      <c r="CQ676" s="27"/>
      <c r="CR676" s="27"/>
      <c r="CS676" s="27"/>
      <c r="CT676" s="27"/>
      <c r="CU676" s="27"/>
      <c r="CV676" s="27"/>
      <c r="CW676" s="27"/>
      <c r="CX676" s="27"/>
      <c r="CY676" s="27"/>
      <c r="CZ676" s="27"/>
      <c r="DA676" s="27"/>
      <c r="DB676" s="27"/>
      <c r="DC676" s="27"/>
      <c r="DD676" s="27"/>
      <c r="DE676" s="27"/>
      <c r="DF676" s="27"/>
      <c r="DG676" s="27"/>
      <c r="DH676" s="27"/>
      <c r="DI676" s="27"/>
      <c r="DJ676" s="27"/>
      <c r="DK676" s="27"/>
      <c r="DL676" s="27"/>
      <c r="DM676" s="27"/>
      <c r="DN676" s="27"/>
      <c r="DO676" s="27"/>
      <c r="DP676" s="27"/>
      <c r="DQ676" s="27"/>
      <c r="DR676" s="27"/>
      <c r="DS676" s="27"/>
      <c r="DT676" s="27"/>
    </row>
    <row r="677" spans="7:124" x14ac:dyDescent="0.2">
      <c r="G677" s="27"/>
      <c r="H677" s="27"/>
      <c r="I677" s="27"/>
      <c r="J677" s="27"/>
      <c r="K677" s="27"/>
      <c r="L677" s="27"/>
      <c r="M677" s="27"/>
      <c r="N677" s="27"/>
      <c r="O677" s="27"/>
      <c r="P677" s="27"/>
      <c r="Q677" s="27"/>
      <c r="R677" s="27"/>
      <c r="S677" s="27"/>
      <c r="T677" s="27"/>
      <c r="U677" s="27"/>
      <c r="V677" s="27"/>
      <c r="W677" s="27"/>
      <c r="X677" s="27"/>
      <c r="Y677" s="27"/>
      <c r="Z677" s="27"/>
      <c r="AA677" s="27"/>
      <c r="AB677" s="27"/>
      <c r="AC677" s="27"/>
      <c r="AD677" s="27"/>
      <c r="AE677" s="27"/>
      <c r="AF677" s="27"/>
      <c r="AG677" s="27"/>
      <c r="AH677" s="27"/>
      <c r="AI677" s="27"/>
      <c r="AJ677" s="27"/>
      <c r="AK677" s="27"/>
      <c r="AL677" s="27"/>
      <c r="AM677" s="27"/>
      <c r="AN677" s="27"/>
      <c r="AO677" s="27"/>
      <c r="AP677" s="27"/>
      <c r="AQ677" s="27"/>
      <c r="AR677" s="27"/>
      <c r="AS677" s="27"/>
      <c r="AT677" s="27"/>
      <c r="AU677" s="27"/>
      <c r="AV677" s="27"/>
      <c r="AW677" s="27"/>
      <c r="AX677" s="27"/>
      <c r="AY677" s="27"/>
      <c r="AZ677" s="27"/>
      <c r="BA677" s="27"/>
      <c r="BB677" s="27"/>
      <c r="BC677" s="27"/>
      <c r="BD677" s="27"/>
      <c r="BE677" s="27"/>
      <c r="BF677" s="27"/>
      <c r="BG677" s="27"/>
      <c r="BH677" s="27"/>
      <c r="BI677" s="27"/>
      <c r="BJ677" s="27"/>
      <c r="BK677" s="27"/>
      <c r="BL677" s="27"/>
      <c r="BM677" s="27"/>
      <c r="BN677" s="27"/>
      <c r="BO677" s="27"/>
      <c r="BP677" s="27"/>
      <c r="BQ677" s="27"/>
      <c r="BR677" s="27"/>
      <c r="BS677" s="27"/>
      <c r="BT677" s="27"/>
      <c r="BU677" s="27"/>
      <c r="BV677" s="27"/>
      <c r="BW677" s="27"/>
      <c r="BX677" s="27"/>
      <c r="BY677" s="27"/>
      <c r="BZ677" s="27"/>
      <c r="CA677" s="27"/>
      <c r="CB677" s="27"/>
      <c r="CC677" s="27"/>
      <c r="CD677" s="27"/>
      <c r="CE677" s="27"/>
      <c r="CF677" s="27"/>
      <c r="CG677" s="27"/>
      <c r="CH677" s="27"/>
      <c r="CI677" s="27"/>
      <c r="CJ677" s="27"/>
      <c r="CK677" s="27"/>
      <c r="CL677" s="27"/>
      <c r="CM677" s="27"/>
      <c r="CN677" s="27"/>
      <c r="CO677" s="27"/>
      <c r="CP677" s="27"/>
      <c r="CQ677" s="27"/>
      <c r="CR677" s="27"/>
      <c r="CS677" s="27"/>
      <c r="CT677" s="27"/>
      <c r="CU677" s="27"/>
      <c r="CV677" s="27"/>
      <c r="CW677" s="27"/>
      <c r="CX677" s="27"/>
      <c r="CY677" s="27"/>
      <c r="CZ677" s="27"/>
      <c r="DA677" s="27"/>
      <c r="DB677" s="27"/>
      <c r="DC677" s="27"/>
      <c r="DD677" s="27"/>
      <c r="DE677" s="27"/>
      <c r="DF677" s="27"/>
      <c r="DG677" s="27"/>
      <c r="DH677" s="27"/>
      <c r="DI677" s="27"/>
      <c r="DJ677" s="27"/>
      <c r="DK677" s="27"/>
      <c r="DL677" s="27"/>
      <c r="DM677" s="27"/>
      <c r="DN677" s="27"/>
      <c r="DO677" s="27"/>
      <c r="DP677" s="27"/>
      <c r="DQ677" s="27"/>
      <c r="DR677" s="27"/>
      <c r="DS677" s="27"/>
      <c r="DT677" s="27"/>
    </row>
    <row r="678" spans="7:124" x14ac:dyDescent="0.2">
      <c r="G678" s="27"/>
      <c r="H678" s="27"/>
      <c r="I678" s="27"/>
      <c r="J678" s="27"/>
      <c r="K678" s="27"/>
      <c r="L678" s="27"/>
      <c r="M678" s="27"/>
      <c r="N678" s="27"/>
      <c r="O678" s="27"/>
      <c r="P678" s="27"/>
      <c r="Q678" s="27"/>
      <c r="R678" s="27"/>
      <c r="S678" s="27"/>
      <c r="T678" s="27"/>
      <c r="U678" s="27"/>
      <c r="V678" s="27"/>
      <c r="W678" s="27"/>
      <c r="X678" s="27"/>
      <c r="Y678" s="27"/>
      <c r="Z678" s="27"/>
      <c r="AA678" s="27"/>
      <c r="AB678" s="27"/>
      <c r="AC678" s="27"/>
      <c r="AD678" s="27"/>
      <c r="AE678" s="27"/>
      <c r="AF678" s="27"/>
      <c r="AG678" s="27"/>
      <c r="AH678" s="27"/>
      <c r="AI678" s="27"/>
      <c r="AJ678" s="27"/>
      <c r="AK678" s="27"/>
      <c r="AL678" s="27"/>
      <c r="AM678" s="27"/>
      <c r="AN678" s="27"/>
      <c r="AO678" s="27"/>
      <c r="AP678" s="27"/>
      <c r="AQ678" s="27"/>
      <c r="AR678" s="27"/>
      <c r="AS678" s="27"/>
      <c r="AT678" s="27"/>
      <c r="AU678" s="27"/>
      <c r="AV678" s="27"/>
      <c r="AW678" s="27"/>
      <c r="AX678" s="27"/>
      <c r="AY678" s="27"/>
      <c r="AZ678" s="27"/>
      <c r="BA678" s="27"/>
      <c r="BB678" s="27"/>
      <c r="BC678" s="27"/>
      <c r="BD678" s="27"/>
      <c r="BE678" s="27"/>
      <c r="BF678" s="27"/>
      <c r="BG678" s="27"/>
      <c r="BH678" s="27"/>
      <c r="BI678" s="27"/>
      <c r="BJ678" s="27"/>
      <c r="BK678" s="27"/>
      <c r="BL678" s="27"/>
      <c r="BM678" s="27"/>
      <c r="BN678" s="27"/>
      <c r="BO678" s="27"/>
      <c r="BP678" s="27"/>
      <c r="BQ678" s="27"/>
      <c r="BR678" s="27"/>
      <c r="BS678" s="27"/>
      <c r="BT678" s="27"/>
      <c r="BU678" s="27"/>
      <c r="BV678" s="27"/>
      <c r="BW678" s="27"/>
      <c r="BX678" s="27"/>
      <c r="BY678" s="27"/>
      <c r="BZ678" s="27"/>
      <c r="CA678" s="27"/>
      <c r="CB678" s="27"/>
      <c r="CC678" s="27"/>
      <c r="CD678" s="27"/>
      <c r="CE678" s="27"/>
      <c r="CF678" s="27"/>
      <c r="CG678" s="27"/>
      <c r="CH678" s="27"/>
      <c r="CI678" s="27"/>
      <c r="CJ678" s="27"/>
      <c r="CK678" s="27"/>
      <c r="CL678" s="27"/>
      <c r="CM678" s="27"/>
      <c r="CN678" s="27"/>
      <c r="CO678" s="27"/>
      <c r="CP678" s="27"/>
      <c r="CQ678" s="27"/>
      <c r="CR678" s="27"/>
      <c r="CS678" s="27"/>
      <c r="CT678" s="27"/>
      <c r="CU678" s="27"/>
      <c r="CV678" s="27"/>
      <c r="CW678" s="27"/>
      <c r="CX678" s="27"/>
      <c r="CY678" s="27"/>
      <c r="CZ678" s="27"/>
      <c r="DA678" s="27"/>
      <c r="DB678" s="27"/>
      <c r="DC678" s="27"/>
      <c r="DD678" s="27"/>
      <c r="DE678" s="27"/>
      <c r="DF678" s="27"/>
      <c r="DG678" s="27"/>
      <c r="DH678" s="27"/>
      <c r="DI678" s="27"/>
      <c r="DJ678" s="27"/>
      <c r="DK678" s="27"/>
      <c r="DL678" s="27"/>
      <c r="DM678" s="27"/>
      <c r="DN678" s="27"/>
      <c r="DO678" s="27"/>
      <c r="DP678" s="27"/>
      <c r="DQ678" s="27"/>
      <c r="DR678" s="27"/>
      <c r="DS678" s="27"/>
      <c r="DT678" s="27"/>
    </row>
    <row r="679" spans="7:124" x14ac:dyDescent="0.2">
      <c r="G679" s="27"/>
      <c r="H679" s="27"/>
      <c r="I679" s="27"/>
      <c r="J679" s="27"/>
      <c r="K679" s="27"/>
      <c r="L679" s="27"/>
      <c r="M679" s="27"/>
      <c r="N679" s="27"/>
      <c r="O679" s="27"/>
      <c r="P679" s="27"/>
      <c r="Q679" s="27"/>
      <c r="R679" s="27"/>
      <c r="S679" s="27"/>
      <c r="T679" s="27"/>
      <c r="U679" s="27"/>
      <c r="V679" s="27"/>
      <c r="W679" s="27"/>
      <c r="X679" s="27"/>
      <c r="Y679" s="27"/>
      <c r="Z679" s="27"/>
      <c r="AA679" s="27"/>
      <c r="AB679" s="27"/>
      <c r="AC679" s="27"/>
      <c r="AD679" s="27"/>
      <c r="AE679" s="27"/>
      <c r="AF679" s="27"/>
      <c r="AG679" s="27"/>
      <c r="AH679" s="27"/>
      <c r="AI679" s="27"/>
      <c r="AJ679" s="27"/>
      <c r="AK679" s="27"/>
      <c r="AL679" s="27"/>
      <c r="AM679" s="27"/>
      <c r="AN679" s="27"/>
      <c r="AO679" s="27"/>
      <c r="AP679" s="27"/>
      <c r="AQ679" s="27"/>
      <c r="AR679" s="27"/>
      <c r="AS679" s="27"/>
      <c r="AT679" s="27"/>
      <c r="AU679" s="27"/>
      <c r="AV679" s="27"/>
      <c r="AW679" s="27"/>
      <c r="AX679" s="27"/>
      <c r="AY679" s="27"/>
      <c r="AZ679" s="27"/>
      <c r="BA679" s="27"/>
      <c r="BB679" s="27"/>
      <c r="BC679" s="27"/>
      <c r="BD679" s="27"/>
      <c r="BE679" s="27"/>
      <c r="BF679" s="27"/>
      <c r="BG679" s="27"/>
      <c r="BH679" s="27"/>
      <c r="BI679" s="27"/>
      <c r="BJ679" s="27"/>
      <c r="BK679" s="27"/>
      <c r="BL679" s="27"/>
      <c r="BM679" s="27"/>
      <c r="BN679" s="27"/>
      <c r="BO679" s="27"/>
      <c r="BP679" s="27"/>
      <c r="BQ679" s="27"/>
      <c r="BR679" s="27"/>
      <c r="BS679" s="27"/>
      <c r="BT679" s="27"/>
      <c r="BU679" s="27"/>
      <c r="BV679" s="27"/>
      <c r="BW679" s="27"/>
      <c r="BX679" s="27"/>
      <c r="BY679" s="27"/>
      <c r="BZ679" s="27"/>
      <c r="CA679" s="27"/>
      <c r="CB679" s="27"/>
      <c r="CC679" s="27"/>
      <c r="CD679" s="27"/>
      <c r="CE679" s="27"/>
      <c r="CF679" s="27"/>
      <c r="CG679" s="27"/>
      <c r="CH679" s="27"/>
      <c r="CI679" s="27"/>
      <c r="CJ679" s="27"/>
      <c r="CK679" s="27"/>
      <c r="CL679" s="27"/>
      <c r="CM679" s="27"/>
      <c r="CN679" s="27"/>
      <c r="CO679" s="27"/>
      <c r="CP679" s="27"/>
      <c r="CQ679" s="27"/>
      <c r="CR679" s="27"/>
      <c r="CS679" s="27"/>
      <c r="CT679" s="27"/>
      <c r="CU679" s="27"/>
      <c r="CV679" s="27"/>
      <c r="CW679" s="27"/>
      <c r="CX679" s="27"/>
      <c r="CY679" s="27"/>
      <c r="CZ679" s="27"/>
      <c r="DA679" s="27"/>
      <c r="DB679" s="27"/>
      <c r="DC679" s="27"/>
      <c r="DD679" s="27"/>
      <c r="DE679" s="27"/>
      <c r="DF679" s="27"/>
      <c r="DG679" s="27"/>
      <c r="DH679" s="27"/>
      <c r="DI679" s="27"/>
      <c r="DJ679" s="27"/>
      <c r="DK679" s="27"/>
      <c r="DL679" s="27"/>
      <c r="DM679" s="27"/>
      <c r="DN679" s="27"/>
      <c r="DO679" s="27"/>
      <c r="DP679" s="27"/>
      <c r="DQ679" s="27"/>
      <c r="DR679" s="27"/>
      <c r="DS679" s="27"/>
      <c r="DT679" s="27"/>
    </row>
    <row r="680" spans="7:124" x14ac:dyDescent="0.2">
      <c r="G680" s="27"/>
      <c r="H680" s="27"/>
      <c r="I680" s="27"/>
      <c r="J680" s="27"/>
      <c r="K680" s="27"/>
      <c r="L680" s="27"/>
      <c r="M680" s="27"/>
      <c r="N680" s="27"/>
      <c r="O680" s="27"/>
      <c r="P680" s="27"/>
      <c r="Q680" s="27"/>
      <c r="R680" s="27"/>
      <c r="S680" s="27"/>
      <c r="T680" s="27"/>
      <c r="U680" s="27"/>
      <c r="V680" s="27"/>
      <c r="W680" s="27"/>
      <c r="X680" s="27"/>
      <c r="Y680" s="27"/>
      <c r="Z680" s="27"/>
      <c r="AA680" s="27"/>
      <c r="AB680" s="27"/>
      <c r="AC680" s="27"/>
      <c r="AD680" s="27"/>
      <c r="AE680" s="27"/>
      <c r="AF680" s="27"/>
      <c r="AG680" s="27"/>
      <c r="AH680" s="27"/>
      <c r="AI680" s="27"/>
      <c r="AJ680" s="27"/>
      <c r="AK680" s="27"/>
      <c r="AL680" s="27"/>
      <c r="AM680" s="27"/>
      <c r="AN680" s="27"/>
      <c r="AO680" s="27"/>
      <c r="AP680" s="27"/>
      <c r="AQ680" s="27"/>
      <c r="AR680" s="27"/>
      <c r="AS680" s="27"/>
      <c r="AT680" s="27"/>
      <c r="AU680" s="27"/>
      <c r="AV680" s="27"/>
      <c r="AW680" s="27"/>
      <c r="AX680" s="27"/>
      <c r="AY680" s="27"/>
      <c r="AZ680" s="27"/>
      <c r="BA680" s="27"/>
      <c r="BB680" s="27"/>
      <c r="BC680" s="27"/>
      <c r="BD680" s="27"/>
      <c r="BE680" s="27"/>
      <c r="BF680" s="27"/>
      <c r="BG680" s="27"/>
      <c r="BH680" s="27"/>
      <c r="BI680" s="27"/>
      <c r="BJ680" s="27"/>
      <c r="BK680" s="27"/>
      <c r="BL680" s="27"/>
      <c r="BM680" s="27"/>
      <c r="BN680" s="27"/>
      <c r="BO680" s="27"/>
      <c r="BP680" s="27"/>
      <c r="BQ680" s="27"/>
      <c r="BR680" s="27"/>
      <c r="BS680" s="27"/>
      <c r="BT680" s="27"/>
      <c r="BU680" s="27"/>
      <c r="BV680" s="27"/>
      <c r="BW680" s="27"/>
      <c r="BX680" s="27"/>
      <c r="BY680" s="27"/>
      <c r="BZ680" s="27"/>
      <c r="CA680" s="27"/>
      <c r="CB680" s="27"/>
      <c r="CC680" s="27"/>
      <c r="CD680" s="27"/>
      <c r="CE680" s="27"/>
      <c r="CF680" s="27"/>
      <c r="CG680" s="27"/>
      <c r="CH680" s="27"/>
      <c r="CI680" s="27"/>
      <c r="CJ680" s="27"/>
      <c r="CK680" s="27"/>
      <c r="CL680" s="27"/>
      <c r="CM680" s="27"/>
      <c r="CN680" s="27"/>
      <c r="CO680" s="27"/>
      <c r="CP680" s="27"/>
      <c r="CQ680" s="27"/>
      <c r="CR680" s="27"/>
      <c r="CS680" s="27"/>
      <c r="CT680" s="27"/>
      <c r="CU680" s="27"/>
      <c r="CV680" s="27"/>
      <c r="CW680" s="27"/>
      <c r="CX680" s="27"/>
      <c r="CY680" s="27"/>
      <c r="CZ680" s="27"/>
      <c r="DA680" s="27"/>
      <c r="DB680" s="27"/>
      <c r="DC680" s="27"/>
      <c r="DD680" s="27"/>
      <c r="DE680" s="27"/>
      <c r="DF680" s="27"/>
      <c r="DG680" s="27"/>
      <c r="DH680" s="27"/>
      <c r="DI680" s="27"/>
      <c r="DJ680" s="27"/>
      <c r="DK680" s="27"/>
      <c r="DL680" s="27"/>
      <c r="DM680" s="27"/>
      <c r="DN680" s="27"/>
      <c r="DO680" s="27"/>
      <c r="DP680" s="27"/>
      <c r="DQ680" s="27"/>
      <c r="DR680" s="27"/>
      <c r="DS680" s="27"/>
      <c r="DT680" s="27"/>
    </row>
    <row r="681" spans="7:124" x14ac:dyDescent="0.2">
      <c r="G681" s="27"/>
      <c r="H681" s="27"/>
      <c r="I681" s="27"/>
      <c r="J681" s="27"/>
      <c r="K681" s="27"/>
      <c r="L681" s="27"/>
      <c r="M681" s="27"/>
      <c r="N681" s="27"/>
      <c r="O681" s="27"/>
      <c r="P681" s="27"/>
      <c r="Q681" s="27"/>
      <c r="R681" s="27"/>
      <c r="S681" s="27"/>
      <c r="T681" s="27"/>
      <c r="U681" s="27"/>
      <c r="V681" s="27"/>
      <c r="W681" s="27"/>
      <c r="X681" s="27"/>
      <c r="Y681" s="27"/>
      <c r="Z681" s="27"/>
      <c r="AA681" s="27"/>
      <c r="AB681" s="27"/>
      <c r="AC681" s="27"/>
      <c r="AD681" s="27"/>
      <c r="AE681" s="27"/>
      <c r="AF681" s="27"/>
      <c r="AG681" s="27"/>
      <c r="AH681" s="27"/>
      <c r="AI681" s="27"/>
      <c r="AJ681" s="27"/>
      <c r="AK681" s="27"/>
      <c r="AL681" s="27"/>
      <c r="AM681" s="27"/>
      <c r="AN681" s="27"/>
      <c r="AO681" s="27"/>
      <c r="AP681" s="27"/>
      <c r="AQ681" s="27"/>
      <c r="AR681" s="27"/>
      <c r="AS681" s="27"/>
      <c r="AT681" s="27"/>
      <c r="AU681" s="27"/>
      <c r="AV681" s="27"/>
      <c r="AW681" s="27"/>
      <c r="AX681" s="27"/>
      <c r="AY681" s="27"/>
      <c r="AZ681" s="27"/>
      <c r="BA681" s="27"/>
      <c r="BB681" s="27"/>
      <c r="BC681" s="27"/>
      <c r="BD681" s="27"/>
      <c r="BE681" s="27"/>
      <c r="BF681" s="27"/>
      <c r="BG681" s="27"/>
      <c r="BH681" s="27"/>
      <c r="BI681" s="27"/>
      <c r="BJ681" s="27"/>
      <c r="BK681" s="27"/>
      <c r="BL681" s="27"/>
      <c r="BM681" s="27"/>
      <c r="BN681" s="27"/>
      <c r="BO681" s="27"/>
      <c r="BP681" s="27"/>
      <c r="BQ681" s="27"/>
      <c r="BR681" s="27"/>
      <c r="BS681" s="27"/>
      <c r="BT681" s="27"/>
      <c r="BU681" s="27"/>
      <c r="BV681" s="27"/>
      <c r="BW681" s="27"/>
      <c r="BX681" s="27"/>
      <c r="BY681" s="27"/>
      <c r="BZ681" s="27"/>
      <c r="CA681" s="27"/>
      <c r="CB681" s="27"/>
      <c r="CC681" s="27"/>
      <c r="CD681" s="27"/>
      <c r="CE681" s="27"/>
      <c r="CF681" s="27"/>
      <c r="CG681" s="27"/>
      <c r="CH681" s="27"/>
      <c r="CI681" s="27"/>
      <c r="CJ681" s="27"/>
      <c r="CK681" s="27"/>
      <c r="CL681" s="27"/>
      <c r="CM681" s="27"/>
      <c r="CN681" s="27"/>
      <c r="CO681" s="27"/>
      <c r="CP681" s="27"/>
      <c r="CQ681" s="27"/>
      <c r="CR681" s="27"/>
      <c r="CS681" s="27"/>
      <c r="CT681" s="27"/>
      <c r="CU681" s="27"/>
      <c r="CV681" s="27"/>
      <c r="CW681" s="27"/>
      <c r="CX681" s="27"/>
      <c r="CY681" s="27"/>
      <c r="CZ681" s="27"/>
      <c r="DA681" s="27"/>
      <c r="DB681" s="27"/>
      <c r="DC681" s="27"/>
      <c r="DD681" s="27"/>
      <c r="DE681" s="27"/>
      <c r="DF681" s="27"/>
      <c r="DG681" s="27"/>
      <c r="DH681" s="27"/>
      <c r="DI681" s="27"/>
      <c r="DJ681" s="27"/>
      <c r="DK681" s="27"/>
      <c r="DL681" s="27"/>
      <c r="DM681" s="27"/>
      <c r="DN681" s="27"/>
      <c r="DO681" s="27"/>
      <c r="DP681" s="27"/>
      <c r="DQ681" s="27"/>
      <c r="DR681" s="27"/>
      <c r="DS681" s="27"/>
      <c r="DT681" s="27"/>
    </row>
    <row r="682" spans="7:124" x14ac:dyDescent="0.2">
      <c r="G682" s="27"/>
      <c r="H682" s="27"/>
      <c r="I682" s="27"/>
      <c r="J682" s="27"/>
      <c r="K682" s="27"/>
      <c r="L682" s="27"/>
      <c r="M682" s="27"/>
      <c r="N682" s="27"/>
      <c r="O682" s="27"/>
      <c r="P682" s="27"/>
      <c r="Q682" s="27"/>
      <c r="R682" s="27"/>
      <c r="S682" s="27"/>
      <c r="T682" s="27"/>
      <c r="U682" s="27"/>
      <c r="V682" s="27"/>
      <c r="W682" s="27"/>
      <c r="X682" s="27"/>
      <c r="Y682" s="27"/>
      <c r="Z682" s="27"/>
      <c r="AA682" s="27"/>
      <c r="AB682" s="27"/>
      <c r="AC682" s="27"/>
      <c r="AD682" s="27"/>
      <c r="AE682" s="27"/>
      <c r="AF682" s="27"/>
      <c r="AG682" s="27"/>
      <c r="AH682" s="27"/>
      <c r="AI682" s="27"/>
      <c r="AJ682" s="27"/>
      <c r="AK682" s="27"/>
      <c r="AL682" s="27"/>
      <c r="AM682" s="27"/>
      <c r="AN682" s="27"/>
      <c r="AO682" s="27"/>
      <c r="AP682" s="27"/>
      <c r="AQ682" s="27"/>
      <c r="AR682" s="27"/>
      <c r="AS682" s="27"/>
      <c r="AT682" s="27"/>
      <c r="AU682" s="27"/>
      <c r="AV682" s="27"/>
      <c r="AW682" s="27"/>
      <c r="AX682" s="27"/>
      <c r="AY682" s="27"/>
      <c r="AZ682" s="27"/>
      <c r="BA682" s="27"/>
      <c r="BB682" s="27"/>
      <c r="BC682" s="27"/>
      <c r="BD682" s="27"/>
      <c r="BE682" s="27"/>
      <c r="BF682" s="27"/>
      <c r="BG682" s="27"/>
      <c r="BH682" s="27"/>
      <c r="BI682" s="27"/>
      <c r="BJ682" s="27"/>
      <c r="BK682" s="27"/>
      <c r="BL682" s="27"/>
      <c r="BM682" s="27"/>
      <c r="BN682" s="27"/>
      <c r="BO682" s="27"/>
      <c r="BP682" s="27"/>
      <c r="BQ682" s="27"/>
      <c r="BR682" s="27"/>
      <c r="BS682" s="27"/>
      <c r="BT682" s="27"/>
      <c r="BU682" s="27"/>
      <c r="BV682" s="27"/>
      <c r="BW682" s="27"/>
      <c r="BX682" s="27"/>
      <c r="BY682" s="27"/>
      <c r="BZ682" s="27"/>
      <c r="CA682" s="27"/>
      <c r="CB682" s="27"/>
      <c r="CC682" s="27"/>
      <c r="CD682" s="27"/>
      <c r="CE682" s="27"/>
      <c r="CF682" s="27"/>
      <c r="CG682" s="27"/>
      <c r="CH682" s="27"/>
      <c r="CI682" s="27"/>
      <c r="CJ682" s="27"/>
      <c r="CK682" s="27"/>
      <c r="CL682" s="27"/>
      <c r="CM682" s="27"/>
      <c r="CN682" s="27"/>
      <c r="CO682" s="27"/>
      <c r="CP682" s="27"/>
      <c r="CQ682" s="27"/>
      <c r="CR682" s="27"/>
      <c r="CS682" s="27"/>
      <c r="CT682" s="27"/>
      <c r="CU682" s="27"/>
      <c r="CV682" s="27"/>
      <c r="CW682" s="27"/>
      <c r="CX682" s="27"/>
      <c r="CY682" s="27"/>
      <c r="CZ682" s="27"/>
      <c r="DA682" s="27"/>
      <c r="DB682" s="27"/>
      <c r="DC682" s="27"/>
      <c r="DD682" s="27"/>
      <c r="DE682" s="27"/>
      <c r="DF682" s="27"/>
      <c r="DG682" s="27"/>
      <c r="DH682" s="27"/>
      <c r="DI682" s="27"/>
      <c r="DJ682" s="27"/>
      <c r="DK682" s="27"/>
      <c r="DL682" s="27"/>
      <c r="DM682" s="27"/>
      <c r="DN682" s="27"/>
      <c r="DO682" s="27"/>
      <c r="DP682" s="27"/>
      <c r="DQ682" s="27"/>
      <c r="DR682" s="27"/>
      <c r="DS682" s="27"/>
      <c r="DT682" s="27"/>
    </row>
    <row r="683" spans="7:124" x14ac:dyDescent="0.2">
      <c r="G683" s="27"/>
      <c r="H683" s="27"/>
      <c r="I683" s="27"/>
      <c r="J683" s="27"/>
      <c r="K683" s="27"/>
      <c r="L683" s="27"/>
      <c r="M683" s="27"/>
      <c r="N683" s="27"/>
      <c r="O683" s="27"/>
      <c r="P683" s="27"/>
      <c r="Q683" s="27"/>
      <c r="R683" s="27"/>
      <c r="S683" s="27"/>
      <c r="T683" s="27"/>
      <c r="U683" s="27"/>
      <c r="V683" s="27"/>
      <c r="W683" s="27"/>
      <c r="X683" s="27"/>
      <c r="Y683" s="27"/>
      <c r="Z683" s="27"/>
      <c r="AA683" s="27"/>
      <c r="AB683" s="27"/>
      <c r="AC683" s="27"/>
      <c r="AD683" s="27"/>
      <c r="AE683" s="27"/>
      <c r="AF683" s="27"/>
      <c r="AG683" s="27"/>
      <c r="AH683" s="27"/>
      <c r="AI683" s="27"/>
      <c r="AJ683" s="27"/>
      <c r="AK683" s="27"/>
      <c r="AL683" s="27"/>
      <c r="AM683" s="27"/>
      <c r="AN683" s="27"/>
      <c r="AO683" s="27"/>
      <c r="AP683" s="27"/>
      <c r="AQ683" s="27"/>
      <c r="AR683" s="27"/>
      <c r="AS683" s="27"/>
      <c r="AT683" s="27"/>
      <c r="AU683" s="27"/>
      <c r="AV683" s="27"/>
      <c r="AW683" s="27"/>
      <c r="AX683" s="27"/>
      <c r="AY683" s="27"/>
      <c r="AZ683" s="27"/>
      <c r="BA683" s="27"/>
      <c r="BB683" s="27"/>
      <c r="BC683" s="27"/>
      <c r="BD683" s="27"/>
      <c r="BE683" s="27"/>
      <c r="BF683" s="27"/>
      <c r="BG683" s="27"/>
      <c r="BH683" s="27"/>
      <c r="BI683" s="27"/>
      <c r="BJ683" s="27"/>
      <c r="BK683" s="27"/>
      <c r="BL683" s="27"/>
      <c r="BM683" s="27"/>
      <c r="BN683" s="27"/>
      <c r="BO683" s="27"/>
      <c r="BP683" s="27"/>
      <c r="BQ683" s="27"/>
      <c r="BR683" s="27"/>
      <c r="BS683" s="27"/>
      <c r="BT683" s="27"/>
      <c r="BU683" s="27"/>
      <c r="BV683" s="27"/>
      <c r="BW683" s="27"/>
      <c r="BX683" s="27"/>
      <c r="BY683" s="27"/>
      <c r="BZ683" s="27"/>
      <c r="CA683" s="27"/>
      <c r="CB683" s="27"/>
      <c r="CC683" s="27"/>
      <c r="CD683" s="27"/>
      <c r="CE683" s="27"/>
      <c r="CF683" s="27"/>
      <c r="CG683" s="27"/>
      <c r="CH683" s="27"/>
      <c r="CI683" s="27"/>
      <c r="CJ683" s="27"/>
      <c r="CK683" s="27"/>
      <c r="CL683" s="27"/>
      <c r="CM683" s="27"/>
      <c r="CN683" s="27"/>
      <c r="CO683" s="27"/>
      <c r="CP683" s="27"/>
      <c r="CQ683" s="27"/>
      <c r="CR683" s="27"/>
      <c r="CS683" s="27"/>
      <c r="CT683" s="27"/>
      <c r="CU683" s="27"/>
      <c r="CV683" s="27"/>
      <c r="CW683" s="27"/>
      <c r="CX683" s="27"/>
      <c r="CY683" s="27"/>
      <c r="CZ683" s="27"/>
      <c r="DA683" s="27"/>
      <c r="DB683" s="27"/>
      <c r="DC683" s="27"/>
      <c r="DD683" s="27"/>
      <c r="DE683" s="27"/>
      <c r="DF683" s="27"/>
      <c r="DG683" s="27"/>
      <c r="DH683" s="27"/>
      <c r="DI683" s="27"/>
      <c r="DJ683" s="27"/>
      <c r="DK683" s="27"/>
      <c r="DL683" s="27"/>
      <c r="DM683" s="27"/>
      <c r="DN683" s="27"/>
      <c r="DO683" s="27"/>
      <c r="DP683" s="27"/>
      <c r="DQ683" s="27"/>
      <c r="DR683" s="27"/>
      <c r="DS683" s="27"/>
      <c r="DT683" s="27"/>
    </row>
    <row r="684" spans="7:124" x14ac:dyDescent="0.2">
      <c r="G684" s="27"/>
      <c r="H684" s="27"/>
      <c r="I684" s="27"/>
      <c r="J684" s="27"/>
      <c r="K684" s="27"/>
      <c r="L684" s="27"/>
      <c r="M684" s="27"/>
      <c r="N684" s="27"/>
      <c r="O684" s="27"/>
      <c r="P684" s="27"/>
      <c r="Q684" s="27"/>
      <c r="R684" s="27"/>
      <c r="S684" s="27"/>
      <c r="T684" s="27"/>
      <c r="U684" s="27"/>
      <c r="V684" s="27"/>
      <c r="W684" s="27"/>
      <c r="X684" s="27"/>
      <c r="Y684" s="27"/>
      <c r="Z684" s="27"/>
      <c r="AA684" s="27"/>
      <c r="AB684" s="27"/>
      <c r="AC684" s="27"/>
      <c r="AD684" s="27"/>
      <c r="AE684" s="27"/>
      <c r="AF684" s="27"/>
      <c r="AG684" s="27"/>
      <c r="AH684" s="27"/>
      <c r="AI684" s="27"/>
      <c r="AJ684" s="27"/>
      <c r="AK684" s="27"/>
      <c r="AL684" s="27"/>
      <c r="AM684" s="27"/>
      <c r="AN684" s="27"/>
      <c r="AO684" s="27"/>
      <c r="AP684" s="27"/>
      <c r="AQ684" s="27"/>
      <c r="AR684" s="27"/>
      <c r="AS684" s="27"/>
      <c r="AT684" s="27"/>
      <c r="AU684" s="27"/>
      <c r="AV684" s="27"/>
      <c r="AW684" s="27"/>
      <c r="AX684" s="27"/>
      <c r="AY684" s="27"/>
      <c r="AZ684" s="27"/>
      <c r="BA684" s="27"/>
      <c r="BB684" s="27"/>
      <c r="BC684" s="27"/>
      <c r="BD684" s="27"/>
      <c r="BE684" s="27"/>
      <c r="BF684" s="27"/>
      <c r="BG684" s="27"/>
      <c r="BH684" s="27"/>
      <c r="BI684" s="27"/>
      <c r="BJ684" s="27"/>
      <c r="BK684" s="27"/>
      <c r="BL684" s="27"/>
      <c r="BM684" s="27"/>
      <c r="BN684" s="27"/>
      <c r="BO684" s="27"/>
      <c r="BP684" s="27"/>
      <c r="BQ684" s="27"/>
      <c r="BR684" s="27"/>
      <c r="BS684" s="27"/>
      <c r="BT684" s="27"/>
      <c r="BU684" s="27"/>
      <c r="BV684" s="27"/>
      <c r="BW684" s="27"/>
      <c r="BX684" s="27"/>
      <c r="BY684" s="27"/>
      <c r="BZ684" s="27"/>
      <c r="CA684" s="27"/>
      <c r="CB684" s="27"/>
      <c r="CC684" s="27"/>
      <c r="CD684" s="27"/>
      <c r="CE684" s="27"/>
      <c r="CF684" s="27"/>
      <c r="CG684" s="27"/>
      <c r="CH684" s="27"/>
      <c r="CI684" s="27"/>
      <c r="CJ684" s="27"/>
      <c r="CK684" s="27"/>
      <c r="CL684" s="27"/>
      <c r="CM684" s="27"/>
      <c r="CN684" s="27"/>
      <c r="CO684" s="27"/>
      <c r="CP684" s="27"/>
      <c r="CQ684" s="27"/>
      <c r="CR684" s="27"/>
      <c r="CS684" s="27"/>
      <c r="CT684" s="27"/>
      <c r="CU684" s="27"/>
      <c r="CV684" s="27"/>
      <c r="CW684" s="27"/>
      <c r="CX684" s="27"/>
      <c r="CY684" s="27"/>
      <c r="CZ684" s="27"/>
      <c r="DA684" s="27"/>
      <c r="DB684" s="27"/>
      <c r="DC684" s="27"/>
      <c r="DD684" s="27"/>
      <c r="DE684" s="27"/>
      <c r="DF684" s="27"/>
      <c r="DG684" s="27"/>
      <c r="DH684" s="27"/>
      <c r="DI684" s="27"/>
      <c r="DJ684" s="27"/>
      <c r="DK684" s="27"/>
      <c r="DL684" s="27"/>
      <c r="DM684" s="27"/>
      <c r="DN684" s="27"/>
      <c r="DO684" s="27"/>
      <c r="DP684" s="27"/>
      <c r="DQ684" s="27"/>
      <c r="DR684" s="27"/>
      <c r="DS684" s="27"/>
      <c r="DT684" s="27"/>
    </row>
    <row r="685" spans="7:124" x14ac:dyDescent="0.2">
      <c r="G685" s="27"/>
      <c r="H685" s="27"/>
      <c r="I685" s="27"/>
      <c r="J685" s="27"/>
      <c r="K685" s="27"/>
      <c r="L685" s="27"/>
      <c r="M685" s="27"/>
      <c r="N685" s="27"/>
      <c r="O685" s="27"/>
      <c r="P685" s="27"/>
      <c r="Q685" s="27"/>
      <c r="R685" s="27"/>
      <c r="S685" s="27"/>
      <c r="T685" s="27"/>
      <c r="U685" s="27"/>
      <c r="V685" s="27"/>
      <c r="W685" s="27"/>
      <c r="X685" s="27"/>
      <c r="Y685" s="27"/>
      <c r="Z685" s="27"/>
      <c r="AA685" s="27"/>
      <c r="AB685" s="27"/>
      <c r="AC685" s="27"/>
      <c r="AD685" s="27"/>
      <c r="AE685" s="27"/>
      <c r="AF685" s="27"/>
      <c r="AG685" s="27"/>
      <c r="AH685" s="27"/>
      <c r="AI685" s="27"/>
      <c r="AJ685" s="27"/>
      <c r="AK685" s="27"/>
      <c r="AL685" s="27"/>
      <c r="AM685" s="27"/>
      <c r="AN685" s="27"/>
      <c r="AO685" s="27"/>
      <c r="AP685" s="27"/>
      <c r="AQ685" s="27"/>
      <c r="AR685" s="27"/>
      <c r="AS685" s="27"/>
      <c r="AT685" s="27"/>
      <c r="AU685" s="27"/>
      <c r="AV685" s="27"/>
      <c r="AW685" s="27"/>
      <c r="AX685" s="27"/>
      <c r="AY685" s="27"/>
      <c r="AZ685" s="27"/>
      <c r="BA685" s="27"/>
      <c r="BB685" s="27"/>
      <c r="BC685" s="27"/>
      <c r="BD685" s="27"/>
      <c r="BE685" s="27"/>
      <c r="BF685" s="27"/>
      <c r="BG685" s="27"/>
      <c r="BH685" s="27"/>
      <c r="BI685" s="27"/>
      <c r="BJ685" s="27"/>
      <c r="BK685" s="27"/>
      <c r="BL685" s="27"/>
      <c r="BM685" s="27"/>
      <c r="BN685" s="27"/>
      <c r="BO685" s="27"/>
      <c r="BP685" s="27"/>
      <c r="BQ685" s="27"/>
      <c r="BR685" s="27"/>
      <c r="BS685" s="27"/>
      <c r="BT685" s="27"/>
      <c r="BU685" s="27"/>
      <c r="BV685" s="27"/>
      <c r="BW685" s="27"/>
      <c r="BX685" s="27"/>
      <c r="BY685" s="27"/>
      <c r="BZ685" s="27"/>
      <c r="CA685" s="27"/>
      <c r="CB685" s="27"/>
      <c r="CC685" s="27"/>
      <c r="CD685" s="27"/>
      <c r="CE685" s="27"/>
      <c r="CF685" s="27"/>
      <c r="CG685" s="27"/>
      <c r="CH685" s="27"/>
      <c r="CI685" s="27"/>
      <c r="CJ685" s="27"/>
      <c r="CK685" s="27"/>
      <c r="CL685" s="27"/>
      <c r="CM685" s="27"/>
      <c r="CN685" s="27"/>
      <c r="CO685" s="27"/>
      <c r="CP685" s="27"/>
      <c r="CQ685" s="27"/>
      <c r="CR685" s="27"/>
      <c r="CS685" s="27"/>
      <c r="CT685" s="27"/>
      <c r="CU685" s="27"/>
      <c r="CV685" s="27"/>
      <c r="CW685" s="27"/>
      <c r="CX685" s="27"/>
      <c r="CY685" s="27"/>
      <c r="CZ685" s="27"/>
      <c r="DA685" s="27"/>
      <c r="DB685" s="27"/>
      <c r="DC685" s="27"/>
      <c r="DD685" s="27"/>
      <c r="DE685" s="27"/>
      <c r="DF685" s="27"/>
      <c r="DG685" s="27"/>
      <c r="DH685" s="27"/>
      <c r="DI685" s="27"/>
      <c r="DJ685" s="27"/>
      <c r="DK685" s="27"/>
      <c r="DL685" s="27"/>
      <c r="DM685" s="27"/>
      <c r="DN685" s="27"/>
      <c r="DO685" s="27"/>
      <c r="DP685" s="27"/>
      <c r="DQ685" s="27"/>
      <c r="DR685" s="27"/>
      <c r="DS685" s="27"/>
      <c r="DT685" s="27"/>
    </row>
    <row r="686" spans="7:124" x14ac:dyDescent="0.2">
      <c r="G686" s="27"/>
      <c r="H686" s="27"/>
      <c r="I686" s="27"/>
      <c r="J686" s="27"/>
      <c r="K686" s="27"/>
      <c r="L686" s="27"/>
      <c r="M686" s="27"/>
      <c r="N686" s="27"/>
      <c r="O686" s="27"/>
      <c r="P686" s="27"/>
      <c r="Q686" s="27"/>
      <c r="R686" s="27"/>
      <c r="S686" s="27"/>
      <c r="T686" s="27"/>
      <c r="U686" s="27"/>
      <c r="V686" s="27"/>
      <c r="W686" s="27"/>
      <c r="X686" s="27"/>
      <c r="Y686" s="27"/>
      <c r="Z686" s="27"/>
      <c r="AA686" s="27"/>
      <c r="AB686" s="27"/>
      <c r="AC686" s="27"/>
      <c r="AD686" s="27"/>
      <c r="AE686" s="27"/>
      <c r="AF686" s="27"/>
      <c r="AG686" s="27"/>
      <c r="AH686" s="27"/>
      <c r="AI686" s="27"/>
      <c r="AJ686" s="27"/>
      <c r="AK686" s="27"/>
      <c r="AL686" s="27"/>
      <c r="AM686" s="27"/>
      <c r="AN686" s="27"/>
      <c r="AO686" s="27"/>
      <c r="AP686" s="27"/>
      <c r="AQ686" s="27"/>
      <c r="AR686" s="27"/>
      <c r="AS686" s="27"/>
      <c r="AT686" s="27"/>
      <c r="AU686" s="27"/>
      <c r="AV686" s="27"/>
      <c r="AW686" s="27"/>
      <c r="AX686" s="27"/>
      <c r="AY686" s="27"/>
      <c r="AZ686" s="27"/>
      <c r="BA686" s="27"/>
      <c r="BB686" s="27"/>
      <c r="BC686" s="27"/>
      <c r="BD686" s="27"/>
      <c r="BE686" s="27"/>
      <c r="BF686" s="27"/>
      <c r="BG686" s="27"/>
      <c r="BH686" s="27"/>
      <c r="BI686" s="27"/>
      <c r="BJ686" s="27"/>
      <c r="BK686" s="27"/>
      <c r="BL686" s="27"/>
      <c r="BM686" s="27"/>
      <c r="BN686" s="27"/>
      <c r="BO686" s="27"/>
      <c r="BP686" s="27"/>
      <c r="BQ686" s="27"/>
      <c r="BR686" s="27"/>
      <c r="BS686" s="27"/>
      <c r="BT686" s="27"/>
      <c r="BU686" s="27"/>
      <c r="BV686" s="27"/>
      <c r="BW686" s="27"/>
      <c r="BX686" s="27"/>
      <c r="BY686" s="27"/>
      <c r="BZ686" s="27"/>
      <c r="CA686" s="27"/>
      <c r="CB686" s="27"/>
      <c r="CC686" s="27"/>
      <c r="CD686" s="27"/>
      <c r="CE686" s="27"/>
      <c r="CF686" s="27"/>
      <c r="CG686" s="27"/>
      <c r="CH686" s="27"/>
      <c r="CI686" s="27"/>
      <c r="CJ686" s="27"/>
      <c r="CK686" s="27"/>
      <c r="CL686" s="27"/>
      <c r="CM686" s="27"/>
      <c r="CN686" s="27"/>
      <c r="CO686" s="27"/>
      <c r="CP686" s="27"/>
      <c r="CQ686" s="27"/>
      <c r="CR686" s="27"/>
      <c r="CS686" s="27"/>
      <c r="CT686" s="27"/>
      <c r="CU686" s="27"/>
      <c r="CV686" s="27"/>
      <c r="CW686" s="27"/>
      <c r="CX686" s="27"/>
      <c r="CY686" s="27"/>
      <c r="CZ686" s="27"/>
      <c r="DA686" s="27"/>
      <c r="DB686" s="27"/>
      <c r="DC686" s="27"/>
      <c r="DD686" s="27"/>
      <c r="DE686" s="27"/>
      <c r="DF686" s="27"/>
      <c r="DG686" s="27"/>
      <c r="DH686" s="27"/>
      <c r="DI686" s="27"/>
      <c r="DJ686" s="27"/>
      <c r="DK686" s="27"/>
      <c r="DL686" s="27"/>
      <c r="DM686" s="27"/>
      <c r="DN686" s="27"/>
      <c r="DO686" s="27"/>
      <c r="DP686" s="27"/>
      <c r="DQ686" s="27"/>
      <c r="DR686" s="27"/>
      <c r="DS686" s="27"/>
      <c r="DT686" s="27"/>
    </row>
    <row r="687" spans="7:124" x14ac:dyDescent="0.2">
      <c r="G687" s="27"/>
      <c r="H687" s="27"/>
      <c r="I687" s="27"/>
      <c r="J687" s="27"/>
      <c r="K687" s="27"/>
      <c r="L687" s="27"/>
      <c r="M687" s="27"/>
      <c r="N687" s="27"/>
      <c r="O687" s="27"/>
      <c r="P687" s="27"/>
      <c r="Q687" s="27"/>
      <c r="R687" s="27"/>
      <c r="S687" s="27"/>
      <c r="T687" s="27"/>
      <c r="U687" s="27"/>
      <c r="V687" s="27"/>
      <c r="W687" s="27"/>
      <c r="X687" s="27"/>
      <c r="Y687" s="27"/>
      <c r="Z687" s="27"/>
      <c r="AA687" s="27"/>
      <c r="AB687" s="27"/>
      <c r="AC687" s="27"/>
      <c r="AD687" s="27"/>
      <c r="AE687" s="27"/>
      <c r="AF687" s="27"/>
      <c r="AG687" s="27"/>
      <c r="AH687" s="27"/>
      <c r="AI687" s="27"/>
      <c r="AJ687" s="27"/>
      <c r="AK687" s="27"/>
      <c r="AL687" s="27"/>
      <c r="AM687" s="27"/>
      <c r="AN687" s="27"/>
      <c r="AO687" s="27"/>
      <c r="AP687" s="27"/>
      <c r="AQ687" s="27"/>
      <c r="AR687" s="27"/>
      <c r="AS687" s="27"/>
      <c r="AT687" s="27"/>
      <c r="AU687" s="27"/>
      <c r="AV687" s="27"/>
      <c r="AW687" s="27"/>
      <c r="AX687" s="27"/>
      <c r="AY687" s="27"/>
      <c r="AZ687" s="27"/>
      <c r="BA687" s="27"/>
      <c r="BB687" s="27"/>
      <c r="BC687" s="27"/>
      <c r="BD687" s="27"/>
      <c r="BE687" s="27"/>
      <c r="BF687" s="27"/>
      <c r="BG687" s="27"/>
      <c r="BH687" s="27"/>
      <c r="BI687" s="27"/>
      <c r="BJ687" s="27"/>
      <c r="BK687" s="27"/>
      <c r="BL687" s="27"/>
      <c r="BM687" s="27"/>
      <c r="BN687" s="27"/>
      <c r="BO687" s="27"/>
      <c r="BP687" s="27"/>
      <c r="BQ687" s="27"/>
      <c r="BR687" s="27"/>
      <c r="BS687" s="27"/>
      <c r="BT687" s="27"/>
      <c r="BU687" s="27"/>
      <c r="BV687" s="27"/>
      <c r="BW687" s="27"/>
      <c r="BX687" s="27"/>
      <c r="BY687" s="27"/>
      <c r="BZ687" s="27"/>
      <c r="CA687" s="27"/>
      <c r="CB687" s="27"/>
      <c r="CC687" s="27"/>
      <c r="CD687" s="27"/>
      <c r="CE687" s="27"/>
      <c r="CF687" s="27"/>
      <c r="CG687" s="27"/>
      <c r="CH687" s="27"/>
      <c r="CI687" s="27"/>
      <c r="CJ687" s="27"/>
      <c r="CK687" s="27"/>
      <c r="CL687" s="27"/>
      <c r="CM687" s="27"/>
      <c r="CN687" s="27"/>
      <c r="CO687" s="27"/>
      <c r="CP687" s="27"/>
      <c r="CQ687" s="27"/>
      <c r="CR687" s="27"/>
      <c r="CS687" s="27"/>
      <c r="CT687" s="27"/>
      <c r="CU687" s="27"/>
      <c r="CV687" s="27"/>
      <c r="CW687" s="27"/>
      <c r="CX687" s="27"/>
      <c r="CY687" s="27"/>
      <c r="CZ687" s="27"/>
      <c r="DA687" s="27"/>
      <c r="DB687" s="27"/>
      <c r="DC687" s="27"/>
      <c r="DD687" s="27"/>
      <c r="DE687" s="27"/>
      <c r="DF687" s="27"/>
      <c r="DG687" s="27"/>
      <c r="DH687" s="27"/>
      <c r="DI687" s="27"/>
      <c r="DJ687" s="27"/>
      <c r="DK687" s="27"/>
      <c r="DL687" s="27"/>
      <c r="DM687" s="27"/>
      <c r="DN687" s="27"/>
      <c r="DO687" s="27"/>
      <c r="DP687" s="27"/>
      <c r="DQ687" s="27"/>
      <c r="DR687" s="27"/>
      <c r="DS687" s="27"/>
      <c r="DT687" s="27"/>
    </row>
    <row r="688" spans="7:124" x14ac:dyDescent="0.2">
      <c r="G688" s="27"/>
      <c r="H688" s="27"/>
      <c r="I688" s="27"/>
      <c r="J688" s="27"/>
      <c r="K688" s="27"/>
      <c r="L688" s="27"/>
      <c r="M688" s="27"/>
      <c r="N688" s="27"/>
      <c r="O688" s="27"/>
      <c r="P688" s="27"/>
      <c r="Q688" s="27"/>
      <c r="R688" s="27"/>
      <c r="S688" s="27"/>
      <c r="T688" s="27"/>
      <c r="U688" s="27"/>
      <c r="V688" s="27"/>
      <c r="W688" s="27"/>
      <c r="X688" s="27"/>
      <c r="Y688" s="27"/>
      <c r="Z688" s="27"/>
      <c r="AA688" s="27"/>
      <c r="AB688" s="27"/>
      <c r="AC688" s="27"/>
      <c r="AD688" s="27"/>
      <c r="AE688" s="27"/>
      <c r="AF688" s="27"/>
      <c r="AG688" s="27"/>
      <c r="AH688" s="27"/>
      <c r="AI688" s="27"/>
      <c r="AJ688" s="27"/>
      <c r="AK688" s="27"/>
      <c r="AL688" s="27"/>
      <c r="AM688" s="27"/>
      <c r="AN688" s="27"/>
      <c r="AO688" s="27"/>
      <c r="AP688" s="27"/>
      <c r="AQ688" s="27"/>
      <c r="AR688" s="27"/>
      <c r="AS688" s="27"/>
      <c r="AT688" s="27"/>
      <c r="AU688" s="27"/>
      <c r="AV688" s="27"/>
      <c r="AW688" s="27"/>
      <c r="AX688" s="27"/>
      <c r="AY688" s="27"/>
      <c r="AZ688" s="27"/>
      <c r="BA688" s="27"/>
      <c r="BB688" s="27"/>
      <c r="BC688" s="27"/>
      <c r="BD688" s="27"/>
      <c r="BE688" s="27"/>
      <c r="BF688" s="27"/>
      <c r="BG688" s="27"/>
      <c r="BH688" s="27"/>
      <c r="BI688" s="27"/>
      <c r="BJ688" s="27"/>
      <c r="BK688" s="27"/>
      <c r="BL688" s="27"/>
      <c r="BM688" s="27"/>
      <c r="BN688" s="27"/>
      <c r="BO688" s="27"/>
      <c r="BP688" s="27"/>
      <c r="BQ688" s="27"/>
      <c r="BR688" s="27"/>
      <c r="BS688" s="27"/>
      <c r="BT688" s="27"/>
      <c r="BU688" s="27"/>
      <c r="BV688" s="27"/>
      <c r="BW688" s="27"/>
      <c r="BX688" s="27"/>
      <c r="BY688" s="27"/>
      <c r="BZ688" s="27"/>
      <c r="CA688" s="27"/>
      <c r="CB688" s="27"/>
      <c r="CC688" s="27"/>
      <c r="CD688" s="27"/>
      <c r="CE688" s="27"/>
      <c r="CF688" s="27"/>
      <c r="CG688" s="27"/>
      <c r="CH688" s="27"/>
      <c r="CI688" s="27"/>
      <c r="CJ688" s="27"/>
      <c r="CK688" s="27"/>
      <c r="CL688" s="27"/>
      <c r="CM688" s="27"/>
      <c r="CN688" s="27"/>
      <c r="CO688" s="27"/>
      <c r="CP688" s="27"/>
      <c r="CQ688" s="27"/>
      <c r="CR688" s="27"/>
      <c r="CS688" s="27"/>
      <c r="CT688" s="27"/>
      <c r="CU688" s="27"/>
      <c r="CV688" s="27"/>
      <c r="CW688" s="27"/>
      <c r="CX688" s="27"/>
      <c r="CY688" s="27"/>
      <c r="CZ688" s="27"/>
      <c r="DA688" s="27"/>
      <c r="DB688" s="27"/>
      <c r="DC688" s="27"/>
      <c r="DD688" s="27"/>
      <c r="DE688" s="27"/>
      <c r="DF688" s="27"/>
      <c r="DG688" s="27"/>
      <c r="DH688" s="27"/>
      <c r="DI688" s="27"/>
      <c r="DJ688" s="27"/>
      <c r="DK688" s="27"/>
      <c r="DL688" s="27"/>
      <c r="DM688" s="27"/>
      <c r="DN688" s="27"/>
      <c r="DO688" s="27"/>
      <c r="DP688" s="27"/>
      <c r="DQ688" s="27"/>
      <c r="DR688" s="27"/>
      <c r="DS688" s="27"/>
      <c r="DT688" s="27"/>
    </row>
    <row r="689" spans="7:124" x14ac:dyDescent="0.2">
      <c r="G689" s="27"/>
      <c r="H689" s="27"/>
      <c r="I689" s="27"/>
      <c r="J689" s="27"/>
      <c r="K689" s="27"/>
      <c r="L689" s="27"/>
      <c r="M689" s="27"/>
      <c r="N689" s="27"/>
      <c r="O689" s="27"/>
      <c r="P689" s="27"/>
      <c r="Q689" s="27"/>
      <c r="R689" s="27"/>
      <c r="S689" s="27"/>
      <c r="T689" s="27"/>
      <c r="U689" s="27"/>
      <c r="V689" s="27"/>
      <c r="W689" s="27"/>
      <c r="X689" s="27"/>
      <c r="Y689" s="27"/>
      <c r="Z689" s="27"/>
      <c r="AA689" s="27"/>
      <c r="AB689" s="27"/>
      <c r="AC689" s="27"/>
      <c r="AD689" s="27"/>
      <c r="AE689" s="27"/>
      <c r="AF689" s="27"/>
      <c r="AG689" s="27"/>
      <c r="AH689" s="27"/>
      <c r="AI689" s="27"/>
      <c r="AJ689" s="27"/>
      <c r="AK689" s="27"/>
      <c r="AL689" s="27"/>
      <c r="AM689" s="27"/>
      <c r="AN689" s="27"/>
      <c r="AO689" s="27"/>
      <c r="AP689" s="27"/>
      <c r="AQ689" s="27"/>
      <c r="AR689" s="27"/>
      <c r="AS689" s="27"/>
      <c r="AT689" s="27"/>
      <c r="AU689" s="27"/>
      <c r="AV689" s="27"/>
      <c r="AW689" s="27"/>
      <c r="AX689" s="27"/>
      <c r="AY689" s="27"/>
      <c r="AZ689" s="27"/>
      <c r="BA689" s="27"/>
      <c r="BB689" s="27"/>
      <c r="BC689" s="27"/>
      <c r="BD689" s="27"/>
      <c r="BE689" s="27"/>
      <c r="BF689" s="27"/>
      <c r="BG689" s="27"/>
      <c r="BH689" s="27"/>
      <c r="BI689" s="27"/>
      <c r="BJ689" s="27"/>
      <c r="BK689" s="27"/>
      <c r="BL689" s="27"/>
      <c r="BM689" s="27"/>
      <c r="BN689" s="27"/>
      <c r="BO689" s="27"/>
      <c r="BP689" s="27"/>
      <c r="BQ689" s="27"/>
      <c r="BR689" s="27"/>
      <c r="BS689" s="27"/>
      <c r="BT689" s="27"/>
      <c r="BU689" s="27"/>
      <c r="BV689" s="27"/>
      <c r="BW689" s="27"/>
      <c r="BX689" s="27"/>
      <c r="BY689" s="27"/>
      <c r="BZ689" s="27"/>
      <c r="CA689" s="27"/>
      <c r="CB689" s="27"/>
      <c r="CC689" s="27"/>
      <c r="CD689" s="27"/>
      <c r="CE689" s="27"/>
      <c r="CF689" s="27"/>
      <c r="CG689" s="27"/>
      <c r="CH689" s="27"/>
      <c r="CI689" s="27"/>
      <c r="CJ689" s="27"/>
      <c r="CK689" s="27"/>
      <c r="CL689" s="27"/>
      <c r="CM689" s="27"/>
      <c r="CN689" s="27"/>
      <c r="CO689" s="27"/>
      <c r="CP689" s="27"/>
      <c r="CQ689" s="27"/>
      <c r="CR689" s="27"/>
      <c r="CS689" s="27"/>
      <c r="CT689" s="27"/>
      <c r="CU689" s="27"/>
      <c r="CV689" s="27"/>
      <c r="CW689" s="27"/>
      <c r="CX689" s="27"/>
      <c r="CY689" s="27"/>
      <c r="CZ689" s="27"/>
      <c r="DA689" s="27"/>
      <c r="DB689" s="27"/>
      <c r="DC689" s="27"/>
      <c r="DD689" s="27"/>
      <c r="DE689" s="27"/>
      <c r="DF689" s="27"/>
      <c r="DG689" s="27"/>
      <c r="DH689" s="27"/>
      <c r="DI689" s="27"/>
      <c r="DJ689" s="27"/>
      <c r="DK689" s="27"/>
      <c r="DL689" s="27"/>
      <c r="DM689" s="27"/>
      <c r="DN689" s="27"/>
      <c r="DO689" s="27"/>
      <c r="DP689" s="27"/>
      <c r="DQ689" s="27"/>
      <c r="DR689" s="27"/>
      <c r="DS689" s="27"/>
      <c r="DT689" s="27"/>
    </row>
    <row r="690" spans="7:124" x14ac:dyDescent="0.2">
      <c r="G690" s="27"/>
      <c r="H690" s="27"/>
      <c r="I690" s="27"/>
      <c r="J690" s="27"/>
      <c r="K690" s="27"/>
      <c r="L690" s="27"/>
      <c r="M690" s="27"/>
      <c r="N690" s="27"/>
      <c r="O690" s="27"/>
      <c r="P690" s="27"/>
      <c r="Q690" s="27"/>
      <c r="R690" s="27"/>
      <c r="S690" s="27"/>
      <c r="T690" s="27"/>
      <c r="U690" s="27"/>
      <c r="V690" s="27"/>
      <c r="W690" s="27"/>
      <c r="X690" s="27"/>
      <c r="Y690" s="27"/>
      <c r="Z690" s="27"/>
      <c r="AA690" s="27"/>
      <c r="AB690" s="27"/>
      <c r="AC690" s="27"/>
      <c r="AD690" s="27"/>
      <c r="AE690" s="27"/>
      <c r="AF690" s="27"/>
      <c r="AG690" s="27"/>
      <c r="AH690" s="27"/>
      <c r="AI690" s="27"/>
      <c r="AJ690" s="27"/>
      <c r="AK690" s="27"/>
      <c r="AL690" s="27"/>
      <c r="AM690" s="27"/>
      <c r="AN690" s="27"/>
      <c r="AO690" s="27"/>
      <c r="AP690" s="27"/>
      <c r="AQ690" s="27"/>
      <c r="AR690" s="27"/>
      <c r="AS690" s="27"/>
      <c r="AT690" s="27"/>
      <c r="AU690" s="27"/>
      <c r="AV690" s="27"/>
      <c r="AW690" s="27"/>
      <c r="AX690" s="27"/>
      <c r="AY690" s="27"/>
      <c r="AZ690" s="27"/>
      <c r="BA690" s="27"/>
      <c r="BB690" s="27"/>
      <c r="BC690" s="27"/>
      <c r="BD690" s="27"/>
      <c r="BE690" s="27"/>
      <c r="BF690" s="27"/>
      <c r="BG690" s="27"/>
      <c r="BH690" s="27"/>
      <c r="BI690" s="27"/>
      <c r="BJ690" s="27"/>
      <c r="BK690" s="27"/>
      <c r="BL690" s="27"/>
      <c r="BM690" s="27"/>
      <c r="BN690" s="27"/>
      <c r="BO690" s="27"/>
      <c r="BP690" s="27"/>
      <c r="BQ690" s="27"/>
      <c r="BR690" s="27"/>
      <c r="BS690" s="27"/>
      <c r="BT690" s="27"/>
      <c r="BU690" s="27"/>
      <c r="BV690" s="27"/>
      <c r="BW690" s="27"/>
      <c r="BX690" s="27"/>
      <c r="BY690" s="27"/>
      <c r="BZ690" s="27"/>
      <c r="CA690" s="27"/>
      <c r="CB690" s="27"/>
      <c r="CC690" s="27"/>
      <c r="CD690" s="27"/>
      <c r="CE690" s="27"/>
      <c r="CF690" s="27"/>
      <c r="CG690" s="27"/>
      <c r="CH690" s="27"/>
      <c r="CI690" s="27"/>
      <c r="CJ690" s="27"/>
      <c r="CK690" s="27"/>
      <c r="CL690" s="27"/>
      <c r="CM690" s="27"/>
      <c r="CN690" s="27"/>
      <c r="CO690" s="27"/>
      <c r="CP690" s="27"/>
      <c r="CQ690" s="27"/>
      <c r="CR690" s="27"/>
      <c r="CS690" s="27"/>
      <c r="CT690" s="27"/>
      <c r="CU690" s="27"/>
      <c r="CV690" s="27"/>
      <c r="CW690" s="27"/>
      <c r="CX690" s="27"/>
      <c r="CY690" s="27"/>
      <c r="CZ690" s="27"/>
      <c r="DA690" s="27"/>
      <c r="DB690" s="27"/>
      <c r="DC690" s="27"/>
      <c r="DD690" s="27"/>
      <c r="DE690" s="27"/>
      <c r="DF690" s="27"/>
      <c r="DG690" s="27"/>
      <c r="DH690" s="27"/>
      <c r="DI690" s="27"/>
      <c r="DJ690" s="27"/>
      <c r="DK690" s="27"/>
      <c r="DL690" s="27"/>
      <c r="DM690" s="27"/>
      <c r="DN690" s="27"/>
      <c r="DO690" s="27"/>
      <c r="DP690" s="27"/>
      <c r="DQ690" s="27"/>
      <c r="DR690" s="27"/>
      <c r="DS690" s="27"/>
      <c r="DT690" s="27"/>
    </row>
    <row r="691" spans="7:124" x14ac:dyDescent="0.2">
      <c r="G691" s="27"/>
      <c r="H691" s="27"/>
      <c r="I691" s="27"/>
      <c r="J691" s="27"/>
      <c r="K691" s="27"/>
      <c r="L691" s="27"/>
      <c r="M691" s="27"/>
      <c r="N691" s="27"/>
      <c r="O691" s="27"/>
      <c r="P691" s="27"/>
      <c r="Q691" s="27"/>
      <c r="R691" s="27"/>
      <c r="S691" s="27"/>
      <c r="T691" s="27"/>
      <c r="U691" s="27"/>
      <c r="V691" s="27"/>
      <c r="W691" s="27"/>
      <c r="X691" s="27"/>
      <c r="Y691" s="27"/>
      <c r="Z691" s="27"/>
      <c r="AA691" s="27"/>
      <c r="AB691" s="27"/>
      <c r="AC691" s="27"/>
      <c r="AD691" s="27"/>
      <c r="AE691" s="27"/>
      <c r="AF691" s="27"/>
      <c r="AG691" s="27"/>
      <c r="AH691" s="27"/>
      <c r="AI691" s="27"/>
      <c r="AJ691" s="27"/>
      <c r="AK691" s="27"/>
      <c r="AL691" s="27"/>
      <c r="AM691" s="27"/>
      <c r="AN691" s="27"/>
      <c r="AO691" s="27"/>
      <c r="AP691" s="27"/>
      <c r="AQ691" s="27"/>
      <c r="AR691" s="27"/>
      <c r="AS691" s="27"/>
      <c r="AT691" s="27"/>
      <c r="AU691" s="27"/>
      <c r="AV691" s="27"/>
      <c r="AW691" s="27"/>
      <c r="AX691" s="27"/>
      <c r="AY691" s="27"/>
      <c r="AZ691" s="27"/>
      <c r="BA691" s="27"/>
      <c r="BB691" s="27"/>
      <c r="BC691" s="27"/>
      <c r="BD691" s="27"/>
      <c r="BE691" s="27"/>
      <c r="BF691" s="27"/>
      <c r="BG691" s="27"/>
      <c r="BH691" s="27"/>
      <c r="BI691" s="27"/>
      <c r="BJ691" s="27"/>
      <c r="BK691" s="27"/>
      <c r="BL691" s="27"/>
      <c r="BM691" s="27"/>
      <c r="BN691" s="27"/>
      <c r="BO691" s="27"/>
      <c r="BP691" s="27"/>
      <c r="BQ691" s="27"/>
      <c r="BR691" s="27"/>
      <c r="BS691" s="27"/>
      <c r="BT691" s="27"/>
      <c r="BU691" s="27"/>
      <c r="BV691" s="27"/>
      <c r="BW691" s="27"/>
      <c r="BX691" s="27"/>
      <c r="BY691" s="27"/>
      <c r="BZ691" s="27"/>
      <c r="CA691" s="27"/>
      <c r="CB691" s="27"/>
      <c r="CC691" s="27"/>
      <c r="CD691" s="27"/>
      <c r="CE691" s="27"/>
      <c r="CF691" s="27"/>
      <c r="CG691" s="27"/>
      <c r="CH691" s="27"/>
      <c r="CI691" s="27"/>
      <c r="CJ691" s="27"/>
      <c r="CK691" s="27"/>
      <c r="CL691" s="27"/>
      <c r="CM691" s="27"/>
      <c r="CN691" s="27"/>
      <c r="CO691" s="27"/>
      <c r="CP691" s="27"/>
      <c r="CQ691" s="27"/>
      <c r="CR691" s="27"/>
      <c r="CS691" s="27"/>
      <c r="CT691" s="27"/>
      <c r="CU691" s="27"/>
      <c r="CV691" s="27"/>
      <c r="CW691" s="27"/>
      <c r="CX691" s="27"/>
      <c r="CY691" s="27"/>
      <c r="CZ691" s="27"/>
      <c r="DA691" s="27"/>
      <c r="DB691" s="27"/>
      <c r="DC691" s="27"/>
      <c r="DD691" s="27"/>
      <c r="DE691" s="27"/>
      <c r="DF691" s="27"/>
      <c r="DG691" s="27"/>
      <c r="DH691" s="27"/>
      <c r="DI691" s="27"/>
      <c r="DJ691" s="27"/>
      <c r="DK691" s="27"/>
      <c r="DL691" s="27"/>
      <c r="DM691" s="27"/>
      <c r="DN691" s="27"/>
      <c r="DO691" s="27"/>
      <c r="DP691" s="27"/>
      <c r="DQ691" s="27"/>
      <c r="DR691" s="27"/>
      <c r="DS691" s="27"/>
      <c r="DT691" s="27"/>
    </row>
    <row r="692" spans="7:124" x14ac:dyDescent="0.2">
      <c r="G692" s="27"/>
      <c r="H692" s="27"/>
      <c r="I692" s="27"/>
      <c r="J692" s="27"/>
      <c r="K692" s="27"/>
      <c r="L692" s="27"/>
      <c r="M692" s="27"/>
      <c r="N692" s="27"/>
      <c r="O692" s="27"/>
      <c r="P692" s="27"/>
      <c r="Q692" s="27"/>
      <c r="R692" s="27"/>
      <c r="S692" s="27"/>
      <c r="T692" s="27"/>
      <c r="U692" s="27"/>
      <c r="V692" s="27"/>
      <c r="W692" s="27"/>
      <c r="X692" s="27"/>
      <c r="Y692" s="27"/>
      <c r="Z692" s="27"/>
      <c r="AA692" s="27"/>
      <c r="AB692" s="27"/>
      <c r="AC692" s="27"/>
      <c r="AD692" s="27"/>
      <c r="AE692" s="27"/>
      <c r="AF692" s="27"/>
      <c r="AG692" s="27"/>
      <c r="AH692" s="27"/>
      <c r="AI692" s="27"/>
      <c r="AJ692" s="27"/>
      <c r="AK692" s="27"/>
      <c r="AL692" s="27"/>
      <c r="AM692" s="27"/>
      <c r="AN692" s="27"/>
      <c r="AO692" s="27"/>
      <c r="AP692" s="27"/>
      <c r="AQ692" s="27"/>
      <c r="AR692" s="27"/>
      <c r="AS692" s="27"/>
      <c r="AT692" s="27"/>
      <c r="AU692" s="27"/>
      <c r="AV692" s="27"/>
      <c r="AW692" s="27"/>
      <c r="AX692" s="27"/>
      <c r="AY692" s="27"/>
      <c r="AZ692" s="27"/>
      <c r="BA692" s="27"/>
      <c r="BB692" s="27"/>
      <c r="BC692" s="27"/>
      <c r="BD692" s="27"/>
      <c r="BE692" s="27"/>
      <c r="BF692" s="27"/>
      <c r="BG692" s="27"/>
      <c r="BH692" s="27"/>
      <c r="BI692" s="27"/>
      <c r="BJ692" s="27"/>
      <c r="BK692" s="27"/>
      <c r="BL692" s="27"/>
      <c r="BM692" s="27"/>
      <c r="BN692" s="27"/>
      <c r="BO692" s="27"/>
      <c r="BP692" s="27"/>
      <c r="BQ692" s="27"/>
      <c r="BR692" s="27"/>
      <c r="BS692" s="27"/>
      <c r="BT692" s="27"/>
      <c r="BU692" s="27"/>
      <c r="BV692" s="27"/>
      <c r="BW692" s="27"/>
      <c r="BX692" s="27"/>
      <c r="BY692" s="27"/>
      <c r="BZ692" s="27"/>
      <c r="CA692" s="27"/>
      <c r="CB692" s="27"/>
      <c r="CC692" s="27"/>
      <c r="CD692" s="27"/>
      <c r="CE692" s="27"/>
      <c r="CF692" s="27"/>
      <c r="CG692" s="27"/>
      <c r="CH692" s="27"/>
      <c r="CI692" s="27"/>
      <c r="CJ692" s="27"/>
      <c r="CK692" s="27"/>
      <c r="CL692" s="27"/>
      <c r="CM692" s="27"/>
      <c r="CN692" s="27"/>
      <c r="CO692" s="27"/>
      <c r="CP692" s="27"/>
      <c r="CQ692" s="27"/>
      <c r="CR692" s="27"/>
      <c r="CS692" s="27"/>
      <c r="CT692" s="27"/>
      <c r="CU692" s="27"/>
      <c r="CV692" s="27"/>
      <c r="CW692" s="27"/>
      <c r="CX692" s="27"/>
      <c r="CY692" s="27"/>
      <c r="CZ692" s="27"/>
      <c r="DA692" s="27"/>
      <c r="DB692" s="27"/>
      <c r="DC692" s="27"/>
      <c r="DD692" s="27"/>
      <c r="DE692" s="27"/>
      <c r="DF692" s="27"/>
      <c r="DG692" s="27"/>
      <c r="DH692" s="27"/>
      <c r="DI692" s="27"/>
      <c r="DJ692" s="27"/>
      <c r="DK692" s="27"/>
      <c r="DL692" s="27"/>
      <c r="DM692" s="27"/>
      <c r="DN692" s="27"/>
      <c r="DO692" s="27"/>
      <c r="DP692" s="27"/>
      <c r="DQ692" s="27"/>
      <c r="DR692" s="27"/>
      <c r="DS692" s="27"/>
      <c r="DT692" s="27"/>
    </row>
    <row r="693" spans="7:124" x14ac:dyDescent="0.2">
      <c r="G693" s="27"/>
      <c r="H693" s="27"/>
      <c r="I693" s="27"/>
      <c r="J693" s="27"/>
      <c r="K693" s="27"/>
      <c r="L693" s="27"/>
      <c r="M693" s="27"/>
      <c r="N693" s="27"/>
      <c r="O693" s="27"/>
      <c r="P693" s="27"/>
      <c r="Q693" s="27"/>
      <c r="R693" s="27"/>
      <c r="S693" s="27"/>
      <c r="T693" s="27"/>
      <c r="U693" s="27"/>
      <c r="V693" s="27"/>
      <c r="W693" s="27"/>
      <c r="X693" s="27"/>
      <c r="Y693" s="27"/>
      <c r="Z693" s="27"/>
      <c r="AA693" s="27"/>
      <c r="AB693" s="27"/>
      <c r="AC693" s="27"/>
      <c r="AD693" s="27"/>
      <c r="AE693" s="27"/>
      <c r="AF693" s="27"/>
      <c r="AG693" s="27"/>
      <c r="AH693" s="27"/>
      <c r="AI693" s="27"/>
      <c r="AJ693" s="27"/>
      <c r="AK693" s="27"/>
      <c r="AL693" s="27"/>
      <c r="AM693" s="27"/>
      <c r="AN693" s="27"/>
      <c r="AO693" s="27"/>
      <c r="AP693" s="27"/>
      <c r="AQ693" s="27"/>
      <c r="AR693" s="27"/>
      <c r="AS693" s="27"/>
      <c r="AT693" s="27"/>
      <c r="AU693" s="27"/>
      <c r="AV693" s="27"/>
      <c r="AW693" s="27"/>
      <c r="AX693" s="27"/>
      <c r="AY693" s="27"/>
      <c r="AZ693" s="27"/>
      <c r="BA693" s="27"/>
      <c r="BB693" s="27"/>
      <c r="BC693" s="27"/>
      <c r="BD693" s="27"/>
      <c r="BE693" s="27"/>
      <c r="BF693" s="27"/>
      <c r="BG693" s="27"/>
      <c r="BH693" s="27"/>
      <c r="BI693" s="27"/>
      <c r="BJ693" s="27"/>
      <c r="BK693" s="27"/>
      <c r="BL693" s="27"/>
      <c r="BM693" s="27"/>
      <c r="BN693" s="27"/>
      <c r="BO693" s="27"/>
      <c r="BP693" s="27"/>
      <c r="BQ693" s="27"/>
      <c r="BR693" s="27"/>
      <c r="BS693" s="27"/>
      <c r="BT693" s="27"/>
      <c r="BU693" s="27"/>
      <c r="BV693" s="27"/>
      <c r="BW693" s="27"/>
      <c r="BX693" s="27"/>
      <c r="BY693" s="27"/>
      <c r="BZ693" s="27"/>
      <c r="CA693" s="27"/>
      <c r="CB693" s="27"/>
      <c r="CC693" s="27"/>
      <c r="CD693" s="27"/>
      <c r="CE693" s="27"/>
      <c r="CF693" s="27"/>
      <c r="CG693" s="27"/>
      <c r="CH693" s="27"/>
      <c r="CI693" s="27"/>
      <c r="CJ693" s="27"/>
      <c r="CK693" s="27"/>
      <c r="CL693" s="27"/>
      <c r="CM693" s="27"/>
      <c r="CN693" s="27"/>
      <c r="CO693" s="27"/>
      <c r="CP693" s="27"/>
      <c r="CQ693" s="27"/>
      <c r="CR693" s="27"/>
      <c r="CS693" s="27"/>
      <c r="CT693" s="27"/>
      <c r="CU693" s="27"/>
      <c r="CV693" s="27"/>
      <c r="CW693" s="27"/>
      <c r="CX693" s="27"/>
      <c r="CY693" s="27"/>
      <c r="CZ693" s="27"/>
      <c r="DA693" s="27"/>
      <c r="DB693" s="27"/>
      <c r="DC693" s="27"/>
      <c r="DD693" s="27"/>
      <c r="DE693" s="27"/>
      <c r="DF693" s="27"/>
      <c r="DG693" s="27"/>
      <c r="DH693" s="27"/>
      <c r="DI693" s="27"/>
      <c r="DJ693" s="27"/>
      <c r="DK693" s="27"/>
      <c r="DL693" s="27"/>
      <c r="DM693" s="27"/>
      <c r="DN693" s="27"/>
      <c r="DO693" s="27"/>
      <c r="DP693" s="27"/>
      <c r="DQ693" s="27"/>
      <c r="DR693" s="27"/>
      <c r="DS693" s="27"/>
      <c r="DT693" s="27"/>
    </row>
    <row r="694" spans="7:124" x14ac:dyDescent="0.2">
      <c r="G694" s="27"/>
      <c r="H694" s="27"/>
      <c r="I694" s="27"/>
      <c r="J694" s="27"/>
      <c r="K694" s="27"/>
      <c r="L694" s="27"/>
      <c r="M694" s="27"/>
      <c r="N694" s="27"/>
      <c r="O694" s="27"/>
      <c r="P694" s="27"/>
      <c r="Q694" s="27"/>
      <c r="R694" s="27"/>
      <c r="S694" s="27"/>
      <c r="T694" s="27"/>
      <c r="U694" s="27"/>
      <c r="V694" s="27"/>
      <c r="W694" s="27"/>
      <c r="X694" s="27"/>
      <c r="Y694" s="27"/>
      <c r="Z694" s="27"/>
      <c r="AA694" s="27"/>
      <c r="AB694" s="27"/>
      <c r="AC694" s="27"/>
      <c r="AD694" s="27"/>
      <c r="AE694" s="27"/>
      <c r="AF694" s="27"/>
      <c r="AG694" s="27"/>
      <c r="AH694" s="27"/>
      <c r="AI694" s="27"/>
      <c r="AJ694" s="27"/>
      <c r="AK694" s="27"/>
      <c r="AL694" s="27"/>
      <c r="AM694" s="27"/>
      <c r="AN694" s="27"/>
      <c r="AO694" s="27"/>
      <c r="AP694" s="27"/>
      <c r="AQ694" s="27"/>
      <c r="AR694" s="27"/>
      <c r="AS694" s="27"/>
      <c r="AT694" s="27"/>
      <c r="AU694" s="27"/>
      <c r="AV694" s="27"/>
      <c r="AW694" s="27"/>
      <c r="AX694" s="27"/>
      <c r="AY694" s="27"/>
      <c r="AZ694" s="27"/>
      <c r="BA694" s="27"/>
      <c r="BB694" s="27"/>
      <c r="BC694" s="27"/>
      <c r="BD694" s="27"/>
      <c r="BE694" s="27"/>
      <c r="BF694" s="27"/>
      <c r="BG694" s="27"/>
      <c r="BH694" s="27"/>
      <c r="BI694" s="27"/>
      <c r="BJ694" s="27"/>
      <c r="BK694" s="27"/>
      <c r="BL694" s="27"/>
      <c r="BM694" s="27"/>
      <c r="BN694" s="27"/>
      <c r="BO694" s="27"/>
      <c r="BP694" s="27"/>
      <c r="BQ694" s="27"/>
      <c r="BR694" s="27"/>
      <c r="BS694" s="27"/>
      <c r="BT694" s="27"/>
      <c r="BU694" s="27"/>
      <c r="BV694" s="27"/>
      <c r="BW694" s="27"/>
      <c r="BX694" s="27"/>
      <c r="BY694" s="27"/>
      <c r="BZ694" s="27"/>
      <c r="CA694" s="27"/>
      <c r="CB694" s="27"/>
      <c r="CC694" s="27"/>
      <c r="CD694" s="27"/>
      <c r="CE694" s="27"/>
      <c r="CF694" s="27"/>
      <c r="CG694" s="27"/>
      <c r="CH694" s="27"/>
      <c r="CI694" s="27"/>
      <c r="CJ694" s="27"/>
      <c r="CK694" s="27"/>
      <c r="CL694" s="27"/>
      <c r="CM694" s="27"/>
      <c r="CN694" s="27"/>
      <c r="CO694" s="27"/>
      <c r="CP694" s="27"/>
      <c r="CQ694" s="27"/>
      <c r="CR694" s="27"/>
      <c r="CS694" s="27"/>
      <c r="CT694" s="27"/>
      <c r="CU694" s="27"/>
      <c r="CV694" s="27"/>
      <c r="CW694" s="27"/>
      <c r="CX694" s="27"/>
      <c r="CY694" s="27"/>
      <c r="CZ694" s="27"/>
      <c r="DA694" s="27"/>
      <c r="DB694" s="27"/>
      <c r="DC694" s="27"/>
      <c r="DD694" s="27"/>
      <c r="DE694" s="27"/>
      <c r="DF694" s="27"/>
      <c r="DG694" s="27"/>
      <c r="DH694" s="27"/>
      <c r="DI694" s="27"/>
      <c r="DJ694" s="27"/>
      <c r="DK694" s="27"/>
      <c r="DL694" s="27"/>
      <c r="DM694" s="27"/>
      <c r="DN694" s="27"/>
      <c r="DO694" s="27"/>
      <c r="DP694" s="27"/>
      <c r="DQ694" s="27"/>
      <c r="DR694" s="27"/>
      <c r="DS694" s="27"/>
      <c r="DT694" s="27"/>
    </row>
    <row r="695" spans="7:124" x14ac:dyDescent="0.2">
      <c r="G695" s="27"/>
      <c r="H695" s="27"/>
      <c r="I695" s="27"/>
      <c r="J695" s="27"/>
      <c r="K695" s="27"/>
      <c r="L695" s="27"/>
      <c r="M695" s="27"/>
      <c r="N695" s="27"/>
      <c r="O695" s="27"/>
      <c r="P695" s="27"/>
      <c r="Q695" s="27"/>
      <c r="R695" s="27"/>
      <c r="S695" s="27"/>
      <c r="T695" s="27"/>
      <c r="U695" s="27"/>
      <c r="V695" s="27"/>
      <c r="W695" s="27"/>
      <c r="X695" s="27"/>
      <c r="Y695" s="27"/>
      <c r="Z695" s="27"/>
      <c r="AA695" s="27"/>
      <c r="AB695" s="27"/>
      <c r="AC695" s="27"/>
      <c r="AD695" s="27"/>
      <c r="AE695" s="27"/>
      <c r="AF695" s="27"/>
      <c r="AG695" s="27"/>
      <c r="AH695" s="27"/>
      <c r="AI695" s="27"/>
      <c r="AJ695" s="27"/>
      <c r="AK695" s="27"/>
      <c r="AL695" s="27"/>
      <c r="AM695" s="27"/>
      <c r="AN695" s="27"/>
      <c r="AO695" s="27"/>
      <c r="AP695" s="27"/>
      <c r="AQ695" s="27"/>
      <c r="AR695" s="27"/>
      <c r="AS695" s="27"/>
      <c r="AT695" s="27"/>
      <c r="AU695" s="27"/>
      <c r="AV695" s="27"/>
      <c r="AW695" s="27"/>
      <c r="AX695" s="27"/>
      <c r="AY695" s="27"/>
      <c r="AZ695" s="27"/>
      <c r="BA695" s="27"/>
      <c r="BB695" s="27"/>
      <c r="BC695" s="27"/>
      <c r="BD695" s="27"/>
      <c r="BE695" s="27"/>
      <c r="BF695" s="27"/>
      <c r="BG695" s="27"/>
      <c r="BH695" s="27"/>
      <c r="BI695" s="27"/>
      <c r="BJ695" s="27"/>
      <c r="BK695" s="27"/>
      <c r="BL695" s="27"/>
      <c r="BM695" s="27"/>
      <c r="BN695" s="27"/>
      <c r="BO695" s="27"/>
      <c r="BP695" s="27"/>
      <c r="BQ695" s="27"/>
      <c r="BR695" s="27"/>
      <c r="BS695" s="27"/>
      <c r="BT695" s="27"/>
      <c r="BU695" s="27"/>
      <c r="BV695" s="27"/>
      <c r="BW695" s="27"/>
      <c r="BX695" s="27"/>
      <c r="BY695" s="27"/>
      <c r="BZ695" s="27"/>
      <c r="CA695" s="27"/>
      <c r="CB695" s="27"/>
      <c r="CC695" s="27"/>
      <c r="CD695" s="27"/>
      <c r="CE695" s="27"/>
      <c r="CF695" s="27"/>
      <c r="CG695" s="27"/>
      <c r="CH695" s="27"/>
      <c r="CI695" s="27"/>
      <c r="CJ695" s="27"/>
      <c r="CK695" s="27"/>
      <c r="CL695" s="27"/>
      <c r="CM695" s="27"/>
      <c r="CN695" s="27"/>
      <c r="CO695" s="27"/>
      <c r="CP695" s="27"/>
      <c r="CQ695" s="27"/>
      <c r="CR695" s="27"/>
      <c r="CS695" s="27"/>
      <c r="CT695" s="27"/>
      <c r="CU695" s="27"/>
      <c r="CV695" s="27"/>
      <c r="CW695" s="27"/>
      <c r="CX695" s="27"/>
      <c r="CY695" s="27"/>
      <c r="CZ695" s="27"/>
      <c r="DA695" s="27"/>
      <c r="DB695" s="27"/>
      <c r="DC695" s="27"/>
      <c r="DD695" s="27"/>
      <c r="DE695" s="27"/>
      <c r="DF695" s="27"/>
      <c r="DG695" s="27"/>
      <c r="DH695" s="27"/>
      <c r="DI695" s="27"/>
      <c r="DJ695" s="27"/>
      <c r="DK695" s="27"/>
      <c r="DL695" s="27"/>
      <c r="DM695" s="27"/>
      <c r="DN695" s="27"/>
      <c r="DO695" s="27"/>
      <c r="DP695" s="27"/>
      <c r="DQ695" s="27"/>
      <c r="DR695" s="27"/>
      <c r="DS695" s="27"/>
      <c r="DT695" s="27"/>
    </row>
    <row r="696" spans="7:124" x14ac:dyDescent="0.2">
      <c r="G696" s="27"/>
      <c r="H696" s="27"/>
      <c r="I696" s="27"/>
      <c r="J696" s="27"/>
      <c r="K696" s="27"/>
      <c r="L696" s="27"/>
      <c r="M696" s="27"/>
      <c r="N696" s="27"/>
      <c r="O696" s="27"/>
      <c r="P696" s="27"/>
      <c r="Q696" s="27"/>
      <c r="R696" s="27"/>
      <c r="S696" s="27"/>
      <c r="T696" s="27"/>
      <c r="U696" s="27"/>
      <c r="V696" s="27"/>
      <c r="W696" s="27"/>
      <c r="X696" s="27"/>
      <c r="Y696" s="27"/>
      <c r="Z696" s="27"/>
      <c r="AA696" s="27"/>
      <c r="AB696" s="27"/>
      <c r="AC696" s="27"/>
      <c r="AD696" s="27"/>
      <c r="AE696" s="27"/>
      <c r="AF696" s="27"/>
      <c r="AG696" s="27"/>
      <c r="AH696" s="27"/>
      <c r="AI696" s="27"/>
      <c r="AJ696" s="27"/>
      <c r="AK696" s="27"/>
      <c r="AL696" s="27"/>
      <c r="AM696" s="27"/>
      <c r="AN696" s="27"/>
      <c r="AO696" s="27"/>
      <c r="AP696" s="27"/>
      <c r="AQ696" s="27"/>
      <c r="AR696" s="27"/>
      <c r="AS696" s="27"/>
      <c r="AT696" s="27"/>
      <c r="AU696" s="27"/>
      <c r="AV696" s="27"/>
      <c r="AW696" s="27"/>
      <c r="AX696" s="27"/>
      <c r="AY696" s="27"/>
      <c r="AZ696" s="27"/>
      <c r="BA696" s="27"/>
      <c r="BB696" s="27"/>
      <c r="BC696" s="27"/>
      <c r="BD696" s="27"/>
      <c r="BE696" s="27"/>
      <c r="BF696" s="27"/>
      <c r="BG696" s="27"/>
      <c r="BH696" s="27"/>
      <c r="BI696" s="27"/>
      <c r="BJ696" s="27"/>
      <c r="BK696" s="27"/>
      <c r="BL696" s="27"/>
      <c r="BM696" s="27"/>
      <c r="BN696" s="27"/>
      <c r="BO696" s="27"/>
      <c r="BP696" s="27"/>
      <c r="BQ696" s="27"/>
      <c r="BR696" s="27"/>
      <c r="BS696" s="27"/>
      <c r="BT696" s="27"/>
      <c r="BU696" s="27"/>
      <c r="BV696" s="27"/>
      <c r="BW696" s="27"/>
      <c r="BX696" s="27"/>
      <c r="BY696" s="27"/>
      <c r="BZ696" s="27"/>
      <c r="CA696" s="27"/>
      <c r="CB696" s="27"/>
      <c r="CC696" s="27"/>
      <c r="CD696" s="27"/>
      <c r="CE696" s="27"/>
      <c r="CF696" s="27"/>
      <c r="CG696" s="27"/>
      <c r="CH696" s="27"/>
      <c r="CI696" s="27"/>
      <c r="CJ696" s="27"/>
      <c r="CK696" s="27"/>
      <c r="CL696" s="27"/>
      <c r="CM696" s="27"/>
      <c r="CN696" s="27"/>
      <c r="CO696" s="27"/>
      <c r="CP696" s="27"/>
      <c r="CQ696" s="27"/>
      <c r="CR696" s="27"/>
      <c r="CS696" s="27"/>
      <c r="CT696" s="27"/>
      <c r="CU696" s="27"/>
      <c r="CV696" s="27"/>
      <c r="CW696" s="27"/>
      <c r="CX696" s="27"/>
      <c r="CY696" s="27"/>
      <c r="CZ696" s="27"/>
      <c r="DA696" s="27"/>
      <c r="DB696" s="27"/>
      <c r="DC696" s="27"/>
      <c r="DD696" s="27"/>
      <c r="DE696" s="27"/>
      <c r="DF696" s="27"/>
      <c r="DG696" s="27"/>
      <c r="DH696" s="27"/>
      <c r="DI696" s="27"/>
      <c r="DJ696" s="27"/>
      <c r="DK696" s="27"/>
      <c r="DL696" s="27"/>
      <c r="DM696" s="27"/>
      <c r="DN696" s="27"/>
      <c r="DO696" s="27"/>
      <c r="DP696" s="27"/>
      <c r="DQ696" s="27"/>
      <c r="DR696" s="27"/>
      <c r="DS696" s="27"/>
      <c r="DT696" s="27"/>
    </row>
    <row r="697" spans="7:124" x14ac:dyDescent="0.2">
      <c r="G697" s="27"/>
      <c r="H697" s="27"/>
      <c r="I697" s="27"/>
      <c r="J697" s="27"/>
      <c r="K697" s="27"/>
      <c r="L697" s="27"/>
      <c r="M697" s="27"/>
      <c r="N697" s="27"/>
      <c r="O697" s="27"/>
      <c r="P697" s="27"/>
      <c r="Q697" s="27"/>
      <c r="R697" s="27"/>
      <c r="S697" s="27"/>
      <c r="T697" s="27"/>
      <c r="U697" s="27"/>
      <c r="V697" s="27"/>
      <c r="W697" s="27"/>
      <c r="X697" s="27"/>
      <c r="Y697" s="27"/>
      <c r="Z697" s="27"/>
      <c r="AA697" s="27"/>
      <c r="AB697" s="27"/>
      <c r="AC697" s="27"/>
      <c r="AD697" s="27"/>
      <c r="AE697" s="27"/>
      <c r="AF697" s="27"/>
      <c r="AG697" s="27"/>
      <c r="AH697" s="27"/>
      <c r="AI697" s="27"/>
      <c r="AJ697" s="27"/>
      <c r="AK697" s="27"/>
      <c r="AL697" s="27"/>
      <c r="AM697" s="27"/>
      <c r="AN697" s="27"/>
      <c r="AO697" s="27"/>
      <c r="AP697" s="27"/>
      <c r="AQ697" s="27"/>
      <c r="AR697" s="27"/>
      <c r="AS697" s="27"/>
      <c r="AT697" s="27"/>
      <c r="AU697" s="27"/>
      <c r="AV697" s="27"/>
      <c r="AW697" s="27"/>
      <c r="AX697" s="27"/>
      <c r="AY697" s="27"/>
      <c r="AZ697" s="27"/>
      <c r="BA697" s="27"/>
      <c r="BB697" s="27"/>
      <c r="BC697" s="27"/>
      <c r="BD697" s="27"/>
      <c r="BE697" s="27"/>
      <c r="BF697" s="27"/>
      <c r="BG697" s="27"/>
      <c r="BH697" s="27"/>
      <c r="BI697" s="27"/>
      <c r="BJ697" s="27"/>
      <c r="BK697" s="27"/>
      <c r="BL697" s="27"/>
      <c r="BM697" s="27"/>
      <c r="BN697" s="27"/>
      <c r="BO697" s="27"/>
      <c r="BP697" s="27"/>
      <c r="BQ697" s="27"/>
      <c r="BR697" s="27"/>
      <c r="BS697" s="27"/>
      <c r="BT697" s="27"/>
      <c r="BU697" s="27"/>
      <c r="BV697" s="27"/>
      <c r="BW697" s="27"/>
      <c r="BX697" s="27"/>
      <c r="BY697" s="27"/>
      <c r="BZ697" s="27"/>
      <c r="CA697" s="27"/>
      <c r="CB697" s="27"/>
      <c r="CC697" s="27"/>
      <c r="CD697" s="27"/>
      <c r="CE697" s="27"/>
      <c r="CF697" s="27"/>
      <c r="CG697" s="27"/>
      <c r="CH697" s="27"/>
      <c r="CI697" s="27"/>
      <c r="CJ697" s="27"/>
      <c r="CK697" s="27"/>
      <c r="CL697" s="27"/>
      <c r="CM697" s="27"/>
      <c r="CN697" s="27"/>
      <c r="CO697" s="27"/>
      <c r="CP697" s="27"/>
      <c r="CQ697" s="27"/>
      <c r="CR697" s="27"/>
      <c r="CS697" s="27"/>
      <c r="CT697" s="27"/>
      <c r="CU697" s="27"/>
      <c r="CV697" s="27"/>
      <c r="CW697" s="27"/>
      <c r="CX697" s="27"/>
      <c r="CY697" s="27"/>
      <c r="CZ697" s="27"/>
      <c r="DA697" s="27"/>
      <c r="DB697" s="27"/>
      <c r="DC697" s="27"/>
      <c r="DD697" s="27"/>
      <c r="DE697" s="27"/>
      <c r="DF697" s="27"/>
      <c r="DG697" s="27"/>
      <c r="DH697" s="27"/>
      <c r="DI697" s="27"/>
      <c r="DJ697" s="27"/>
      <c r="DK697" s="27"/>
      <c r="DL697" s="27"/>
      <c r="DM697" s="27"/>
      <c r="DN697" s="27"/>
      <c r="DO697" s="27"/>
      <c r="DP697" s="27"/>
      <c r="DQ697" s="27"/>
      <c r="DR697" s="27"/>
      <c r="DS697" s="27"/>
      <c r="DT697" s="27"/>
    </row>
    <row r="698" spans="7:124" x14ac:dyDescent="0.2">
      <c r="G698" s="27"/>
      <c r="H698" s="27"/>
      <c r="I698" s="27"/>
      <c r="J698" s="27"/>
      <c r="K698" s="27"/>
      <c r="L698" s="27"/>
      <c r="M698" s="27"/>
      <c r="N698" s="27"/>
      <c r="O698" s="27"/>
      <c r="P698" s="27"/>
      <c r="Q698" s="27"/>
      <c r="R698" s="27"/>
      <c r="S698" s="27"/>
      <c r="T698" s="27"/>
      <c r="U698" s="27"/>
      <c r="V698" s="27"/>
      <c r="W698" s="27"/>
      <c r="X698" s="27"/>
      <c r="Y698" s="27"/>
      <c r="Z698" s="27"/>
      <c r="AA698" s="27"/>
      <c r="AB698" s="27"/>
      <c r="AC698" s="27"/>
      <c r="AD698" s="27"/>
      <c r="AE698" s="27"/>
      <c r="AF698" s="27"/>
      <c r="AG698" s="27"/>
      <c r="AH698" s="27"/>
      <c r="AI698" s="27"/>
      <c r="AJ698" s="27"/>
      <c r="AK698" s="27"/>
      <c r="AL698" s="27"/>
      <c r="AM698" s="27"/>
      <c r="AN698" s="27"/>
      <c r="AO698" s="27"/>
      <c r="AP698" s="27"/>
      <c r="AQ698" s="27"/>
      <c r="AR698" s="27"/>
      <c r="AS698" s="27"/>
      <c r="AT698" s="27"/>
      <c r="AU698" s="27"/>
      <c r="AV698" s="27"/>
      <c r="AW698" s="27"/>
      <c r="AX698" s="27"/>
      <c r="AY698" s="27"/>
      <c r="AZ698" s="27"/>
      <c r="BA698" s="27"/>
      <c r="BB698" s="27"/>
      <c r="BC698" s="27"/>
      <c r="BD698" s="27"/>
      <c r="BE698" s="27"/>
      <c r="BF698" s="27"/>
      <c r="BG698" s="27"/>
      <c r="BH698" s="27"/>
      <c r="BI698" s="27"/>
      <c r="BJ698" s="27"/>
      <c r="BK698" s="27"/>
      <c r="BL698" s="27"/>
      <c r="BM698" s="27"/>
      <c r="BN698" s="27"/>
      <c r="BO698" s="27"/>
      <c r="BP698" s="27"/>
      <c r="BQ698" s="27"/>
      <c r="BR698" s="27"/>
      <c r="BS698" s="27"/>
      <c r="BT698" s="27"/>
      <c r="BU698" s="27"/>
      <c r="BV698" s="27"/>
      <c r="BW698" s="27"/>
      <c r="BX698" s="27"/>
      <c r="BY698" s="27"/>
      <c r="BZ698" s="27"/>
      <c r="CA698" s="27"/>
      <c r="CB698" s="27"/>
      <c r="CC698" s="27"/>
      <c r="CD698" s="27"/>
      <c r="CE698" s="27"/>
      <c r="CF698" s="27"/>
      <c r="CG698" s="27"/>
      <c r="CH698" s="27"/>
      <c r="CI698" s="27"/>
      <c r="CJ698" s="27"/>
      <c r="CK698" s="27"/>
      <c r="CL698" s="27"/>
      <c r="CM698" s="27"/>
      <c r="CN698" s="27"/>
      <c r="CO698" s="27"/>
      <c r="CP698" s="27"/>
      <c r="CQ698" s="27"/>
      <c r="CR698" s="27"/>
      <c r="CS698" s="27"/>
      <c r="CT698" s="27"/>
      <c r="CU698" s="27"/>
      <c r="CV698" s="27"/>
      <c r="CW698" s="27"/>
      <c r="CX698" s="27"/>
      <c r="CY698" s="27"/>
      <c r="CZ698" s="27"/>
      <c r="DA698" s="27"/>
      <c r="DB698" s="27"/>
      <c r="DC698" s="27"/>
      <c r="DD698" s="27"/>
      <c r="DE698" s="27"/>
      <c r="DF698" s="27"/>
      <c r="DG698" s="27"/>
      <c r="DH698" s="27"/>
      <c r="DI698" s="27"/>
      <c r="DJ698" s="27"/>
      <c r="DK698" s="27"/>
      <c r="DL698" s="27"/>
      <c r="DM698" s="27"/>
      <c r="DN698" s="27"/>
      <c r="DO698" s="27"/>
      <c r="DP698" s="27"/>
      <c r="DQ698" s="27"/>
      <c r="DR698" s="27"/>
      <c r="DS698" s="27"/>
      <c r="DT698" s="27"/>
    </row>
    <row r="699" spans="7:124" x14ac:dyDescent="0.2">
      <c r="G699" s="27"/>
      <c r="H699" s="27"/>
      <c r="I699" s="27"/>
      <c r="J699" s="27"/>
      <c r="K699" s="27"/>
      <c r="L699" s="27"/>
      <c r="M699" s="27"/>
      <c r="N699" s="27"/>
      <c r="O699" s="27"/>
      <c r="P699" s="27"/>
      <c r="Q699" s="27"/>
      <c r="R699" s="27"/>
      <c r="S699" s="27"/>
      <c r="T699" s="27"/>
      <c r="U699" s="27"/>
      <c r="V699" s="27"/>
      <c r="W699" s="27"/>
      <c r="X699" s="27"/>
      <c r="Y699" s="27"/>
      <c r="Z699" s="27"/>
      <c r="AA699" s="27"/>
      <c r="AB699" s="27"/>
      <c r="AC699" s="27"/>
      <c r="AD699" s="27"/>
      <c r="AE699" s="27"/>
      <c r="AF699" s="27"/>
      <c r="AG699" s="27"/>
      <c r="AH699" s="27"/>
      <c r="AI699" s="27"/>
      <c r="AJ699" s="27"/>
      <c r="AK699" s="27"/>
      <c r="AL699" s="27"/>
      <c r="AM699" s="27"/>
      <c r="AN699" s="27"/>
      <c r="AO699" s="27"/>
      <c r="AP699" s="27"/>
      <c r="AQ699" s="27"/>
      <c r="AR699" s="27"/>
      <c r="AS699" s="27"/>
      <c r="AT699" s="27"/>
      <c r="AU699" s="27"/>
      <c r="AV699" s="27"/>
      <c r="AW699" s="27"/>
      <c r="AX699" s="27"/>
      <c r="AY699" s="27"/>
      <c r="AZ699" s="27"/>
      <c r="BA699" s="27"/>
      <c r="BB699" s="27"/>
      <c r="BC699" s="27"/>
      <c r="BD699" s="27"/>
      <c r="BE699" s="27"/>
      <c r="BF699" s="27"/>
      <c r="BG699" s="27"/>
      <c r="BH699" s="27"/>
      <c r="BI699" s="27"/>
      <c r="BJ699" s="27"/>
      <c r="BK699" s="27"/>
      <c r="BL699" s="27"/>
      <c r="BM699" s="27"/>
      <c r="BN699" s="27"/>
      <c r="BO699" s="27"/>
      <c r="BP699" s="27"/>
      <c r="BQ699" s="27"/>
      <c r="BR699" s="27"/>
      <c r="BS699" s="27"/>
      <c r="BT699" s="27"/>
      <c r="BU699" s="27"/>
      <c r="BV699" s="27"/>
      <c r="BW699" s="27"/>
      <c r="BX699" s="27"/>
      <c r="BY699" s="27"/>
      <c r="BZ699" s="27"/>
      <c r="CA699" s="27"/>
      <c r="CB699" s="27"/>
      <c r="CC699" s="27"/>
      <c r="CD699" s="27"/>
      <c r="CE699" s="27"/>
      <c r="CF699" s="27"/>
      <c r="CG699" s="27"/>
      <c r="CH699" s="27"/>
      <c r="CI699" s="27"/>
      <c r="CJ699" s="27"/>
      <c r="CK699" s="27"/>
      <c r="CL699" s="27"/>
      <c r="CM699" s="27"/>
      <c r="CN699" s="27"/>
      <c r="CO699" s="27"/>
      <c r="CP699" s="27"/>
      <c r="CQ699" s="27"/>
      <c r="CR699" s="27"/>
      <c r="CS699" s="27"/>
      <c r="CT699" s="27"/>
      <c r="CU699" s="27"/>
      <c r="CV699" s="27"/>
      <c r="CW699" s="27"/>
      <c r="CX699" s="27"/>
      <c r="CY699" s="27"/>
      <c r="CZ699" s="27"/>
      <c r="DA699" s="27"/>
      <c r="DB699" s="27"/>
      <c r="DC699" s="27"/>
      <c r="DD699" s="27"/>
      <c r="DE699" s="27"/>
      <c r="DF699" s="27"/>
      <c r="DG699" s="27"/>
      <c r="DH699" s="27"/>
      <c r="DI699" s="27"/>
      <c r="DJ699" s="27"/>
      <c r="DK699" s="27"/>
      <c r="DL699" s="27"/>
      <c r="DM699" s="27"/>
      <c r="DN699" s="27"/>
      <c r="DO699" s="27"/>
      <c r="DP699" s="27"/>
      <c r="DQ699" s="27"/>
      <c r="DR699" s="27"/>
      <c r="DS699" s="27"/>
      <c r="DT699" s="27"/>
    </row>
    <row r="700" spans="7:124" x14ac:dyDescent="0.2">
      <c r="G700" s="27"/>
      <c r="H700" s="27"/>
      <c r="I700" s="27"/>
      <c r="J700" s="27"/>
      <c r="K700" s="27"/>
      <c r="L700" s="27"/>
      <c r="M700" s="27"/>
      <c r="N700" s="27"/>
      <c r="O700" s="27"/>
      <c r="P700" s="27"/>
      <c r="Q700" s="27"/>
      <c r="R700" s="27"/>
      <c r="S700" s="27"/>
      <c r="T700" s="27"/>
      <c r="U700" s="27"/>
      <c r="V700" s="27"/>
      <c r="W700" s="27"/>
      <c r="X700" s="27"/>
      <c r="Y700" s="27"/>
      <c r="Z700" s="27"/>
      <c r="AA700" s="27"/>
      <c r="AB700" s="27"/>
      <c r="AC700" s="27"/>
      <c r="AD700" s="27"/>
      <c r="AE700" s="27"/>
      <c r="AF700" s="27"/>
      <c r="AG700" s="27"/>
      <c r="AH700" s="27"/>
      <c r="AI700" s="27"/>
      <c r="AJ700" s="27"/>
      <c r="AK700" s="27"/>
      <c r="AL700" s="27"/>
      <c r="AM700" s="27"/>
      <c r="AN700" s="27"/>
      <c r="AO700" s="27"/>
      <c r="AP700" s="27"/>
      <c r="AQ700" s="27"/>
      <c r="AR700" s="27"/>
      <c r="AS700" s="27"/>
      <c r="AT700" s="27"/>
      <c r="AU700" s="27"/>
      <c r="AV700" s="27"/>
      <c r="AW700" s="27"/>
      <c r="AX700" s="27"/>
      <c r="AY700" s="27"/>
      <c r="AZ700" s="27"/>
      <c r="BA700" s="27"/>
      <c r="BB700" s="27"/>
      <c r="BC700" s="27"/>
      <c r="BD700" s="27"/>
      <c r="BE700" s="27"/>
      <c r="BF700" s="27"/>
      <c r="BG700" s="27"/>
      <c r="BH700" s="27"/>
      <c r="BI700" s="27"/>
      <c r="BJ700" s="27"/>
      <c r="BK700" s="27"/>
      <c r="BL700" s="27"/>
      <c r="BM700" s="27"/>
      <c r="BN700" s="27"/>
      <c r="BO700" s="27"/>
      <c r="BP700" s="27"/>
      <c r="BQ700" s="27"/>
      <c r="BR700" s="27"/>
      <c r="BS700" s="27"/>
      <c r="BT700" s="27"/>
      <c r="BU700" s="27"/>
      <c r="BV700" s="27"/>
      <c r="BW700" s="27"/>
      <c r="BX700" s="27"/>
      <c r="BY700" s="27"/>
      <c r="BZ700" s="27"/>
      <c r="CA700" s="27"/>
      <c r="CB700" s="27"/>
      <c r="CC700" s="27"/>
      <c r="CD700" s="27"/>
      <c r="CE700" s="27"/>
      <c r="CF700" s="27"/>
      <c r="CG700" s="27"/>
      <c r="CH700" s="27"/>
      <c r="CI700" s="27"/>
      <c r="CJ700" s="27"/>
      <c r="CK700" s="27"/>
      <c r="CL700" s="27"/>
      <c r="CM700" s="27"/>
      <c r="CN700" s="27"/>
      <c r="CO700" s="27"/>
      <c r="CP700" s="27"/>
      <c r="CQ700" s="27"/>
      <c r="CR700" s="27"/>
      <c r="CS700" s="27"/>
      <c r="CT700" s="27"/>
      <c r="CU700" s="27"/>
      <c r="CV700" s="27"/>
      <c r="CW700" s="27"/>
      <c r="CX700" s="27"/>
      <c r="CY700" s="27"/>
      <c r="CZ700" s="27"/>
      <c r="DA700" s="27"/>
      <c r="DB700" s="27"/>
      <c r="DC700" s="27"/>
      <c r="DD700" s="27"/>
      <c r="DE700" s="27"/>
      <c r="DF700" s="27"/>
      <c r="DG700" s="27"/>
      <c r="DH700" s="27"/>
      <c r="DI700" s="27"/>
      <c r="DJ700" s="27"/>
      <c r="DK700" s="27"/>
      <c r="DL700" s="27"/>
      <c r="DM700" s="27"/>
      <c r="DN700" s="27"/>
      <c r="DO700" s="27"/>
      <c r="DP700" s="27"/>
      <c r="DQ700" s="27"/>
      <c r="DR700" s="27"/>
      <c r="DS700" s="27"/>
      <c r="DT700" s="27"/>
    </row>
    <row r="701" spans="7:124" x14ac:dyDescent="0.2">
      <c r="G701" s="27"/>
      <c r="H701" s="27"/>
      <c r="I701" s="27"/>
      <c r="J701" s="27"/>
      <c r="K701" s="27"/>
      <c r="L701" s="27"/>
      <c r="M701" s="27"/>
      <c r="N701" s="27"/>
      <c r="O701" s="27"/>
      <c r="P701" s="27"/>
      <c r="Q701" s="27"/>
      <c r="R701" s="27"/>
      <c r="S701" s="27"/>
      <c r="T701" s="27"/>
      <c r="U701" s="27"/>
      <c r="V701" s="27"/>
      <c r="W701" s="27"/>
      <c r="X701" s="27"/>
      <c r="Y701" s="27"/>
      <c r="Z701" s="27"/>
      <c r="AA701" s="27"/>
      <c r="AB701" s="27"/>
      <c r="AC701" s="27"/>
      <c r="AD701" s="27"/>
      <c r="AE701" s="27"/>
      <c r="AF701" s="27"/>
      <c r="AG701" s="27"/>
      <c r="AH701" s="27"/>
      <c r="AI701" s="27"/>
      <c r="AJ701" s="27"/>
      <c r="AK701" s="27"/>
      <c r="AL701" s="27"/>
      <c r="AM701" s="27"/>
      <c r="AN701" s="27"/>
      <c r="AO701" s="27"/>
      <c r="AP701" s="27"/>
      <c r="AQ701" s="27"/>
      <c r="AR701" s="27"/>
      <c r="AS701" s="27"/>
      <c r="AT701" s="27"/>
      <c r="AU701" s="27"/>
      <c r="AV701" s="27"/>
      <c r="AW701" s="27"/>
      <c r="AX701" s="27"/>
      <c r="AY701" s="27"/>
      <c r="AZ701" s="27"/>
      <c r="BA701" s="27"/>
      <c r="BB701" s="27"/>
      <c r="BC701" s="27"/>
      <c r="BD701" s="27"/>
      <c r="BE701" s="27"/>
      <c r="BF701" s="27"/>
      <c r="BG701" s="27"/>
      <c r="BH701" s="27"/>
      <c r="BI701" s="27"/>
      <c r="BJ701" s="27"/>
      <c r="BK701" s="27"/>
      <c r="BL701" s="27"/>
      <c r="BM701" s="27"/>
      <c r="BN701" s="27"/>
      <c r="BO701" s="27"/>
      <c r="BP701" s="27"/>
      <c r="BQ701" s="27"/>
      <c r="BR701" s="27"/>
      <c r="BS701" s="27"/>
      <c r="BT701" s="27"/>
      <c r="BU701" s="27"/>
      <c r="BV701" s="27"/>
      <c r="BW701" s="27"/>
      <c r="BX701" s="27"/>
      <c r="BY701" s="27"/>
      <c r="BZ701" s="27"/>
      <c r="CA701" s="27"/>
      <c r="CB701" s="27"/>
      <c r="CC701" s="27"/>
      <c r="CD701" s="27"/>
      <c r="CE701" s="27"/>
      <c r="CF701" s="27"/>
      <c r="CG701" s="27"/>
      <c r="CH701" s="27"/>
      <c r="CI701" s="27"/>
      <c r="CJ701" s="27"/>
      <c r="CK701" s="27"/>
      <c r="CL701" s="27"/>
      <c r="CM701" s="27"/>
      <c r="CN701" s="27"/>
      <c r="CO701" s="27"/>
      <c r="CP701" s="27"/>
      <c r="CQ701" s="27"/>
      <c r="CR701" s="27"/>
      <c r="CS701" s="27"/>
      <c r="CT701" s="27"/>
      <c r="CU701" s="27"/>
      <c r="CV701" s="27"/>
      <c r="CW701" s="27"/>
      <c r="CX701" s="27"/>
      <c r="CY701" s="27"/>
      <c r="CZ701" s="27"/>
      <c r="DA701" s="27"/>
      <c r="DB701" s="27"/>
      <c r="DC701" s="27"/>
      <c r="DD701" s="27"/>
      <c r="DE701" s="27"/>
      <c r="DF701" s="27"/>
      <c r="DG701" s="27"/>
      <c r="DH701" s="27"/>
      <c r="DI701" s="27"/>
      <c r="DJ701" s="27"/>
      <c r="DK701" s="27"/>
      <c r="DL701" s="27"/>
      <c r="DM701" s="27"/>
      <c r="DN701" s="27"/>
      <c r="DO701" s="27"/>
      <c r="DP701" s="27"/>
      <c r="DQ701" s="27"/>
      <c r="DR701" s="27"/>
      <c r="DS701" s="27"/>
      <c r="DT701" s="27"/>
    </row>
    <row r="702" spans="7:124" x14ac:dyDescent="0.2">
      <c r="G702" s="27"/>
      <c r="H702" s="27"/>
      <c r="I702" s="27"/>
      <c r="J702" s="27"/>
      <c r="K702" s="27"/>
      <c r="L702" s="27"/>
      <c r="M702" s="27"/>
      <c r="N702" s="27"/>
      <c r="O702" s="27"/>
      <c r="P702" s="27"/>
      <c r="Q702" s="27"/>
      <c r="R702" s="27"/>
      <c r="S702" s="27"/>
      <c r="T702" s="27"/>
      <c r="U702" s="27"/>
      <c r="V702" s="27"/>
      <c r="W702" s="27"/>
      <c r="X702" s="27"/>
      <c r="Y702" s="27"/>
      <c r="Z702" s="27"/>
      <c r="AA702" s="27"/>
      <c r="AB702" s="27"/>
      <c r="AC702" s="27"/>
      <c r="AD702" s="27"/>
      <c r="AE702" s="27"/>
      <c r="AF702" s="27"/>
      <c r="AG702" s="27"/>
      <c r="AH702" s="27"/>
      <c r="AI702" s="27"/>
      <c r="AJ702" s="27"/>
      <c r="AK702" s="27"/>
      <c r="AL702" s="27"/>
      <c r="AM702" s="27"/>
      <c r="AN702" s="27"/>
      <c r="AO702" s="27"/>
      <c r="AP702" s="27"/>
      <c r="AQ702" s="27"/>
      <c r="AR702" s="27"/>
      <c r="AS702" s="27"/>
      <c r="AT702" s="27"/>
      <c r="AU702" s="27"/>
      <c r="AV702" s="27"/>
      <c r="AW702" s="27"/>
      <c r="AX702" s="27"/>
      <c r="AY702" s="27"/>
      <c r="AZ702" s="27"/>
      <c r="BA702" s="27"/>
      <c r="BB702" s="27"/>
      <c r="BC702" s="27"/>
      <c r="BD702" s="27"/>
      <c r="BE702" s="27"/>
      <c r="BF702" s="27"/>
      <c r="BG702" s="27"/>
      <c r="BH702" s="27"/>
      <c r="BI702" s="27"/>
      <c r="BJ702" s="27"/>
      <c r="BK702" s="27"/>
      <c r="BL702" s="27"/>
      <c r="BM702" s="27"/>
      <c r="BN702" s="27"/>
      <c r="BO702" s="27"/>
      <c r="BP702" s="27"/>
      <c r="BQ702" s="27"/>
      <c r="BR702" s="27"/>
      <c r="BS702" s="27"/>
      <c r="BT702" s="27"/>
      <c r="BU702" s="27"/>
      <c r="BV702" s="27"/>
      <c r="BW702" s="27"/>
      <c r="BX702" s="27"/>
      <c r="BY702" s="27"/>
      <c r="BZ702" s="27"/>
      <c r="CA702" s="27"/>
      <c r="CB702" s="27"/>
      <c r="CC702" s="27"/>
      <c r="CD702" s="27"/>
      <c r="CE702" s="27"/>
      <c r="CF702" s="27"/>
      <c r="CG702" s="27"/>
      <c r="CH702" s="27"/>
      <c r="CI702" s="27"/>
      <c r="CJ702" s="27"/>
      <c r="CK702" s="27"/>
      <c r="CL702" s="27"/>
      <c r="CM702" s="27"/>
      <c r="CN702" s="27"/>
      <c r="CO702" s="27"/>
      <c r="CP702" s="27"/>
      <c r="CQ702" s="27"/>
      <c r="CR702" s="27"/>
      <c r="CS702" s="27"/>
      <c r="CT702" s="27"/>
      <c r="CU702" s="27"/>
      <c r="CV702" s="27"/>
      <c r="CW702" s="27"/>
      <c r="CX702" s="27"/>
      <c r="CY702" s="27"/>
      <c r="CZ702" s="27"/>
      <c r="DA702" s="27"/>
      <c r="DB702" s="27"/>
      <c r="DC702" s="27"/>
      <c r="DD702" s="27"/>
      <c r="DE702" s="27"/>
      <c r="DF702" s="27"/>
      <c r="DG702" s="27"/>
      <c r="DH702" s="27"/>
      <c r="DI702" s="27"/>
      <c r="DJ702" s="27"/>
      <c r="DK702" s="27"/>
      <c r="DL702" s="27"/>
      <c r="DM702" s="27"/>
      <c r="DN702" s="27"/>
      <c r="DO702" s="27"/>
      <c r="DP702" s="27"/>
      <c r="DQ702" s="27"/>
      <c r="DR702" s="27"/>
      <c r="DS702" s="27"/>
      <c r="DT702" s="27"/>
    </row>
    <row r="703" spans="7:124" x14ac:dyDescent="0.2">
      <c r="G703" s="27"/>
      <c r="H703" s="27"/>
      <c r="I703" s="27"/>
      <c r="J703" s="27"/>
      <c r="K703" s="27"/>
      <c r="L703" s="27"/>
      <c r="M703" s="27"/>
      <c r="N703" s="27"/>
      <c r="O703" s="27"/>
      <c r="P703" s="27"/>
      <c r="Q703" s="27"/>
      <c r="R703" s="27"/>
      <c r="S703" s="27"/>
      <c r="T703" s="27"/>
      <c r="U703" s="27"/>
      <c r="V703" s="27"/>
      <c r="W703" s="27"/>
      <c r="X703" s="27"/>
      <c r="Y703" s="27"/>
      <c r="Z703" s="27"/>
      <c r="AA703" s="27"/>
      <c r="AB703" s="27"/>
      <c r="AC703" s="27"/>
      <c r="AD703" s="27"/>
      <c r="AE703" s="27"/>
      <c r="AF703" s="27"/>
      <c r="AG703" s="27"/>
      <c r="AH703" s="27"/>
      <c r="AI703" s="27"/>
      <c r="AJ703" s="27"/>
      <c r="AK703" s="27"/>
      <c r="AL703" s="27"/>
      <c r="AM703" s="27"/>
      <c r="AN703" s="27"/>
      <c r="AO703" s="27"/>
      <c r="AP703" s="27"/>
      <c r="AQ703" s="27"/>
      <c r="AR703" s="27"/>
      <c r="AS703" s="27"/>
      <c r="AT703" s="27"/>
      <c r="AU703" s="27"/>
      <c r="AV703" s="27"/>
      <c r="AW703" s="27"/>
      <c r="AX703" s="27"/>
      <c r="AY703" s="27"/>
      <c r="AZ703" s="27"/>
      <c r="BA703" s="27"/>
      <c r="BB703" s="27"/>
      <c r="BC703" s="27"/>
      <c r="BD703" s="27"/>
      <c r="BE703" s="27"/>
      <c r="BF703" s="27"/>
      <c r="BG703" s="27"/>
      <c r="BH703" s="27"/>
      <c r="BI703" s="27"/>
      <c r="BJ703" s="27"/>
      <c r="BK703" s="27"/>
      <c r="BL703" s="27"/>
      <c r="BM703" s="27"/>
      <c r="BN703" s="27"/>
      <c r="BO703" s="27"/>
      <c r="BP703" s="27"/>
      <c r="BQ703" s="27"/>
      <c r="BR703" s="27"/>
      <c r="BS703" s="27"/>
      <c r="BT703" s="27"/>
      <c r="BU703" s="27"/>
      <c r="BV703" s="27"/>
      <c r="BW703" s="27"/>
      <c r="BX703" s="27"/>
      <c r="BY703" s="27"/>
      <c r="BZ703" s="27"/>
      <c r="CA703" s="27"/>
      <c r="CB703" s="27"/>
      <c r="CC703" s="27"/>
      <c r="CD703" s="27"/>
      <c r="CE703" s="27"/>
      <c r="CF703" s="27"/>
      <c r="CG703" s="27"/>
      <c r="CH703" s="27"/>
      <c r="CI703" s="27"/>
      <c r="CJ703" s="27"/>
      <c r="CK703" s="27"/>
      <c r="CL703" s="27"/>
      <c r="CM703" s="27"/>
      <c r="CN703" s="27"/>
      <c r="CO703" s="27"/>
      <c r="CP703" s="27"/>
      <c r="CQ703" s="27"/>
      <c r="CR703" s="27"/>
      <c r="CS703" s="27"/>
      <c r="CT703" s="27"/>
      <c r="CU703" s="27"/>
      <c r="CV703" s="27"/>
      <c r="CW703" s="27"/>
      <c r="CX703" s="27"/>
      <c r="CY703" s="27"/>
      <c r="CZ703" s="27"/>
      <c r="DA703" s="27"/>
      <c r="DB703" s="27"/>
      <c r="DC703" s="27"/>
      <c r="DD703" s="27"/>
      <c r="DE703" s="27"/>
      <c r="DF703" s="27"/>
      <c r="DG703" s="27"/>
      <c r="DH703" s="27"/>
      <c r="DI703" s="27"/>
      <c r="DJ703" s="27"/>
      <c r="DK703" s="27"/>
      <c r="DL703" s="27"/>
      <c r="DM703" s="27"/>
      <c r="DN703" s="27"/>
      <c r="DO703" s="27"/>
      <c r="DP703" s="27"/>
      <c r="DQ703" s="27"/>
      <c r="DR703" s="27"/>
      <c r="DS703" s="27"/>
      <c r="DT703" s="27"/>
    </row>
    <row r="704" spans="7:124" x14ac:dyDescent="0.2">
      <c r="G704" s="27"/>
      <c r="H704" s="27"/>
      <c r="I704" s="27"/>
      <c r="J704" s="27"/>
      <c r="K704" s="27"/>
      <c r="L704" s="27"/>
      <c r="M704" s="27"/>
      <c r="N704" s="27"/>
      <c r="O704" s="27"/>
      <c r="P704" s="27"/>
      <c r="Q704" s="27"/>
      <c r="R704" s="27" t="s">
        <v>55</v>
      </c>
      <c r="S704" s="27">
        <f>IF(BB770-INT(BB770)=0.5,1,0)</f>
        <v>0</v>
      </c>
      <c r="T704" s="27">
        <f>IF(S704=0,0,IF(BB770&lt;=7,3.75,4.25))</f>
        <v>0</v>
      </c>
      <c r="U704" s="27"/>
      <c r="V704" s="27" t="s">
        <v>56</v>
      </c>
      <c r="W704" s="27"/>
      <c r="X704" s="27"/>
      <c r="Y704" s="27"/>
      <c r="Z704" s="27"/>
      <c r="AA704" s="27"/>
      <c r="AB704" s="27"/>
      <c r="AC704" s="27"/>
      <c r="AD704" s="27"/>
      <c r="AE704" s="27"/>
      <c r="AF704" s="27"/>
      <c r="AG704" s="27"/>
      <c r="AH704" s="27"/>
      <c r="AI704" s="27" t="s">
        <v>57</v>
      </c>
      <c r="AJ704" s="27"/>
      <c r="AK704" s="27"/>
      <c r="AL704" s="27"/>
      <c r="AM704" s="27"/>
      <c r="AN704" s="27"/>
      <c r="AO704" s="27"/>
      <c r="AP704" s="27"/>
      <c r="AQ704" s="27"/>
      <c r="AR704" s="27"/>
      <c r="AS704" s="27"/>
      <c r="AT704" s="27"/>
      <c r="AU704" s="27"/>
      <c r="AV704" s="27" t="s">
        <v>58</v>
      </c>
      <c r="AW704" s="27"/>
      <c r="AX704" s="27"/>
      <c r="AY704" s="27"/>
      <c r="AZ704" s="27"/>
      <c r="BA704" s="27"/>
      <c r="BB704" s="27"/>
      <c r="BC704" s="27"/>
      <c r="BD704" s="27"/>
      <c r="BE704" s="27"/>
      <c r="BF704" s="27"/>
      <c r="BG704" s="27"/>
      <c r="BH704" s="27"/>
      <c r="BI704" s="27"/>
      <c r="BJ704" s="27"/>
      <c r="BK704" s="27"/>
      <c r="BL704" s="27"/>
      <c r="BM704" s="27"/>
      <c r="BN704" s="27"/>
      <c r="BO704" s="27"/>
      <c r="BP704" s="27"/>
      <c r="BQ704" s="27"/>
      <c r="BR704" s="27"/>
      <c r="BS704" s="27"/>
      <c r="BT704" s="27"/>
      <c r="BU704" s="27"/>
      <c r="BV704" s="27"/>
      <c r="BW704" s="27"/>
      <c r="BX704" s="27"/>
      <c r="BY704" s="27"/>
      <c r="BZ704" s="27"/>
      <c r="CA704" s="27"/>
      <c r="CB704" s="27"/>
      <c r="CC704" s="27"/>
      <c r="CD704" s="27"/>
      <c r="CE704" s="27"/>
      <c r="CF704" s="27"/>
      <c r="CG704" s="27"/>
      <c r="CH704" s="27"/>
      <c r="CI704" s="27"/>
      <c r="CJ704" s="27"/>
      <c r="CK704" s="27"/>
      <c r="CL704" s="27"/>
      <c r="CM704" s="27"/>
      <c r="CN704" s="27"/>
      <c r="CO704" s="27"/>
      <c r="CP704" s="27"/>
      <c r="CQ704" s="27"/>
      <c r="CR704" s="27"/>
      <c r="CS704" s="27"/>
      <c r="CT704" s="27"/>
      <c r="CU704" s="27"/>
      <c r="CV704" s="27"/>
      <c r="CW704" s="27"/>
      <c r="CX704" s="27"/>
      <c r="CY704" s="27"/>
      <c r="CZ704" s="27"/>
      <c r="DA704" s="27"/>
      <c r="DB704" s="27"/>
      <c r="DC704" s="27"/>
      <c r="DD704" s="27"/>
      <c r="DE704" s="27"/>
      <c r="DF704" s="27"/>
      <c r="DG704" s="27"/>
      <c r="DH704" s="27"/>
      <c r="DI704" s="27"/>
      <c r="DJ704" s="27"/>
      <c r="DK704" s="27"/>
      <c r="DL704" s="27"/>
      <c r="DM704" s="27"/>
      <c r="DN704" s="27"/>
      <c r="DO704" s="27"/>
      <c r="DP704" s="27"/>
      <c r="DQ704" s="27"/>
      <c r="DR704" s="27"/>
      <c r="DS704" s="27"/>
      <c r="DT704" s="27"/>
    </row>
    <row r="705" spans="7:124" x14ac:dyDescent="0.2">
      <c r="G705" s="27"/>
      <c r="H705" s="27"/>
      <c r="I705" s="27"/>
      <c r="J705" s="27"/>
      <c r="K705" s="27"/>
      <c r="L705" s="27"/>
      <c r="M705" s="27"/>
      <c r="N705" s="27"/>
      <c r="O705" s="27" t="s">
        <v>63</v>
      </c>
      <c r="P705" s="27" t="s">
        <v>27</v>
      </c>
      <c r="Q705" s="27"/>
      <c r="R705" s="27" t="s">
        <v>64</v>
      </c>
      <c r="S705" s="27">
        <v>0.03</v>
      </c>
      <c r="T705" s="27">
        <f>1+(T704/100)</f>
        <v>1</v>
      </c>
      <c r="U705" s="27"/>
      <c r="V705" s="27">
        <v>0</v>
      </c>
      <c r="W705" s="27">
        <v>0</v>
      </c>
      <c r="X705" s="27"/>
      <c r="Y705" s="27" t="s">
        <v>65</v>
      </c>
      <c r="Z705" s="27"/>
      <c r="AA705" s="27"/>
      <c r="AB705" s="27"/>
      <c r="AC705" s="27"/>
      <c r="AD705" s="27"/>
      <c r="AE705" s="27"/>
      <c r="AF705" s="27"/>
      <c r="AG705" s="27"/>
      <c r="AH705" s="27"/>
      <c r="AI705" s="27" t="s">
        <v>66</v>
      </c>
      <c r="AJ705" s="27"/>
      <c r="AK705" s="27"/>
      <c r="AL705" s="27"/>
      <c r="AM705" s="27"/>
      <c r="AN705" s="27"/>
      <c r="AO705" s="27">
        <v>4.5</v>
      </c>
      <c r="AP705" s="27">
        <f>N34*1.0375</f>
        <v>0</v>
      </c>
      <c r="AQ705" s="27"/>
      <c r="AR705" s="27"/>
      <c r="AS705" s="27"/>
      <c r="AT705" s="27"/>
      <c r="AU705" s="27"/>
      <c r="AV705" s="27">
        <v>0</v>
      </c>
      <c r="AW705" s="27">
        <v>0</v>
      </c>
      <c r="AX705" s="27"/>
      <c r="AY705" s="27"/>
      <c r="AZ705" s="27"/>
      <c r="BA705" s="27"/>
      <c r="BB705" s="27"/>
      <c r="BC705" s="27"/>
      <c r="BD705" s="27"/>
      <c r="BE705" s="27"/>
      <c r="BF705" s="27"/>
      <c r="BG705" s="27"/>
      <c r="BH705" s="27"/>
      <c r="BI705" s="27"/>
      <c r="BJ705" s="27"/>
      <c r="BK705" s="27"/>
      <c r="BL705" s="27"/>
      <c r="BM705" s="27"/>
      <c r="BN705" s="27"/>
      <c r="BO705" s="27"/>
      <c r="BP705" s="27"/>
      <c r="BQ705" s="27"/>
      <c r="BR705" s="27"/>
      <c r="BS705" s="27"/>
      <c r="BT705" s="27"/>
      <c r="BU705" s="27"/>
      <c r="BV705" s="27"/>
      <c r="BW705" s="27"/>
      <c r="BX705" s="27"/>
      <c r="BY705" s="27"/>
      <c r="BZ705" s="27"/>
      <c r="CA705" s="27"/>
      <c r="CB705" s="27"/>
      <c r="CC705" s="27"/>
      <c r="CD705" s="27"/>
      <c r="CE705" s="27"/>
      <c r="CF705" s="27"/>
      <c r="CG705" s="27"/>
      <c r="CH705" s="27"/>
      <c r="CI705" s="27"/>
      <c r="CJ705" s="27"/>
      <c r="CK705" s="27"/>
      <c r="CL705" s="27"/>
      <c r="CM705" s="27"/>
      <c r="CN705" s="27"/>
      <c r="CO705" s="27"/>
      <c r="CP705" s="27"/>
      <c r="CQ705" s="27"/>
      <c r="CR705" s="27"/>
      <c r="CS705" s="27"/>
      <c r="CT705" s="27"/>
      <c r="CU705" s="27"/>
      <c r="CV705" s="27"/>
      <c r="CW705" s="27"/>
      <c r="CX705" s="27"/>
      <c r="CY705" s="27"/>
      <c r="CZ705" s="27"/>
      <c r="DA705" s="27"/>
      <c r="DB705" s="27"/>
      <c r="DC705" s="27"/>
      <c r="DD705" s="27"/>
      <c r="DE705" s="27"/>
      <c r="DF705" s="27"/>
      <c r="DG705" s="27"/>
      <c r="DH705" s="27"/>
      <c r="DI705" s="27"/>
      <c r="DJ705" s="27"/>
      <c r="DK705" s="27"/>
      <c r="DL705" s="27"/>
      <c r="DM705" s="27"/>
      <c r="DN705" s="27"/>
      <c r="DO705" s="27"/>
      <c r="DP705" s="27"/>
      <c r="DQ705" s="27"/>
      <c r="DR705" s="27"/>
      <c r="DS705" s="27"/>
      <c r="DT705" s="27"/>
    </row>
    <row r="706" spans="7:124" x14ac:dyDescent="0.2">
      <c r="G706" s="27"/>
      <c r="H706" s="27"/>
      <c r="I706" s="27"/>
      <c r="J706" s="27"/>
      <c r="K706" s="27"/>
      <c r="L706" s="27"/>
      <c r="M706" s="27"/>
      <c r="N706" s="27"/>
      <c r="O706" s="27" t="s">
        <v>70</v>
      </c>
      <c r="P706" s="27" t="s">
        <v>71</v>
      </c>
      <c r="Q706" s="27"/>
      <c r="R706" s="27" t="s">
        <v>72</v>
      </c>
      <c r="S706" s="27">
        <v>4.8099999999999997E-2</v>
      </c>
      <c r="T706" s="27"/>
      <c r="U706" s="27"/>
      <c r="V706" s="27">
        <v>1</v>
      </c>
      <c r="W706" s="27">
        <v>0.47499999999999998</v>
      </c>
      <c r="X706" s="27" t="s">
        <v>59</v>
      </c>
      <c r="Y706" s="27">
        <v>0.09</v>
      </c>
      <c r="Z706" s="27" t="s">
        <v>73</v>
      </c>
      <c r="AA706" s="27"/>
      <c r="AB706" s="27"/>
      <c r="AC706" s="27"/>
      <c r="AD706" s="27"/>
      <c r="AE706" s="27" t="s">
        <v>497</v>
      </c>
      <c r="AF706" s="27"/>
      <c r="AG706" s="27"/>
      <c r="AH706" s="27"/>
      <c r="AI706" s="27">
        <v>1</v>
      </c>
      <c r="AJ706" s="27"/>
      <c r="AK706" s="27"/>
      <c r="AL706" s="27"/>
      <c r="AM706" s="27"/>
      <c r="AN706" s="27"/>
      <c r="AO706" s="27">
        <v>5</v>
      </c>
      <c r="AP706" s="27" t="e">
        <f>IF(#REF!=$BW$719,M824*1.05,M824)</f>
        <v>#REF!</v>
      </c>
      <c r="AQ706" s="27"/>
      <c r="AR706" s="27"/>
      <c r="AS706" s="27"/>
      <c r="AT706" s="27"/>
      <c r="AU706" s="27"/>
      <c r="AV706" s="27">
        <v>1</v>
      </c>
      <c r="AW706" s="27">
        <v>0</v>
      </c>
      <c r="AX706" s="27"/>
      <c r="AY706" s="27"/>
      <c r="AZ706" s="27"/>
      <c r="BA706" s="27"/>
      <c r="BB706" s="27"/>
      <c r="BC706" s="27"/>
      <c r="BD706" s="27"/>
      <c r="BE706" s="27"/>
      <c r="BF706" s="27"/>
      <c r="BG706" s="27"/>
      <c r="BH706" s="27"/>
      <c r="BI706" s="27"/>
      <c r="BJ706" s="27"/>
      <c r="BK706" s="27"/>
      <c r="BL706" s="27"/>
      <c r="BM706" s="27"/>
      <c r="BN706" s="27"/>
      <c r="BO706" s="27"/>
      <c r="BP706" s="27"/>
      <c r="BQ706" s="27"/>
      <c r="BR706" s="27"/>
      <c r="BS706" s="27"/>
      <c r="BT706" s="27"/>
      <c r="BU706" s="27"/>
      <c r="BV706" s="27"/>
      <c r="BW706" s="27"/>
      <c r="BX706" s="27"/>
      <c r="BY706" s="27"/>
      <c r="BZ706" s="27"/>
      <c r="CA706" s="27"/>
      <c r="CB706" s="27"/>
      <c r="CC706" s="27"/>
      <c r="CD706" s="27"/>
      <c r="CE706" s="27"/>
      <c r="CF706" s="27"/>
      <c r="CG706" s="27"/>
      <c r="CH706" s="27"/>
      <c r="CI706" s="27"/>
      <c r="CJ706" s="27"/>
      <c r="CK706" s="27"/>
      <c r="CL706" s="27"/>
      <c r="CM706" s="27"/>
      <c r="CN706" s="27"/>
      <c r="CO706" s="27"/>
      <c r="CP706" s="27"/>
      <c r="CQ706" s="27"/>
      <c r="CR706" s="27"/>
      <c r="CS706" s="27"/>
      <c r="CT706" s="27"/>
      <c r="CU706" s="27"/>
      <c r="CV706" s="27"/>
      <c r="CW706" s="27"/>
      <c r="CX706" s="27"/>
      <c r="CY706" s="27"/>
      <c r="CZ706" s="27"/>
      <c r="DA706" s="27"/>
      <c r="DB706" s="27"/>
      <c r="DC706" s="27"/>
      <c r="DD706" s="27"/>
      <c r="DE706" s="27"/>
      <c r="DF706" s="27"/>
      <c r="DG706" s="27"/>
      <c r="DH706" s="27"/>
      <c r="DI706" s="27"/>
      <c r="DJ706" s="27"/>
      <c r="DK706" s="27"/>
      <c r="DL706" s="27"/>
      <c r="DM706" s="27"/>
      <c r="DN706" s="27"/>
      <c r="DO706" s="27"/>
      <c r="DP706" s="27"/>
      <c r="DQ706" s="27"/>
      <c r="DR706" s="27"/>
      <c r="DS706" s="27"/>
      <c r="DT706" s="27"/>
    </row>
    <row r="707" spans="7:124" x14ac:dyDescent="0.2">
      <c r="G707" s="27"/>
      <c r="H707" s="27"/>
      <c r="I707" s="27"/>
      <c r="J707" s="27"/>
      <c r="K707" s="27"/>
      <c r="L707" s="27"/>
      <c r="M707" s="27"/>
      <c r="N707" s="27"/>
      <c r="O707" s="27" t="s">
        <v>75</v>
      </c>
      <c r="P707" s="27" t="s">
        <v>76</v>
      </c>
      <c r="Q707" s="27"/>
      <c r="R707" s="27"/>
      <c r="S707" s="27"/>
      <c r="T707" s="27"/>
      <c r="U707" s="27"/>
      <c r="V707" s="27">
        <v>2</v>
      </c>
      <c r="W707" s="27">
        <v>0.495</v>
      </c>
      <c r="X707" s="27" t="s">
        <v>59</v>
      </c>
      <c r="Y707" s="27">
        <v>8.2500000000000004E-2</v>
      </c>
      <c r="Z707" s="27" t="s">
        <v>77</v>
      </c>
      <c r="AA707" s="27"/>
      <c r="AB707" s="27"/>
      <c r="AC707" s="27"/>
      <c r="AD707" s="27"/>
      <c r="AE707" s="27" t="s">
        <v>157</v>
      </c>
      <c r="AF707" s="27" t="s">
        <v>71</v>
      </c>
      <c r="AG707" s="27"/>
      <c r="AH707" s="27"/>
      <c r="AI707" s="27">
        <v>1.5</v>
      </c>
      <c r="AJ707" s="27"/>
      <c r="AK707" s="27"/>
      <c r="AL707" s="27"/>
      <c r="AM707" s="27"/>
      <c r="AN707" s="27"/>
      <c r="AO707" s="27">
        <v>5.5</v>
      </c>
      <c r="AP707" s="27" t="e">
        <f>AP706*1.0375</f>
        <v>#REF!</v>
      </c>
      <c r="AQ707" s="27"/>
      <c r="AR707" s="27"/>
      <c r="AS707" s="27"/>
      <c r="AT707" s="27"/>
      <c r="AU707" s="27"/>
      <c r="AV707" s="27">
        <v>2</v>
      </c>
      <c r="AW707" s="27">
        <v>2.4E-2</v>
      </c>
      <c r="AX707" s="27"/>
      <c r="AY707" s="27"/>
      <c r="AZ707" s="27"/>
      <c r="BA707" s="27"/>
      <c r="BB707" s="27"/>
      <c r="BC707" s="27"/>
      <c r="BD707" s="27"/>
      <c r="BE707" s="27"/>
      <c r="BF707" s="27"/>
      <c r="BG707" s="27"/>
      <c r="BH707" s="27"/>
      <c r="BI707" s="27"/>
      <c r="BJ707" s="27"/>
      <c r="BK707" s="27"/>
      <c r="BL707" s="27"/>
      <c r="BM707" s="27"/>
      <c r="BN707" s="27"/>
      <c r="BO707" s="27"/>
      <c r="BP707" s="27"/>
      <c r="BQ707" s="27"/>
      <c r="BR707" s="27"/>
      <c r="BS707" s="27"/>
      <c r="BT707" s="27"/>
      <c r="BU707" s="27"/>
      <c r="BV707" s="27"/>
      <c r="BW707" s="27"/>
      <c r="BX707" s="27"/>
      <c r="BY707" s="27"/>
      <c r="BZ707" s="27"/>
      <c r="CA707" s="27"/>
      <c r="CB707" s="27"/>
      <c r="CC707" s="27"/>
      <c r="CD707" s="27"/>
      <c r="CE707" s="27"/>
      <c r="CF707" s="27"/>
      <c r="CG707" s="27"/>
      <c r="CH707" s="27"/>
      <c r="CI707" s="27"/>
      <c r="CJ707" s="27"/>
      <c r="CK707" s="27"/>
      <c r="CL707" s="27"/>
      <c r="CM707" s="27"/>
      <c r="CN707" s="27"/>
      <c r="CO707" s="27"/>
      <c r="CP707" s="27"/>
      <c r="CQ707" s="27"/>
      <c r="CR707" s="27"/>
      <c r="CS707" s="27"/>
      <c r="CT707" s="27"/>
      <c r="CU707" s="27"/>
      <c r="CV707" s="27"/>
      <c r="CW707" s="27"/>
      <c r="CX707" s="27"/>
      <c r="CY707" s="27"/>
      <c r="CZ707" s="27"/>
      <c r="DA707" s="27"/>
      <c r="DB707" s="27"/>
      <c r="DC707" s="27"/>
      <c r="DD707" s="27"/>
      <c r="DE707" s="27"/>
      <c r="DF707" s="27"/>
      <c r="DG707" s="27"/>
      <c r="DH707" s="27"/>
      <c r="DI707" s="27"/>
      <c r="DJ707" s="27"/>
      <c r="DK707" s="27"/>
      <c r="DL707" s="27"/>
      <c r="DM707" s="27"/>
      <c r="DN707" s="27"/>
      <c r="DO707" s="27"/>
      <c r="DP707" s="27"/>
      <c r="DQ707" s="27"/>
      <c r="DR707" s="27"/>
      <c r="DS707" s="27"/>
      <c r="DT707" s="27"/>
    </row>
    <row r="708" spans="7:124" x14ac:dyDescent="0.2">
      <c r="G708" s="27"/>
      <c r="H708" s="27"/>
      <c r="I708" s="27"/>
      <c r="J708" s="27"/>
      <c r="K708" s="27"/>
      <c r="L708" s="27"/>
      <c r="M708" s="27"/>
      <c r="N708" s="27"/>
      <c r="O708" s="27">
        <f ca="1">VLOOKUP(INT(O712),ofek4,Q712+2,FALSE)*(1+AB746/100)*T719*T705</f>
        <v>1.1025E-2</v>
      </c>
      <c r="P708" s="27">
        <f ca="1">VLOOKUP(INT(O712),ofek4,Q712+2,FALSE)*(1+AB746/100)*T719*T705</f>
        <v>1.1025E-2</v>
      </c>
      <c r="Q708" s="27"/>
      <c r="R708" s="27"/>
      <c r="S708" s="27"/>
      <c r="T708" s="27"/>
      <c r="U708" s="27"/>
      <c r="V708" s="27">
        <v>3</v>
      </c>
      <c r="W708" s="27">
        <v>0.51</v>
      </c>
      <c r="X708" s="27" t="s">
        <v>59</v>
      </c>
      <c r="Y708" s="27">
        <v>7.4999999999999997E-2</v>
      </c>
      <c r="Z708" s="27" t="s">
        <v>80</v>
      </c>
      <c r="AA708" s="27"/>
      <c r="AB708" s="27"/>
      <c r="AC708" s="27"/>
      <c r="AD708" s="27"/>
      <c r="AE708" s="27" t="s">
        <v>197</v>
      </c>
      <c r="AF708" s="27" t="s">
        <v>71</v>
      </c>
      <c r="AG708" s="27"/>
      <c r="AH708" s="27"/>
      <c r="AI708" s="27">
        <v>2</v>
      </c>
      <c r="AJ708" s="27"/>
      <c r="AK708" s="27"/>
      <c r="AL708" s="27"/>
      <c r="AM708" s="27"/>
      <c r="AN708" s="27"/>
      <c r="AO708" s="27">
        <v>6</v>
      </c>
      <c r="AP708" s="27" t="e">
        <f>IF(#REF!=$BW$719,M826*1.05,M826)</f>
        <v>#REF!</v>
      </c>
      <c r="AQ708" s="27"/>
      <c r="AR708" s="27"/>
      <c r="AS708" s="27"/>
      <c r="AT708" s="27"/>
      <c r="AU708" s="27"/>
      <c r="AV708" s="27">
        <v>3</v>
      </c>
      <c r="AW708" s="27">
        <v>4.8000000000000001E-2</v>
      </c>
      <c r="AX708" s="27"/>
      <c r="AY708" s="27"/>
      <c r="AZ708" s="27"/>
      <c r="BA708" s="27"/>
      <c r="BB708" s="27"/>
      <c r="BC708" s="27"/>
      <c r="BD708" s="27"/>
      <c r="BE708" s="27"/>
      <c r="BF708" s="27"/>
      <c r="BG708" s="27"/>
      <c r="BH708" s="27"/>
      <c r="BI708" s="27"/>
      <c r="BJ708" s="27"/>
      <c r="BK708" s="27"/>
      <c r="BL708" s="27"/>
      <c r="BM708" s="27"/>
      <c r="BN708" s="27"/>
      <c r="BO708" s="27"/>
      <c r="BP708" s="27"/>
      <c r="BQ708" s="27"/>
      <c r="BR708" s="27"/>
      <c r="BS708" s="27"/>
      <c r="BT708" s="27"/>
      <c r="BU708" s="27"/>
      <c r="BV708" s="27"/>
      <c r="BW708" s="27"/>
      <c r="BX708" s="27"/>
      <c r="BY708" s="27"/>
      <c r="BZ708" s="27"/>
      <c r="CA708" s="27"/>
      <c r="CB708" s="27"/>
      <c r="CC708" s="27"/>
      <c r="CD708" s="27"/>
      <c r="CE708" s="27"/>
      <c r="CF708" s="27"/>
      <c r="CG708" s="27"/>
      <c r="CH708" s="27"/>
      <c r="CI708" s="27"/>
      <c r="CJ708" s="27"/>
      <c r="CK708" s="27"/>
      <c r="CL708" s="27"/>
      <c r="CM708" s="27"/>
      <c r="CN708" s="27"/>
      <c r="CO708" s="27"/>
      <c r="CP708" s="27"/>
      <c r="CQ708" s="27"/>
      <c r="CR708" s="27"/>
      <c r="CS708" s="27"/>
      <c r="CT708" s="27"/>
      <c r="CU708" s="27"/>
      <c r="CV708" s="27"/>
      <c r="CW708" s="27"/>
      <c r="CX708" s="27"/>
      <c r="CY708" s="27"/>
      <c r="CZ708" s="27"/>
      <c r="DA708" s="27"/>
      <c r="DB708" s="27"/>
      <c r="DC708" s="27"/>
      <c r="DD708" s="27"/>
      <c r="DE708" s="27"/>
      <c r="DF708" s="27"/>
      <c r="DG708" s="27"/>
      <c r="DH708" s="27"/>
      <c r="DI708" s="27"/>
      <c r="DJ708" s="27"/>
      <c r="DK708" s="27"/>
      <c r="DL708" s="27"/>
      <c r="DM708" s="27"/>
      <c r="DN708" s="27"/>
      <c r="DO708" s="27"/>
      <c r="DP708" s="27"/>
      <c r="DQ708" s="27"/>
      <c r="DR708" s="27"/>
      <c r="DS708" s="27"/>
      <c r="DT708" s="27"/>
    </row>
    <row r="709" spans="7:124" x14ac:dyDescent="0.2">
      <c r="G709" s="27"/>
      <c r="H709" s="27"/>
      <c r="I709" s="27"/>
      <c r="J709" s="27"/>
      <c r="K709" s="27"/>
      <c r="L709" s="27"/>
      <c r="M709" s="27"/>
      <c r="N709" s="27"/>
      <c r="O709" s="27"/>
      <c r="P709" s="27"/>
      <c r="Q709" s="27"/>
      <c r="R709" s="27"/>
      <c r="S709" s="27" t="s">
        <v>84</v>
      </c>
      <c r="T709" s="27"/>
      <c r="U709" s="27"/>
      <c r="V709" s="27">
        <v>4</v>
      </c>
      <c r="W709" s="27">
        <v>0.53</v>
      </c>
      <c r="X709" s="27" t="s">
        <v>59</v>
      </c>
      <c r="Y709" s="27">
        <v>6.7500000000000004E-2</v>
      </c>
      <c r="Z709" s="27" t="s">
        <v>85</v>
      </c>
      <c r="AA709" s="27"/>
      <c r="AB709" s="27"/>
      <c r="AC709" s="27"/>
      <c r="AD709" s="27"/>
      <c r="AE709" s="27" t="s">
        <v>564</v>
      </c>
      <c r="AF709" s="27" t="s">
        <v>71</v>
      </c>
      <c r="AG709" s="27"/>
      <c r="AH709" s="27"/>
      <c r="AI709" s="27">
        <v>2.5</v>
      </c>
      <c r="AJ709" s="27"/>
      <c r="AK709" s="27"/>
      <c r="AL709" s="27"/>
      <c r="AM709" s="27"/>
      <c r="AN709" s="27"/>
      <c r="AO709" s="27">
        <v>6.5</v>
      </c>
      <c r="AP709" s="27" t="e">
        <f>AP708*1.0375</f>
        <v>#REF!</v>
      </c>
      <c r="AQ709" s="27"/>
      <c r="AR709" s="27"/>
      <c r="AS709" s="27"/>
      <c r="AT709" s="27"/>
      <c r="AU709" s="27"/>
      <c r="AV709" s="27">
        <v>4</v>
      </c>
      <c r="AW709" s="27">
        <v>7.1999999999999995E-2</v>
      </c>
      <c r="AX709" s="27"/>
      <c r="AY709" s="27"/>
      <c r="AZ709" s="27"/>
      <c r="BA709" s="27"/>
      <c r="BB709" s="27"/>
      <c r="BC709" s="27"/>
      <c r="BD709" s="27"/>
      <c r="BE709" s="27"/>
      <c r="BF709" s="27"/>
      <c r="BG709" s="27"/>
      <c r="BH709" s="27"/>
      <c r="BI709" s="27"/>
      <c r="BJ709" s="27"/>
      <c r="BK709" s="27"/>
      <c r="BL709" s="27"/>
      <c r="BM709" s="27"/>
      <c r="BN709" s="27"/>
      <c r="BO709" s="27"/>
      <c r="BP709" s="27"/>
      <c r="BQ709" s="27"/>
      <c r="BR709" s="27"/>
      <c r="BS709" s="27"/>
      <c r="BT709" s="27"/>
      <c r="BU709" s="27"/>
      <c r="BV709" s="27"/>
      <c r="BW709" s="27"/>
      <c r="BX709" s="27"/>
      <c r="BY709" s="27"/>
      <c r="BZ709" s="27"/>
      <c r="CA709" s="27"/>
      <c r="CB709" s="27"/>
      <c r="CC709" s="27"/>
      <c r="CD709" s="27"/>
      <c r="CE709" s="27"/>
      <c r="CF709" s="27"/>
      <c r="CG709" s="27"/>
      <c r="CH709" s="27"/>
      <c r="CI709" s="27"/>
      <c r="CJ709" s="27"/>
      <c r="CK709" s="27"/>
      <c r="CL709" s="27"/>
      <c r="CM709" s="27"/>
      <c r="CN709" s="27"/>
      <c r="CO709" s="27"/>
      <c r="CP709" s="27"/>
      <c r="CQ709" s="27"/>
      <c r="CR709" s="27"/>
      <c r="CS709" s="27"/>
      <c r="CT709" s="27"/>
      <c r="CU709" s="27"/>
      <c r="CV709" s="27"/>
      <c r="CW709" s="27"/>
      <c r="CX709" s="27"/>
      <c r="CY709" s="27"/>
      <c r="CZ709" s="27"/>
      <c r="DA709" s="27"/>
      <c r="DB709" s="27"/>
      <c r="DC709" s="27"/>
      <c r="DD709" s="27"/>
      <c r="DE709" s="27"/>
      <c r="DF709" s="27"/>
      <c r="DG709" s="27"/>
      <c r="DH709" s="27"/>
      <c r="DI709" s="27"/>
      <c r="DJ709" s="27"/>
      <c r="DK709" s="27"/>
      <c r="DL709" s="27"/>
      <c r="DM709" s="27"/>
      <c r="DN709" s="27"/>
      <c r="DO709" s="27"/>
      <c r="DP709" s="27"/>
      <c r="DQ709" s="27"/>
      <c r="DR709" s="27"/>
      <c r="DS709" s="27"/>
      <c r="DT709" s="27"/>
    </row>
    <row r="710" spans="7:124" x14ac:dyDescent="0.2">
      <c r="G710" s="27"/>
      <c r="H710" s="27"/>
      <c r="I710" s="27"/>
      <c r="J710" s="27"/>
      <c r="K710" s="27"/>
      <c r="L710" s="27"/>
      <c r="M710" s="27"/>
      <c r="N710" s="27"/>
      <c r="O710" s="27">
        <f ca="1">ROUND((I775-AL723)/365.25,2)</f>
        <v>65.84</v>
      </c>
      <c r="P710" s="27" t="s">
        <v>89</v>
      </c>
      <c r="Q710" s="27">
        <f>ROUND((AF735-AT720)/365.25,2)</f>
        <v>0.36</v>
      </c>
      <c r="R710" s="27"/>
      <c r="S710" s="27" t="s">
        <v>6</v>
      </c>
      <c r="T710" s="27"/>
      <c r="U710" s="27"/>
      <c r="V710" s="27">
        <v>5</v>
      </c>
      <c r="W710" s="27">
        <v>0.54500000000000004</v>
      </c>
      <c r="X710" s="27" t="s">
        <v>59</v>
      </c>
      <c r="Y710" s="27">
        <v>0.06</v>
      </c>
      <c r="Z710" s="27" t="s">
        <v>90</v>
      </c>
      <c r="AA710" s="27"/>
      <c r="AB710" s="27"/>
      <c r="AC710" s="27"/>
      <c r="AD710" s="27"/>
      <c r="AE710" s="27"/>
      <c r="AF710" s="27"/>
      <c r="AG710" s="27"/>
      <c r="AH710" s="27"/>
      <c r="AI710" s="27">
        <v>3</v>
      </c>
      <c r="AJ710" s="27"/>
      <c r="AK710" s="27"/>
      <c r="AL710" s="27"/>
      <c r="AM710" s="27"/>
      <c r="AN710" s="27"/>
      <c r="AO710" s="27">
        <v>7</v>
      </c>
      <c r="AP710" s="27" t="e">
        <f>IF(#REF!=$BW$719,M828*1.05,M828)</f>
        <v>#REF!</v>
      </c>
      <c r="AQ710" s="27"/>
      <c r="AR710" s="27"/>
      <c r="AS710" s="27"/>
      <c r="AT710" s="27"/>
      <c r="AU710" s="27"/>
      <c r="AV710" s="27">
        <v>5</v>
      </c>
      <c r="AW710" s="27">
        <v>9.6000000000000002E-2</v>
      </c>
      <c r="AX710" s="27"/>
      <c r="AY710" s="27"/>
      <c r="AZ710" s="27"/>
      <c r="BA710" s="27"/>
      <c r="BB710" s="27"/>
      <c r="BC710" s="27"/>
      <c r="BD710" s="27"/>
      <c r="BE710" s="27"/>
      <c r="BF710" s="27"/>
      <c r="BG710" s="27"/>
      <c r="BH710" s="27"/>
      <c r="BI710" s="27"/>
      <c r="BJ710" s="27"/>
      <c r="BK710" s="27"/>
      <c r="BL710" s="27"/>
      <c r="BM710" s="27"/>
      <c r="BN710" s="27"/>
      <c r="BO710" s="27"/>
      <c r="BP710" s="27"/>
      <c r="BQ710" s="27"/>
      <c r="BR710" s="27"/>
      <c r="BS710" s="27"/>
      <c r="BT710" s="27"/>
      <c r="BU710" s="27"/>
      <c r="BV710" s="27"/>
      <c r="BW710" s="27"/>
      <c r="BX710" s="27"/>
      <c r="BY710" s="27"/>
      <c r="BZ710" s="27"/>
      <c r="CA710" s="27"/>
      <c r="CB710" s="27"/>
      <c r="CC710" s="27"/>
      <c r="CD710" s="27"/>
      <c r="CE710" s="27"/>
      <c r="CF710" s="27"/>
      <c r="CG710" s="27"/>
      <c r="CH710" s="27"/>
      <c r="CI710" s="27"/>
      <c r="CJ710" s="27"/>
      <c r="CK710" s="27"/>
      <c r="CL710" s="27"/>
      <c r="CM710" s="27"/>
      <c r="CN710" s="27"/>
      <c r="CO710" s="27"/>
      <c r="CP710" s="27"/>
      <c r="CQ710" s="27"/>
      <c r="CR710" s="27"/>
      <c r="CS710" s="27"/>
      <c r="CT710" s="27"/>
      <c r="CU710" s="27"/>
      <c r="CV710" s="27"/>
      <c r="CW710" s="27"/>
      <c r="CX710" s="27"/>
      <c r="CY710" s="27"/>
      <c r="CZ710" s="27"/>
      <c r="DA710" s="27"/>
      <c r="DB710" s="27"/>
      <c r="DC710" s="27"/>
      <c r="DD710" s="27"/>
      <c r="DE710" s="27"/>
      <c r="DF710" s="27"/>
      <c r="DG710" s="27"/>
      <c r="DH710" s="27"/>
      <c r="DI710" s="27"/>
      <c r="DJ710" s="27"/>
      <c r="DK710" s="27"/>
      <c r="DL710" s="27"/>
      <c r="DM710" s="27"/>
      <c r="DN710" s="27"/>
      <c r="DO710" s="27"/>
      <c r="DP710" s="27"/>
      <c r="DQ710" s="27"/>
      <c r="DR710" s="27"/>
      <c r="DS710" s="27"/>
      <c r="DT710" s="27"/>
    </row>
    <row r="711" spans="7:124" x14ac:dyDescent="0.2">
      <c r="G711" s="27"/>
      <c r="H711" s="27"/>
      <c r="I711" s="27"/>
      <c r="J711" s="27"/>
      <c r="K711" s="27"/>
      <c r="L711" s="27"/>
      <c r="M711" s="27"/>
      <c r="N711" s="27"/>
      <c r="O711" s="27">
        <f ca="1">IF(BB769=CB719,59-O710,60-O710)</f>
        <v>-5.8400000000000034</v>
      </c>
      <c r="P711" s="27" t="s">
        <v>96</v>
      </c>
      <c r="Q711" s="27">
        <f ca="1">Q710+O711</f>
        <v>-5.4800000000000031</v>
      </c>
      <c r="R711" s="27"/>
      <c r="S711" s="27" t="s">
        <v>97</v>
      </c>
      <c r="T711" s="27"/>
      <c r="U711" s="27"/>
      <c r="V711" s="27">
        <v>6</v>
      </c>
      <c r="W711" s="27">
        <v>0.56499999999999995</v>
      </c>
      <c r="X711" s="27" t="s">
        <v>59</v>
      </c>
      <c r="Y711" s="27">
        <v>5.2499999999999998E-2</v>
      </c>
      <c r="Z711" s="27" t="s">
        <v>98</v>
      </c>
      <c r="AA711" s="27"/>
      <c r="AB711" s="27"/>
      <c r="AC711" s="27"/>
      <c r="AD711" s="27"/>
      <c r="AE711" s="27" t="e">
        <f>HLOOKUP(C51,kothor1,3,FALSE)</f>
        <v>#N/A</v>
      </c>
      <c r="AF711" s="27"/>
      <c r="AG711" s="27"/>
      <c r="AH711" s="27"/>
      <c r="AI711" s="27">
        <v>3.5</v>
      </c>
      <c r="AJ711" s="27"/>
      <c r="AK711" s="27"/>
      <c r="AL711" s="27"/>
      <c r="AM711" s="27"/>
      <c r="AN711" s="27"/>
      <c r="AO711" s="27">
        <v>7.5</v>
      </c>
      <c r="AP711" s="27" t="e">
        <f>AP710*1.0375</f>
        <v>#REF!</v>
      </c>
      <c r="AQ711" s="27"/>
      <c r="AR711" s="27"/>
      <c r="AS711" s="27"/>
      <c r="AT711" s="27"/>
      <c r="AU711" s="27"/>
      <c r="AV711" s="27">
        <v>6</v>
      </c>
      <c r="AW711" s="27">
        <v>0.12</v>
      </c>
      <c r="AX711" s="27"/>
      <c r="AY711" s="27"/>
      <c r="AZ711" s="27"/>
      <c r="BA711" s="27"/>
      <c r="BB711" s="27"/>
      <c r="BC711" s="27" t="s">
        <v>565</v>
      </c>
      <c r="BD711" s="27" t="s">
        <v>71</v>
      </c>
      <c r="BE711" s="27"/>
      <c r="BF711" s="27"/>
      <c r="BG711" s="27"/>
      <c r="BH711" s="27"/>
      <c r="BI711" s="27"/>
      <c r="BJ711" s="27"/>
      <c r="BK711" s="27"/>
      <c r="BL711" s="27"/>
      <c r="BM711" s="27"/>
      <c r="BN711" s="27"/>
      <c r="BO711" s="27"/>
      <c r="BP711" s="27"/>
      <c r="BQ711" s="27"/>
      <c r="BR711" s="27"/>
      <c r="BS711" s="27"/>
      <c r="BT711" s="27"/>
      <c r="BU711" s="27"/>
      <c r="BV711" s="27"/>
      <c r="BW711" s="27"/>
      <c r="BX711" s="27"/>
      <c r="BY711" s="27"/>
      <c r="BZ711" s="27"/>
      <c r="CA711" s="27"/>
      <c r="CB711" s="27"/>
      <c r="CC711" s="27"/>
      <c r="CD711" s="27"/>
      <c r="CE711" s="27"/>
      <c r="CF711" s="27"/>
      <c r="CG711" s="27"/>
      <c r="CH711" s="27"/>
      <c r="CI711" s="27"/>
      <c r="CJ711" s="27"/>
      <c r="CK711" s="27"/>
      <c r="CL711" s="27"/>
      <c r="CM711" s="27"/>
      <c r="CN711" s="27"/>
      <c r="CO711" s="27"/>
      <c r="CP711" s="27"/>
      <c r="CQ711" s="27"/>
      <c r="CR711" s="27"/>
      <c r="CS711" s="27"/>
      <c r="CT711" s="27"/>
      <c r="CU711" s="27"/>
      <c r="CV711" s="27"/>
      <c r="CW711" s="27"/>
      <c r="CX711" s="27"/>
      <c r="CY711" s="27"/>
      <c r="CZ711" s="27"/>
      <c r="DA711" s="27"/>
      <c r="DB711" s="27"/>
      <c r="DC711" s="27"/>
      <c r="DD711" s="27"/>
      <c r="DE711" s="27"/>
      <c r="DF711" s="27"/>
      <c r="DG711" s="27"/>
      <c r="DH711" s="27"/>
      <c r="DI711" s="27"/>
      <c r="DJ711" s="27"/>
      <c r="DK711" s="27"/>
      <c r="DL711" s="27"/>
      <c r="DM711" s="27"/>
      <c r="DN711" s="27"/>
      <c r="DO711" s="27"/>
      <c r="DP711" s="27"/>
      <c r="DQ711" s="27"/>
      <c r="DR711" s="27"/>
      <c r="DS711" s="27"/>
      <c r="DT711" s="27"/>
    </row>
    <row r="712" spans="7:124" x14ac:dyDescent="0.2">
      <c r="G712" s="27"/>
      <c r="H712" s="27"/>
      <c r="I712" s="27"/>
      <c r="J712" s="27"/>
      <c r="K712" s="27"/>
      <c r="L712" s="27"/>
      <c r="M712" s="27"/>
      <c r="N712" s="27"/>
      <c r="O712" s="27">
        <f ca="1">IF(AD738+O711&gt;36,36,AD738+O711)</f>
        <v>27.159999999999997</v>
      </c>
      <c r="P712" s="27" t="s">
        <v>104</v>
      </c>
      <c r="Q712" s="27">
        <f>E928</f>
        <v>0</v>
      </c>
      <c r="R712" s="27" t="s">
        <v>105</v>
      </c>
      <c r="S712" s="27" t="s">
        <v>106</v>
      </c>
      <c r="T712" s="27"/>
      <c r="U712" s="27"/>
      <c r="V712" s="27">
        <v>7</v>
      </c>
      <c r="W712" s="27">
        <v>0.58499999999999996</v>
      </c>
      <c r="X712" s="27" t="s">
        <v>59</v>
      </c>
      <c r="Y712" s="27">
        <v>4.4999999999999998E-2</v>
      </c>
      <c r="Z712" s="27" t="s">
        <v>107</v>
      </c>
      <c r="AA712" s="27"/>
      <c r="AB712" s="27"/>
      <c r="AC712" s="27"/>
      <c r="AD712" s="27"/>
      <c r="AE712" s="27"/>
      <c r="AF712" s="27"/>
      <c r="AG712" s="27"/>
      <c r="AH712" s="27"/>
      <c r="AI712" s="27">
        <v>4</v>
      </c>
      <c r="AJ712" s="27" t="s">
        <v>59</v>
      </c>
      <c r="AK712" s="27"/>
      <c r="AL712" s="27"/>
      <c r="AM712" s="27"/>
      <c r="AN712" s="27"/>
      <c r="AO712" s="27">
        <v>8</v>
      </c>
      <c r="AP712" s="27" t="e">
        <f>IF(#REF!=$BW$719,M830*1.05,M830)</f>
        <v>#REF!</v>
      </c>
      <c r="AQ712" s="27"/>
      <c r="AR712" s="27"/>
      <c r="AS712" s="27"/>
      <c r="AT712" s="27"/>
      <c r="AU712" s="27"/>
      <c r="AV712" s="27">
        <v>7</v>
      </c>
      <c r="AW712" s="27">
        <v>0.14399999999999999</v>
      </c>
      <c r="AX712" s="27"/>
      <c r="AY712" s="27"/>
      <c r="AZ712" s="27"/>
      <c r="BA712" s="27"/>
      <c r="BB712" s="27"/>
      <c r="BC712" s="27"/>
      <c r="BD712" s="27"/>
      <c r="BE712" s="27"/>
      <c r="BF712" s="27"/>
      <c r="BG712" s="27"/>
      <c r="BH712" s="27"/>
      <c r="BI712" s="27"/>
      <c r="BJ712" s="27"/>
      <c r="BK712" s="27"/>
      <c r="BL712" s="27"/>
      <c r="BM712" s="27"/>
      <c r="BN712" s="27"/>
      <c r="BO712" s="27"/>
      <c r="BP712" s="27"/>
      <c r="BQ712" s="27"/>
      <c r="BR712" s="27"/>
      <c r="BS712" s="27"/>
      <c r="BT712" s="27"/>
      <c r="BU712" s="27"/>
      <c r="BV712" s="27"/>
      <c r="BW712" s="27"/>
      <c r="BX712" s="27"/>
      <c r="BY712" s="27"/>
      <c r="BZ712" s="27"/>
      <c r="CA712" s="27"/>
      <c r="CB712" s="27"/>
      <c r="CC712" s="27"/>
      <c r="CD712" s="27"/>
      <c r="CE712" s="27"/>
      <c r="CF712" s="27"/>
      <c r="CG712" s="27"/>
      <c r="CH712" s="27"/>
      <c r="CI712" s="27"/>
      <c r="CJ712" s="27"/>
      <c r="CK712" s="27"/>
      <c r="CL712" s="27"/>
      <c r="CM712" s="27"/>
      <c r="CN712" s="27"/>
      <c r="CO712" s="27"/>
      <c r="CP712" s="27"/>
      <c r="CQ712" s="27"/>
      <c r="CR712" s="27"/>
      <c r="CS712" s="27"/>
      <c r="CT712" s="27"/>
      <c r="CU712" s="27"/>
      <c r="CV712" s="27"/>
      <c r="CW712" s="27"/>
      <c r="CX712" s="27"/>
      <c r="CY712" s="27"/>
      <c r="CZ712" s="27"/>
      <c r="DA712" s="27"/>
      <c r="DB712" s="27"/>
      <c r="DC712" s="27"/>
      <c r="DD712" s="27"/>
      <c r="DE712" s="27"/>
      <c r="DF712" s="27"/>
      <c r="DG712" s="27"/>
      <c r="DH712" s="27"/>
      <c r="DI712" s="27"/>
      <c r="DJ712" s="27"/>
      <c r="DK712" s="27"/>
      <c r="DL712" s="27"/>
      <c r="DM712" s="27"/>
      <c r="DN712" s="27"/>
      <c r="DO712" s="27"/>
      <c r="DP712" s="27"/>
      <c r="DQ712" s="27"/>
      <c r="DR712" s="27"/>
      <c r="DS712" s="27"/>
      <c r="DT712" s="27"/>
    </row>
    <row r="713" spans="7:124" x14ac:dyDescent="0.2">
      <c r="G713" s="27"/>
      <c r="H713" s="27"/>
      <c r="I713" s="27"/>
      <c r="J713" s="27"/>
      <c r="K713" s="27"/>
      <c r="L713" s="27"/>
      <c r="M713" s="27"/>
      <c r="N713" s="27"/>
      <c r="O713" s="27">
        <f ca="1">VLOOKUP(INT(O712),ofek4,Q712+2,FALSE)*(1+AB746/100)*AX737*T719*T705</f>
        <v>1.1025E-2</v>
      </c>
      <c r="P713" s="27">
        <f ca="1">VLOOKUP(INT(O712),ofek4,Q712+2,FALSE)*(1+AB746/100)*AX737*T719*T705</f>
        <v>1.1025E-2</v>
      </c>
      <c r="Q713" s="27"/>
      <c r="R713" s="27"/>
      <c r="S713" s="27" t="s">
        <v>114</v>
      </c>
      <c r="T713" s="27"/>
      <c r="U713" s="27"/>
      <c r="V713" s="27">
        <v>8</v>
      </c>
      <c r="W713" s="27">
        <v>0.6</v>
      </c>
      <c r="X713" s="27"/>
      <c r="Y713" s="27">
        <v>0</v>
      </c>
      <c r="Z713" s="27" t="s">
        <v>115</v>
      </c>
      <c r="AA713" s="27"/>
      <c r="AB713" s="27"/>
      <c r="AC713" s="27"/>
      <c r="AD713" s="27"/>
      <c r="AE713" s="27"/>
      <c r="AF713" s="27"/>
      <c r="AG713" s="27"/>
      <c r="AH713" s="27"/>
      <c r="AI713" s="27">
        <v>4.5</v>
      </c>
      <c r="AJ713" s="27" t="s">
        <v>59</v>
      </c>
      <c r="AK713" s="27"/>
      <c r="AL713" s="27"/>
      <c r="AM713" s="27"/>
      <c r="AN713" s="27"/>
      <c r="AO713" s="27">
        <v>8.5</v>
      </c>
      <c r="AP713" s="27" t="e">
        <f>AP712*1.0375</f>
        <v>#REF!</v>
      </c>
      <c r="AQ713" s="27"/>
      <c r="AR713" s="27"/>
      <c r="AS713" s="27"/>
      <c r="AT713" s="27"/>
      <c r="AU713" s="27"/>
      <c r="AV713" s="27">
        <v>8</v>
      </c>
      <c r="AW713" s="27">
        <v>0.16800000000000001</v>
      </c>
      <c r="AX713" s="27"/>
      <c r="AY713" s="27"/>
      <c r="AZ713" s="27"/>
      <c r="BA713" s="27"/>
      <c r="BB713" s="27"/>
      <c r="BC713" s="27"/>
      <c r="BD713" s="27"/>
      <c r="BE713" s="27"/>
      <c r="BF713" s="27"/>
      <c r="BG713" s="27"/>
      <c r="BH713" s="27"/>
      <c r="BI713" s="27"/>
      <c r="BJ713" s="27"/>
      <c r="BK713" s="27"/>
      <c r="BL713" s="27"/>
      <c r="BM713" s="27"/>
      <c r="BN713" s="27"/>
      <c r="BO713" s="27"/>
      <c r="BP713" s="27"/>
      <c r="BQ713" s="27"/>
      <c r="BR713" s="27"/>
      <c r="BS713" s="27"/>
      <c r="BT713" s="27"/>
      <c r="BU713" s="27"/>
      <c r="BV713" s="27"/>
      <c r="BW713" s="27"/>
      <c r="BX713" s="27"/>
      <c r="BY713" s="27"/>
      <c r="BZ713" s="27"/>
      <c r="CA713" s="27"/>
      <c r="CB713" s="27"/>
      <c r="CC713" s="27"/>
      <c r="CD713" s="27"/>
      <c r="CE713" s="27"/>
      <c r="CF713" s="27"/>
      <c r="CG713" s="27"/>
      <c r="CH713" s="27"/>
      <c r="CI713" s="27"/>
      <c r="CJ713" s="27"/>
      <c r="CK713" s="27"/>
      <c r="CL713" s="27"/>
      <c r="CM713" s="27"/>
      <c r="CN713" s="27"/>
      <c r="CO713" s="27"/>
      <c r="CP713" s="27"/>
      <c r="CQ713" s="27"/>
      <c r="CR713" s="27"/>
      <c r="CS713" s="27"/>
      <c r="CT713" s="27"/>
      <c r="CU713" s="27"/>
      <c r="CV713" s="27"/>
      <c r="CW713" s="27"/>
      <c r="CX713" s="27"/>
      <c r="CY713" s="27"/>
      <c r="CZ713" s="27"/>
      <c r="DA713" s="27"/>
      <c r="DB713" s="27"/>
      <c r="DC713" s="27"/>
      <c r="DD713" s="27"/>
      <c r="DE713" s="27"/>
      <c r="DF713" s="27"/>
      <c r="DG713" s="27"/>
      <c r="DH713" s="27"/>
      <c r="DI713" s="27"/>
      <c r="DJ713" s="27"/>
      <c r="DK713" s="27"/>
      <c r="DL713" s="27"/>
      <c r="DM713" s="27"/>
      <c r="DN713" s="27"/>
      <c r="DO713" s="27"/>
      <c r="DP713" s="27"/>
      <c r="DQ713" s="27"/>
      <c r="DR713" s="27"/>
      <c r="DS713" s="27"/>
      <c r="DT713" s="27"/>
    </row>
    <row r="714" spans="7:124" x14ac:dyDescent="0.2">
      <c r="G714" s="27"/>
      <c r="H714" s="27"/>
      <c r="I714" s="27"/>
      <c r="J714" s="27"/>
      <c r="K714" s="27"/>
      <c r="L714" s="27"/>
      <c r="M714" s="27"/>
      <c r="N714" s="27"/>
      <c r="O714" s="27">
        <v>0</v>
      </c>
      <c r="P714" s="27"/>
      <c r="Q714" s="27"/>
      <c r="R714" s="27"/>
      <c r="S714" s="27"/>
      <c r="T714" s="27"/>
      <c r="U714" s="27"/>
      <c r="V714" s="27">
        <v>9</v>
      </c>
      <c r="W714" s="27">
        <v>0.62</v>
      </c>
      <c r="X714" s="27"/>
      <c r="Y714" s="27">
        <f>IF(BB777=Z706,Y706,IF(BB777=Z707,Y707,IF(BB777=Z708,Y708,IF(BB777=Z709,Y709,IF(BB777=Z710,Y710,IF(BB777=Z711,Y711,IF(BB777=Z712,Y712,IF(BB777=Z713,Y713))))))))</f>
        <v>0</v>
      </c>
      <c r="Z714" s="27"/>
      <c r="AA714" s="27"/>
      <c r="AB714" s="27"/>
      <c r="AC714" s="27"/>
      <c r="AD714" s="27"/>
      <c r="AE714" s="27"/>
      <c r="AF714" s="27"/>
      <c r="AG714" s="27"/>
      <c r="AH714" s="27"/>
      <c r="AI714" s="27">
        <v>5</v>
      </c>
      <c r="AJ714" s="27" t="s">
        <v>59</v>
      </c>
      <c r="AK714" s="27"/>
      <c r="AL714" s="27"/>
      <c r="AM714" s="27"/>
      <c r="AN714" s="27"/>
      <c r="AO714" s="27">
        <v>9</v>
      </c>
      <c r="AP714" s="27" t="e">
        <f>IF(#REF!=$BW$719,M832*1.05,M832)</f>
        <v>#REF!</v>
      </c>
      <c r="AQ714" s="27"/>
      <c r="AR714" s="27"/>
      <c r="AS714" s="27"/>
      <c r="AT714" s="27"/>
      <c r="AU714" s="27"/>
      <c r="AV714" s="27">
        <v>9</v>
      </c>
      <c r="AW714" s="27">
        <v>0.192</v>
      </c>
      <c r="AX714" s="27"/>
      <c r="AY714" s="27"/>
      <c r="AZ714" s="27"/>
      <c r="BA714" s="27"/>
      <c r="BB714" s="27"/>
      <c r="BC714" s="27"/>
      <c r="BD714" s="27"/>
      <c r="BE714" s="27"/>
      <c r="BF714" s="27"/>
      <c r="BG714" s="27"/>
      <c r="BH714" s="27"/>
      <c r="BI714" s="27"/>
      <c r="BJ714" s="27"/>
      <c r="BK714" s="27"/>
      <c r="BL714" s="27"/>
      <c r="BM714" s="27"/>
      <c r="BN714" s="27"/>
      <c r="BO714" s="27"/>
      <c r="BP714" s="27"/>
      <c r="BQ714" s="27"/>
      <c r="BR714" s="27"/>
      <c r="BS714" s="27"/>
      <c r="BT714" s="27"/>
      <c r="BU714" s="27"/>
      <c r="BV714" s="27"/>
      <c r="BW714" s="27"/>
      <c r="BX714" s="27"/>
      <c r="BY714" s="27"/>
      <c r="BZ714" s="27"/>
      <c r="CA714" s="27"/>
      <c r="CB714" s="27"/>
      <c r="CC714" s="27"/>
      <c r="CD714" s="27"/>
      <c r="CE714" s="27"/>
      <c r="CF714" s="27"/>
      <c r="CG714" s="27"/>
      <c r="CH714" s="27"/>
      <c r="CI714" s="27"/>
      <c r="CJ714" s="27"/>
      <c r="CK714" s="27"/>
      <c r="CL714" s="27"/>
      <c r="CM714" s="27"/>
      <c r="CN714" s="27"/>
      <c r="CO714" s="27"/>
      <c r="CP714" s="27"/>
      <c r="CQ714" s="27"/>
      <c r="CR714" s="27"/>
      <c r="CS714" s="27"/>
      <c r="CT714" s="27"/>
      <c r="CU714" s="27"/>
      <c r="CV714" s="27"/>
      <c r="CW714" s="27"/>
      <c r="CX714" s="27"/>
      <c r="CY714" s="27"/>
      <c r="CZ714" s="27"/>
      <c r="DA714" s="27"/>
      <c r="DB714" s="27"/>
      <c r="DC714" s="27"/>
      <c r="DD714" s="27"/>
      <c r="DE714" s="27"/>
      <c r="DF714" s="27"/>
      <c r="DG714" s="27"/>
      <c r="DH714" s="27"/>
      <c r="DI714" s="27"/>
      <c r="DJ714" s="27"/>
      <c r="DK714" s="27"/>
      <c r="DL714" s="27"/>
      <c r="DM714" s="27"/>
      <c r="DN714" s="27"/>
      <c r="DO714" s="27"/>
      <c r="DP714" s="27"/>
      <c r="DQ714" s="27"/>
      <c r="DR714" s="27"/>
      <c r="DS714" s="27"/>
      <c r="DT714" s="27"/>
    </row>
    <row r="715" spans="7:124" x14ac:dyDescent="0.2">
      <c r="G715" s="27"/>
      <c r="H715" s="27"/>
      <c r="I715" s="27"/>
      <c r="J715" s="27"/>
      <c r="K715" s="27"/>
      <c r="L715" s="27"/>
      <c r="M715" s="27"/>
      <c r="N715" s="27"/>
      <c r="O715" s="27">
        <v>0</v>
      </c>
      <c r="P715" s="27"/>
      <c r="Q715" s="27"/>
      <c r="R715" s="27"/>
      <c r="S715" s="27"/>
      <c r="T715" s="27" t="s">
        <v>59</v>
      </c>
      <c r="U715" s="27"/>
      <c r="V715" s="27">
        <v>1</v>
      </c>
      <c r="W715" s="27">
        <v>0.63500000000000001</v>
      </c>
      <c r="X715" s="27"/>
      <c r="Y715" s="27"/>
      <c r="Z715" s="27"/>
      <c r="AA715" s="27"/>
      <c r="AB715" s="27"/>
      <c r="AC715" s="27"/>
      <c r="AD715" s="27"/>
      <c r="AE715" s="27"/>
      <c r="AF715" s="27"/>
      <c r="AG715" s="27"/>
      <c r="AH715" s="27"/>
      <c r="AI715" s="27">
        <v>5.5</v>
      </c>
      <c r="AJ715" s="27" t="s">
        <v>59</v>
      </c>
      <c r="AK715" s="27"/>
      <c r="AL715" s="27"/>
      <c r="AM715" s="27"/>
      <c r="AN715" s="27"/>
      <c r="AO715" s="27"/>
      <c r="AP715" s="27"/>
      <c r="AQ715" s="27"/>
      <c r="AR715" s="27"/>
      <c r="AS715" s="27"/>
      <c r="AT715" s="27"/>
      <c r="AU715" s="27"/>
      <c r="AV715" s="27">
        <v>10</v>
      </c>
      <c r="AW715" s="27">
        <v>0.216</v>
      </c>
      <c r="AX715" s="27"/>
      <c r="AY715" s="27"/>
      <c r="AZ715" s="27"/>
      <c r="BA715" s="27"/>
      <c r="BB715" s="27"/>
      <c r="BC715" s="27"/>
      <c r="BD715" s="27"/>
      <c r="BE715" s="27"/>
      <c r="BF715" s="27"/>
      <c r="BG715" s="27"/>
      <c r="BH715" s="27"/>
      <c r="BI715" s="27"/>
      <c r="BJ715" s="27"/>
      <c r="BK715" s="27"/>
      <c r="BL715" s="27"/>
      <c r="BM715" s="27"/>
      <c r="BN715" s="27"/>
      <c r="BO715" s="27"/>
      <c r="BP715" s="27"/>
      <c r="BQ715" s="27"/>
      <c r="BR715" s="27"/>
      <c r="BS715" s="27"/>
      <c r="BT715" s="27"/>
      <c r="BU715" s="27" t="s">
        <v>125</v>
      </c>
      <c r="BV715" s="27" t="s">
        <v>126</v>
      </c>
      <c r="BW715" s="27" t="s">
        <v>10</v>
      </c>
      <c r="BX715" s="27" t="s">
        <v>11</v>
      </c>
      <c r="BY715" s="27" t="s">
        <v>1</v>
      </c>
      <c r="BZ715" s="27"/>
      <c r="CA715" s="27"/>
      <c r="CB715" s="27"/>
      <c r="CC715" s="27"/>
      <c r="CD715" s="27"/>
      <c r="CE715" s="27"/>
      <c r="CF715" s="27"/>
      <c r="CG715" s="27"/>
      <c r="CH715" s="27"/>
      <c r="CI715" s="27"/>
      <c r="CJ715" s="27"/>
      <c r="CK715" s="27"/>
      <c r="CL715" s="27"/>
      <c r="CM715" s="27"/>
      <c r="CN715" s="27"/>
      <c r="CO715" s="27"/>
      <c r="CP715" s="27"/>
      <c r="CQ715" s="27"/>
      <c r="CR715" s="27"/>
      <c r="CS715" s="27"/>
      <c r="CT715" s="27"/>
      <c r="CU715" s="27"/>
      <c r="CV715" s="27"/>
      <c r="CW715" s="27"/>
      <c r="CX715" s="27"/>
      <c r="CY715" s="27"/>
      <c r="CZ715" s="27"/>
      <c r="DA715" s="27"/>
      <c r="DB715" s="27"/>
      <c r="DC715" s="27"/>
      <c r="DD715" s="27"/>
      <c r="DE715" s="27"/>
      <c r="DF715" s="27"/>
      <c r="DG715" s="27"/>
      <c r="DH715" s="27"/>
      <c r="DI715" s="27"/>
      <c r="DJ715" s="27"/>
      <c r="DK715" s="27"/>
      <c r="DL715" s="27"/>
      <c r="DM715" s="27"/>
      <c r="DN715" s="27"/>
      <c r="DO715" s="27"/>
      <c r="DP715" s="27"/>
      <c r="DQ715" s="27"/>
      <c r="DR715" s="27"/>
      <c r="DS715" s="27"/>
      <c r="DT715" s="27"/>
    </row>
    <row r="716" spans="7:124" x14ac:dyDescent="0.2">
      <c r="G716" s="27"/>
      <c r="H716" s="27"/>
      <c r="I716" s="27"/>
      <c r="J716" s="27"/>
      <c r="K716" s="27"/>
      <c r="L716" s="27"/>
      <c r="M716" s="27"/>
      <c r="N716" s="27"/>
      <c r="O716" s="27">
        <v>0</v>
      </c>
      <c r="P716" s="27"/>
      <c r="Q716" s="27"/>
      <c r="R716" s="27">
        <f>IF(BB775=S710,10%,IF(BB775=S711,20%,IF(BB775=S712,11.5%,6%)))</f>
        <v>0.06</v>
      </c>
      <c r="S716" s="27" t="s">
        <v>130</v>
      </c>
      <c r="T716" s="27">
        <v>0.05</v>
      </c>
      <c r="U716" s="27"/>
      <c r="V716" s="27">
        <v>11</v>
      </c>
      <c r="W716" s="27">
        <v>0.66</v>
      </c>
      <c r="X716" s="27"/>
      <c r="Y716" s="27" t="s">
        <v>131</v>
      </c>
      <c r="Z716" s="27">
        <v>0</v>
      </c>
      <c r="AA716" s="27"/>
      <c r="AB716" s="27"/>
      <c r="AC716" s="27"/>
      <c r="AD716" s="27"/>
      <c r="AE716" s="27"/>
      <c r="AF716" s="27"/>
      <c r="AG716" s="27"/>
      <c r="AH716" s="27"/>
      <c r="AI716" s="27">
        <v>6</v>
      </c>
      <c r="AJ716" s="27" t="s">
        <v>59</v>
      </c>
      <c r="AK716" s="27"/>
      <c r="AL716" s="27"/>
      <c r="AM716" s="27"/>
      <c r="AN716" s="27"/>
      <c r="AO716" s="27"/>
      <c r="AP716" s="27"/>
      <c r="AQ716" s="27"/>
      <c r="AR716" s="27"/>
      <c r="AS716" s="27"/>
      <c r="AT716" s="27"/>
      <c r="AU716" s="27"/>
      <c r="AV716" s="27">
        <v>11</v>
      </c>
      <c r="AW716" s="27">
        <v>0.24</v>
      </c>
      <c r="AX716" s="27"/>
      <c r="AY716" s="27"/>
      <c r="AZ716" s="27"/>
      <c r="BA716" s="27"/>
      <c r="BB716" s="27"/>
      <c r="BC716" s="27"/>
      <c r="BD716" s="27"/>
      <c r="BE716" s="27"/>
      <c r="BF716" s="27"/>
      <c r="BG716" s="27"/>
      <c r="BH716" s="27"/>
      <c r="BI716" s="27"/>
      <c r="BJ716" s="27"/>
      <c r="BK716" s="27"/>
      <c r="BL716" s="27"/>
      <c r="BM716" s="27"/>
      <c r="BN716" s="27"/>
      <c r="BO716" s="27"/>
      <c r="BP716" s="27"/>
      <c r="BQ716" s="27"/>
      <c r="BR716" s="27"/>
      <c r="BS716" s="27"/>
      <c r="BT716" s="27"/>
      <c r="BU716" s="27"/>
      <c r="BV716" s="27"/>
      <c r="BW716" s="27"/>
      <c r="BX716" s="27"/>
      <c r="BY716" s="27"/>
      <c r="BZ716" s="27"/>
      <c r="CA716" s="27"/>
      <c r="CB716" s="27"/>
      <c r="CC716" s="27"/>
      <c r="CD716" s="27"/>
      <c r="CE716" s="27"/>
      <c r="CF716" s="27"/>
      <c r="CG716" s="27"/>
      <c r="CH716" s="27"/>
      <c r="CI716" s="27"/>
      <c r="CJ716" s="27"/>
      <c r="CK716" s="27"/>
      <c r="CL716" s="27"/>
      <c r="CM716" s="27"/>
      <c r="CN716" s="27"/>
      <c r="CO716" s="27"/>
      <c r="CP716" s="27"/>
      <c r="CQ716" s="27"/>
      <c r="CR716" s="27"/>
      <c r="CS716" s="27"/>
      <c r="CT716" s="27"/>
      <c r="CU716" s="27"/>
      <c r="CV716" s="27"/>
      <c r="CW716" s="27"/>
      <c r="CX716" s="27"/>
      <c r="CY716" s="27"/>
      <c r="CZ716" s="27"/>
      <c r="DA716" s="27"/>
      <c r="DB716" s="27"/>
      <c r="DC716" s="27"/>
      <c r="DD716" s="27"/>
      <c r="DE716" s="27"/>
      <c r="DF716" s="27"/>
      <c r="DG716" s="27"/>
      <c r="DH716" s="27"/>
      <c r="DI716" s="27"/>
      <c r="DJ716" s="27"/>
      <c r="DK716" s="27"/>
      <c r="DL716" s="27"/>
      <c r="DM716" s="27"/>
      <c r="DN716" s="27"/>
      <c r="DO716" s="27"/>
      <c r="DP716" s="27"/>
      <c r="DQ716" s="27"/>
      <c r="DR716" s="27"/>
      <c r="DS716" s="27"/>
      <c r="DT716" s="27"/>
    </row>
    <row r="717" spans="7:124" x14ac:dyDescent="0.2">
      <c r="G717" s="27"/>
      <c r="H717" s="27"/>
      <c r="I717" s="27"/>
      <c r="J717" s="27"/>
      <c r="K717" s="27"/>
      <c r="L717" s="27"/>
      <c r="M717" s="27"/>
      <c r="N717" s="27"/>
      <c r="O717" s="27">
        <v>0</v>
      </c>
      <c r="P717" s="27"/>
      <c r="Q717" s="27"/>
      <c r="R717" s="27"/>
      <c r="S717" s="27" t="s">
        <v>135</v>
      </c>
      <c r="T717" s="27">
        <v>0.10249999999999999</v>
      </c>
      <c r="U717" s="27"/>
      <c r="V717" s="27">
        <v>12</v>
      </c>
      <c r="W717" s="27">
        <v>0.68</v>
      </c>
      <c r="X717" s="27"/>
      <c r="Y717" s="27" t="s">
        <v>136</v>
      </c>
      <c r="Z717" s="27">
        <f>W754</f>
        <v>1</v>
      </c>
      <c r="AA717" s="27"/>
      <c r="AB717" s="27"/>
      <c r="AC717" s="27">
        <v>5</v>
      </c>
      <c r="AD717" s="27"/>
      <c r="AE717" s="27" t="s">
        <v>137</v>
      </c>
      <c r="AF717" s="27"/>
      <c r="AG717" s="27" t="e">
        <f>#REF!</f>
        <v>#REF!</v>
      </c>
      <c r="AH717" s="27"/>
      <c r="AI717" s="27">
        <v>6.5</v>
      </c>
      <c r="AJ717" s="27" t="s">
        <v>59</v>
      </c>
      <c r="AK717" s="27"/>
      <c r="AL717" s="27"/>
      <c r="AM717" s="27"/>
      <c r="AN717" s="27"/>
      <c r="AO717" s="27"/>
      <c r="AP717" s="27"/>
      <c r="AQ717" s="27">
        <f>IF(BB771+BB772&gt;=AJ750,'[1]נתוני מס'!I16*L807,0)</f>
        <v>8640.6881497795894</v>
      </c>
      <c r="AR717" s="27"/>
      <c r="AS717" s="27"/>
      <c r="AT717" s="27"/>
      <c r="AU717" s="27"/>
      <c r="AV717" s="27">
        <v>12</v>
      </c>
      <c r="AW717" s="27">
        <v>0.26400000000000001</v>
      </c>
      <c r="AX717" s="27"/>
      <c r="AY717" s="27"/>
      <c r="AZ717" s="27"/>
      <c r="BA717" s="27"/>
      <c r="BB717" s="27"/>
      <c r="BC717" s="27"/>
      <c r="BD717" s="27"/>
      <c r="BE717" s="27"/>
      <c r="BF717" s="27"/>
      <c r="BG717" s="27"/>
      <c r="BH717" s="27"/>
      <c r="BI717" s="27"/>
      <c r="BJ717" s="27"/>
      <c r="BK717" s="27"/>
      <c r="BL717" s="27"/>
      <c r="BM717" s="27"/>
      <c r="BN717" s="27"/>
      <c r="BO717" s="27"/>
      <c r="BP717" s="27"/>
      <c r="BQ717" s="27"/>
      <c r="BR717" s="27"/>
      <c r="BS717" s="27"/>
      <c r="BT717" s="27"/>
      <c r="BU717" s="27" t="s">
        <v>138</v>
      </c>
      <c r="BV717" s="27" t="s">
        <v>139</v>
      </c>
      <c r="BW717" s="27" t="s">
        <v>140</v>
      </c>
      <c r="BX717" s="27"/>
      <c r="BY717" s="27"/>
      <c r="BZ717" s="27"/>
      <c r="CA717" s="27"/>
      <c r="CB717" s="27"/>
      <c r="CC717" s="27" t="s">
        <v>141</v>
      </c>
      <c r="CD717" s="27"/>
      <c r="CE717" s="27"/>
      <c r="CF717" s="27"/>
      <c r="CG717" s="27" t="s">
        <v>142</v>
      </c>
      <c r="CH717" s="27"/>
      <c r="CI717" s="27"/>
      <c r="CJ717" s="27"/>
      <c r="CK717" s="27"/>
      <c r="CL717" s="27"/>
      <c r="CM717" s="27"/>
      <c r="CN717" s="27"/>
      <c r="CO717" s="27"/>
      <c r="CP717" s="27"/>
      <c r="CQ717" s="27"/>
      <c r="CR717" s="27"/>
      <c r="CS717" s="27"/>
      <c r="CT717" s="27"/>
      <c r="CU717" s="27"/>
      <c r="CV717" s="27"/>
      <c r="CW717" s="27"/>
      <c r="CX717" s="27"/>
      <c r="CY717" s="27"/>
      <c r="CZ717" s="27"/>
      <c r="DA717" s="27"/>
      <c r="DB717" s="27"/>
      <c r="DC717" s="27"/>
      <c r="DD717" s="27"/>
      <c r="DE717" s="27"/>
      <c r="DF717" s="27"/>
      <c r="DG717" s="27"/>
      <c r="DH717" s="27"/>
      <c r="DI717" s="27"/>
      <c r="DJ717" s="27"/>
      <c r="DK717" s="27"/>
      <c r="DL717" s="27"/>
      <c r="DM717" s="27"/>
      <c r="DN717" s="27"/>
      <c r="DO717" s="27"/>
      <c r="DP717" s="27"/>
      <c r="DQ717" s="27"/>
      <c r="DR717" s="27"/>
      <c r="DS717" s="27"/>
      <c r="DT717" s="27"/>
    </row>
    <row r="718" spans="7:124" x14ac:dyDescent="0.2">
      <c r="G718" s="27"/>
      <c r="H718" s="27"/>
      <c r="I718" s="27"/>
      <c r="J718" s="27"/>
      <c r="K718" s="27"/>
      <c r="L718" s="27"/>
      <c r="M718" s="27"/>
      <c r="N718" s="27"/>
      <c r="O718" s="27">
        <f ca="1">SUM(O713:O716)*BB774</f>
        <v>0</v>
      </c>
      <c r="P718" s="27"/>
      <c r="Q718" s="27"/>
      <c r="R718" s="27">
        <f>IF(E901=AC754,2,1)</f>
        <v>2</v>
      </c>
      <c r="S718" s="27"/>
      <c r="T718" s="27">
        <f>IF(BB769=BY719,0,IF(BB769=BX719,T716,IF(BB769=BW719,T717)))</f>
        <v>0.10249999999999999</v>
      </c>
      <c r="U718" s="27"/>
      <c r="V718" s="27">
        <v>13</v>
      </c>
      <c r="W718" s="27">
        <v>0.70499999999999996</v>
      </c>
      <c r="X718" s="27"/>
      <c r="Y718" s="27"/>
      <c r="Z718" s="27"/>
      <c r="AA718" s="27"/>
      <c r="AB718" s="27"/>
      <c r="AC718" s="27">
        <v>6</v>
      </c>
      <c r="AD718" s="27"/>
      <c r="AE718" s="27"/>
      <c r="AF718" s="27"/>
      <c r="AG718" s="27"/>
      <c r="AH718" s="27"/>
      <c r="AI718" s="27">
        <v>7</v>
      </c>
      <c r="AJ718" s="27">
        <v>7.5</v>
      </c>
      <c r="AK718" s="27"/>
      <c r="AL718" s="27"/>
      <c r="AM718" s="27"/>
      <c r="AN718" s="27"/>
      <c r="AO718" s="27"/>
      <c r="AP718" s="27" t="s">
        <v>59</v>
      </c>
      <c r="AQ718" s="27">
        <f>BB771+BB772</f>
        <v>33</v>
      </c>
      <c r="AR718" s="27">
        <f>IF(AR719=0,0,1)</f>
        <v>1</v>
      </c>
      <c r="AS718" s="27"/>
      <c r="AT718" s="27"/>
      <c r="AU718" s="27" t="s">
        <v>59</v>
      </c>
      <c r="AV718" s="27">
        <v>13</v>
      </c>
      <c r="AW718" s="27">
        <v>0.28799999999999998</v>
      </c>
      <c r="AX718" s="27"/>
      <c r="AY718" s="27"/>
      <c r="AZ718" s="27"/>
      <c r="BA718" s="27"/>
      <c r="BB718" s="27"/>
      <c r="BC718" s="27"/>
      <c r="BD718" s="27"/>
      <c r="BE718" s="27"/>
      <c r="BF718" s="27"/>
      <c r="BG718" s="27"/>
      <c r="BH718" s="27"/>
      <c r="BI718" s="27"/>
      <c r="BJ718" s="27"/>
      <c r="BK718" s="27"/>
      <c r="BL718" s="27"/>
      <c r="BM718" s="27"/>
      <c r="BN718" s="27"/>
      <c r="BO718" s="27"/>
      <c r="BP718" s="27"/>
      <c r="BQ718" s="27"/>
      <c r="BR718" s="27"/>
      <c r="BS718" s="27"/>
      <c r="BT718" s="27"/>
      <c r="BU718" s="27"/>
      <c r="BV718" s="27"/>
      <c r="BW718" s="27"/>
      <c r="BX718" s="27"/>
      <c r="BY718" s="27"/>
      <c r="BZ718" s="27"/>
      <c r="CA718" s="27"/>
      <c r="CB718" s="27"/>
      <c r="CC718" s="27"/>
      <c r="CD718" s="27"/>
      <c r="CE718" s="27"/>
      <c r="CF718" s="27"/>
      <c r="CG718" s="27"/>
      <c r="CH718" s="27"/>
      <c r="CI718" s="27"/>
      <c r="CJ718" s="27"/>
      <c r="CK718" s="27"/>
      <c r="CL718" s="27"/>
      <c r="CM718" s="27"/>
      <c r="CN718" s="27"/>
      <c r="CO718" s="27"/>
      <c r="CP718" s="27"/>
      <c r="CQ718" s="27"/>
      <c r="CR718" s="27"/>
      <c r="CS718" s="27"/>
      <c r="CT718" s="27"/>
      <c r="CU718" s="27"/>
      <c r="CV718" s="27"/>
      <c r="CW718" s="27"/>
      <c r="CX718" s="27"/>
      <c r="CY718" s="27"/>
      <c r="CZ718" s="27"/>
      <c r="DA718" s="27"/>
      <c r="DB718" s="27"/>
      <c r="DC718" s="27"/>
      <c r="DD718" s="27"/>
      <c r="DE718" s="27"/>
      <c r="DF718" s="27"/>
      <c r="DG718" s="27"/>
      <c r="DH718" s="27"/>
      <c r="DI718" s="27"/>
      <c r="DJ718" s="27"/>
      <c r="DK718" s="27"/>
      <c r="DL718" s="27"/>
      <c r="DM718" s="27"/>
      <c r="DN718" s="27"/>
      <c r="DO718" s="27"/>
      <c r="DP718" s="27"/>
      <c r="DQ718" s="27"/>
      <c r="DR718" s="27"/>
      <c r="DS718" s="27"/>
      <c r="DT718" s="27"/>
    </row>
    <row r="719" spans="7:124" x14ac:dyDescent="0.2">
      <c r="G719" s="27"/>
      <c r="H719" s="27"/>
      <c r="I719" s="27"/>
      <c r="J719" s="27"/>
      <c r="K719" s="27"/>
      <c r="L719" s="27"/>
      <c r="M719" s="27"/>
      <c r="N719" s="27"/>
      <c r="O719" s="27">
        <f>IF(BB775=S709,0,IF(BB775=S710,10%*(O708+SUM(O714:O716)),IF(BB775=S711,20%*(O708+SUM(O714:O716)),IF(BB775=S712,11.5%*(O708+SUM(O714:O716)),6%*SUM(O713:O716)))))</f>
        <v>0</v>
      </c>
      <c r="P719" s="27"/>
      <c r="Q719" s="27"/>
      <c r="R719" s="27"/>
      <c r="S719" s="27"/>
      <c r="T719" s="27">
        <f>1+T718</f>
        <v>1.1025</v>
      </c>
      <c r="U719" s="27"/>
      <c r="V719" s="27"/>
      <c r="W719" s="27">
        <f>VLOOKUP(BB780,ghad1,2,FALSE)</f>
        <v>0</v>
      </c>
      <c r="X719" s="27"/>
      <c r="Y719" s="27"/>
      <c r="Z719" s="27"/>
      <c r="AA719" s="27"/>
      <c r="AB719" s="27"/>
      <c r="AC719" s="27"/>
      <c r="AD719" s="27" t="s">
        <v>151</v>
      </c>
      <c r="AE719" s="27"/>
      <c r="AF719" s="27"/>
      <c r="AG719" s="27"/>
      <c r="AH719" s="27"/>
      <c r="AI719" s="27">
        <v>7.5</v>
      </c>
      <c r="AJ719" s="27">
        <v>8</v>
      </c>
      <c r="AK719" s="27"/>
      <c r="AL719" s="27"/>
      <c r="AM719" s="27"/>
      <c r="AN719" s="27"/>
      <c r="AO719" s="27"/>
      <c r="AP719" s="27" t="b">
        <f ca="1">IF(AND((YEAR(I775)=AY720),MONTH(I775&lt;9)),TRUE,FALSE)</f>
        <v>0</v>
      </c>
      <c r="AQ719" s="27">
        <f>(AJ750-AQ718)*365</f>
        <v>-3072.2050000000004</v>
      </c>
      <c r="AR719" s="27">
        <f>MOD(AQ719,365)</f>
        <v>212.79499999999962</v>
      </c>
      <c r="AS719" s="27"/>
      <c r="AT719" s="27"/>
      <c r="AU719" s="27" t="s">
        <v>59</v>
      </c>
      <c r="AV719" s="27">
        <v>14</v>
      </c>
      <c r="AW719" s="27">
        <v>0.312</v>
      </c>
      <c r="AX719" s="27"/>
      <c r="AY719" s="27"/>
      <c r="AZ719" s="27"/>
      <c r="BA719" s="27"/>
      <c r="BB719" s="27"/>
      <c r="BC719" s="27"/>
      <c r="BD719" s="27"/>
      <c r="BE719" s="27"/>
      <c r="BF719" s="27" t="s">
        <v>152</v>
      </c>
      <c r="BG719" s="27"/>
      <c r="BH719" s="27"/>
      <c r="BI719" s="27"/>
      <c r="BJ719" s="27"/>
      <c r="BK719" s="27"/>
      <c r="BL719" s="27"/>
      <c r="BM719" s="27"/>
      <c r="BN719" s="27"/>
      <c r="BO719" s="27"/>
      <c r="BP719" s="27"/>
      <c r="BQ719" s="27"/>
      <c r="BR719" s="27"/>
      <c r="BS719" s="27"/>
      <c r="BT719" s="27"/>
      <c r="BU719" s="27"/>
      <c r="BV719" s="27"/>
      <c r="BW719" s="27" t="s">
        <v>10</v>
      </c>
      <c r="BX719" s="27" t="s">
        <v>11</v>
      </c>
      <c r="BY719" s="27" t="s">
        <v>1</v>
      </c>
      <c r="BZ719" s="27" t="s">
        <v>9</v>
      </c>
      <c r="CA719" s="27" t="s">
        <v>12</v>
      </c>
      <c r="CB719" s="27" t="s">
        <v>566</v>
      </c>
      <c r="CC719" s="27" t="s">
        <v>13</v>
      </c>
      <c r="CD719" s="27" t="s">
        <v>14</v>
      </c>
      <c r="CE719" s="27" t="s">
        <v>15</v>
      </c>
      <c r="CF719" s="27" t="s">
        <v>16</v>
      </c>
      <c r="CG719" s="27" t="s">
        <v>444</v>
      </c>
      <c r="CH719" s="27" t="s">
        <v>567</v>
      </c>
      <c r="CI719" s="27" t="s">
        <v>141</v>
      </c>
      <c r="CJ719" s="27" t="s">
        <v>568</v>
      </c>
      <c r="CK719" s="27" t="s">
        <v>21</v>
      </c>
      <c r="CL719" s="27"/>
      <c r="CM719" s="27"/>
      <c r="CN719" s="27"/>
      <c r="CO719" s="27"/>
      <c r="CP719" s="27"/>
      <c r="CQ719" s="27"/>
      <c r="CR719" s="27"/>
      <c r="CS719" s="27"/>
      <c r="CT719" s="27"/>
      <c r="CU719" s="27"/>
      <c r="CV719" s="27"/>
      <c r="CW719" s="27"/>
      <c r="CX719" s="27"/>
      <c r="CY719" s="27"/>
      <c r="CZ719" s="27"/>
      <c r="DA719" s="27"/>
      <c r="DB719" s="27"/>
      <c r="DC719" s="27"/>
      <c r="DD719" s="27"/>
      <c r="DE719" s="27"/>
      <c r="DF719" s="27"/>
      <c r="DG719" s="27"/>
      <c r="DH719" s="27"/>
      <c r="DI719" s="27"/>
      <c r="DJ719" s="27"/>
      <c r="DK719" s="27"/>
      <c r="DL719" s="27"/>
      <c r="DM719" s="27"/>
      <c r="DN719" s="27"/>
      <c r="DO719" s="27"/>
      <c r="DP719" s="27"/>
      <c r="DQ719" s="27"/>
      <c r="DR719" s="27"/>
      <c r="DS719" s="27"/>
      <c r="DT719" s="27"/>
    </row>
    <row r="720" spans="7:124" x14ac:dyDescent="0.2">
      <c r="G720" s="27"/>
      <c r="H720" s="27"/>
      <c r="I720" s="27"/>
      <c r="J720" s="27"/>
      <c r="K720" s="27"/>
      <c r="L720" s="27"/>
      <c r="M720" s="27"/>
      <c r="N720" s="27"/>
      <c r="O720" s="27"/>
      <c r="P720" s="27"/>
      <c r="Q720" s="27"/>
      <c r="R720" s="27"/>
      <c r="S720" s="27" t="s">
        <v>156</v>
      </c>
      <c r="T720" s="27">
        <v>0</v>
      </c>
      <c r="U720" s="27" t="e">
        <f>M747*1.2%*#REF!</f>
        <v>#REF!</v>
      </c>
      <c r="V720" s="27" t="s">
        <v>156</v>
      </c>
      <c r="W720" s="27">
        <v>0</v>
      </c>
      <c r="X720" s="27"/>
      <c r="Y720" s="27"/>
      <c r="Z720" s="27"/>
      <c r="AA720" s="27"/>
      <c r="AB720" s="27"/>
      <c r="AC720" s="27"/>
      <c r="AD720" s="27"/>
      <c r="AE720" s="27"/>
      <c r="AF720" s="27"/>
      <c r="AG720" s="27"/>
      <c r="AH720" s="27"/>
      <c r="AI720" s="27"/>
      <c r="AJ720" s="27"/>
      <c r="AK720" s="27">
        <v>67</v>
      </c>
      <c r="AL720" s="27">
        <f ca="1">IF(MONTH(I775)=9,1,0)</f>
        <v>0</v>
      </c>
      <c r="AM720" s="27">
        <f>HLOOKUP(BB769,kothor1,3,FALSE)</f>
        <v>1</v>
      </c>
      <c r="AN720" s="27">
        <f>HLOOKUP(BB769,kothor1,2,FALSE)</f>
        <v>1</v>
      </c>
      <c r="AO720" s="27" t="s">
        <v>158</v>
      </c>
      <c r="AP720" s="27">
        <v>39844</v>
      </c>
      <c r="AQ720" s="27">
        <v>8</v>
      </c>
      <c r="AR720" s="27">
        <v>8.5</v>
      </c>
      <c r="AS720" s="27" t="s">
        <v>159</v>
      </c>
      <c r="AT720" s="27">
        <v>40442</v>
      </c>
      <c r="AU720" s="27"/>
      <c r="AV720" s="27"/>
      <c r="AW720" s="27"/>
      <c r="AX720" s="27" t="str">
        <f ca="1">"06/"&amp;MID(AY720,1,4)</f>
        <v>06/2016</v>
      </c>
      <c r="AY720" s="27">
        <f ca="1">YEAR(AQ719+I775)+AR718</f>
        <v>2016</v>
      </c>
      <c r="AZ720" s="27" t="s">
        <v>160</v>
      </c>
      <c r="BA720" s="27"/>
      <c r="BB720" s="27"/>
      <c r="BC720" s="27"/>
      <c r="BD720" s="27">
        <v>15</v>
      </c>
      <c r="BE720" s="27">
        <v>0.33600000000000002</v>
      </c>
      <c r="BF720" s="27"/>
      <c r="BG720" s="27"/>
      <c r="BH720" s="27" t="s">
        <v>161</v>
      </c>
      <c r="BI720" s="27" t="s">
        <v>162</v>
      </c>
      <c r="BJ720" s="27" t="s">
        <v>163</v>
      </c>
      <c r="BK720" s="27"/>
      <c r="BL720" s="27"/>
      <c r="BM720" s="27"/>
      <c r="BN720" s="27" t="s">
        <v>164</v>
      </c>
      <c r="BO720" s="27">
        <f>E111</f>
        <v>0</v>
      </c>
      <c r="BP720" s="27"/>
      <c r="BQ720" s="27"/>
      <c r="BR720" s="27"/>
      <c r="BS720" s="27"/>
      <c r="BT720" s="27" t="s">
        <v>165</v>
      </c>
      <c r="BU720" s="27"/>
      <c r="BV720" s="27"/>
      <c r="BW720" s="27"/>
      <c r="BX720" s="27"/>
      <c r="BY720" s="27"/>
      <c r="BZ720" s="27"/>
      <c r="CA720" s="27"/>
      <c r="CB720" s="27"/>
      <c r="CC720" s="27"/>
      <c r="CD720" s="27"/>
      <c r="CE720" s="27">
        <v>1</v>
      </c>
      <c r="CF720" s="27">
        <v>2</v>
      </c>
      <c r="CG720" s="27">
        <v>3</v>
      </c>
      <c r="CH720" s="27">
        <v>7</v>
      </c>
      <c r="CI720" s="27">
        <v>8</v>
      </c>
      <c r="CJ720" s="27">
        <v>9</v>
      </c>
      <c r="CK720" s="27">
        <v>10</v>
      </c>
      <c r="CL720" s="27">
        <v>11</v>
      </c>
      <c r="CM720" s="27">
        <v>12</v>
      </c>
      <c r="CN720" s="27">
        <v>13</v>
      </c>
      <c r="CO720" s="27">
        <v>14</v>
      </c>
      <c r="CP720" s="27">
        <v>15</v>
      </c>
      <c r="CQ720" s="27">
        <v>16</v>
      </c>
      <c r="CR720" s="27">
        <v>17</v>
      </c>
      <c r="CS720" s="27">
        <v>18</v>
      </c>
      <c r="CT720" s="27"/>
      <c r="CU720" s="27"/>
      <c r="CV720" s="27"/>
      <c r="CW720" s="27"/>
      <c r="CX720" s="27"/>
      <c r="CY720" s="27"/>
      <c r="CZ720" s="27"/>
      <c r="DA720" s="27"/>
      <c r="DB720" s="27"/>
      <c r="DC720" s="27"/>
      <c r="DD720" s="27"/>
      <c r="DE720" s="27"/>
      <c r="DF720" s="27"/>
      <c r="DG720" s="27"/>
      <c r="DH720" s="27"/>
      <c r="DI720" s="27"/>
      <c r="DJ720" s="27"/>
      <c r="DK720" s="27"/>
      <c r="DL720" s="27"/>
      <c r="DM720" s="27"/>
      <c r="DN720" s="27"/>
      <c r="DO720" s="27"/>
      <c r="DP720" s="27"/>
      <c r="DQ720" s="27"/>
      <c r="DR720" s="27"/>
      <c r="DS720" s="27"/>
      <c r="DT720" s="27"/>
    </row>
    <row r="721" spans="7:124" x14ac:dyDescent="0.2">
      <c r="G721" s="27"/>
      <c r="H721" s="27"/>
      <c r="I721" s="27"/>
      <c r="J721" s="27"/>
      <c r="K721" s="27"/>
      <c r="L721" s="27"/>
      <c r="M721" s="27"/>
      <c r="N721" s="27"/>
      <c r="O721" s="27">
        <f>BB776+P721</f>
        <v>0</v>
      </c>
      <c r="P721" s="27">
        <f>IF(BB776&lt;=0,0,2%*O713-2%*M747)</f>
        <v>0</v>
      </c>
      <c r="Q721" s="27"/>
      <c r="R721" s="27"/>
      <c r="S721" s="27"/>
      <c r="T721" s="27"/>
      <c r="U721" s="27"/>
      <c r="V721" s="27"/>
      <c r="W721" s="27"/>
      <c r="X721" s="27"/>
      <c r="Y721" s="27" t="s">
        <v>59</v>
      </c>
      <c r="Z721" s="27"/>
      <c r="AA721" s="27" t="e">
        <f>1-#REF!/(#REF!+#REF!)</f>
        <v>#REF!</v>
      </c>
      <c r="AB721" s="27"/>
      <c r="AC721" s="27"/>
      <c r="AD721" s="27"/>
      <c r="AE721" s="27"/>
      <c r="AF721" s="27"/>
      <c r="AG721" s="27" t="s">
        <v>168</v>
      </c>
      <c r="AH721" s="27">
        <v>39872</v>
      </c>
      <c r="AI721" s="27">
        <v>8.5</v>
      </c>
      <c r="AJ721" s="27">
        <v>9</v>
      </c>
      <c r="AK721" s="27"/>
      <c r="AL721" s="27"/>
      <c r="AM721" s="27"/>
      <c r="AN721" s="27" t="s">
        <v>169</v>
      </c>
      <c r="AO721" s="27"/>
      <c r="AP721" s="27"/>
      <c r="AQ721" s="27"/>
      <c r="AR721" s="27"/>
      <c r="AS721" s="27"/>
      <c r="AT721" s="27" t="s">
        <v>170</v>
      </c>
      <c r="AU721" s="27"/>
      <c r="AV721" s="27">
        <v>16</v>
      </c>
      <c r="AW721" s="27">
        <v>0.36</v>
      </c>
      <c r="AX721" s="27"/>
      <c r="AY721" s="27"/>
      <c r="AZ721" s="27" t="s">
        <v>171</v>
      </c>
      <c r="BA721" s="27" t="s">
        <v>171</v>
      </c>
      <c r="BB721" s="27" t="s">
        <v>172</v>
      </c>
      <c r="BC721" s="27" t="s">
        <v>173</v>
      </c>
      <c r="BD721" s="27" t="s">
        <v>174</v>
      </c>
      <c r="BE721" s="27" t="s">
        <v>175</v>
      </c>
      <c r="BF721" s="27" t="s">
        <v>176</v>
      </c>
      <c r="BG721" s="27"/>
      <c r="BH721" s="27"/>
      <c r="BI721" s="27"/>
      <c r="BJ721" s="27"/>
      <c r="BK721" s="27"/>
      <c r="BL721" s="27">
        <v>1114297</v>
      </c>
      <c r="BM721" s="27"/>
      <c r="BN721" s="27" t="s">
        <v>177</v>
      </c>
      <c r="BO721" s="27"/>
      <c r="BP721" s="27"/>
      <c r="BQ721" s="27"/>
      <c r="BR721" s="27"/>
      <c r="BS721" s="27"/>
      <c r="BT721" s="27"/>
      <c r="BU721" s="27"/>
      <c r="BV721" s="27"/>
      <c r="BW721" s="27">
        <v>1</v>
      </c>
      <c r="BX721" s="27">
        <v>2</v>
      </c>
      <c r="BY721" s="27">
        <v>3</v>
      </c>
      <c r="BZ721" s="27">
        <v>4</v>
      </c>
      <c r="CA721" s="27">
        <v>5</v>
      </c>
      <c r="CB721" s="27">
        <v>6</v>
      </c>
      <c r="CC721" s="27">
        <v>7</v>
      </c>
      <c r="CD721" s="27">
        <v>8</v>
      </c>
      <c r="CE721" s="27">
        <v>9</v>
      </c>
      <c r="CF721" s="27">
        <v>10</v>
      </c>
      <c r="CG721" s="27">
        <v>11</v>
      </c>
      <c r="CH721" s="27">
        <v>12</v>
      </c>
      <c r="CI721" s="27">
        <v>13</v>
      </c>
      <c r="CJ721" s="27">
        <v>14</v>
      </c>
      <c r="CK721" s="27">
        <v>15</v>
      </c>
      <c r="CL721" s="27"/>
      <c r="CM721" s="27"/>
      <c r="CN721" s="27"/>
      <c r="CO721" s="27"/>
      <c r="CP721" s="27"/>
      <c r="CQ721" s="27"/>
      <c r="CR721" s="27"/>
      <c r="CS721" s="27"/>
      <c r="CT721" s="27"/>
      <c r="CU721" s="27"/>
      <c r="CV721" s="27"/>
      <c r="CW721" s="27"/>
      <c r="CX721" s="27"/>
      <c r="CY721" s="27"/>
      <c r="CZ721" s="27"/>
      <c r="DA721" s="27"/>
      <c r="DB721" s="27"/>
      <c r="DC721" s="27"/>
      <c r="DD721" s="27"/>
      <c r="DE721" s="27"/>
      <c r="DF721" s="27"/>
      <c r="DG721" s="27"/>
      <c r="DH721" s="27"/>
      <c r="DI721" s="27"/>
      <c r="DJ721" s="27"/>
      <c r="DK721" s="27"/>
      <c r="DL721" s="27"/>
      <c r="DM721" s="27"/>
      <c r="DN721" s="27"/>
      <c r="DO721" s="27"/>
      <c r="DP721" s="27"/>
      <c r="DQ721" s="27"/>
      <c r="DR721" s="27"/>
      <c r="DS721" s="27"/>
      <c r="DT721" s="27"/>
    </row>
    <row r="722" spans="7:124" x14ac:dyDescent="0.2">
      <c r="G722" s="27"/>
      <c r="H722" s="27"/>
      <c r="I722" s="27"/>
      <c r="J722" s="27"/>
      <c r="K722" s="27"/>
      <c r="L722" s="27"/>
      <c r="M722" s="27"/>
      <c r="N722" s="27"/>
      <c r="O722" s="27">
        <f ca="1">O708*Y714</f>
        <v>0</v>
      </c>
      <c r="P722" s="27"/>
      <c r="Q722" s="27" t="s">
        <v>59</v>
      </c>
      <c r="R722" s="27"/>
      <c r="S722" s="27"/>
      <c r="T722" s="27"/>
      <c r="U722" s="27"/>
      <c r="V722" s="27" t="s">
        <v>184</v>
      </c>
      <c r="W722" s="27">
        <v>5</v>
      </c>
      <c r="X722" s="27"/>
      <c r="Y722" s="27"/>
      <c r="Z722" s="27" t="s">
        <v>59</v>
      </c>
      <c r="AA722" s="27" t="s">
        <v>59</v>
      </c>
      <c r="AB722" s="27" t="s">
        <v>185</v>
      </c>
      <c r="AC722" s="27"/>
      <c r="AD722" s="27"/>
      <c r="AE722" s="27"/>
      <c r="AF722" s="27"/>
      <c r="AG722" s="27" t="s">
        <v>186</v>
      </c>
      <c r="AH722" s="27">
        <v>39903</v>
      </c>
      <c r="AI722" s="27">
        <v>9</v>
      </c>
      <c r="AJ722" s="27" t="s">
        <v>187</v>
      </c>
      <c r="AK722" s="27" t="s">
        <v>102</v>
      </c>
      <c r="AL722" s="27" t="s">
        <v>188</v>
      </c>
      <c r="AM722" s="27">
        <f>'[1]נתוני מס'!I22</f>
        <v>395</v>
      </c>
      <c r="AN722" s="27">
        <v>10</v>
      </c>
      <c r="AO722" s="27"/>
      <c r="AP722" s="27" t="s">
        <v>189</v>
      </c>
      <c r="AQ722" s="27"/>
      <c r="AR722" s="27"/>
      <c r="AS722" s="27"/>
      <c r="AT722" s="27">
        <f>AL723</f>
        <v>21262</v>
      </c>
      <c r="AU722" s="27" t="s">
        <v>190</v>
      </c>
      <c r="AV722" s="27" t="s">
        <v>191</v>
      </c>
      <c r="AW722" s="27">
        <f>VLOOKUP(BB779,nihool,2,FALSE)</f>
        <v>0</v>
      </c>
      <c r="AX722" s="27"/>
      <c r="AY722" s="27"/>
      <c r="AZ722" s="27" t="s">
        <v>176</v>
      </c>
      <c r="BA722" s="27" t="s">
        <v>192</v>
      </c>
      <c r="BB722" s="27" t="e">
        <f>#REF!/12</f>
        <v>#REF!</v>
      </c>
      <c r="BC722" s="27" t="e">
        <f>G966</f>
        <v>#REF!</v>
      </c>
      <c r="BD722" s="27" t="e">
        <f>#REF!/12-BE812</f>
        <v>#REF!</v>
      </c>
      <c r="BE722" s="27" t="e">
        <f>(12*(E946-L807)+BB787)/12</f>
        <v>#REF!</v>
      </c>
      <c r="BF722" s="27" t="e">
        <f>(#REF!*((12-BE741/12))+BB787/12*BE742)/12+E111+BE723*((12-BE742)/12)</f>
        <v>#REF!</v>
      </c>
      <c r="BG722" s="27"/>
      <c r="BH722" s="27"/>
      <c r="BI722" s="27" t="s">
        <v>193</v>
      </c>
      <c r="BJ722" s="27" t="e">
        <f ca="1">IF('[1]נתוני מס'!N16&gt;K909,K909,'[1]נתוני מס'!N16)</f>
        <v>#REF!</v>
      </c>
      <c r="BK722" s="27"/>
      <c r="BL722" s="27"/>
      <c r="BM722" s="27"/>
      <c r="BN722" s="27" t="e">
        <f ca="1">BJ722</f>
        <v>#REF!</v>
      </c>
      <c r="BO722" s="27"/>
      <c r="BP722" s="27"/>
      <c r="BQ722" s="27"/>
      <c r="BR722" s="27"/>
      <c r="BS722" s="27"/>
      <c r="BT722" s="27"/>
      <c r="BU722" s="27"/>
      <c r="BV722" s="27"/>
      <c r="BW722" s="27"/>
      <c r="BX722" s="27"/>
      <c r="BY722" s="27"/>
      <c r="BZ722" s="27"/>
      <c r="CA722" s="27"/>
      <c r="CB722" s="27"/>
      <c r="CC722" s="27"/>
      <c r="CD722" s="27"/>
      <c r="CE722" s="27"/>
      <c r="CF722" s="27"/>
      <c r="CG722" s="27"/>
      <c r="CH722" s="27"/>
      <c r="CI722" s="27"/>
      <c r="CJ722" s="27"/>
      <c r="CK722" s="27"/>
      <c r="CL722" s="27"/>
      <c r="CM722" s="27"/>
      <c r="CN722" s="27"/>
      <c r="CO722" s="27"/>
      <c r="CP722" s="27"/>
      <c r="CQ722" s="27"/>
      <c r="CR722" s="27"/>
      <c r="CS722" s="27"/>
      <c r="CT722" s="27"/>
      <c r="CU722" s="27"/>
      <c r="CV722" s="27"/>
      <c r="CW722" s="27"/>
      <c r="CX722" s="27"/>
      <c r="CY722" s="27"/>
      <c r="CZ722" s="27"/>
      <c r="DA722" s="27"/>
      <c r="DB722" s="27"/>
      <c r="DC722" s="27"/>
      <c r="DD722" s="27"/>
      <c r="DE722" s="27"/>
      <c r="DF722" s="27"/>
      <c r="DG722" s="27"/>
      <c r="DH722" s="27"/>
      <c r="DI722" s="27"/>
      <c r="DJ722" s="27"/>
      <c r="DK722" s="27"/>
      <c r="DL722" s="27"/>
      <c r="DM722" s="27"/>
      <c r="DN722" s="27"/>
      <c r="DO722" s="27"/>
      <c r="DP722" s="27"/>
      <c r="DQ722" s="27"/>
      <c r="DR722" s="27"/>
      <c r="DS722" s="27"/>
      <c r="DT722" s="27"/>
    </row>
    <row r="723" spans="7:124" ht="15.75" customHeight="1" x14ac:dyDescent="0.2">
      <c r="G723" s="27"/>
      <c r="H723" s="27"/>
      <c r="I723" s="27"/>
      <c r="J723" s="27"/>
      <c r="K723" s="27"/>
      <c r="L723" s="27"/>
      <c r="M723" s="27"/>
      <c r="N723" s="27"/>
      <c r="O723" s="27">
        <f ca="1">SUM(O713:O716)*BB778</f>
        <v>0</v>
      </c>
      <c r="P723" s="27"/>
      <c r="Q723" s="27"/>
      <c r="R723" s="27"/>
      <c r="S723" s="27" t="s">
        <v>569</v>
      </c>
      <c r="T723" s="27"/>
      <c r="U723" s="27"/>
      <c r="V723" s="27"/>
      <c r="W723" s="27"/>
      <c r="X723" s="27"/>
      <c r="Y723" s="27" t="s">
        <v>198</v>
      </c>
      <c r="Z723" s="27" t="s">
        <v>59</v>
      </c>
      <c r="AA723" s="27" t="s">
        <v>59</v>
      </c>
      <c r="AB723" s="27" t="s">
        <v>199</v>
      </c>
      <c r="AC723" s="27"/>
      <c r="AD723" s="27"/>
      <c r="AE723" s="27" t="s">
        <v>200</v>
      </c>
      <c r="AF723" s="27"/>
      <c r="AG723" s="27" t="s">
        <v>201</v>
      </c>
      <c r="AH723" s="27">
        <v>39933</v>
      </c>
      <c r="AI723" s="27"/>
      <c r="AJ723" s="27"/>
      <c r="AK723" s="27" t="s">
        <v>190</v>
      </c>
      <c r="AL723" s="27">
        <v>21262</v>
      </c>
      <c r="AM723" s="27"/>
      <c r="AN723" s="27" t="s">
        <v>202</v>
      </c>
      <c r="AO723" s="27"/>
      <c r="AP723" s="27">
        <v>0</v>
      </c>
      <c r="AQ723" s="27"/>
      <c r="AR723" s="27"/>
      <c r="AS723" s="27"/>
      <c r="AT723" s="27"/>
      <c r="AU723" s="27"/>
      <c r="AV723" s="27" t="s">
        <v>203</v>
      </c>
      <c r="AW723" s="27">
        <f>VLOOKUP(G102,nihool,2,FALSE)</f>
        <v>0</v>
      </c>
      <c r="AX723" s="27"/>
      <c r="AY723" s="27"/>
      <c r="AZ723" s="27" t="e">
        <f>#REF!/12/#REF!+G966+E111-BE812</f>
        <v>#REF!</v>
      </c>
      <c r="BA723" s="27" t="e">
        <f>#REF!/12+G966+E111-BE812</f>
        <v>#REF!</v>
      </c>
      <c r="BB723" s="27" t="s">
        <v>204</v>
      </c>
      <c r="BC723" s="27" t="e">
        <f>IF(BE741=0,BB722+BC722+BO720-BE812,-BE812+((#REF!-1+(12-BE742)/12)   *(BC722+BO720+BB722  )+  ( BE741*(BE722+BB722)  ))/12)</f>
        <v>#REF!</v>
      </c>
      <c r="BD723" s="27" t="e">
        <f>((BE722+BD722)*BE742+(12-BE742)*(BO720+BC722+BD722))/12</f>
        <v>#REF!</v>
      </c>
      <c r="BE723" s="27" t="e">
        <f>G966-BE812</f>
        <v>#REF!</v>
      </c>
      <c r="BF723" s="27" t="e">
        <f>BF722-BE812</f>
        <v>#REF!</v>
      </c>
      <c r="BG723" s="27" t="e">
        <f>#REF!-BE812</f>
        <v>#REF!</v>
      </c>
      <c r="BH723" s="27">
        <f>BB787/12-BE812</f>
        <v>11500</v>
      </c>
      <c r="BI723" s="27" t="e">
        <f ca="1">BJ722*BJ723</f>
        <v>#REF!</v>
      </c>
      <c r="BJ723" s="27">
        <v>0.65</v>
      </c>
      <c r="BK723" s="27">
        <f>BE809</f>
        <v>0</v>
      </c>
      <c r="BL723" s="27">
        <v>1115773</v>
      </c>
      <c r="BM723" s="27">
        <f>BF814</f>
        <v>12640</v>
      </c>
      <c r="BN723" s="27" t="e">
        <f>1-#REF!</f>
        <v>#REF!</v>
      </c>
      <c r="BO723" s="27"/>
      <c r="BP723" s="27" t="s">
        <v>205</v>
      </c>
      <c r="BQ723" s="27"/>
      <c r="BR723" s="27"/>
      <c r="BS723" s="27"/>
      <c r="BT723" s="27"/>
      <c r="BU723" s="27" t="s">
        <v>206</v>
      </c>
      <c r="BV723" s="27"/>
      <c r="BW723" s="27">
        <v>1.302</v>
      </c>
      <c r="BX723" s="27">
        <v>1.23</v>
      </c>
      <c r="BY723" s="27">
        <v>1.1479999999999999</v>
      </c>
      <c r="BZ723" s="27">
        <v>1.097</v>
      </c>
      <c r="CA723" s="27">
        <v>1</v>
      </c>
      <c r="CB723" s="27">
        <v>1</v>
      </c>
      <c r="CC723" s="27">
        <v>0.87</v>
      </c>
      <c r="CD723" s="27">
        <v>0.81499999999999995</v>
      </c>
      <c r="CE723" s="27">
        <v>0.79500000000000004</v>
      </c>
      <c r="CF723" s="27">
        <v>0.77</v>
      </c>
      <c r="CG723" s="27">
        <v>1.097</v>
      </c>
      <c r="CH723" s="27">
        <v>1.02</v>
      </c>
      <c r="CI723" s="27">
        <v>0.87</v>
      </c>
      <c r="CJ723" s="27">
        <v>1.0740000000000001</v>
      </c>
      <c r="CK723" s="27">
        <v>1.097</v>
      </c>
      <c r="CL723" s="27"/>
      <c r="CM723" s="27"/>
      <c r="CN723" s="27"/>
      <c r="CO723" s="27"/>
      <c r="CP723" s="27"/>
      <c r="CQ723" s="27"/>
      <c r="CR723" s="27"/>
      <c r="CS723" s="27"/>
      <c r="CT723" s="27"/>
      <c r="CU723" s="27"/>
      <c r="CV723" s="27"/>
      <c r="CW723" s="27"/>
      <c r="CX723" s="27"/>
      <c r="CY723" s="27"/>
      <c r="CZ723" s="27"/>
      <c r="DA723" s="27"/>
      <c r="DB723" s="27"/>
      <c r="DC723" s="27"/>
      <c r="DD723" s="27"/>
      <c r="DE723" s="27"/>
      <c r="DF723" s="27"/>
      <c r="DG723" s="27"/>
      <c r="DH723" s="27"/>
      <c r="DI723" s="27"/>
      <c r="DJ723" s="27"/>
      <c r="DK723" s="27"/>
      <c r="DL723" s="27"/>
      <c r="DM723" s="27"/>
      <c r="DN723" s="27"/>
      <c r="DO723" s="27"/>
      <c r="DP723" s="27"/>
      <c r="DQ723" s="27"/>
      <c r="DR723" s="27"/>
      <c r="DS723" s="27"/>
      <c r="DT723" s="27"/>
    </row>
    <row r="724" spans="7:124" x14ac:dyDescent="0.2">
      <c r="G724" s="27"/>
      <c r="H724" s="27"/>
      <c r="I724" s="27"/>
      <c r="J724" s="27"/>
      <c r="K724" s="27"/>
      <c r="L724" s="27"/>
      <c r="M724" s="27"/>
      <c r="N724" s="27"/>
      <c r="O724" s="27">
        <f ca="1">P724*O723</f>
        <v>0</v>
      </c>
      <c r="P724" s="27">
        <f>IF(AW722=0,0,IF((AW722+Q724)&gt;36%,36%,AW722+Q724))</f>
        <v>0</v>
      </c>
      <c r="Q724" s="27" t="e">
        <f ca="1">(F904-O710)*2.4%</f>
        <v>#REF!</v>
      </c>
      <c r="R724" s="27"/>
      <c r="S724" s="27" t="s">
        <v>570</v>
      </c>
      <c r="T724" s="27"/>
      <c r="U724" s="27"/>
      <c r="V724" s="27" t="s">
        <v>212</v>
      </c>
      <c r="W724" s="27" t="s">
        <v>200</v>
      </c>
      <c r="X724" s="27"/>
      <c r="Y724" s="27" t="s">
        <v>27</v>
      </c>
      <c r="Z724" s="27" t="s">
        <v>59</v>
      </c>
      <c r="AA724" s="27" t="s">
        <v>59</v>
      </c>
      <c r="AB724" s="27" t="s">
        <v>213</v>
      </c>
      <c r="AC724" s="27"/>
      <c r="AD724" s="27"/>
      <c r="AE724" s="27"/>
      <c r="AF724" s="27"/>
      <c r="AG724" s="27" t="s">
        <v>214</v>
      </c>
      <c r="AH724" s="27">
        <v>39964</v>
      </c>
      <c r="AI724" s="27"/>
      <c r="AJ724" s="27"/>
      <c r="AK724" s="27" t="s">
        <v>215</v>
      </c>
      <c r="AL724" s="27" t="s">
        <v>216</v>
      </c>
      <c r="AM724" s="27"/>
      <c r="AN724" s="27">
        <v>11</v>
      </c>
      <c r="AO724" s="27"/>
      <c r="AP724" s="27">
        <v>0.5</v>
      </c>
      <c r="AQ724" s="27"/>
      <c r="AR724" s="27"/>
      <c r="AS724" s="27" t="s">
        <v>59</v>
      </c>
      <c r="AT724" s="27">
        <v>17288</v>
      </c>
      <c r="AU724" s="27">
        <v>17288</v>
      </c>
      <c r="AV724" s="27"/>
      <c r="AW724" s="27" t="s">
        <v>217</v>
      </c>
      <c r="AX724" s="27"/>
      <c r="AY724" s="27"/>
      <c r="AZ724" s="27" t="s">
        <v>218</v>
      </c>
      <c r="BA724" s="27"/>
      <c r="BB724" s="27"/>
      <c r="BC724" s="27" t="s">
        <v>219</v>
      </c>
      <c r="BD724" s="27" t="s">
        <v>220</v>
      </c>
      <c r="BE724" s="27" t="s">
        <v>173</v>
      </c>
      <c r="BF724" s="27" t="s">
        <v>221</v>
      </c>
      <c r="BG724" s="27" t="s">
        <v>222</v>
      </c>
      <c r="BH724" s="27" t="s">
        <v>223</v>
      </c>
      <c r="BI724" s="27" t="s">
        <v>224</v>
      </c>
      <c r="BJ724" s="27"/>
      <c r="BK724" s="27" t="s">
        <v>225</v>
      </c>
      <c r="BL724" s="27"/>
      <c r="BM724" s="27"/>
      <c r="BN724" s="27" t="e">
        <f ca="1">BN723*BN722</f>
        <v>#REF!</v>
      </c>
      <c r="BO724" s="27"/>
      <c r="BP724" s="27" t="e">
        <f ca="1">BN722</f>
        <v>#REF!</v>
      </c>
      <c r="BQ724" s="27"/>
      <c r="BR724" s="27"/>
      <c r="BS724" s="27"/>
      <c r="BT724" s="27"/>
      <c r="BU724" s="27"/>
      <c r="BV724" s="27"/>
      <c r="BW724" s="27"/>
      <c r="BX724" s="27"/>
      <c r="BY724" s="27"/>
      <c r="BZ724" s="27"/>
      <c r="CA724" s="27"/>
      <c r="CB724" s="27"/>
      <c r="CC724" s="27"/>
      <c r="CD724" s="27"/>
      <c r="CE724" s="27"/>
      <c r="CF724" s="27"/>
      <c r="CG724" s="27"/>
      <c r="CH724" s="27"/>
      <c r="CI724" s="27"/>
      <c r="CJ724" s="27"/>
      <c r="CK724" s="27"/>
      <c r="CL724" s="27"/>
      <c r="CM724" s="27"/>
      <c r="CN724" s="27"/>
      <c r="CO724" s="27"/>
      <c r="CP724" s="27"/>
      <c r="CQ724" s="27"/>
      <c r="CR724" s="27"/>
      <c r="CS724" s="27"/>
      <c r="CT724" s="27"/>
      <c r="CU724" s="27"/>
      <c r="CV724" s="27"/>
      <c r="CW724" s="27"/>
      <c r="CX724" s="27"/>
      <c r="CY724" s="27"/>
      <c r="CZ724" s="27"/>
      <c r="DA724" s="27"/>
      <c r="DB724" s="27"/>
      <c r="DC724" s="27"/>
      <c r="DD724" s="27"/>
      <c r="DE724" s="27"/>
      <c r="DF724" s="27"/>
      <c r="DG724" s="27"/>
      <c r="DH724" s="27"/>
      <c r="DI724" s="27"/>
      <c r="DJ724" s="27"/>
      <c r="DK724" s="27"/>
      <c r="DL724" s="27"/>
      <c r="DM724" s="27"/>
      <c r="DN724" s="27"/>
      <c r="DO724" s="27"/>
      <c r="DP724" s="27"/>
      <c r="DQ724" s="27"/>
      <c r="DR724" s="27"/>
      <c r="DS724" s="27"/>
      <c r="DT724" s="27"/>
    </row>
    <row r="725" spans="7:124" x14ac:dyDescent="0.2">
      <c r="G725" s="27"/>
      <c r="H725" s="27"/>
      <c r="I725" s="27"/>
      <c r="J725" s="27"/>
      <c r="K725" s="27"/>
      <c r="L725" s="27"/>
      <c r="M725" s="27"/>
      <c r="N725" s="27"/>
      <c r="O725" s="27"/>
      <c r="P725" s="27"/>
      <c r="Q725" s="27"/>
      <c r="R725" s="27"/>
      <c r="S725" s="27" t="s">
        <v>571</v>
      </c>
      <c r="T725" s="27"/>
      <c r="U725" s="27"/>
      <c r="V725" s="27"/>
      <c r="W725" s="27"/>
      <c r="X725" s="27"/>
      <c r="Y725" s="27"/>
      <c r="Z725" s="27"/>
      <c r="AA725" s="27"/>
      <c r="AB725" s="27"/>
      <c r="AC725" s="27"/>
      <c r="AD725" s="27"/>
      <c r="AE725" s="27"/>
      <c r="AF725" s="27"/>
      <c r="AG725" s="27"/>
      <c r="AH725" s="27"/>
      <c r="AI725" s="27"/>
      <c r="AJ725" s="27"/>
      <c r="AK725" s="27"/>
      <c r="AL725" s="27"/>
      <c r="AM725" s="27"/>
      <c r="AN725" s="27"/>
      <c r="AO725" s="27"/>
      <c r="AP725" s="27"/>
      <c r="AQ725" s="27"/>
      <c r="AR725" s="27"/>
      <c r="AS725" s="27"/>
      <c r="AT725" s="27"/>
      <c r="AU725" s="27"/>
      <c r="AV725" s="27"/>
      <c r="AW725" s="27"/>
      <c r="AX725" s="27"/>
      <c r="AY725" s="27"/>
      <c r="AZ725" s="27"/>
      <c r="BA725" s="27"/>
      <c r="BB725" s="27"/>
      <c r="BC725" s="27"/>
      <c r="BD725" s="27"/>
      <c r="BE725" s="27"/>
      <c r="BF725" s="27"/>
      <c r="BG725" s="27"/>
      <c r="BH725" s="27"/>
      <c r="BI725" s="27"/>
      <c r="BJ725" s="27"/>
      <c r="BK725" s="27"/>
      <c r="BL725" s="27"/>
      <c r="BM725" s="27"/>
      <c r="BN725" s="27"/>
      <c r="BO725" s="27"/>
      <c r="BP725" s="27"/>
      <c r="BQ725" s="27"/>
      <c r="BR725" s="27"/>
      <c r="BS725" s="27"/>
      <c r="BT725" s="27"/>
      <c r="BU725" s="27"/>
      <c r="BV725" s="27"/>
      <c r="BW725" s="27"/>
      <c r="BX725" s="27"/>
      <c r="BY725" s="27"/>
      <c r="BZ725" s="27"/>
      <c r="CA725" s="27"/>
      <c r="CB725" s="27"/>
      <c r="CC725" s="27"/>
      <c r="CD725" s="27"/>
      <c r="CE725" s="27"/>
      <c r="CF725" s="27"/>
      <c r="CG725" s="27"/>
      <c r="CH725" s="27"/>
      <c r="CI725" s="27"/>
      <c r="CJ725" s="27"/>
      <c r="CK725" s="27"/>
      <c r="CL725" s="27"/>
      <c r="CM725" s="27"/>
      <c r="CN725" s="27"/>
      <c r="CO725" s="27"/>
      <c r="CP725" s="27"/>
      <c r="CQ725" s="27"/>
      <c r="CR725" s="27"/>
      <c r="CS725" s="27"/>
      <c r="CT725" s="27"/>
      <c r="CU725" s="27"/>
      <c r="CV725" s="27"/>
      <c r="CW725" s="27"/>
      <c r="CX725" s="27"/>
      <c r="CY725" s="27"/>
      <c r="CZ725" s="27"/>
      <c r="DA725" s="27"/>
      <c r="DB725" s="27"/>
      <c r="DC725" s="27"/>
      <c r="DD725" s="27"/>
      <c r="DE725" s="27"/>
      <c r="DF725" s="27"/>
      <c r="DG725" s="27"/>
      <c r="DH725" s="27"/>
      <c r="DI725" s="27"/>
      <c r="DJ725" s="27"/>
      <c r="DK725" s="27"/>
      <c r="DL725" s="27"/>
      <c r="DM725" s="27"/>
      <c r="DN725" s="27"/>
      <c r="DO725" s="27"/>
      <c r="DP725" s="27"/>
      <c r="DQ725" s="27"/>
      <c r="DR725" s="27"/>
      <c r="DS725" s="27"/>
      <c r="DT725" s="27"/>
    </row>
    <row r="726" spans="7:124" x14ac:dyDescent="0.2">
      <c r="G726" s="27"/>
      <c r="H726" s="27"/>
      <c r="I726" s="27"/>
      <c r="J726" s="27"/>
      <c r="K726" s="27"/>
      <c r="L726" s="27"/>
      <c r="M726" s="27"/>
      <c r="N726" s="27"/>
      <c r="O726" s="27"/>
      <c r="P726" s="27"/>
      <c r="Q726" s="27"/>
      <c r="R726" s="27"/>
      <c r="S726" s="27" t="s">
        <v>572</v>
      </c>
      <c r="T726" s="27"/>
      <c r="U726" s="27"/>
      <c r="V726" s="27"/>
      <c r="W726" s="27"/>
      <c r="X726" s="27"/>
      <c r="Y726" s="27">
        <f>IF(C52&gt;36,36,C52)</f>
        <v>0</v>
      </c>
      <c r="Z726" s="27"/>
      <c r="AA726" s="27"/>
      <c r="AB726" s="27"/>
      <c r="AC726" s="27"/>
      <c r="AD726" s="27"/>
      <c r="AE726" s="27"/>
      <c r="AF726" s="27"/>
      <c r="AG726" s="27"/>
      <c r="AH726" s="27"/>
      <c r="AI726" s="27"/>
      <c r="AJ726" s="27"/>
      <c r="AK726" s="27"/>
      <c r="AL726" s="27"/>
      <c r="AM726" s="27"/>
      <c r="AN726" s="27"/>
      <c r="AO726" s="27"/>
      <c r="AP726" s="27"/>
      <c r="AQ726" s="27"/>
      <c r="AR726" s="27"/>
      <c r="AS726" s="27"/>
      <c r="AT726" s="27"/>
      <c r="AU726" s="27"/>
      <c r="AV726" s="27"/>
      <c r="AW726" s="27"/>
      <c r="AX726" s="27"/>
      <c r="AY726" s="27"/>
      <c r="AZ726" s="27"/>
      <c r="BA726" s="27"/>
      <c r="BB726" s="27"/>
      <c r="BC726" s="27"/>
      <c r="BD726" s="27"/>
      <c r="BE726" s="27"/>
      <c r="BF726" s="27"/>
      <c r="BG726" s="27"/>
      <c r="BH726" s="27"/>
      <c r="BI726" s="27"/>
      <c r="BJ726" s="27"/>
      <c r="BK726" s="27"/>
      <c r="BL726" s="27"/>
      <c r="BM726" s="27"/>
      <c r="BN726" s="27"/>
      <c r="BO726" s="27"/>
      <c r="BP726" s="27"/>
      <c r="BQ726" s="27"/>
      <c r="BR726" s="27"/>
      <c r="BS726" s="27"/>
      <c r="BT726" s="27"/>
      <c r="BU726" s="27"/>
      <c r="BV726" s="27"/>
      <c r="BW726" s="27"/>
      <c r="BX726" s="27"/>
      <c r="BY726" s="27"/>
      <c r="BZ726" s="27"/>
      <c r="CA726" s="27"/>
      <c r="CB726" s="27"/>
      <c r="CC726" s="27"/>
      <c r="CD726" s="27"/>
      <c r="CE726" s="27"/>
      <c r="CF726" s="27"/>
      <c r="CG726" s="27"/>
      <c r="CH726" s="27"/>
      <c r="CI726" s="27"/>
      <c r="CJ726" s="27"/>
      <c r="CK726" s="27"/>
      <c r="CL726" s="27"/>
      <c r="CM726" s="27"/>
      <c r="CN726" s="27"/>
      <c r="CO726" s="27"/>
      <c r="CP726" s="27"/>
      <c r="CQ726" s="27"/>
      <c r="CR726" s="27"/>
      <c r="CS726" s="27"/>
      <c r="CT726" s="27"/>
      <c r="CU726" s="27"/>
      <c r="CV726" s="27"/>
      <c r="CW726" s="27"/>
      <c r="CX726" s="27"/>
      <c r="CY726" s="27"/>
      <c r="CZ726" s="27"/>
      <c r="DA726" s="27"/>
      <c r="DB726" s="27"/>
      <c r="DC726" s="27"/>
      <c r="DD726" s="27"/>
      <c r="DE726" s="27"/>
      <c r="DF726" s="27"/>
      <c r="DG726" s="27"/>
      <c r="DH726" s="27"/>
      <c r="DI726" s="27"/>
      <c r="DJ726" s="27"/>
      <c r="DK726" s="27"/>
      <c r="DL726" s="27"/>
      <c r="DM726" s="27"/>
      <c r="DN726" s="27"/>
      <c r="DO726" s="27"/>
      <c r="DP726" s="27"/>
      <c r="DQ726" s="27"/>
      <c r="DR726" s="27"/>
      <c r="DS726" s="27"/>
      <c r="DT726" s="27"/>
    </row>
    <row r="727" spans="7:124" x14ac:dyDescent="0.2">
      <c r="G727" s="27"/>
      <c r="H727" s="27"/>
      <c r="I727" s="27"/>
      <c r="J727" s="27"/>
      <c r="K727" s="27"/>
      <c r="L727" s="27"/>
      <c r="M727" s="27"/>
      <c r="N727" s="27"/>
      <c r="O727" s="27"/>
      <c r="P727" s="27"/>
      <c r="Q727" s="27"/>
      <c r="R727" s="27"/>
      <c r="S727" s="27"/>
      <c r="T727" s="27"/>
      <c r="U727" s="27"/>
      <c r="V727" s="27"/>
      <c r="W727" s="27"/>
      <c r="X727" s="27"/>
      <c r="Y727" s="27">
        <f>IF(Y726+4&gt;36,36,Y726+4)</f>
        <v>4</v>
      </c>
      <c r="Z727" s="27"/>
      <c r="AA727" s="27"/>
      <c r="AB727" s="27"/>
      <c r="AC727" s="27"/>
      <c r="AD727" s="27"/>
      <c r="AE727" s="27"/>
      <c r="AF727" s="27"/>
      <c r="AG727" s="27"/>
      <c r="AH727" s="27"/>
      <c r="AI727" s="27"/>
      <c r="AJ727" s="27"/>
      <c r="AK727" s="27"/>
      <c r="AL727" s="27"/>
      <c r="AM727" s="27"/>
      <c r="AN727" s="27"/>
      <c r="AO727" s="27"/>
      <c r="AP727" s="27"/>
      <c r="AQ727" s="27"/>
      <c r="AR727" s="27"/>
      <c r="AS727" s="27"/>
      <c r="AT727" s="27"/>
      <c r="AU727" s="27"/>
      <c r="AV727" s="27"/>
      <c r="AW727" s="27"/>
      <c r="AX727" s="27"/>
      <c r="AY727" s="27"/>
      <c r="AZ727" s="27"/>
      <c r="BA727" s="27"/>
      <c r="BB727" s="27"/>
      <c r="BC727" s="27"/>
      <c r="BD727" s="27"/>
      <c r="BE727" s="27"/>
      <c r="BF727" s="27"/>
      <c r="BG727" s="27"/>
      <c r="BH727" s="27"/>
      <c r="BI727" s="27"/>
      <c r="BJ727" s="27"/>
      <c r="BK727" s="27"/>
      <c r="BL727" s="27"/>
      <c r="BM727" s="27"/>
      <c r="BN727" s="27"/>
      <c r="BO727" s="27"/>
      <c r="BP727" s="27"/>
      <c r="BQ727" s="27"/>
      <c r="BR727" s="27"/>
      <c r="BS727" s="27"/>
      <c r="BT727" s="27"/>
      <c r="BU727" s="27"/>
      <c r="BV727" s="27"/>
      <c r="BW727" s="27"/>
      <c r="BX727" s="27"/>
      <c r="BY727" s="27"/>
      <c r="BZ727" s="27"/>
      <c r="CA727" s="27"/>
      <c r="CB727" s="27"/>
      <c r="CC727" s="27"/>
      <c r="CD727" s="27"/>
      <c r="CE727" s="27"/>
      <c r="CF727" s="27"/>
      <c r="CG727" s="27"/>
      <c r="CH727" s="27"/>
      <c r="CI727" s="27"/>
      <c r="CJ727" s="27"/>
      <c r="CK727" s="27"/>
      <c r="CL727" s="27"/>
      <c r="CM727" s="27"/>
      <c r="CN727" s="27"/>
      <c r="CO727" s="27"/>
      <c r="CP727" s="27"/>
      <c r="CQ727" s="27"/>
      <c r="CR727" s="27"/>
      <c r="CS727" s="27"/>
      <c r="CT727" s="27"/>
      <c r="CU727" s="27"/>
      <c r="CV727" s="27"/>
      <c r="CW727" s="27"/>
      <c r="CX727" s="27"/>
      <c r="CY727" s="27"/>
      <c r="CZ727" s="27"/>
      <c r="DA727" s="27"/>
      <c r="DB727" s="27"/>
      <c r="DC727" s="27"/>
      <c r="DD727" s="27"/>
      <c r="DE727" s="27"/>
      <c r="DF727" s="27"/>
      <c r="DG727" s="27"/>
      <c r="DH727" s="27"/>
      <c r="DI727" s="27"/>
      <c r="DJ727" s="27"/>
      <c r="DK727" s="27"/>
      <c r="DL727" s="27"/>
      <c r="DM727" s="27"/>
      <c r="DN727" s="27"/>
      <c r="DO727" s="27"/>
      <c r="DP727" s="27"/>
      <c r="DQ727" s="27"/>
      <c r="DR727" s="27"/>
      <c r="DS727" s="27"/>
      <c r="DT727" s="27"/>
    </row>
    <row r="728" spans="7:124" x14ac:dyDescent="0.2">
      <c r="G728" s="27"/>
      <c r="H728" s="27"/>
      <c r="I728" s="27"/>
      <c r="J728" s="27"/>
      <c r="K728" s="27"/>
      <c r="L728" s="27"/>
      <c r="M728" s="27"/>
      <c r="N728" s="27"/>
      <c r="O728" s="27"/>
      <c r="P728" s="27"/>
      <c r="Q728" s="27"/>
      <c r="R728" s="27"/>
      <c r="S728" s="27"/>
      <c r="T728" s="27"/>
      <c r="U728" s="27"/>
      <c r="V728" s="27"/>
      <c r="W728" s="27"/>
      <c r="X728" s="27" t="s">
        <v>573</v>
      </c>
      <c r="Y728" s="27" t="e">
        <f>VLOOKUP(INT(Y727),מורה,AE711+2,FALSE)</f>
        <v>#N/A</v>
      </c>
      <c r="Z728" s="27"/>
      <c r="AA728" s="27"/>
      <c r="AB728" s="27"/>
      <c r="AC728" s="27"/>
      <c r="AD728" s="27"/>
      <c r="AE728" s="27"/>
      <c r="AF728" s="27"/>
      <c r="AG728" s="27"/>
      <c r="AH728" s="27"/>
      <c r="AI728" s="27"/>
      <c r="AJ728" s="27"/>
      <c r="AK728" s="27"/>
      <c r="AL728" s="27"/>
      <c r="AM728" s="27"/>
      <c r="AN728" s="27"/>
      <c r="AO728" s="27"/>
      <c r="AP728" s="27"/>
      <c r="AQ728" s="27"/>
      <c r="AR728" s="27"/>
      <c r="AS728" s="27"/>
      <c r="AT728" s="27"/>
      <c r="AU728" s="27"/>
      <c r="AV728" s="27"/>
      <c r="AW728" s="27"/>
      <c r="AX728" s="27"/>
      <c r="AY728" s="27"/>
      <c r="AZ728" s="27"/>
      <c r="BA728" s="27"/>
      <c r="BB728" s="27"/>
      <c r="BC728" s="27"/>
      <c r="BD728" s="27"/>
      <c r="BE728" s="27"/>
      <c r="BF728" s="27"/>
      <c r="BG728" s="27"/>
      <c r="BH728" s="27"/>
      <c r="BI728" s="27"/>
      <c r="BJ728" s="27"/>
      <c r="BK728" s="27"/>
      <c r="BL728" s="27"/>
      <c r="BM728" s="27"/>
      <c r="BN728" s="27"/>
      <c r="BO728" s="27"/>
      <c r="BP728" s="27"/>
      <c r="BQ728" s="27"/>
      <c r="BR728" s="27"/>
      <c r="BS728" s="27"/>
      <c r="BT728" s="27"/>
      <c r="BU728" s="27"/>
      <c r="BV728" s="27"/>
      <c r="BW728" s="27"/>
      <c r="BX728" s="27"/>
      <c r="BY728" s="27"/>
      <c r="BZ728" s="27"/>
      <c r="CA728" s="27"/>
      <c r="CB728" s="27"/>
      <c r="CC728" s="27"/>
      <c r="CD728" s="27"/>
      <c r="CE728" s="27"/>
      <c r="CF728" s="27"/>
      <c r="CG728" s="27"/>
      <c r="CH728" s="27"/>
      <c r="CI728" s="27"/>
      <c r="CJ728" s="27"/>
      <c r="CK728" s="27"/>
      <c r="CL728" s="27"/>
      <c r="CM728" s="27"/>
      <c r="CN728" s="27"/>
      <c r="CO728" s="27"/>
      <c r="CP728" s="27"/>
      <c r="CQ728" s="27"/>
      <c r="CR728" s="27"/>
      <c r="CS728" s="27"/>
      <c r="CT728" s="27"/>
      <c r="CU728" s="27"/>
      <c r="CV728" s="27"/>
      <c r="CW728" s="27"/>
      <c r="CX728" s="27"/>
      <c r="CY728" s="27"/>
      <c r="CZ728" s="27"/>
      <c r="DA728" s="27"/>
      <c r="DB728" s="27"/>
      <c r="DC728" s="27"/>
      <c r="DD728" s="27"/>
      <c r="DE728" s="27"/>
      <c r="DF728" s="27"/>
      <c r="DG728" s="27"/>
      <c r="DH728" s="27"/>
      <c r="DI728" s="27"/>
      <c r="DJ728" s="27"/>
      <c r="DK728" s="27"/>
      <c r="DL728" s="27"/>
      <c r="DM728" s="27"/>
      <c r="DN728" s="27"/>
      <c r="DO728" s="27"/>
      <c r="DP728" s="27"/>
      <c r="DQ728" s="27"/>
      <c r="DR728" s="27"/>
      <c r="DS728" s="27"/>
      <c r="DT728" s="27"/>
    </row>
    <row r="729" spans="7:124" x14ac:dyDescent="0.2">
      <c r="G729" s="27"/>
      <c r="H729" s="27"/>
      <c r="I729" s="27"/>
      <c r="J729" s="27"/>
      <c r="K729" s="27"/>
      <c r="L729" s="27"/>
      <c r="M729" s="27"/>
      <c r="N729" s="27"/>
      <c r="O729" s="27"/>
      <c r="P729" s="27"/>
      <c r="Q729" s="27"/>
      <c r="R729" s="27"/>
      <c r="S729" s="27"/>
      <c r="T729" s="27"/>
      <c r="U729" s="27"/>
      <c r="V729" s="27"/>
      <c r="W729" s="27"/>
      <c r="X729" s="27"/>
      <c r="Y729" s="27" t="e">
        <f>Y728-G47</f>
        <v>#N/A</v>
      </c>
      <c r="Z729" s="27"/>
      <c r="AA729" s="27"/>
      <c r="AB729" s="27"/>
      <c r="AC729" s="27"/>
      <c r="AD729" s="27"/>
      <c r="AE729" s="27"/>
      <c r="AF729" s="27"/>
      <c r="AG729" s="27"/>
      <c r="AH729" s="27"/>
      <c r="AI729" s="27"/>
      <c r="AJ729" s="27"/>
      <c r="AK729" s="27"/>
      <c r="AL729" s="27"/>
      <c r="AM729" s="27"/>
      <c r="AN729" s="27"/>
      <c r="AO729" s="27"/>
      <c r="AP729" s="27"/>
      <c r="AQ729" s="27"/>
      <c r="AR729" s="27"/>
      <c r="AS729" s="27"/>
      <c r="AT729" s="27"/>
      <c r="AU729" s="27"/>
      <c r="AV729" s="27"/>
      <c r="AW729" s="27"/>
      <c r="AX729" s="27"/>
      <c r="AY729" s="27"/>
      <c r="AZ729" s="27"/>
      <c r="BA729" s="27"/>
      <c r="BB729" s="27"/>
      <c r="BC729" s="27"/>
      <c r="BD729" s="27"/>
      <c r="BE729" s="27"/>
      <c r="BF729" s="27"/>
      <c r="BG729" s="27"/>
      <c r="BH729" s="27"/>
      <c r="BI729" s="27"/>
      <c r="BJ729" s="27"/>
      <c r="BK729" s="27"/>
      <c r="BL729" s="27"/>
      <c r="BM729" s="27"/>
      <c r="BN729" s="27"/>
      <c r="BO729" s="27"/>
      <c r="BP729" s="27"/>
      <c r="BQ729" s="27"/>
      <c r="BR729" s="27"/>
      <c r="BS729" s="27"/>
      <c r="BT729" s="27"/>
      <c r="BU729" s="27"/>
      <c r="BV729" s="27"/>
      <c r="BW729" s="27"/>
      <c r="BX729" s="27"/>
      <c r="BY729" s="27"/>
      <c r="BZ729" s="27"/>
      <c r="CA729" s="27"/>
      <c r="CB729" s="27"/>
      <c r="CC729" s="27"/>
      <c r="CD729" s="27"/>
      <c r="CE729" s="27"/>
      <c r="CF729" s="27"/>
      <c r="CG729" s="27"/>
      <c r="CH729" s="27"/>
      <c r="CI729" s="27"/>
      <c r="CJ729" s="27"/>
      <c r="CK729" s="27"/>
      <c r="CL729" s="27"/>
      <c r="CM729" s="27"/>
      <c r="CN729" s="27"/>
      <c r="CO729" s="27"/>
      <c r="CP729" s="27"/>
      <c r="CQ729" s="27"/>
      <c r="CR729" s="27"/>
      <c r="CS729" s="27"/>
      <c r="CT729" s="27"/>
      <c r="CU729" s="27"/>
      <c r="CV729" s="27"/>
      <c r="CW729" s="27"/>
      <c r="CX729" s="27"/>
      <c r="CY729" s="27"/>
      <c r="CZ729" s="27"/>
      <c r="DA729" s="27"/>
      <c r="DB729" s="27"/>
      <c r="DC729" s="27"/>
      <c r="DD729" s="27"/>
      <c r="DE729" s="27"/>
      <c r="DF729" s="27"/>
      <c r="DG729" s="27"/>
      <c r="DH729" s="27"/>
      <c r="DI729" s="27"/>
      <c r="DJ729" s="27"/>
      <c r="DK729" s="27"/>
      <c r="DL729" s="27"/>
      <c r="DM729" s="27"/>
      <c r="DN729" s="27"/>
      <c r="DO729" s="27"/>
      <c r="DP729" s="27"/>
      <c r="DQ729" s="27"/>
      <c r="DR729" s="27"/>
      <c r="DS729" s="27"/>
      <c r="DT729" s="27"/>
    </row>
    <row r="730" spans="7:124" x14ac:dyDescent="0.2">
      <c r="G730" s="27"/>
      <c r="H730" s="27"/>
      <c r="I730" s="27"/>
      <c r="J730" s="27"/>
      <c r="K730" s="27"/>
      <c r="L730" s="27"/>
      <c r="M730" s="27"/>
      <c r="N730" s="27"/>
      <c r="O730" s="27"/>
      <c r="P730" s="27"/>
      <c r="Q730" s="27"/>
      <c r="R730" s="27"/>
      <c r="S730" s="27"/>
      <c r="T730" s="27"/>
      <c r="U730" s="27"/>
      <c r="V730" s="27"/>
      <c r="W730" s="27"/>
      <c r="X730" s="27"/>
      <c r="Y730" s="27"/>
      <c r="Z730" s="27"/>
      <c r="AA730" s="27"/>
      <c r="AB730" s="27"/>
      <c r="AC730" s="27"/>
      <c r="AD730" s="27"/>
      <c r="AE730" s="27"/>
      <c r="AF730" s="27"/>
      <c r="AG730" s="27"/>
      <c r="AH730" s="27"/>
      <c r="AI730" s="27"/>
      <c r="AJ730" s="27"/>
      <c r="AK730" s="27"/>
      <c r="AL730" s="27"/>
      <c r="AM730" s="27"/>
      <c r="AN730" s="27"/>
      <c r="AO730" s="27"/>
      <c r="AP730" s="27"/>
      <c r="AQ730" s="27"/>
      <c r="AR730" s="27"/>
      <c r="AS730" s="27"/>
      <c r="AT730" s="27"/>
      <c r="AU730" s="27"/>
      <c r="AV730" s="27"/>
      <c r="AW730" s="27"/>
      <c r="AX730" s="27"/>
      <c r="AY730" s="27"/>
      <c r="AZ730" s="27"/>
      <c r="BA730" s="27"/>
      <c r="BB730" s="27"/>
      <c r="BC730" s="27"/>
      <c r="BD730" s="27"/>
      <c r="BE730" s="27"/>
      <c r="BF730" s="27"/>
      <c r="BG730" s="27"/>
      <c r="BH730" s="27"/>
      <c r="BI730" s="27"/>
      <c r="BJ730" s="27"/>
      <c r="BK730" s="27"/>
      <c r="BL730" s="27"/>
      <c r="BM730" s="27"/>
      <c r="BN730" s="27"/>
      <c r="BO730" s="27"/>
      <c r="BP730" s="27"/>
      <c r="BQ730" s="27"/>
      <c r="BR730" s="27"/>
      <c r="BS730" s="27"/>
      <c r="BT730" s="27"/>
      <c r="BU730" s="27"/>
      <c r="BV730" s="27"/>
      <c r="BW730" s="27"/>
      <c r="BX730" s="27"/>
      <c r="BY730" s="27"/>
      <c r="BZ730" s="27"/>
      <c r="CA730" s="27"/>
      <c r="CB730" s="27"/>
      <c r="CC730" s="27"/>
      <c r="CD730" s="27"/>
      <c r="CE730" s="27"/>
      <c r="CF730" s="27"/>
      <c r="CG730" s="27"/>
      <c r="CH730" s="27"/>
      <c r="CI730" s="27"/>
      <c r="CJ730" s="27"/>
      <c r="CK730" s="27"/>
      <c r="CL730" s="27"/>
      <c r="CM730" s="27"/>
      <c r="CN730" s="27"/>
      <c r="CO730" s="27"/>
      <c r="CP730" s="27"/>
      <c r="CQ730" s="27"/>
      <c r="CR730" s="27"/>
      <c r="CS730" s="27"/>
      <c r="CT730" s="27"/>
      <c r="CU730" s="27"/>
      <c r="CV730" s="27"/>
      <c r="CW730" s="27"/>
      <c r="CX730" s="27"/>
      <c r="CY730" s="27"/>
      <c r="CZ730" s="27"/>
      <c r="DA730" s="27"/>
      <c r="DB730" s="27"/>
      <c r="DC730" s="27"/>
      <c r="DD730" s="27"/>
      <c r="DE730" s="27"/>
      <c r="DF730" s="27"/>
      <c r="DG730" s="27"/>
      <c r="DH730" s="27"/>
      <c r="DI730" s="27"/>
      <c r="DJ730" s="27"/>
      <c r="DK730" s="27"/>
      <c r="DL730" s="27"/>
      <c r="DM730" s="27"/>
      <c r="DN730" s="27"/>
      <c r="DO730" s="27"/>
      <c r="DP730" s="27"/>
      <c r="DQ730" s="27"/>
      <c r="DR730" s="27"/>
      <c r="DS730" s="27"/>
      <c r="DT730" s="27"/>
    </row>
    <row r="731" spans="7:124" x14ac:dyDescent="0.2">
      <c r="G731" s="27"/>
      <c r="H731" s="27"/>
      <c r="I731" s="27"/>
      <c r="J731" s="27"/>
      <c r="K731" s="27"/>
      <c r="L731" s="27"/>
      <c r="M731" s="27"/>
      <c r="N731" s="27"/>
      <c r="O731" s="27"/>
      <c r="P731" s="27"/>
      <c r="Q731" s="27"/>
      <c r="R731" s="27"/>
      <c r="S731" s="27"/>
      <c r="T731" s="27"/>
      <c r="U731" s="27"/>
      <c r="V731" s="27"/>
      <c r="W731" s="27"/>
      <c r="X731" s="27"/>
      <c r="Y731" s="27"/>
      <c r="Z731" s="27"/>
      <c r="AA731" s="27"/>
      <c r="AB731" s="27"/>
      <c r="AC731" s="27"/>
      <c r="AD731" s="27"/>
      <c r="AE731" s="27"/>
      <c r="AF731" s="27"/>
      <c r="AG731" s="27"/>
      <c r="AH731" s="27"/>
      <c r="AI731" s="27"/>
      <c r="AJ731" s="27"/>
      <c r="AK731" s="27"/>
      <c r="AL731" s="27"/>
      <c r="AM731" s="27"/>
      <c r="AN731" s="27"/>
      <c r="AO731" s="27"/>
      <c r="AP731" s="27"/>
      <c r="AQ731" s="27"/>
      <c r="AR731" s="27"/>
      <c r="AS731" s="27"/>
      <c r="AT731" s="27"/>
      <c r="AU731" s="27"/>
      <c r="AV731" s="27"/>
      <c r="AW731" s="27"/>
      <c r="AX731" s="27"/>
      <c r="AY731" s="27"/>
      <c r="AZ731" s="27"/>
      <c r="BA731" s="27"/>
      <c r="BB731" s="27"/>
      <c r="BC731" s="27"/>
      <c r="BD731" s="27"/>
      <c r="BE731" s="27"/>
      <c r="BF731" s="27"/>
      <c r="BG731" s="27"/>
      <c r="BH731" s="27"/>
      <c r="BI731" s="27"/>
      <c r="BJ731" s="27"/>
      <c r="BK731" s="27"/>
      <c r="BL731" s="27"/>
      <c r="BM731" s="27"/>
      <c r="BN731" s="27"/>
      <c r="BO731" s="27"/>
      <c r="BP731" s="27"/>
      <c r="BQ731" s="27"/>
      <c r="BR731" s="27"/>
      <c r="BS731" s="27"/>
      <c r="BT731" s="27"/>
      <c r="BU731" s="27"/>
      <c r="BV731" s="27"/>
      <c r="BW731" s="27"/>
      <c r="BX731" s="27"/>
      <c r="BY731" s="27"/>
      <c r="BZ731" s="27"/>
      <c r="CA731" s="27"/>
      <c r="CB731" s="27"/>
      <c r="CC731" s="27"/>
      <c r="CD731" s="27"/>
      <c r="CE731" s="27"/>
      <c r="CF731" s="27"/>
      <c r="CG731" s="27"/>
      <c r="CH731" s="27"/>
      <c r="CI731" s="27"/>
      <c r="CJ731" s="27"/>
      <c r="CK731" s="27"/>
      <c r="CL731" s="27"/>
      <c r="CM731" s="27"/>
      <c r="CN731" s="27"/>
      <c r="CO731" s="27"/>
      <c r="CP731" s="27"/>
      <c r="CQ731" s="27"/>
      <c r="CR731" s="27"/>
      <c r="CS731" s="27"/>
      <c r="CT731" s="27"/>
      <c r="CU731" s="27"/>
      <c r="CV731" s="27"/>
      <c r="CW731" s="27"/>
      <c r="CX731" s="27"/>
      <c r="CY731" s="27"/>
      <c r="CZ731" s="27"/>
      <c r="DA731" s="27"/>
      <c r="DB731" s="27"/>
      <c r="DC731" s="27"/>
      <c r="DD731" s="27"/>
      <c r="DE731" s="27"/>
      <c r="DF731" s="27"/>
      <c r="DG731" s="27"/>
      <c r="DH731" s="27"/>
      <c r="DI731" s="27"/>
      <c r="DJ731" s="27"/>
      <c r="DK731" s="27"/>
      <c r="DL731" s="27"/>
      <c r="DM731" s="27"/>
      <c r="DN731" s="27"/>
      <c r="DO731" s="27"/>
      <c r="DP731" s="27"/>
      <c r="DQ731" s="27"/>
      <c r="DR731" s="27"/>
      <c r="DS731" s="27"/>
      <c r="DT731" s="27"/>
    </row>
    <row r="732" spans="7:124" x14ac:dyDescent="0.2">
      <c r="G732" s="27"/>
      <c r="H732" s="27"/>
      <c r="I732" s="27"/>
      <c r="J732" s="27"/>
      <c r="K732" s="27"/>
      <c r="L732" s="27"/>
      <c r="M732" s="27"/>
      <c r="N732" s="27"/>
      <c r="O732" s="27">
        <f ca="1">P732*O713</f>
        <v>0</v>
      </c>
      <c r="P732" s="27">
        <f>VLOOKUP(INT(Q732),ghad1,2,FALSE)</f>
        <v>0</v>
      </c>
      <c r="Q732" s="27">
        <f>IF(W719=0,0,IF(60-O710+BB780&gt;13,13,60-O710+BB780))</f>
        <v>0</v>
      </c>
      <c r="R732" s="27"/>
      <c r="S732" s="27"/>
      <c r="T732" s="27"/>
      <c r="U732" s="27"/>
      <c r="V732" s="27" t="s">
        <v>230</v>
      </c>
      <c r="W732" s="27"/>
      <c r="X732" s="27"/>
      <c r="Y732" s="27"/>
      <c r="Z732" s="27" t="s">
        <v>59</v>
      </c>
      <c r="AA732" s="27" t="s">
        <v>59</v>
      </c>
      <c r="AB732" s="27" t="s">
        <v>231</v>
      </c>
      <c r="AC732" s="27" t="s">
        <v>59</v>
      </c>
      <c r="AD732" s="27"/>
      <c r="AE732" s="27" t="s">
        <v>232</v>
      </c>
      <c r="AF732" s="27"/>
      <c r="AG732" s="27" t="s">
        <v>233</v>
      </c>
      <c r="AH732" s="27">
        <v>39994</v>
      </c>
      <c r="AI732" s="27"/>
      <c r="AJ732" s="27"/>
      <c r="AK732" s="27" t="s">
        <v>234</v>
      </c>
      <c r="AL732" s="27">
        <v>28734</v>
      </c>
      <c r="AM732" s="27"/>
      <c r="AN732" s="27" t="s">
        <v>235</v>
      </c>
      <c r="AO732" s="27"/>
      <c r="AP732" s="27">
        <v>1</v>
      </c>
      <c r="AQ732" s="27"/>
      <c r="AR732" s="27"/>
      <c r="AS732" s="27" t="s">
        <v>59</v>
      </c>
      <c r="AT732" s="27">
        <v>18264</v>
      </c>
      <c r="AU732" s="27">
        <v>18264</v>
      </c>
      <c r="AV732" s="27"/>
      <c r="AW732" s="27" t="str">
        <f>MID(BB769,1,2)</f>
        <v>ד"</v>
      </c>
      <c r="AX732" s="27"/>
      <c r="AY732" s="27"/>
      <c r="AZ732" s="27" t="e">
        <f>IF((AZ723&gt;='[1]נתוני מס'!H7)*AND(AZ723&lt;'[1]נתוני מס'!H8),((AZ723-'[1]נתוני מס'!H7)*'[1]נתוני מס'!I8+'[1]נתוני מס'!F7-AB742)*AZ738,IF((AZ723&lt;'[1]נתוני מס'!H7),(AZ723*'[1]נתוני מס'!I7-AB742)*AZ738,0))</f>
        <v>#REF!</v>
      </c>
      <c r="BA732" s="27" t="e">
        <f>IF((BA723&gt;='[1]נתוני מס'!H7)*AND(BA723&lt;'[1]נתוני מס'!H8),((BA723-'[1]נתוני מס'!H7)*'[1]נתוני מס'!I8+'[1]נתוני מס'!F7-AB742)*BA738,IF((BA723&lt;'[1]נתוני מס'!H7),(BA723*'[1]נתוני מס'!I7-AB742)*BA738,0))</f>
        <v>#REF!</v>
      </c>
      <c r="BB732" s="27"/>
      <c r="BC732" s="27" t="e">
        <f>IF((BC723&gt;='[1]נתוני מס'!H7)*AND(BC723&lt;'[1]נתוני מס'!H8),((BC723-'[1]נתוני מס'!H7)*'[1]נתוני מס'!I8+'[1]נתוני מס'!F7)*BC738,IF((BC723&lt;'[1]נתוני מס'!H7),(BC723*'[1]נתוני מס'!I7)*BC738,0))</f>
        <v>#REF!</v>
      </c>
      <c r="BD732" s="27" t="e">
        <f>IF((BD723&gt;='[1]נתוני מס'!H7)*AND(BD723&lt;'[1]נתוני מס'!H8),((BD723-'[1]נתוני מס'!H7)*'[1]נתוני מס'!I8+'[1]נתוני מס'!F7)*BD738,IF((BD723&lt;'[1]נתוני מס'!H7),(BD723*'[1]נתוני מס'!I7)*BD738,0))</f>
        <v>#REF!</v>
      </c>
      <c r="BE732" s="27" t="e">
        <f>IF((G966&gt;='[1]נתוני מס'!H7)*AND(G966&lt;'[1]נתוני מס'!H8),(G966-'[1]נתוני מס'!H7)*'[1]נתוני מס'!I8+'[1]נתוני מס'!F7,IF((G966&lt;'[1]נתוני מס'!H7),G966*'[1]נתוני מס'!I7,0))</f>
        <v>#REF!</v>
      </c>
      <c r="BF732" s="27" t="e">
        <f>IF((BF723&gt;='[1]נתוני מס'!H7)*AND(BF723&lt;'[1]נתוני מס'!H8),(BF723-'[1]נתוני מס'!H7)*'[1]נתוני מס'!I8+'[1]נתוני מס'!F7,IF((BF723&lt;'[1]נתוני מס'!H7),BF723*'[1]נתוני מס'!I7,0))</f>
        <v>#REF!</v>
      </c>
      <c r="BG732" s="27" t="e">
        <f>IF((BG723&gt;='[1]נתוני מס'!H7)*AND(BG723&lt;'[1]נתוני מס'!H8),(BG723-'[1]נתוני מס'!H7)*'[1]נתוני מס'!I8+'[1]נתוני מס'!F7,IF((BG723&lt;'[1]נתוני מס'!H7),BG723*'[1]נתוני מס'!I7,0))</f>
        <v>#REF!</v>
      </c>
      <c r="BH732" s="27">
        <f>IF((BH723&gt;='[1]נתוני מס'!H7)*AND(BH723&lt;'[1]נתוני מס'!H8),(BH723-'[1]נתוני מס'!H7)*'[1]נתוני מס'!J8+'[1]נתוני מס'!F7,IF((BH723&lt;'[1]נתוני מס'!H7),BH723*'[1]נתוני מס'!J7,0))</f>
        <v>0</v>
      </c>
      <c r="BI732" s="27" t="e">
        <f ca="1">IF((BI723&gt;='[1]נתוני מס'!H7)*AND(BI723&lt;'[1]נתוני מס'!H8),(BI723-'[1]נתוני מס'!H7)*'[1]נתוני מס'!I8+'[1]נתוני מס'!F7,IF((BI723&lt;'[1]נתוני מס'!H7),BI723*'[1]נתוני מס'!I7,0))</f>
        <v>#REF!</v>
      </c>
      <c r="BJ732" s="27"/>
      <c r="BK732" s="27">
        <f>IF((BK723&gt;='[1]נתוני מס'!H7)*AND(BK723&lt;'[1]נתוני מס'!H8),(BK723-'[1]נתוני מס'!H7)*'[1]נתוני מס'!J8+'[1]נתוני מס'!F7,IF((BK723&lt;'[1]נתוני מס'!H7),BK723*'[1]נתוני מס'!J7,0))</f>
        <v>0</v>
      </c>
      <c r="BL732" s="27">
        <v>1101575</v>
      </c>
      <c r="BM732" s="27"/>
      <c r="BN732" s="27" t="e">
        <f ca="1">IF((BN724&gt;='[1]נתוני מס'!H7)*AND(BN724&lt;'[1]נתוני מס'!H8),(BN724-'[1]נתוני מס'!H7)*'[1]נתוני מס'!I8+'[1]נתוני מס'!F7,IF((BN724&lt;'[1]נתוני מס'!H7),BN724*'[1]נתוני מס'!I7,0))</f>
        <v>#REF!</v>
      </c>
      <c r="BO732" s="27"/>
      <c r="BP732" s="27" t="e">
        <f ca="1">IF((BP724&gt;='[1]נתוני מס'!H7)*AND(BP724&lt;'[1]נתוני מס'!H8),(BP724-'[1]נתוני מס'!H7)*'[1]נתוני מס'!I8+'[1]נתוני מס'!F7,IF((BP724&lt;'[1]נתוני מס'!H7),BP724*'[1]נתוני מס'!I7,0))</f>
        <v>#REF!</v>
      </c>
      <c r="BQ732" s="27"/>
      <c r="BR732" s="27"/>
      <c r="BS732" s="27"/>
      <c r="BT732" s="27"/>
      <c r="BU732" s="27">
        <v>1</v>
      </c>
      <c r="BV732" s="27"/>
      <c r="BW732" s="27">
        <v>3365.57</v>
      </c>
      <c r="BX732" s="27">
        <v>3179.46</v>
      </c>
      <c r="BY732" s="27">
        <v>2967.49</v>
      </c>
      <c r="BZ732" s="27">
        <v>2835.66</v>
      </c>
      <c r="CA732" s="27">
        <v>2584.9299999999998</v>
      </c>
      <c r="CB732" s="27">
        <v>2584.9299999999998</v>
      </c>
      <c r="CC732" s="27">
        <v>2248.89</v>
      </c>
      <c r="CD732" s="27">
        <v>2106.71</v>
      </c>
      <c r="CE732" s="27">
        <v>2055.0100000000002</v>
      </c>
      <c r="CF732" s="27">
        <v>1990.39</v>
      </c>
      <c r="CG732" s="27">
        <v>2835.66</v>
      </c>
      <c r="CH732" s="27">
        <v>2636.63</v>
      </c>
      <c r="CI732" s="27">
        <v>2248.89</v>
      </c>
      <c r="CJ732" s="27">
        <v>2776.21</v>
      </c>
      <c r="CK732" s="27">
        <v>2835.66</v>
      </c>
      <c r="CL732" s="27"/>
      <c r="CM732" s="27"/>
      <c r="CN732" s="27"/>
      <c r="CO732" s="27"/>
      <c r="CP732" s="27"/>
      <c r="CQ732" s="27"/>
      <c r="CR732" s="27"/>
      <c r="CS732" s="27"/>
      <c r="CT732" s="27"/>
      <c r="CU732" s="27"/>
      <c r="CV732" s="27"/>
      <c r="CW732" s="27"/>
      <c r="CX732" s="27"/>
      <c r="CY732" s="27"/>
      <c r="CZ732" s="27"/>
      <c r="DA732" s="27"/>
      <c r="DB732" s="27"/>
      <c r="DC732" s="27"/>
      <c r="DD732" s="27"/>
      <c r="DE732" s="27"/>
      <c r="DF732" s="27"/>
      <c r="DG732" s="27"/>
      <c r="DH732" s="27"/>
      <c r="DI732" s="27"/>
      <c r="DJ732" s="27"/>
      <c r="DK732" s="27"/>
      <c r="DL732" s="27"/>
      <c r="DM732" s="27"/>
      <c r="DN732" s="27"/>
      <c r="DO732" s="27"/>
      <c r="DP732" s="27"/>
      <c r="DQ732" s="27"/>
      <c r="DR732" s="27"/>
      <c r="DS732" s="27"/>
      <c r="DT732" s="27"/>
    </row>
    <row r="733" spans="7:124" x14ac:dyDescent="0.2">
      <c r="G733" s="27"/>
      <c r="H733" s="27"/>
      <c r="I733" s="27"/>
      <c r="J733" s="27"/>
      <c r="K733" s="27"/>
      <c r="L733" s="27"/>
      <c r="M733" s="27"/>
      <c r="N733" s="27"/>
      <c r="O733" s="27">
        <f ca="1">SUM(O713:O716)*W739</f>
        <v>0</v>
      </c>
      <c r="P733" s="27"/>
      <c r="Q733" s="27"/>
      <c r="R733" s="27"/>
      <c r="S733" s="27"/>
      <c r="T733" s="27"/>
      <c r="U733" s="27" t="s">
        <v>239</v>
      </c>
      <c r="V733" s="27"/>
      <c r="W733" s="27">
        <v>0</v>
      </c>
      <c r="X733" s="27"/>
      <c r="Y733" s="27"/>
      <c r="Z733" s="27" t="s">
        <v>59</v>
      </c>
      <c r="AA733" s="27" t="s">
        <v>240</v>
      </c>
      <c r="AB733" s="27" t="s">
        <v>241</v>
      </c>
      <c r="AC733" s="27"/>
      <c r="AD733" s="27"/>
      <c r="AE733" s="27" t="s">
        <v>242</v>
      </c>
      <c r="AF733" s="27">
        <v>389</v>
      </c>
      <c r="AG733" s="27" t="s">
        <v>243</v>
      </c>
      <c r="AH733" s="27">
        <v>40025</v>
      </c>
      <c r="AI733" s="27"/>
      <c r="AJ733" s="27"/>
      <c r="AK733" s="27">
        <v>16</v>
      </c>
      <c r="AL733" s="27">
        <v>11</v>
      </c>
      <c r="AM733" s="27"/>
      <c r="AN733" s="27">
        <v>12</v>
      </c>
      <c r="AO733" s="27"/>
      <c r="AP733" s="27">
        <v>1.5</v>
      </c>
      <c r="AQ733" s="27"/>
      <c r="AR733" s="27"/>
      <c r="AS733" s="27" t="s">
        <v>59</v>
      </c>
      <c r="AT733" s="27">
        <v>18476</v>
      </c>
      <c r="AU733" s="27">
        <v>18476</v>
      </c>
      <c r="AV733" s="27"/>
      <c r="AW733" s="27"/>
      <c r="AX733" s="27"/>
      <c r="AY733" s="27"/>
      <c r="AZ733" s="27" t="e">
        <f>IF((AZ723&gt;='[1]נתוני מס'!H8)*AND(AZ723&lt;'[1]נתוני מס'!H9),((AZ723-'[1]נתוני מס'!H8)*'[1]נתוני מס'!I9+'[1]נתוני מס'!F8+'[1]נתוני מס'!F7-AB742)*AZ738,0)</f>
        <v>#REF!</v>
      </c>
      <c r="BA733" s="27" t="e">
        <f>IF((BA723&gt;='[1]נתוני מס'!H8)*AND(BA723&lt;'[1]נתוני מס'!H9),((BA723-'[1]נתוני מס'!H8)*'[1]נתוני מס'!I9+'[1]נתוני מס'!F8+'[1]נתוני מס'!F7-AB742)*BA738,0)</f>
        <v>#REF!</v>
      </c>
      <c r="BB733" s="27"/>
      <c r="BC733" s="27" t="e">
        <f>IF((BC723&gt;='[1]נתוני מס'!H8)*AND(BC723&lt;'[1]נתוני מס'!H9),((BC723-'[1]נתוני מס'!H8)*'[1]נתוני מס'!I9+'[1]נתוני מס'!F8+'[1]נתוני מס'!F7)*BC738,0)</f>
        <v>#REF!</v>
      </c>
      <c r="BD733" s="27" t="e">
        <f>IF((BD723&gt;='[1]נתוני מס'!H8)*AND(BD723&lt;'[1]נתוני מס'!H9),((BD723-'[1]נתוני מס'!H8)*'[1]נתוני מס'!I9+'[1]נתוני מס'!F8+'[1]נתוני מס'!F7)*BD738,0)</f>
        <v>#REF!</v>
      </c>
      <c r="BE733" s="27" t="e">
        <f>IF((G966&gt;='[1]נתוני מס'!H8)*AND(G966&lt;'[1]נתוני מס'!H9),(G966-'[1]נתוני מס'!H8)*'[1]נתוני מס'!I9+'[1]נתוני מס'!F8+'[1]נתוני מס'!F7,0)</f>
        <v>#REF!</v>
      </c>
      <c r="BF733" s="27" t="e">
        <f>IF((BF723&gt;='[1]נתוני מס'!H8)*AND(BF723&lt;'[1]נתוני מס'!H9),(BF723-'[1]נתוני מס'!H8)*'[1]נתוני מס'!I9+'[1]נתוני מס'!F8+'[1]נתוני מס'!F7,0)</f>
        <v>#REF!</v>
      </c>
      <c r="BG733" s="27" t="e">
        <f>IF((BG723&gt;='[1]נתוני מס'!H8)*AND(BG723&lt;'[1]נתוני מס'!H9),(BG723-'[1]נתוני מס'!H8)*'[1]נתוני מס'!I9+'[1]נתוני מס'!F8+'[1]נתוני מס'!F7,0)</f>
        <v>#REF!</v>
      </c>
      <c r="BH733" s="27">
        <f>IF((BH723&gt;='[1]נתוני מס'!H8)*AND(BH723&lt;'[1]נתוני מס'!H9),(BH723-'[1]נתוני מס'!H8)*'[1]נתוני מס'!J9+'[1]נתוני מס'!F8+'[1]נתוני מס'!F7,0)</f>
        <v>1662.8000000000002</v>
      </c>
      <c r="BI733" s="27" t="e">
        <f ca="1">IF((BI723&gt;='[1]נתוני מס'!H8)*AND(BI723&lt;'[1]נתוני מס'!H9),(BI723-'[1]נתוני מס'!H8)*'[1]נתוני מס'!I9+'[1]נתוני מס'!F8+'[1]נתוני מס'!F7,0)</f>
        <v>#REF!</v>
      </c>
      <c r="BJ733" s="27"/>
      <c r="BK733" s="27">
        <f>IF((BK723&gt;='[1]נתוני מס'!H8)*AND(BK723&lt;'[1]נתוני מס'!H9),(BK723-'[1]נתוני מס'!H8)*'[1]נתוני מס'!J9+'[1]נתוני מס'!F8+'[1]נתוני מס'!F7,0)</f>
        <v>0</v>
      </c>
      <c r="BL733" s="27"/>
      <c r="BM733" s="27"/>
      <c r="BN733" s="27" t="e">
        <f ca="1">IF((BN724&gt;='[1]נתוני מס'!H8)*AND(BN724&lt;'[1]נתוני מס'!H9),(BN724-'[1]נתוני מס'!H8)*'[1]נתוני מס'!I9+'[1]נתוני מס'!F8+'[1]נתוני מס'!F7,0)</f>
        <v>#REF!</v>
      </c>
      <c r="BO733" s="27"/>
      <c r="BP733" s="27" t="e">
        <f ca="1">IF((BP724&gt;='[1]נתוני מס'!H8)*AND(BP724&lt;'[1]נתוני מס'!H9),(BP724-'[1]נתוני מס'!H8)*'[1]נתוני מס'!I9+'[1]נתוני מס'!F8+'[1]נתוני מס'!F7,0)</f>
        <v>#REF!</v>
      </c>
      <c r="BQ733" s="27"/>
      <c r="BR733" s="27"/>
      <c r="BS733" s="27"/>
      <c r="BT733" s="27"/>
      <c r="BU733" s="27"/>
      <c r="BV733" s="27"/>
      <c r="BW733" s="27"/>
      <c r="BX733" s="27"/>
      <c r="BY733" s="27"/>
      <c r="BZ733" s="27"/>
      <c r="CA733" s="27"/>
      <c r="CB733" s="27"/>
      <c r="CC733" s="27"/>
      <c r="CD733" s="27"/>
      <c r="CE733" s="27"/>
      <c r="CF733" s="27"/>
      <c r="CG733" s="27"/>
      <c r="CH733" s="27"/>
      <c r="CI733" s="27"/>
      <c r="CJ733" s="27"/>
      <c r="CK733" s="27"/>
      <c r="CL733" s="27"/>
      <c r="CM733" s="27"/>
      <c r="CN733" s="27"/>
      <c r="CO733" s="27"/>
      <c r="CP733" s="27"/>
      <c r="CQ733" s="27"/>
      <c r="CR733" s="27"/>
      <c r="CS733" s="27"/>
      <c r="CT733" s="27"/>
      <c r="CU733" s="27"/>
      <c r="CV733" s="27"/>
      <c r="CW733" s="27"/>
      <c r="CX733" s="27"/>
      <c r="CY733" s="27"/>
      <c r="CZ733" s="27"/>
      <c r="DA733" s="27"/>
      <c r="DB733" s="27"/>
      <c r="DC733" s="27"/>
      <c r="DD733" s="27"/>
      <c r="DE733" s="27"/>
      <c r="DF733" s="27"/>
      <c r="DG733" s="27"/>
      <c r="DH733" s="27"/>
      <c r="DI733" s="27"/>
      <c r="DJ733" s="27"/>
      <c r="DK733" s="27"/>
      <c r="DL733" s="27"/>
      <c r="DM733" s="27"/>
      <c r="DN733" s="27"/>
      <c r="DO733" s="27"/>
      <c r="DP733" s="27"/>
      <c r="DQ733" s="27"/>
      <c r="DR733" s="27"/>
      <c r="DS733" s="27"/>
      <c r="DT733" s="27"/>
    </row>
    <row r="734" spans="7:124" x14ac:dyDescent="0.2">
      <c r="G734" s="27"/>
      <c r="H734" s="27"/>
      <c r="I734" s="27"/>
      <c r="J734" s="27"/>
      <c r="K734" s="27"/>
      <c r="L734" s="27"/>
      <c r="M734" s="27"/>
      <c r="N734" s="27"/>
      <c r="O734" s="27">
        <f ca="1">O708*BB782</f>
        <v>0</v>
      </c>
      <c r="P734" s="27"/>
      <c r="Q734" s="27"/>
      <c r="R734" s="27"/>
      <c r="S734" s="27" t="s">
        <v>252</v>
      </c>
      <c r="T734" s="27"/>
      <c r="U734" s="27"/>
      <c r="V734" s="27"/>
      <c r="W734" s="27"/>
      <c r="X734" s="27"/>
      <c r="Y734" s="27"/>
      <c r="Z734" s="27" t="s">
        <v>59</v>
      </c>
      <c r="AA734" s="27"/>
      <c r="AB734" s="27" t="s">
        <v>59</v>
      </c>
      <c r="AC734" s="27"/>
      <c r="AD734" s="27"/>
      <c r="AE734" s="27" t="s">
        <v>253</v>
      </c>
      <c r="AF734" s="27">
        <v>0.59709999999999996</v>
      </c>
      <c r="AG734" s="27" t="s">
        <v>254</v>
      </c>
      <c r="AH734" s="27">
        <v>40056</v>
      </c>
      <c r="AI734" s="27"/>
      <c r="AJ734" s="27"/>
      <c r="AK734" s="27">
        <v>20</v>
      </c>
      <c r="AL734" s="27">
        <v>12</v>
      </c>
      <c r="AM734" s="27"/>
      <c r="AN734" s="27" t="s">
        <v>255</v>
      </c>
      <c r="AO734" s="27" t="s">
        <v>256</v>
      </c>
      <c r="AP734" s="27">
        <v>2</v>
      </c>
      <c r="AQ734" s="27"/>
      <c r="AR734" s="27"/>
      <c r="AS734" s="27" t="e">
        <f>IF(AL724=#REF!,'[1]נתוני מס'!L6,IF(AT722&gt;=AT737,'[1]נתוני מס'!L7,IF(AT722&gt;=AT736,63.666,IF(AT722&gt;=AT735,63.333,IF(AT722&gt;=AT734,63,IF(AT722&gt;=AT733,62.666,IF(AT722&gt;=AT732,62.333,62)))))))</f>
        <v>#REF!</v>
      </c>
      <c r="AT734" s="27">
        <v>18749</v>
      </c>
      <c r="AU734" s="27">
        <v>18749</v>
      </c>
      <c r="AV734" s="27"/>
      <c r="AW734" s="27" t="s">
        <v>257</v>
      </c>
      <c r="AX734" s="27">
        <f>W752+(1/12)*V745+(E110*100)/2</f>
        <v>33</v>
      </c>
      <c r="AY734" s="27"/>
      <c r="AZ734" s="27" t="e">
        <f>IF((AZ723&gt;='[1]נתוני מס'!H9)*AND(AZ723&lt;'[1]נתוני מס'!H10),((AZ723-'[1]נתוני מס'!H9)*'[1]נתוני מס'!I10+'[1]נתוני מס'!F9+'[1]נתוני מס'!F8+'[1]נתוני מס'!F7-AB742)*AZ738,0)</f>
        <v>#REF!</v>
      </c>
      <c r="BA734" s="27" t="e">
        <f>IF((BA723&gt;='[1]נתוני מס'!H9)*AND(BA723&lt;'[1]נתוני מס'!H10),((BA723-'[1]נתוני מס'!H9)*'[1]נתוני מס'!I10+'[1]נתוני מס'!F9+'[1]נתוני מס'!F8+'[1]נתוני מס'!F7-AB742)*BA738,0)</f>
        <v>#REF!</v>
      </c>
      <c r="BB734" s="27"/>
      <c r="BC734" s="27" t="e">
        <f>IF((BC723&gt;='[1]נתוני מס'!H9)*AND(BC723&lt;'[1]נתוני מס'!H10),((BC723-'[1]נתוני מס'!H9)*'[1]נתוני מס'!I10+'[1]נתוני מס'!F9+'[1]נתוני מס'!F8+'[1]נתוני מס'!F7)*BC738,0)</f>
        <v>#REF!</v>
      </c>
      <c r="BD734" s="27" t="e">
        <f>IF((BD723&gt;='[1]נתוני מס'!H9)*AND(BD723&lt;'[1]נתוני מס'!H10),((BD723-'[1]נתוני מס'!H9)*'[1]נתוני מס'!I10+'[1]נתוני מס'!F9+'[1]נתוני מס'!F8+'[1]נתוני מס'!F7)*BD738,0)</f>
        <v>#REF!</v>
      </c>
      <c r="BE734" s="27" t="e">
        <f>IF((G966&gt;='[1]נתוני מס'!H9)*AND(G966&lt;'[1]נתוני מס'!H10),(G966-'[1]נתוני מס'!H9)*'[1]נתוני מס'!I10+'[1]נתוני מס'!F9+'[1]נתוני מס'!F8+'[1]נתוני מס'!F7,0)</f>
        <v>#REF!</v>
      </c>
      <c r="BF734" s="27" t="e">
        <f>IF((BF723&gt;='[1]נתוני מס'!H9)*AND(BF723&lt;'[1]נתוני מס'!H10),(BF723-'[1]נתוני מס'!H9)*'[1]נתוני מס'!I10+'[1]נתוני מס'!F9+'[1]נתוני מס'!F8+'[1]נתוני מס'!F7,0)</f>
        <v>#REF!</v>
      </c>
      <c r="BG734" s="27" t="e">
        <f>IF((BG723&gt;='[1]נתוני מס'!H9)*AND(BG723&lt;'[1]נתוני מס'!H10),(BG723-'[1]נתוני מס'!H9)*'[1]נתוני מס'!I10+'[1]נתוני מס'!F9+'[1]נתוני מס'!F8+'[1]נתוני מס'!F7,0)</f>
        <v>#REF!</v>
      </c>
      <c r="BH734" s="27">
        <f>IF((BH723&gt;='[1]נתוני מס'!H9)*AND(BH723&lt;'[1]נתוני מס'!H10),(BH723-'[1]נתוני מס'!H9)*'[1]נתוני מס'!J10+'[1]נתוני מס'!F9+'[1]נתוני מס'!F8+'[1]נתוני מס'!F7,0)</f>
        <v>0</v>
      </c>
      <c r="BI734" s="27" t="e">
        <f ca="1">IF((BI723&gt;='[1]נתוני מס'!H9)*AND(BI723&lt;'[1]נתוני מס'!H10),(BI723-'[1]נתוני מס'!H9)*'[1]נתוני מס'!I10+'[1]נתוני מס'!F9+'[1]נתוני מס'!F8+'[1]נתוני מס'!F7,0)</f>
        <v>#REF!</v>
      </c>
      <c r="BJ734" s="27"/>
      <c r="BK734" s="27">
        <f xml:space="preserve"> IF((BK723&gt;='[1]נתוני מס'!H9)*AND(BK723&lt;'[1]נתוני מס'!H10),(BK723-'[1]נתוני מס'!H9)*'[1]נתוני מס'!J10+'[1]נתוני מס'!F9+'[1]נתוני מס'!F8+'[1]נתוני מס'!F7,0)</f>
        <v>0</v>
      </c>
      <c r="BL734" s="27">
        <v>1110907</v>
      </c>
      <c r="BM734" s="27"/>
      <c r="BN734" s="27" t="e">
        <f ca="1">IF((BN724&gt;='[1]נתוני מס'!H9)*AND(BN724&lt;'[1]נתוני מס'!H10),(BN724-'[1]נתוני מס'!H9)*'[1]נתוני מס'!I10+'[1]נתוני מס'!F9+'[1]נתוני מס'!F8+'[1]נתוני מס'!F7,0)</f>
        <v>#REF!</v>
      </c>
      <c r="BO734" s="27"/>
      <c r="BP734" s="27" t="e">
        <f ca="1">IF((BP724&gt;='[1]נתוני מס'!H9)*AND(BP724&lt;'[1]נתוני מס'!H10),(BP724-'[1]נתוני מס'!H9)*'[1]נתוני מס'!I10+'[1]נתוני מס'!F9+'[1]נתוני מס'!F8+'[1]נתוני מס'!F7,0)</f>
        <v>#REF!</v>
      </c>
      <c r="BQ734" s="27"/>
      <c r="BR734" s="27"/>
      <c r="BS734" s="27"/>
      <c r="BT734" s="27"/>
      <c r="BU734" s="27">
        <v>2</v>
      </c>
      <c r="BV734" s="27">
        <v>0.05</v>
      </c>
      <c r="BW734" s="27">
        <v>3533.84</v>
      </c>
      <c r="BX734" s="27">
        <v>3338.43</v>
      </c>
      <c r="BY734" s="27">
        <v>3115.86</v>
      </c>
      <c r="BZ734" s="27">
        <v>2977.44</v>
      </c>
      <c r="CA734" s="27">
        <v>2714.17</v>
      </c>
      <c r="CB734" s="27">
        <v>2714.17</v>
      </c>
      <c r="CC734" s="27">
        <v>2361.33</v>
      </c>
      <c r="CD734" s="27">
        <v>2212.04</v>
      </c>
      <c r="CE734" s="27">
        <v>2157.7600000000002</v>
      </c>
      <c r="CF734" s="27">
        <v>2089.9</v>
      </c>
      <c r="CG734" s="27">
        <v>2977.44</v>
      </c>
      <c r="CH734" s="27">
        <v>2768.46</v>
      </c>
      <c r="CI734" s="27">
        <v>2361.33</v>
      </c>
      <c r="CJ734" s="27">
        <v>2915.02</v>
      </c>
      <c r="CK734" s="27">
        <v>2977.44</v>
      </c>
      <c r="CL734" s="27"/>
      <c r="CM734" s="27"/>
      <c r="CN734" s="27"/>
      <c r="CO734" s="27"/>
      <c r="CP734" s="27"/>
      <c r="CQ734" s="27"/>
      <c r="CR734" s="27"/>
      <c r="CS734" s="27"/>
      <c r="CT734" s="27"/>
      <c r="CU734" s="27"/>
      <c r="CV734" s="27"/>
      <c r="CW734" s="27"/>
      <c r="CX734" s="27"/>
      <c r="CY734" s="27"/>
      <c r="CZ734" s="27"/>
      <c r="DA734" s="27"/>
      <c r="DB734" s="27"/>
      <c r="DC734" s="27"/>
      <c r="DD734" s="27"/>
      <c r="DE734" s="27"/>
      <c r="DF734" s="27"/>
      <c r="DG734" s="27"/>
      <c r="DH734" s="27"/>
      <c r="DI734" s="27"/>
      <c r="DJ734" s="27"/>
      <c r="DK734" s="27"/>
      <c r="DL734" s="27"/>
      <c r="DM734" s="27"/>
      <c r="DN734" s="27"/>
      <c r="DO734" s="27"/>
      <c r="DP734" s="27"/>
      <c r="DQ734" s="27"/>
      <c r="DR734" s="27"/>
      <c r="DS734" s="27"/>
      <c r="DT734" s="27"/>
    </row>
    <row r="735" spans="7:124" x14ac:dyDescent="0.2">
      <c r="G735" s="27"/>
      <c r="H735" s="27"/>
      <c r="I735" s="27"/>
      <c r="J735" s="27"/>
      <c r="K735" s="27"/>
      <c r="L735" s="27"/>
      <c r="M735" s="27"/>
      <c r="N735" s="27"/>
      <c r="O735" s="27">
        <f>BB783</f>
        <v>0</v>
      </c>
      <c r="P735" s="27"/>
      <c r="Q735" s="27"/>
      <c r="R735" s="27">
        <f>IF(BB769=BW719,10%,IF(BB769=BX719,5%,0))</f>
        <v>0.1</v>
      </c>
      <c r="S735" s="27" t="s">
        <v>263</v>
      </c>
      <c r="T735" s="27"/>
      <c r="U735" s="27"/>
      <c r="V735" s="27"/>
      <c r="W735" s="27"/>
      <c r="X735" s="27">
        <v>40147</v>
      </c>
      <c r="Y735" s="27"/>
      <c r="Z735" s="27" t="s">
        <v>264</v>
      </c>
      <c r="AA735" s="27" t="e">
        <f>IF(BA760&lt;60,MIN(AV753:AV755),0)</f>
        <v>#REF!</v>
      </c>
      <c r="AB735" s="27"/>
      <c r="AC735" s="27"/>
      <c r="AD735" s="27"/>
      <c r="AE735" s="27" t="s">
        <v>265</v>
      </c>
      <c r="AF735" s="27">
        <v>40574</v>
      </c>
      <c r="AG735" s="27" t="s">
        <v>151</v>
      </c>
      <c r="AH735" s="27">
        <v>40086</v>
      </c>
      <c r="AI735" s="27"/>
      <c r="AJ735" s="27"/>
      <c r="AK735" s="27">
        <v>25</v>
      </c>
      <c r="AL735" s="27">
        <v>13</v>
      </c>
      <c r="AM735" s="27"/>
      <c r="AN735" s="27">
        <v>13</v>
      </c>
      <c r="AO735" s="27">
        <v>34</v>
      </c>
      <c r="AP735" s="27">
        <v>2.5</v>
      </c>
      <c r="AQ735" s="27"/>
      <c r="AR735" s="27"/>
      <c r="AS735" s="27"/>
      <c r="AT735" s="27">
        <v>18994</v>
      </c>
      <c r="AU735" s="27">
        <v>18994</v>
      </c>
      <c r="AV735" s="27"/>
      <c r="AW735" s="27" t="s">
        <v>138</v>
      </c>
      <c r="AX735" s="27">
        <f>BB771+(1/12)*V745</f>
        <v>33</v>
      </c>
      <c r="AY735" s="27"/>
      <c r="AZ735" s="27" t="e">
        <f>IF((AZ723&gt;='[1]נתוני מס'!H10)*AND(AZ723&lt;'[1]נתוני מס'!H11),((AZ723-'[1]נתוני מס'!H10)*'[1]נתוני מס'!I11+'[1]נתוני מס'!F10+'[1]נתוני מס'!F9+'[1]נתוני מס'!F8+'[1]נתוני מס'!F7-AB742)*AZ738,0)</f>
        <v>#REF!</v>
      </c>
      <c r="BA735" s="27" t="e">
        <f>IF((BA723&gt;='[1]נתוני מס'!H10)*AND(BA723&lt;'[1]נתוני מס'!H11),((BA723-'[1]נתוני מס'!H10)*'[1]נתוני מס'!I11+'[1]נתוני מס'!F10+'[1]נתוני מס'!F9+'[1]נתוני מס'!F8+'[1]נתוני מס'!F7-AB742)*BA738,0)</f>
        <v>#REF!</v>
      </c>
      <c r="BB735" s="27"/>
      <c r="BC735" s="27" t="e">
        <f>IF((BC723&gt;='[1]נתוני מס'!H10)*AND(BC723&lt;'[1]נתוני מס'!H11),((BC723-'[1]נתוני מס'!H10)*'[1]נתוני מס'!I11+'[1]נתוני מס'!F10+'[1]נתוני מס'!F9+'[1]נתוני מס'!F8+'[1]נתוני מס'!F7)*BC738,0)</f>
        <v>#REF!</v>
      </c>
      <c r="BD735" s="27" t="e">
        <f>IF((BD723&gt;='[1]נתוני מס'!H10)*AND(BD723&lt;'[1]נתוני מס'!H11),((BD723-'[1]נתוני מס'!H10)*'[1]נתוני מס'!I11+'[1]נתוני מס'!F10+'[1]נתוני מס'!F9+'[1]נתוני מס'!F8+'[1]נתוני מס'!F7)*BD738,0)</f>
        <v>#REF!</v>
      </c>
      <c r="BE735" s="27" t="e">
        <f>IF((G966&gt;='[1]נתוני מס'!H10)*AND(G966&lt;'[1]נתוני מס'!H11),(G966-'[1]נתוני מס'!H10)*'[1]נתוני מס'!I11+'[1]נתוני מס'!F10+'[1]נתוני מס'!F9+'[1]נתוני מס'!F8+'[1]נתוני מס'!F7,0)</f>
        <v>#REF!</v>
      </c>
      <c r="BF735" s="27" t="e">
        <f>IF((BF723&gt;='[1]נתוני מס'!H10)*AND(BF723&lt;'[1]נתוני מס'!H11),(BF723-'[1]נתוני מס'!H10)*'[1]נתוני מס'!I11+'[1]נתוני מס'!F10+'[1]נתוני מס'!F9+'[1]נתוני מס'!F8+'[1]נתוני מס'!F7,0)</f>
        <v>#REF!</v>
      </c>
      <c r="BG735" s="27" t="e">
        <f>IF((BG723&gt;='[1]נתוני מס'!H10)*AND(BG723&lt;'[1]נתוני מס'!H11),(BG723-'[1]נתוני מס'!H10)*'[1]נתוני מס'!I11+'[1]נתוני מס'!F10+'[1]נתוני מס'!F9+'[1]נתוני מס'!F8+'[1]נתוני מס'!F7,0)</f>
        <v>#REF!</v>
      </c>
      <c r="BH735" s="27">
        <f>IF((BH723&gt;='[1]נתוני מס'!H10)*AND(BH723&lt;'[1]נתוני מס'!H11),(BH723-'[1]נתוני מס'!H10)*'[1]נתוני מס'!J11+'[1]נתוני מס'!F10+'[1]נתוני מס'!F9+'[1]נתוני מס'!F8+'[1]נתוני מס'!F7,0)</f>
        <v>0</v>
      </c>
      <c r="BI735" s="27" t="e">
        <f ca="1">IF((BI723&gt;='[1]נתוני מס'!H10)*AND(BI723&lt;'[1]נתוני מס'!H11),(BI723-'[1]נתוני מס'!H10)*'[1]נתוני מס'!I11+'[1]נתוני מס'!F10+'[1]נתוני מס'!F9+'[1]נתוני מס'!F8+'[1]נתוני מס'!F7,0)</f>
        <v>#REF!</v>
      </c>
      <c r="BJ735" s="27"/>
      <c r="BK735" s="27">
        <f xml:space="preserve"> IF((BK723&gt;='[1]נתוני מס'!H10)*AND(BK723&lt;'[1]נתוני מס'!H11),(BK723-'[1]נתוני מס'!H10)*'[1]נתוני מס'!J11+'[1]נתוני מס'!F10+'[1]נתוני מס'!F9+'[1]נתוני מס'!F8+'[1]נתוני מס'!F7,0)</f>
        <v>0</v>
      </c>
      <c r="BL735" s="27"/>
      <c r="BM735" s="27"/>
      <c r="BN735" s="27" t="e">
        <f ca="1">IF((BN724&gt;='[1]נתוני מס'!H10)*AND(BN724&lt;'[1]נתוני מס'!H11),(BN724-'[1]נתוני מס'!H10)*'[1]נתוני מס'!I11+'[1]נתוני מס'!F10+'[1]נתוני מס'!F9+'[1]נתוני מס'!F8+'[1]נתוני מס'!F7,0)</f>
        <v>#REF!</v>
      </c>
      <c r="BO735" s="27"/>
      <c r="BP735" s="27" t="e">
        <f ca="1">IF((BP724&gt;='[1]נתוני מס'!H10)*AND(BP724&lt;'[1]נתוני מס'!H11),(BP724-'[1]נתוני מס'!H10)*'[1]נתוני מס'!I11+'[1]נתוני מס'!F10+'[1]נתוני מס'!F9+'[1]נתוני מס'!F8+'[1]נתוני מס'!F7,0)</f>
        <v>#REF!</v>
      </c>
      <c r="BQ735" s="27"/>
      <c r="BR735" s="27"/>
      <c r="BS735" s="27"/>
      <c r="BT735" s="27"/>
      <c r="BU735" s="27"/>
      <c r="BV735" s="27"/>
      <c r="BW735" s="27"/>
      <c r="BX735" s="27"/>
      <c r="BY735" s="27"/>
      <c r="BZ735" s="27"/>
      <c r="CA735" s="27"/>
      <c r="CB735" s="27"/>
      <c r="CC735" s="27"/>
      <c r="CD735" s="27"/>
      <c r="CE735" s="27"/>
      <c r="CF735" s="27"/>
      <c r="CG735" s="27"/>
      <c r="CH735" s="27"/>
      <c r="CI735" s="27"/>
      <c r="CJ735" s="27"/>
      <c r="CK735" s="27"/>
      <c r="CL735" s="27"/>
      <c r="CM735" s="27"/>
      <c r="CN735" s="27"/>
      <c r="CO735" s="27"/>
      <c r="CP735" s="27"/>
      <c r="CQ735" s="27"/>
      <c r="CR735" s="27"/>
      <c r="CS735" s="27"/>
      <c r="CT735" s="27"/>
      <c r="CU735" s="27"/>
      <c r="CV735" s="27"/>
      <c r="CW735" s="27"/>
      <c r="CX735" s="27"/>
      <c r="CY735" s="27"/>
      <c r="CZ735" s="27"/>
      <c r="DA735" s="27"/>
      <c r="DB735" s="27"/>
      <c r="DC735" s="27"/>
      <c r="DD735" s="27"/>
      <c r="DE735" s="27"/>
      <c r="DF735" s="27"/>
      <c r="DG735" s="27"/>
      <c r="DH735" s="27"/>
      <c r="DI735" s="27"/>
      <c r="DJ735" s="27"/>
      <c r="DK735" s="27"/>
      <c r="DL735" s="27"/>
      <c r="DM735" s="27"/>
      <c r="DN735" s="27"/>
      <c r="DO735" s="27"/>
      <c r="DP735" s="27"/>
      <c r="DQ735" s="27"/>
      <c r="DR735" s="27"/>
      <c r="DS735" s="27"/>
      <c r="DT735" s="27"/>
    </row>
    <row r="736" spans="7:124" x14ac:dyDescent="0.2">
      <c r="G736" s="27"/>
      <c r="H736" s="27"/>
      <c r="I736" s="27"/>
      <c r="J736" s="27"/>
      <c r="K736" s="27"/>
      <c r="L736" s="27"/>
      <c r="M736" s="27"/>
      <c r="N736" s="27"/>
      <c r="O736" s="27">
        <f ca="1">SUM(O713:O735)</f>
        <v>1.1025E-2</v>
      </c>
      <c r="P736" s="27"/>
      <c r="Q736" s="27"/>
      <c r="R736" s="27"/>
      <c r="S736" s="27"/>
      <c r="T736" s="27"/>
      <c r="U736" s="27"/>
      <c r="V736" s="27"/>
      <c r="W736" s="27"/>
      <c r="X736" s="27">
        <v>147.53</v>
      </c>
      <c r="Y736" s="27"/>
      <c r="Z736" s="27"/>
      <c r="AA736" s="27"/>
      <c r="AB736" s="27"/>
      <c r="AC736" s="27"/>
      <c r="AD736" s="27"/>
      <c r="AE736" s="27" t="s">
        <v>216</v>
      </c>
      <c r="AF736" s="27"/>
      <c r="AG736" s="27" t="s">
        <v>272</v>
      </c>
      <c r="AH736" s="27">
        <v>40117</v>
      </c>
      <c r="AI736" s="27"/>
      <c r="AJ736" s="27"/>
      <c r="AK736" s="27"/>
      <c r="AL736" s="27"/>
      <c r="AM736" s="27"/>
      <c r="AN736" s="27" t="s">
        <v>273</v>
      </c>
      <c r="AO736" s="27" t="s">
        <v>274</v>
      </c>
      <c r="AP736" s="27">
        <v>3</v>
      </c>
      <c r="AQ736" s="27"/>
      <c r="AR736" s="27"/>
      <c r="AS736" s="27"/>
      <c r="AT736" s="27">
        <v>19238</v>
      </c>
      <c r="AU736" s="27">
        <v>19238</v>
      </c>
      <c r="AV736" s="27"/>
      <c r="AW736" s="27" t="s">
        <v>275</v>
      </c>
      <c r="AX736" s="27">
        <f>BB773+(1/12)*V745+(E110*100)/2</f>
        <v>33</v>
      </c>
      <c r="AY736" s="27"/>
      <c r="AZ736" s="27" t="e">
        <f>IF((AZ723&gt;='[1]נתוני מס'!H11),((AZ723-'[1]נתוני מס'!H11)*'[1]נתוני מס'!I12+'[1]נתוני מס'!F11+'[1]נתוני מס'!F10+'[1]נתוני מס'!F9+'[1]נתוני מס'!F8+'[1]נתוני מס'!F7-AB742)*AZ738,0)</f>
        <v>#REF!</v>
      </c>
      <c r="BA736" s="27" t="e">
        <f>IF((BA723&gt;='[1]נתוני מס'!H11),((BA723-'[1]נתוני מס'!H11)*'[1]נתוני מס'!I12+'[1]נתוני מס'!F11+'[1]נתוני מס'!F10+'[1]נתוני מס'!F9+'[1]נתוני מס'!F8+'[1]נתוני מס'!F7-AB742)*BA738,0)</f>
        <v>#REF!</v>
      </c>
      <c r="BB736" s="27"/>
      <c r="BC736" s="27" t="e">
        <f>IF((BC723&gt;='[1]נתוני מס'!H11),((BC723-'[1]נתוני מס'!H11)*'[1]נתוני מס'!I12+'[1]נתוני מס'!F11+'[1]נתוני מס'!F10+'[1]נתוני מס'!F9+'[1]נתוני מס'!F8+'[1]נתוני מס'!F7)*BC738,0)</f>
        <v>#REF!</v>
      </c>
      <c r="BD736" s="27" t="e">
        <f>IF((BD723&gt;='[1]נתוני מס'!H11),((BD723-'[1]נתוני מס'!H11)*'[1]נתוני מס'!I12+'[1]נתוני מס'!F11+'[1]נתוני מס'!F10+'[1]נתוני מס'!F9+'[1]נתוני מס'!F8+'[1]נתוני מס'!F7)*BD738,0)</f>
        <v>#REF!</v>
      </c>
      <c r="BE736" s="27" t="e">
        <f>IF((G966&gt;='[1]נתוני מס'!H11),(G966-'[1]נתוני מס'!H11)*'[1]נתוני מס'!I12+'[1]נתוני מס'!F11+'[1]נתוני מס'!F10+'[1]נתוני מס'!F9+'[1]נתוני מס'!F8+'[1]נתוני מס'!F7,0)</f>
        <v>#REF!</v>
      </c>
      <c r="BF736" s="27" t="e">
        <f>IF((BF723&gt;='[1]נתוני מס'!H11),(BF723-'[1]נתוני מס'!H11)*'[1]נתוני מס'!I12+'[1]נתוני מס'!F11+'[1]נתוני מס'!F10+'[1]נתוני מס'!F9+'[1]נתוני מס'!F8+'[1]נתוני מס'!F7,0)</f>
        <v>#REF!</v>
      </c>
      <c r="BG736" s="27" t="e">
        <f>IF((BG723&gt;='[1]נתוני מס'!H11),(BG723-'[1]נתוני מס'!H11)*'[1]נתוני מס'!I12+'[1]נתוני מס'!F11+'[1]נתוני מס'!F10+'[1]נתוני מס'!F9+'[1]נתוני מס'!F8+'[1]נתוני מס'!F7,0)</f>
        <v>#REF!</v>
      </c>
      <c r="BH736" s="27">
        <f>IF((BH723&gt;='[1]נתוני מס'!H11),(BH723-'[1]נתוני מס'!H11)*'[1]נתוני מס'!J12+'[1]נתוני מס'!F11+'[1]נתוני מס'!F10+'[1]נתוני מס'!F9+'[1]נתוני מס'!F8+'[1]נתוני מס'!F7,0)</f>
        <v>0</v>
      </c>
      <c r="BI736" s="27" t="e">
        <f ca="1">IF((BI723&gt;='[1]נתוני מס'!H11),(BI723-'[1]נתוני מס'!H11)*'[1]נתוני מס'!I12+'[1]נתוני מס'!F11+'[1]נתוני מס'!F10+'[1]נתוני מס'!F9+'[1]נתוני מס'!F8+'[1]נתוני מס'!F7,0)</f>
        <v>#REF!</v>
      </c>
      <c r="BJ736" s="27"/>
      <c r="BK736" s="27">
        <f>IF((BK723&gt;='[1]נתוני מס'!H11),(BK723-'[1]נתוני מס'!H11)*'[1]נתוני מס'!J12+'[1]נתוני מס'!F11+'[1]נתוני מס'!F10+'[1]נתוני מס'!F9+'[1]נתוני מס'!F8+'[1]נתוני מס'!F7,0)</f>
        <v>0</v>
      </c>
      <c r="BL736" s="27">
        <v>1112887</v>
      </c>
      <c r="BM736" s="27"/>
      <c r="BN736" s="27" t="e">
        <f ca="1">IF((BN724&gt;='[1]נתוני מס'!H11),(BN724-'[1]נתוני מס'!H11)*'[1]נתוני מס'!I12+'[1]נתוני מס'!F11+'[1]נתוני מס'!F10+'[1]נתוני מס'!F9+'[1]נתוני מס'!F8+'[1]נתוני מס'!F7,0)</f>
        <v>#REF!</v>
      </c>
      <c r="BO736" s="27"/>
      <c r="BP736" s="27" t="e">
        <f ca="1">IF((BP724&gt;='[1]נתוני מס'!H11),(BP724-'[1]נתוני מס'!H11)*'[1]נתוני מס'!I12+'[1]נתוני מס'!F11+'[1]נתוני מס'!F10+'[1]נתוני מס'!F9+'[1]נתוני מס'!F8+'[1]נתוני מס'!F7,0)</f>
        <v>#REF!</v>
      </c>
      <c r="BQ736" s="27" t="s">
        <v>224</v>
      </c>
      <c r="BR736" s="27"/>
      <c r="BS736" s="27"/>
      <c r="BT736" s="27"/>
      <c r="BU736" s="27">
        <v>3</v>
      </c>
      <c r="BV736" s="27">
        <v>0.05</v>
      </c>
      <c r="BW736" s="27">
        <v>3710.53</v>
      </c>
      <c r="BX736" s="27">
        <v>3505.35</v>
      </c>
      <c r="BY736" s="27">
        <v>3271.65</v>
      </c>
      <c r="BZ736" s="27">
        <v>3126.31</v>
      </c>
      <c r="CA736" s="27">
        <v>2849.87</v>
      </c>
      <c r="CB736" s="27">
        <v>2849.87</v>
      </c>
      <c r="CC736" s="27">
        <v>2479.39</v>
      </c>
      <c r="CD736" s="27">
        <v>2322.64</v>
      </c>
      <c r="CE736" s="27">
        <v>2265.64</v>
      </c>
      <c r="CF736" s="27">
        <v>2194.39</v>
      </c>
      <c r="CG736" s="27">
        <v>3126.31</v>
      </c>
      <c r="CH736" s="27">
        <v>2906.88</v>
      </c>
      <c r="CI736" s="27">
        <v>2479.39</v>
      </c>
      <c r="CJ736" s="27">
        <v>3060.77</v>
      </c>
      <c r="CK736" s="27">
        <v>3126.31</v>
      </c>
      <c r="CL736" s="27"/>
      <c r="CM736" s="27"/>
      <c r="CN736" s="27"/>
      <c r="CO736" s="27"/>
      <c r="CP736" s="27"/>
      <c r="CQ736" s="27"/>
      <c r="CR736" s="27"/>
      <c r="CS736" s="27"/>
      <c r="CT736" s="27"/>
      <c r="CU736" s="27"/>
      <c r="CV736" s="27"/>
      <c r="CW736" s="27"/>
      <c r="CX736" s="27"/>
      <c r="CY736" s="27"/>
      <c r="CZ736" s="27"/>
      <c r="DA736" s="27"/>
      <c r="DB736" s="27"/>
      <c r="DC736" s="27"/>
      <c r="DD736" s="27"/>
      <c r="DE736" s="27"/>
      <c r="DF736" s="27"/>
      <c r="DG736" s="27"/>
      <c r="DH736" s="27"/>
      <c r="DI736" s="27"/>
      <c r="DJ736" s="27"/>
      <c r="DK736" s="27"/>
      <c r="DL736" s="27"/>
      <c r="DM736" s="27"/>
      <c r="DN736" s="27"/>
      <c r="DO736" s="27"/>
      <c r="DP736" s="27"/>
      <c r="DQ736" s="27"/>
      <c r="DR736" s="27"/>
      <c r="DS736" s="27"/>
      <c r="DT736" s="27"/>
    </row>
    <row r="737" spans="7:124" x14ac:dyDescent="0.2">
      <c r="G737" s="27"/>
      <c r="H737" s="27"/>
      <c r="I737" s="27"/>
      <c r="J737" s="27"/>
      <c r="K737" s="27"/>
      <c r="L737" s="27"/>
      <c r="M737" s="27"/>
      <c r="N737" s="27"/>
      <c r="O737" s="27" t="e">
        <f ca="1">(O736*Q711+D946*G945)/O712</f>
        <v>#REF!</v>
      </c>
      <c r="P737" s="27" t="s">
        <v>59</v>
      </c>
      <c r="Q737" s="27"/>
      <c r="R737" s="27"/>
      <c r="S737" s="27"/>
      <c r="T737" s="27"/>
      <c r="U737" s="27"/>
      <c r="V737" s="27"/>
      <c r="W737" s="27"/>
      <c r="X737" s="27"/>
      <c r="Y737" s="27"/>
      <c r="Z737" s="27" t="s">
        <v>275</v>
      </c>
      <c r="AA737" s="27">
        <f ca="1">YEAR(AF735)-YEAR(I775)+AX736</f>
        <v>20</v>
      </c>
      <c r="AB737" s="27"/>
      <c r="AC737" s="27"/>
      <c r="AD737" s="27" t="s">
        <v>280</v>
      </c>
      <c r="AE737" s="27" t="s">
        <v>281</v>
      </c>
      <c r="AF737" s="27" t="s">
        <v>282</v>
      </c>
      <c r="AG737" s="27" t="s">
        <v>283</v>
      </c>
      <c r="AH737" s="27">
        <v>40147</v>
      </c>
      <c r="AI737" s="27"/>
      <c r="AJ737" s="27"/>
      <c r="AK737" s="27"/>
      <c r="AL737" s="27" t="s">
        <v>59</v>
      </c>
      <c r="AM737" s="27">
        <f ca="1">VLOOKUP(AA737,__HAV2,2,TRUE)</f>
        <v>12</v>
      </c>
      <c r="AN737" s="27">
        <v>14</v>
      </c>
      <c r="AO737" s="27">
        <v>35</v>
      </c>
      <c r="AP737" s="27"/>
      <c r="AQ737" s="27"/>
      <c r="AR737" s="27"/>
      <c r="AS737" s="27"/>
      <c r="AT737" s="27">
        <v>19480</v>
      </c>
      <c r="AU737" s="27">
        <v>19480</v>
      </c>
      <c r="AV737" s="27" t="s">
        <v>284</v>
      </c>
      <c r="AW737" s="27"/>
      <c r="AX737" s="27">
        <f>IF(Z717&lt;=100%/3,0,Z717)</f>
        <v>1</v>
      </c>
      <c r="AY737" s="27"/>
      <c r="AZ737" s="27" t="e">
        <f>IF(SUM(AZ732:AZ736)&lt;0,0,SUM(AZ732:AZ736))</f>
        <v>#REF!</v>
      </c>
      <c r="BA737" s="27" t="e">
        <f>IF(SUM(BA732:BA736)&lt;0,0,SUM(BA732:BA736))</f>
        <v>#REF!</v>
      </c>
      <c r="BB737" s="27"/>
      <c r="BC737" s="27" t="e">
        <f>IF(SUM(BC732:BC736)&lt;0,0,(SUM(BC732:BC736)))</f>
        <v>#REF!</v>
      </c>
      <c r="BD737" s="27" t="e">
        <f>IF(SUM(BD732:BD736)&lt;0,0,SUM(BD732:BD736))</f>
        <v>#REF!</v>
      </c>
      <c r="BE737" s="27" t="e">
        <f>IF(SUM(BE732:BE736)&lt;0,0,SUM(BE732:BE736))</f>
        <v>#REF!</v>
      </c>
      <c r="BF737" s="27" t="e">
        <f>IF(SUM(BF732:BF736)&lt;0,0,SUM(BF732:BF736))</f>
        <v>#REF!</v>
      </c>
      <c r="BG737" s="27" t="e">
        <f>IF(SUM(BG732:BG736)&lt;0,0,SUM(BG732:BG736))</f>
        <v>#REF!</v>
      </c>
      <c r="BH737" s="27">
        <f>IF(SUM(BH732:BH736)&lt;0,0,SUM(BH732:BH736))</f>
        <v>1662.8000000000002</v>
      </c>
      <c r="BI737" s="27" t="e">
        <f ca="1">SUM(BI732:BI736)</f>
        <v>#REF!</v>
      </c>
      <c r="BJ737" s="27"/>
      <c r="BK737" s="27">
        <f>IF(SUM(BK732:BK736)&lt;0,0,SUM(BK732:BK736))</f>
        <v>0</v>
      </c>
      <c r="BL737" s="27"/>
      <c r="BM737" s="27" t="s">
        <v>285</v>
      </c>
      <c r="BN737" s="27" t="e">
        <f ca="1">SUM(BN732:BN736)</f>
        <v>#REF!</v>
      </c>
      <c r="BO737" s="27"/>
      <c r="BP737" s="27" t="e">
        <f ca="1">SUM(BP732:BP736)</f>
        <v>#REF!</v>
      </c>
      <c r="BQ737" s="27" t="e">
        <f ca="1">BP739-BI739</f>
        <v>#REF!</v>
      </c>
      <c r="BR737" s="27"/>
      <c r="BS737" s="27"/>
      <c r="BT737" s="27"/>
      <c r="BU737" s="27"/>
      <c r="BV737" s="27"/>
      <c r="BW737" s="27"/>
      <c r="BX737" s="27"/>
      <c r="BY737" s="27"/>
      <c r="BZ737" s="27"/>
      <c r="CA737" s="27"/>
      <c r="CB737" s="27"/>
      <c r="CC737" s="27"/>
      <c r="CD737" s="27"/>
      <c r="CE737" s="27"/>
      <c r="CF737" s="27"/>
      <c r="CG737" s="27"/>
      <c r="CH737" s="27"/>
      <c r="CI737" s="27"/>
      <c r="CJ737" s="27"/>
      <c r="CK737" s="27"/>
      <c r="CL737" s="27"/>
      <c r="CM737" s="27"/>
      <c r="CN737" s="27"/>
      <c r="CO737" s="27"/>
      <c r="CP737" s="27"/>
      <c r="CQ737" s="27"/>
      <c r="CR737" s="27"/>
      <c r="CS737" s="27"/>
      <c r="CT737" s="27"/>
      <c r="CU737" s="27"/>
      <c r="CV737" s="27"/>
      <c r="CW737" s="27"/>
      <c r="CX737" s="27"/>
      <c r="CY737" s="27"/>
      <c r="CZ737" s="27"/>
      <c r="DA737" s="27"/>
      <c r="DB737" s="27"/>
      <c r="DC737" s="27"/>
      <c r="DD737" s="27"/>
      <c r="DE737" s="27"/>
      <c r="DF737" s="27"/>
      <c r="DG737" s="27"/>
      <c r="DH737" s="27"/>
      <c r="DI737" s="27"/>
      <c r="DJ737" s="27"/>
      <c r="DK737" s="27"/>
      <c r="DL737" s="27"/>
      <c r="DM737" s="27"/>
      <c r="DN737" s="27"/>
      <c r="DO737" s="27"/>
      <c r="DP737" s="27"/>
      <c r="DQ737" s="27"/>
      <c r="DR737" s="27"/>
      <c r="DS737" s="27"/>
      <c r="DT737" s="27"/>
    </row>
    <row r="738" spans="7:124" x14ac:dyDescent="0.2">
      <c r="G738" s="27"/>
      <c r="H738" s="27"/>
      <c r="I738" s="27"/>
      <c r="J738" s="27"/>
      <c r="K738" s="27"/>
      <c r="L738" s="27"/>
      <c r="M738" s="27" t="s">
        <v>54</v>
      </c>
      <c r="N738" s="27">
        <f ca="1">ROUND((I775-AT720)/365.25,2)</f>
        <v>13.33</v>
      </c>
      <c r="O738" s="27"/>
      <c r="P738" s="27"/>
      <c r="Q738" s="27"/>
      <c r="R738" s="27"/>
      <c r="S738" s="27"/>
      <c r="T738" s="27"/>
      <c r="U738" s="27"/>
      <c r="V738" s="27" t="s">
        <v>574</v>
      </c>
      <c r="W738" s="27"/>
      <c r="X738" s="27">
        <v>164.07</v>
      </c>
      <c r="Y738" s="27"/>
      <c r="Z738" s="27" t="s">
        <v>292</v>
      </c>
      <c r="AA738" s="27">
        <f>AX734</f>
        <v>33</v>
      </c>
      <c r="AB738" s="27"/>
      <c r="AC738" s="27" t="s">
        <v>191</v>
      </c>
      <c r="AD738" s="27">
        <f>IF(AX734&gt;AA739,AA739,AX734)</f>
        <v>33</v>
      </c>
      <c r="AE738" s="27" t="e">
        <f>IF(W724=#REF!,1.5*AF738,1*AF738)</f>
        <v>#REF!</v>
      </c>
      <c r="AF738" s="27">
        <f>IF(W724=AE723,1,IF(AX734&gt;30,0.75,1))</f>
        <v>1</v>
      </c>
      <c r="AG738" s="27" t="s">
        <v>293</v>
      </c>
      <c r="AH738" s="27">
        <v>40178</v>
      </c>
      <c r="AI738" s="27"/>
      <c r="AJ738" s="27"/>
      <c r="AK738" s="27"/>
      <c r="AL738" s="27"/>
      <c r="AM738" s="27"/>
      <c r="AN738" s="27" t="s">
        <v>294</v>
      </c>
      <c r="AO738" s="27" t="s">
        <v>295</v>
      </c>
      <c r="AP738" s="27"/>
      <c r="AQ738" s="27"/>
      <c r="AR738" s="27"/>
      <c r="AS738" s="27"/>
      <c r="AT738" s="27"/>
      <c r="AU738" s="27"/>
      <c r="AV738" s="27"/>
      <c r="AW738" s="27" t="s">
        <v>59</v>
      </c>
      <c r="AX738" s="27"/>
      <c r="AY738" s="27"/>
      <c r="AZ738" s="27">
        <v>1</v>
      </c>
      <c r="BA738" s="27">
        <v>1</v>
      </c>
      <c r="BB738" s="27"/>
      <c r="BC738" s="27" t="e">
        <f>BB722/BC723</f>
        <v>#REF!</v>
      </c>
      <c r="BD738" s="27" t="e">
        <f>BD722/BD723</f>
        <v>#REF!</v>
      </c>
      <c r="BE738" s="27"/>
      <c r="BF738" s="27" t="e">
        <f>(#REF!/12)/BF722</f>
        <v>#REF!</v>
      </c>
      <c r="BG738" s="27"/>
      <c r="BH738" s="27"/>
      <c r="BI738" s="27"/>
      <c r="BJ738" s="27"/>
      <c r="BK738" s="27">
        <f>IF(BK723&gt;BF814,BK737*(BM738-BD814)+95,BK737*BM738)</f>
        <v>0</v>
      </c>
      <c r="BL738" s="27">
        <v>1107788</v>
      </c>
      <c r="BM738" s="27">
        <f>BD808</f>
        <v>0</v>
      </c>
      <c r="BN738" s="27"/>
      <c r="BO738" s="27"/>
      <c r="BP738" s="27"/>
      <c r="BQ738" s="27"/>
      <c r="BR738" s="27"/>
      <c r="BS738" s="27"/>
      <c r="BT738" s="27"/>
      <c r="BU738" s="27">
        <v>4</v>
      </c>
      <c r="BV738" s="27">
        <v>0.05</v>
      </c>
      <c r="BW738" s="27">
        <v>3896.05</v>
      </c>
      <c r="BX738" s="27">
        <v>3680.61</v>
      </c>
      <c r="BY738" s="27">
        <v>3435.23</v>
      </c>
      <c r="BZ738" s="27">
        <v>3282.62</v>
      </c>
      <c r="CA738" s="27">
        <v>2992.36</v>
      </c>
      <c r="CB738" s="27">
        <v>2992.36</v>
      </c>
      <c r="CC738" s="27">
        <v>2603.35</v>
      </c>
      <c r="CD738" s="27">
        <v>2438.77</v>
      </c>
      <c r="CE738" s="27">
        <v>2378.92</v>
      </c>
      <c r="CF738" s="27">
        <v>2304.1</v>
      </c>
      <c r="CG738" s="27">
        <v>3282.62</v>
      </c>
      <c r="CH738" s="27">
        <v>3052.22</v>
      </c>
      <c r="CI738" s="27">
        <v>2603.35</v>
      </c>
      <c r="CJ738" s="27">
        <v>3213.8</v>
      </c>
      <c r="CK738" s="27">
        <v>3282.62</v>
      </c>
      <c r="CL738" s="27"/>
      <c r="CM738" s="27"/>
      <c r="CN738" s="27"/>
      <c r="CO738" s="27"/>
      <c r="CP738" s="27"/>
      <c r="CQ738" s="27"/>
      <c r="CR738" s="27"/>
      <c r="CS738" s="27"/>
      <c r="CT738" s="27"/>
      <c r="CU738" s="27"/>
      <c r="CV738" s="27"/>
      <c r="CW738" s="27"/>
      <c r="CX738" s="27"/>
      <c r="CY738" s="27"/>
      <c r="CZ738" s="27"/>
      <c r="DA738" s="27"/>
      <c r="DB738" s="27"/>
      <c r="DC738" s="27"/>
      <c r="DD738" s="27"/>
      <c r="DE738" s="27"/>
      <c r="DF738" s="27"/>
      <c r="DG738" s="27"/>
      <c r="DH738" s="27"/>
      <c r="DI738" s="27"/>
      <c r="DJ738" s="27"/>
      <c r="DK738" s="27"/>
      <c r="DL738" s="27"/>
      <c r="DM738" s="27"/>
      <c r="DN738" s="27"/>
      <c r="DO738" s="27"/>
      <c r="DP738" s="27"/>
      <c r="DQ738" s="27"/>
      <c r="DR738" s="27"/>
      <c r="DS738" s="27"/>
      <c r="DT738" s="27"/>
    </row>
    <row r="739" spans="7:124" x14ac:dyDescent="0.2">
      <c r="G739" s="27"/>
      <c r="H739" s="27"/>
      <c r="I739" s="27"/>
      <c r="J739" s="27"/>
      <c r="K739" s="27"/>
      <c r="L739" s="27"/>
      <c r="M739" s="27" t="s">
        <v>59</v>
      </c>
      <c r="N739" s="27"/>
      <c r="O739" s="27"/>
      <c r="P739" s="27"/>
      <c r="Q739" s="27"/>
      <c r="R739" s="27"/>
      <c r="S739" s="27"/>
      <c r="T739" s="27"/>
      <c r="U739" s="27"/>
      <c r="V739" s="27" t="s">
        <v>302</v>
      </c>
      <c r="W739" s="27">
        <f>IF(BB781=Y723,12%,0)</f>
        <v>0</v>
      </c>
      <c r="X739" s="27"/>
      <c r="Y739" s="27"/>
      <c r="Z739" s="27" t="s">
        <v>303</v>
      </c>
      <c r="AA739" s="27">
        <v>36</v>
      </c>
      <c r="AB739" s="27"/>
      <c r="AC739" s="27" t="s">
        <v>304</v>
      </c>
      <c r="AD739" s="27">
        <f ca="1">IF((AD738+AB748)&gt;AA739,AA739,AD738+AB748)</f>
        <v>20</v>
      </c>
      <c r="AE739" s="27"/>
      <c r="AF739" s="27"/>
      <c r="AG739" s="27"/>
      <c r="AH739" s="27">
        <v>40209</v>
      </c>
      <c r="AI739" s="27"/>
      <c r="AJ739" s="27"/>
      <c r="AK739" s="27"/>
      <c r="AL739" s="27"/>
      <c r="AM739" s="27"/>
      <c r="AN739" s="27">
        <v>15</v>
      </c>
      <c r="AO739" s="27">
        <v>36</v>
      </c>
      <c r="AP739" s="27"/>
      <c r="AQ739" s="27"/>
      <c r="AR739" s="27" t="s">
        <v>305</v>
      </c>
      <c r="AS739" s="27"/>
      <c r="AT739" s="27">
        <f ca="1">IF(MONTH(I775)=1,1,0)</f>
        <v>1</v>
      </c>
      <c r="AU739" s="27"/>
      <c r="AV739" s="27" t="s">
        <v>306</v>
      </c>
      <c r="AW739" s="27" t="e">
        <f>(L807-#REF!)*12</f>
        <v>#REF!</v>
      </c>
      <c r="AX739" s="27"/>
      <c r="AY739" s="27"/>
      <c r="AZ739" s="27"/>
      <c r="BA739" s="27" t="s">
        <v>307</v>
      </c>
      <c r="BB739" s="27" t="s">
        <v>308</v>
      </c>
      <c r="BC739" s="27" t="e">
        <f>IF(BC723&lt;=0,0,IF($BM$738=0%,BC737-(AB742*BC738),IF(BC723&lt;$BK$723,BC737*$BD$809-AB742,BC737-($BK$738*BC738)-AB742)))</f>
        <v>#REF!</v>
      </c>
      <c r="BD739" s="27" t="e">
        <f>IF(BD723&lt;=0,0,IF($BM$738=0%,BD737,IF(BD723&lt;$BK$723,BD737*$BD$809-AC742,BD737-($BK$738*BD738)-AC742)))</f>
        <v>#REF!</v>
      </c>
      <c r="BE739" s="27" t="e">
        <f>IF(BE723&lt;=0,0,IF($BM$738=0%,BE737,IF(BE723&lt;$BK$723,BE737*$BD$809-AD742,BE737-($BK$738*BE738)-AD742)))</f>
        <v>#REF!</v>
      </c>
      <c r="BF739" s="27" t="e">
        <f>IF(BF723&lt;=0,0,IF($BM$738=0%,BF737,IF(BF723&lt;$BK$723,BF737*$BD$809-AE742,BF737-($BK$738*BF738)-AE742)))</f>
        <v>#REF!</v>
      </c>
      <c r="BG739" s="27" t="e">
        <f>IF(BG723&lt;=0,0,IF($BM$738=0%,BG737,IF(BG723&lt;$BK$723,BG737*$BD$809-AF742,BG737-($BK$738*BG738)-AF742)))</f>
        <v>#REF!</v>
      </c>
      <c r="BH739" s="27">
        <f>IF(BH723&lt;=0,0,IF($BM$738=0%,BH737,IF(BH723&lt;$BK$723,BH737*$BD$809-AG742,BH737-($BK$738*BH738)-AG742)))</f>
        <v>1662.8000000000002</v>
      </c>
      <c r="BI739" s="27" t="e">
        <f ca="1">IF($BM$738=0%,BI737,IF(BI723&lt;$BK$723,BI737*$BD$809,BI737-($BK$738*BI738)))</f>
        <v>#REF!</v>
      </c>
      <c r="BJ739" s="27"/>
      <c r="BK739" s="27" t="s">
        <v>309</v>
      </c>
      <c r="BL739" s="27"/>
      <c r="BM739" s="27"/>
      <c r="BN739" s="27" t="e">
        <f ca="1">IF($BM$738=0%,BN737,IF(BN724&lt;$BK$723,BN737*$BD$809,BN737-($BK$738*BN738)))</f>
        <v>#REF!</v>
      </c>
      <c r="BO739" s="27"/>
      <c r="BP739" s="27" t="e">
        <f ca="1">IF($BM$738=0%,BP737,IF(BP724&lt;$BK$723,BP737*$BD$809,BP737-($BK$738*BP738)))</f>
        <v>#REF!</v>
      </c>
      <c r="BQ739" s="27" t="s">
        <v>310</v>
      </c>
      <c r="BR739" s="27"/>
      <c r="BS739" s="27"/>
      <c r="BT739" s="27"/>
      <c r="BU739" s="27"/>
      <c r="BV739" s="27"/>
      <c r="BW739" s="27"/>
      <c r="BX739" s="27"/>
      <c r="BY739" s="27"/>
      <c r="BZ739" s="27"/>
      <c r="CA739" s="27"/>
      <c r="CB739" s="27"/>
      <c r="CC739" s="27"/>
      <c r="CD739" s="27"/>
      <c r="CE739" s="27"/>
      <c r="CF739" s="27"/>
      <c r="CG739" s="27"/>
      <c r="CH739" s="27"/>
      <c r="CI739" s="27"/>
      <c r="CJ739" s="27"/>
      <c r="CK739" s="27"/>
      <c r="CL739" s="27"/>
      <c r="CM739" s="27"/>
      <c r="CN739" s="27"/>
      <c r="CO739" s="27"/>
      <c r="CP739" s="27"/>
      <c r="CQ739" s="27"/>
      <c r="CR739" s="27"/>
      <c r="CS739" s="27"/>
      <c r="CT739" s="27"/>
      <c r="CU739" s="27"/>
      <c r="CV739" s="27"/>
      <c r="CW739" s="27"/>
      <c r="CX739" s="27"/>
      <c r="CY739" s="27"/>
      <c r="CZ739" s="27"/>
      <c r="DA739" s="27"/>
      <c r="DB739" s="27"/>
      <c r="DC739" s="27"/>
      <c r="DD739" s="27"/>
      <c r="DE739" s="27"/>
      <c r="DF739" s="27"/>
      <c r="DG739" s="27"/>
      <c r="DH739" s="27"/>
      <c r="DI739" s="27"/>
      <c r="DJ739" s="27"/>
      <c r="DK739" s="27"/>
      <c r="DL739" s="27"/>
      <c r="DM739" s="27"/>
      <c r="DN739" s="27"/>
      <c r="DO739" s="27"/>
      <c r="DP739" s="27"/>
      <c r="DQ739" s="27"/>
      <c r="DR739" s="27"/>
      <c r="DS739" s="27"/>
      <c r="DT739" s="27"/>
    </row>
    <row r="740" spans="7:124" x14ac:dyDescent="0.2">
      <c r="G740" s="27"/>
      <c r="H740" s="27"/>
      <c r="I740" s="27"/>
      <c r="J740" s="27"/>
      <c r="K740" s="27"/>
      <c r="L740" s="27"/>
      <c r="M740" s="27"/>
      <c r="N740" s="27"/>
      <c r="O740" s="27"/>
      <c r="P740" s="27"/>
      <c r="Q740" s="27"/>
      <c r="R740" s="27"/>
      <c r="S740" s="27"/>
      <c r="T740" s="27"/>
      <c r="U740" s="27"/>
      <c r="V740" s="27"/>
      <c r="W740" s="27"/>
      <c r="X740" s="27"/>
      <c r="Y740" s="27"/>
      <c r="Z740" s="27"/>
      <c r="AA740" s="27"/>
      <c r="AB740" s="27" t="s">
        <v>314</v>
      </c>
      <c r="AC740" s="27"/>
      <c r="AD740" s="27"/>
      <c r="AE740" s="27" t="e">
        <f>(100-AE738)/100</f>
        <v>#REF!</v>
      </c>
      <c r="AF740" s="27"/>
      <c r="AG740" s="27"/>
      <c r="AH740" s="27">
        <v>40237</v>
      </c>
      <c r="AI740" s="27"/>
      <c r="AJ740" s="27" t="s">
        <v>315</v>
      </c>
      <c r="AK740" s="27"/>
      <c r="AL740" s="27"/>
      <c r="AM740" s="27"/>
      <c r="AN740" s="27" t="s">
        <v>316</v>
      </c>
      <c r="AO740" s="27" t="s">
        <v>317</v>
      </c>
      <c r="AP740" s="27"/>
      <c r="AQ740" s="27"/>
      <c r="AR740" s="27"/>
      <c r="AS740" s="27"/>
      <c r="AT740" s="27" t="s">
        <v>59</v>
      </c>
      <c r="AU740" s="27"/>
      <c r="AV740" s="27" t="s">
        <v>59</v>
      </c>
      <c r="AW740" s="27"/>
      <c r="AX740" s="27"/>
      <c r="AY740" s="27"/>
      <c r="AZ740" s="27"/>
      <c r="BA740" s="27"/>
      <c r="BB740" s="27"/>
      <c r="BC740" s="27"/>
      <c r="BD740" s="27"/>
      <c r="BE740" s="27"/>
      <c r="BF740" s="27" t="e">
        <f>(BF738*BF739)*12</f>
        <v>#REF!</v>
      </c>
      <c r="BG740" s="27"/>
      <c r="BH740" s="27">
        <f>12*BH739</f>
        <v>19953.600000000002</v>
      </c>
      <c r="BI740" s="27"/>
      <c r="BJ740" s="27"/>
      <c r="BK740" s="27"/>
      <c r="BL740" s="27">
        <v>1099456</v>
      </c>
      <c r="BM740" s="27" t="s">
        <v>318</v>
      </c>
      <c r="BN740" s="27"/>
      <c r="BO740" s="27"/>
      <c r="BP740" s="27"/>
      <c r="BQ740" s="27" t="e">
        <f ca="1">BP739-BN739</f>
        <v>#REF!</v>
      </c>
      <c r="BR740" s="27"/>
      <c r="BS740" s="27"/>
      <c r="BT740" s="27"/>
      <c r="BU740" s="27">
        <v>5</v>
      </c>
      <c r="BV740" s="27">
        <v>0.05</v>
      </c>
      <c r="BW740" s="27">
        <v>4090.85</v>
      </c>
      <c r="BX740" s="27">
        <v>3864.64</v>
      </c>
      <c r="BY740" s="27">
        <v>3606.99</v>
      </c>
      <c r="BZ740" s="27">
        <v>3446.75</v>
      </c>
      <c r="CA740" s="27">
        <v>3141.97</v>
      </c>
      <c r="CB740" s="27">
        <v>3141.97</v>
      </c>
      <c r="CC740" s="27">
        <v>2733.51</v>
      </c>
      <c r="CD740" s="27">
        <v>2560.6999999999998</v>
      </c>
      <c r="CE740" s="27">
        <v>2497.86</v>
      </c>
      <c r="CF740" s="27">
        <v>2419.3000000000002</v>
      </c>
      <c r="CG740" s="27">
        <v>3446.75</v>
      </c>
      <c r="CH740" s="27">
        <v>3204.83</v>
      </c>
      <c r="CI740" s="27">
        <v>2733.51</v>
      </c>
      <c r="CJ740" s="27">
        <v>3374.49</v>
      </c>
      <c r="CK740" s="27">
        <v>3446.75</v>
      </c>
      <c r="CL740" s="27"/>
      <c r="CM740" s="27"/>
      <c r="CN740" s="27"/>
      <c r="CO740" s="27"/>
      <c r="CP740" s="27"/>
      <c r="CQ740" s="27"/>
      <c r="CR740" s="27"/>
      <c r="CS740" s="27"/>
      <c r="CT740" s="27"/>
      <c r="CU740" s="27"/>
      <c r="CV740" s="27"/>
      <c r="CW740" s="27"/>
      <c r="CX740" s="27"/>
      <c r="CY740" s="27"/>
      <c r="CZ740" s="27"/>
      <c r="DA740" s="27"/>
      <c r="DB740" s="27"/>
      <c r="DC740" s="27"/>
      <c r="DD740" s="27"/>
      <c r="DE740" s="27"/>
      <c r="DF740" s="27"/>
      <c r="DG740" s="27"/>
      <c r="DH740" s="27"/>
      <c r="DI740" s="27"/>
      <c r="DJ740" s="27"/>
      <c r="DK740" s="27"/>
      <c r="DL740" s="27"/>
      <c r="DM740" s="27"/>
      <c r="DN740" s="27"/>
      <c r="DO740" s="27"/>
      <c r="DP740" s="27"/>
      <c r="DQ740" s="27"/>
      <c r="DR740" s="27"/>
      <c r="DS740" s="27"/>
      <c r="DT740" s="27"/>
    </row>
    <row r="741" spans="7:124" x14ac:dyDescent="0.2">
      <c r="G741" s="27"/>
      <c r="H741" s="27"/>
      <c r="I741" s="27"/>
      <c r="J741" s="27"/>
      <c r="K741" s="27"/>
      <c r="L741" s="27"/>
      <c r="M741" s="27"/>
      <c r="N741" s="27"/>
      <c r="O741" s="27"/>
      <c r="P741" s="27"/>
      <c r="Q741" s="27"/>
      <c r="R741" s="27"/>
      <c r="S741" s="27"/>
      <c r="T741" s="27"/>
      <c r="U741" s="27"/>
      <c r="V741" s="27" t="s">
        <v>321</v>
      </c>
      <c r="W741" s="27"/>
      <c r="X741" s="27"/>
      <c r="Y741" s="27"/>
      <c r="Z741" s="27" t="s">
        <v>322</v>
      </c>
      <c r="AA741" s="27"/>
      <c r="AB741" s="27" t="s">
        <v>323</v>
      </c>
      <c r="AC741" s="27"/>
      <c r="AD741" s="27"/>
      <c r="AE741" s="27"/>
      <c r="AF741" s="27"/>
      <c r="AG741" s="27"/>
      <c r="AH741" s="27">
        <v>40268</v>
      </c>
      <c r="AI741" s="27"/>
      <c r="AJ741" s="27">
        <f ca="1">DATE(YEAR(I775),MONTH(I775)-MONTH(I775)+1,DAY(I775)-DAY(I775)+1)</f>
        <v>45292</v>
      </c>
      <c r="AK741" s="27">
        <f ca="1">ROUND((AJ741-AL732)/365.25,2)</f>
        <v>45.33</v>
      </c>
      <c r="AL741" s="27"/>
      <c r="AM741" s="27"/>
      <c r="AN741" s="27">
        <v>16</v>
      </c>
      <c r="AO741" s="27">
        <v>37</v>
      </c>
      <c r="AP741" s="27" t="s">
        <v>59</v>
      </c>
      <c r="AQ741" s="27"/>
      <c r="AR741" s="27"/>
      <c r="AS741" s="27"/>
      <c r="AT741" s="27"/>
      <c r="AU741" s="27"/>
      <c r="AV741" s="27">
        <f>IF(24.75-BB771-BB772&lt;=0,0,IF((24.75-BB771-BB772)&gt;#REF!,#REF!*#REF!*0.6,(24.75-BB771-BB772)*#REF!*0.6))</f>
        <v>0</v>
      </c>
      <c r="AW741" s="27"/>
      <c r="AX741" s="27"/>
      <c r="AY741" s="27"/>
      <c r="AZ741" s="27"/>
      <c r="BA741" s="27"/>
      <c r="BB741" s="27" t="s">
        <v>324</v>
      </c>
      <c r="BC741" s="27"/>
      <c r="BD741" s="27"/>
      <c r="BE741" s="27">
        <f>IF(MONTH(AF735)&gt;9,0,MONTH(AF735)-1+DAY(AF735)/30)</f>
        <v>1.0333333333333334</v>
      </c>
      <c r="BF741" s="27"/>
      <c r="BG741" s="27" t="s">
        <v>325</v>
      </c>
      <c r="BH741" s="27" t="e">
        <f>IF(BH740=0,0,(BH740-(BB786*BH742)*12)-BK741)</f>
        <v>#REF!</v>
      </c>
      <c r="BI741" s="27" t="s">
        <v>326</v>
      </c>
      <c r="BJ741" s="27" t="s">
        <v>327</v>
      </c>
      <c r="BK741" s="27" t="e">
        <f>((BB787-AW798)*0.35)/12</f>
        <v>#REF!</v>
      </c>
      <c r="BL741" s="27"/>
      <c r="BM741" s="27"/>
      <c r="BN741" s="27"/>
      <c r="BO741" s="27"/>
      <c r="BP741" s="27"/>
      <c r="BQ741" s="27"/>
      <c r="BR741" s="27"/>
      <c r="BS741" s="27"/>
      <c r="BT741" s="27"/>
      <c r="BU741" s="27"/>
      <c r="BV741" s="27"/>
      <c r="BW741" s="27"/>
      <c r="BX741" s="27"/>
      <c r="BY741" s="27"/>
      <c r="BZ741" s="27"/>
      <c r="CA741" s="27"/>
      <c r="CB741" s="27"/>
      <c r="CC741" s="27"/>
      <c r="CD741" s="27"/>
      <c r="CE741" s="27"/>
      <c r="CF741" s="27"/>
      <c r="CG741" s="27"/>
      <c r="CH741" s="27"/>
      <c r="CI741" s="27"/>
      <c r="CJ741" s="27"/>
      <c r="CK741" s="27"/>
      <c r="CL741" s="27"/>
      <c r="CM741" s="27"/>
      <c r="CN741" s="27"/>
      <c r="CO741" s="27"/>
      <c r="CP741" s="27"/>
      <c r="CQ741" s="27"/>
      <c r="CR741" s="27"/>
      <c r="CS741" s="27"/>
      <c r="CT741" s="27"/>
      <c r="CU741" s="27"/>
      <c r="CV741" s="27"/>
      <c r="CW741" s="27"/>
      <c r="CX741" s="27"/>
      <c r="CY741" s="27"/>
      <c r="CZ741" s="27"/>
      <c r="DA741" s="27"/>
      <c r="DB741" s="27"/>
      <c r="DC741" s="27"/>
      <c r="DD741" s="27"/>
      <c r="DE741" s="27"/>
      <c r="DF741" s="27"/>
      <c r="DG741" s="27"/>
      <c r="DH741" s="27"/>
      <c r="DI741" s="27"/>
      <c r="DJ741" s="27"/>
      <c r="DK741" s="27"/>
      <c r="DL741" s="27"/>
      <c r="DM741" s="27"/>
      <c r="DN741" s="27"/>
      <c r="DO741" s="27"/>
      <c r="DP741" s="27"/>
      <c r="DQ741" s="27"/>
      <c r="DR741" s="27"/>
      <c r="DS741" s="27"/>
      <c r="DT741" s="27"/>
    </row>
    <row r="742" spans="7:124" x14ac:dyDescent="0.2">
      <c r="G742" s="27"/>
      <c r="H742" s="27"/>
      <c r="I742" s="27"/>
      <c r="J742" s="27"/>
      <c r="K742" s="27"/>
      <c r="L742" s="27"/>
      <c r="M742" s="27">
        <f>VLOOKUP(INT(W752),horaa2,AM720+2,FALSE)*(1)</f>
        <v>6975.17</v>
      </c>
      <c r="N742" s="27"/>
      <c r="O742" s="27"/>
      <c r="P742" s="27"/>
      <c r="Q742" s="27"/>
      <c r="R742" s="27"/>
      <c r="S742" s="27"/>
      <c r="T742" s="27"/>
      <c r="U742" s="27" t="s">
        <v>59</v>
      </c>
      <c r="V742" s="27" t="s">
        <v>332</v>
      </c>
      <c r="W742" s="27" t="s">
        <v>252</v>
      </c>
      <c r="X742" s="27"/>
      <c r="Y742" s="27"/>
      <c r="Z742" s="27" t="e">
        <f>#REF!</f>
        <v>#REF!</v>
      </c>
      <c r="AA742" s="27"/>
      <c r="AB742" s="27">
        <f>BB786*'[1]נתוני מס'!I14</f>
        <v>574.75</v>
      </c>
      <c r="AC742" s="27"/>
      <c r="AD742" s="27"/>
      <c r="AE742" s="27"/>
      <c r="AF742" s="27"/>
      <c r="AG742" s="27"/>
      <c r="AH742" s="27">
        <v>40298</v>
      </c>
      <c r="AI742" s="27"/>
      <c r="AJ742" s="27"/>
      <c r="AK742" s="27"/>
      <c r="AL742" s="27"/>
      <c r="AM742" s="27"/>
      <c r="AN742" s="27" t="s">
        <v>333</v>
      </c>
      <c r="AO742" s="27" t="s">
        <v>334</v>
      </c>
      <c r="AP742" s="27"/>
      <c r="AQ742" s="27"/>
      <c r="AR742" s="27"/>
      <c r="AS742" s="27" t="s">
        <v>335</v>
      </c>
      <c r="AT742" s="27">
        <f ca="1">ROUND(G906,0)</f>
        <v>-11</v>
      </c>
      <c r="AU742" s="27"/>
      <c r="AV742" s="27" t="e">
        <f>IF(G911&lt;70%,IF(#REF!* 2% &gt;70%-G911,70%-G911,#REF!*2%),IF(G909+G910-G911&lt;=0,0,G909+G910-G911))</f>
        <v>#REF!</v>
      </c>
      <c r="AW742" s="27"/>
      <c r="AX742" s="27"/>
      <c r="AY742" s="27"/>
      <c r="AZ742" s="27"/>
      <c r="BA742" s="27"/>
      <c r="BB742" s="27" t="s">
        <v>336</v>
      </c>
      <c r="BC742" s="27"/>
      <c r="BD742" s="27"/>
      <c r="BE742" s="27">
        <f>MONTH(AF735)-1+DAY(AF735)/30</f>
        <v>1.0333333333333334</v>
      </c>
      <c r="BF742" s="27"/>
      <c r="BG742" s="27" t="s">
        <v>337</v>
      </c>
      <c r="BH742" s="27">
        <f>'[1]נתוני מס'!I14</f>
        <v>209</v>
      </c>
      <c r="BI742" s="27"/>
      <c r="BJ742" s="27"/>
      <c r="BK742" s="27"/>
      <c r="BL742" s="27">
        <v>9266735</v>
      </c>
      <c r="BM742" s="27"/>
      <c r="BN742" s="27"/>
      <c r="BO742" s="27"/>
      <c r="BP742" s="27"/>
      <c r="BQ742" s="27"/>
      <c r="BR742" s="27"/>
      <c r="BS742" s="27"/>
      <c r="BT742" s="27"/>
      <c r="BU742" s="27">
        <v>6</v>
      </c>
      <c r="BV742" s="27">
        <v>0.05</v>
      </c>
      <c r="BW742" s="27">
        <v>4295.3900000000003</v>
      </c>
      <c r="BX742" s="27">
        <v>4057.87</v>
      </c>
      <c r="BY742" s="27">
        <v>3787.33</v>
      </c>
      <c r="BZ742" s="27">
        <v>3619.08</v>
      </c>
      <c r="CA742" s="27">
        <v>3299.06</v>
      </c>
      <c r="CB742" s="27">
        <v>3299.06</v>
      </c>
      <c r="CC742" s="27">
        <v>2870.18</v>
      </c>
      <c r="CD742" s="27">
        <v>2688.73</v>
      </c>
      <c r="CE742" s="27">
        <v>2622.75</v>
      </c>
      <c r="CF742" s="27">
        <v>2540.2600000000002</v>
      </c>
      <c r="CG742" s="27">
        <v>3619.08</v>
      </c>
      <c r="CH742" s="27">
        <v>3365.07</v>
      </c>
      <c r="CI742" s="27">
        <v>2870.18</v>
      </c>
      <c r="CJ742" s="27">
        <v>3543.21</v>
      </c>
      <c r="CK742" s="27">
        <v>3619.08</v>
      </c>
      <c r="CL742" s="27"/>
      <c r="CM742" s="27"/>
      <c r="CN742" s="27"/>
      <c r="CO742" s="27"/>
      <c r="CP742" s="27"/>
      <c r="CQ742" s="27"/>
      <c r="CR742" s="27"/>
      <c r="CS742" s="27"/>
      <c r="CT742" s="27"/>
      <c r="CU742" s="27"/>
      <c r="CV742" s="27"/>
      <c r="CW742" s="27"/>
      <c r="CX742" s="27"/>
      <c r="CY742" s="27"/>
      <c r="CZ742" s="27"/>
      <c r="DA742" s="27"/>
      <c r="DB742" s="27"/>
      <c r="DC742" s="27"/>
      <c r="DD742" s="27"/>
      <c r="DE742" s="27"/>
      <c r="DF742" s="27"/>
      <c r="DG742" s="27"/>
      <c r="DH742" s="27"/>
      <c r="DI742" s="27"/>
      <c r="DJ742" s="27"/>
      <c r="DK742" s="27"/>
      <c r="DL742" s="27"/>
      <c r="DM742" s="27"/>
      <c r="DN742" s="27"/>
      <c r="DO742" s="27"/>
      <c r="DP742" s="27"/>
      <c r="DQ742" s="27"/>
      <c r="DR742" s="27"/>
      <c r="DS742" s="27"/>
      <c r="DT742" s="27"/>
    </row>
    <row r="743" spans="7:124" x14ac:dyDescent="0.2">
      <c r="G743" s="27"/>
      <c r="H743" s="27"/>
      <c r="I743" s="27"/>
      <c r="J743" s="27"/>
      <c r="K743" s="27"/>
      <c r="L743" s="27"/>
      <c r="M743" s="27"/>
      <c r="N743" s="27"/>
      <c r="O743" s="27"/>
      <c r="P743" s="27"/>
      <c r="Q743" s="27"/>
      <c r="R743" s="27"/>
      <c r="S743" s="27"/>
      <c r="T743" s="27"/>
      <c r="U743" s="27"/>
      <c r="V743" s="27" t="s">
        <v>339</v>
      </c>
      <c r="W743" s="27" t="s">
        <v>130</v>
      </c>
      <c r="X743" s="27"/>
      <c r="Y743" s="27"/>
      <c r="Z743" s="27" t="s">
        <v>59</v>
      </c>
      <c r="AA743" s="27"/>
      <c r="AB743" s="27"/>
      <c r="AC743" s="27"/>
      <c r="AD743" s="27" t="s">
        <v>340</v>
      </c>
      <c r="AE743" s="27">
        <f>L807*0.36</f>
        <v>5184.4128898677536</v>
      </c>
      <c r="AF743" s="27"/>
      <c r="AG743" s="27"/>
      <c r="AH743" s="27">
        <v>40329</v>
      </c>
      <c r="AI743" s="27"/>
      <c r="AJ743" s="27" t="s">
        <v>341</v>
      </c>
      <c r="AK743" s="27" t="s">
        <v>342</v>
      </c>
      <c r="AL743" s="27"/>
      <c r="AM743" s="27"/>
      <c r="AN743" s="27">
        <v>17</v>
      </c>
      <c r="AO743" s="27">
        <v>38</v>
      </c>
      <c r="AP743" s="27"/>
      <c r="AQ743" s="27"/>
      <c r="AR743" s="27"/>
      <c r="AS743" s="27" t="s">
        <v>343</v>
      </c>
      <c r="AT743" s="27" t="s">
        <v>59</v>
      </c>
      <c r="AU743" s="27"/>
      <c r="AV743" s="27"/>
      <c r="AW743" s="27"/>
      <c r="AX743" s="27"/>
      <c r="AY743" s="27"/>
      <c r="AZ743" s="27"/>
      <c r="BA743" s="27"/>
      <c r="BB743" s="27"/>
      <c r="BC743" s="27"/>
      <c r="BD743" s="27"/>
      <c r="BE743" s="27"/>
      <c r="BF743" s="27"/>
      <c r="BG743" s="27" t="s">
        <v>344</v>
      </c>
      <c r="BH743" s="27">
        <f>IF(BH745&gt;'[1]נתוני מס'!K33,'[1]נתוני מס'!H37+'[1]נתוני מס'!F37,IF(BH745&lt;='[1]נתוני מס'!L31,BH745*('[1]נתוני מס'!E37-AG755),(BH745-'[1]נתוני מס'!L31)*('[1]נתוני מס'!G37-AG756)+'[1]נתוני מס'!F37))</f>
        <v>476.04280000000006</v>
      </c>
      <c r="BI743" s="27">
        <f>BH743*12</f>
        <v>5712.5136000000002</v>
      </c>
      <c r="BJ743" s="27" t="s">
        <v>59</v>
      </c>
      <c r="BK743" s="27"/>
      <c r="BL743" s="27"/>
      <c r="BM743" s="27"/>
      <c r="BN743" s="27"/>
      <c r="BO743" s="27"/>
      <c r="BP743" s="27"/>
      <c r="BQ743" s="27"/>
      <c r="BR743" s="27"/>
      <c r="BS743" s="27"/>
      <c r="BT743" s="27"/>
      <c r="BU743" s="27"/>
      <c r="BV743" s="27"/>
      <c r="BW743" s="27"/>
      <c r="BX743" s="27"/>
      <c r="BY743" s="27"/>
      <c r="BZ743" s="27"/>
      <c r="CA743" s="27"/>
      <c r="CB743" s="27"/>
      <c r="CC743" s="27"/>
      <c r="CD743" s="27"/>
      <c r="CE743" s="27"/>
      <c r="CF743" s="27"/>
      <c r="CG743" s="27"/>
      <c r="CH743" s="27"/>
      <c r="CI743" s="27"/>
      <c r="CJ743" s="27"/>
      <c r="CK743" s="27"/>
      <c r="CL743" s="27"/>
      <c r="CM743" s="27"/>
      <c r="CN743" s="27"/>
      <c r="CO743" s="27"/>
      <c r="CP743" s="27"/>
      <c r="CQ743" s="27"/>
      <c r="CR743" s="27"/>
      <c r="CS743" s="27"/>
      <c r="CT743" s="27"/>
      <c r="CU743" s="27"/>
      <c r="CV743" s="27"/>
      <c r="CW743" s="27"/>
      <c r="CX743" s="27"/>
      <c r="CY743" s="27"/>
      <c r="CZ743" s="27"/>
      <c r="DA743" s="27"/>
      <c r="DB743" s="27"/>
      <c r="DC743" s="27"/>
      <c r="DD743" s="27"/>
      <c r="DE743" s="27"/>
      <c r="DF743" s="27"/>
      <c r="DG743" s="27"/>
      <c r="DH743" s="27"/>
      <c r="DI743" s="27"/>
      <c r="DJ743" s="27"/>
      <c r="DK743" s="27"/>
      <c r="DL743" s="27"/>
      <c r="DM743" s="27"/>
      <c r="DN743" s="27"/>
      <c r="DO743" s="27"/>
      <c r="DP743" s="27"/>
      <c r="DQ743" s="27"/>
      <c r="DR743" s="27"/>
      <c r="DS743" s="27"/>
      <c r="DT743" s="27"/>
    </row>
    <row r="744" spans="7:124" x14ac:dyDescent="0.2">
      <c r="G744" s="27"/>
      <c r="H744" s="27"/>
      <c r="I744" s="27"/>
      <c r="J744" s="27"/>
      <c r="K744" s="27"/>
      <c r="L744" s="27"/>
      <c r="M744" s="27"/>
      <c r="N744" s="27" t="s">
        <v>88</v>
      </c>
      <c r="O744" s="27"/>
      <c r="P744" s="27"/>
      <c r="Q744" s="27"/>
      <c r="R744" s="27"/>
      <c r="S744" s="27"/>
      <c r="T744" s="27"/>
      <c r="U744" s="27"/>
      <c r="V744" s="27"/>
      <c r="W744" s="27"/>
      <c r="X744" s="27"/>
      <c r="Y744" s="27"/>
      <c r="Z744" s="27"/>
      <c r="AA744" s="27"/>
      <c r="AB744" s="27"/>
      <c r="AC744" s="27"/>
      <c r="AD744" s="27"/>
      <c r="AE744" s="27"/>
      <c r="AF744" s="27"/>
      <c r="AG744" s="27"/>
      <c r="AH744" s="27">
        <v>40359</v>
      </c>
      <c r="AI744" s="27"/>
      <c r="AJ744" s="27">
        <f>DATE(YEAR(AF735),MONTH(AF735)-MONTH(AF735)+1,DAY(AF735)-DAY(AF735)+1)</f>
        <v>40544</v>
      </c>
      <c r="AK744" s="27"/>
      <c r="AL744" s="27"/>
      <c r="AM744" s="27"/>
      <c r="AN744" s="27" t="s">
        <v>348</v>
      </c>
      <c r="AO744" s="27" t="s">
        <v>349</v>
      </c>
      <c r="AP744" s="27"/>
      <c r="AQ744" s="27"/>
      <c r="AR744" s="27"/>
      <c r="AS744" s="27" t="s">
        <v>350</v>
      </c>
      <c r="AT744" s="27">
        <f ca="1">(AT746*2)/100</f>
        <v>-1.8333333333333333E-2</v>
      </c>
      <c r="AU744" s="27"/>
      <c r="AV744" s="27"/>
      <c r="AW744" s="27"/>
      <c r="AX744" s="27"/>
      <c r="AY744" s="27"/>
      <c r="AZ744" s="27"/>
      <c r="BA744" s="27"/>
      <c r="BB744" s="27"/>
      <c r="BC744" s="27"/>
      <c r="BD744" s="27"/>
      <c r="BE744" s="27"/>
      <c r="BF744" s="27" t="s">
        <v>59</v>
      </c>
      <c r="BG744" s="27" t="s">
        <v>351</v>
      </c>
      <c r="BH744" s="27">
        <f>IF(BH745&lt;='[1]נתוני מס'!L31,BH745*'[1]נתוני מס'!E34,(BH745-'[1]נתוני מס'!L31)*'[1]נתוני מס'!G34+'[1]נתוני מס'!F34)</f>
        <v>480.30020000000002</v>
      </c>
      <c r="BI744" s="27">
        <f>12*BH744</f>
        <v>5763.6023999999998</v>
      </c>
      <c r="BJ744" s="27"/>
      <c r="BK744" s="27"/>
      <c r="BL744" s="27">
        <v>9268038</v>
      </c>
      <c r="BM744" s="27"/>
      <c r="BN744" s="27"/>
      <c r="BO744" s="27"/>
      <c r="BP744" s="27"/>
      <c r="BQ744" s="27"/>
      <c r="BR744" s="27"/>
      <c r="BS744" s="27"/>
      <c r="BT744" s="27"/>
      <c r="BU744" s="27">
        <v>7</v>
      </c>
      <c r="BV744" s="27">
        <v>0.05</v>
      </c>
      <c r="BW744" s="27">
        <v>4510.1499999999996</v>
      </c>
      <c r="BX744" s="27">
        <v>4260.76</v>
      </c>
      <c r="BY744" s="27">
        <v>3976.69</v>
      </c>
      <c r="BZ744" s="27">
        <v>3800.03</v>
      </c>
      <c r="CA744" s="27">
        <v>3464.01</v>
      </c>
      <c r="CB744" s="27">
        <v>3464.01</v>
      </c>
      <c r="CC744" s="27">
        <v>3013.68</v>
      </c>
      <c r="CD744" s="27">
        <v>2823.16</v>
      </c>
      <c r="CE744" s="27">
        <v>2753.88</v>
      </c>
      <c r="CF744" s="27">
        <v>2667.27</v>
      </c>
      <c r="CG744" s="27">
        <v>3800.03</v>
      </c>
      <c r="CH744" s="27">
        <v>3533.32</v>
      </c>
      <c r="CI744" s="27">
        <v>3013.68</v>
      </c>
      <c r="CJ744" s="27">
        <v>3720.37</v>
      </c>
      <c r="CK744" s="27">
        <v>3800.03</v>
      </c>
      <c r="CL744" s="27"/>
      <c r="CM744" s="27"/>
      <c r="CN744" s="27"/>
      <c r="CO744" s="27"/>
      <c r="CP744" s="27"/>
      <c r="CQ744" s="27"/>
      <c r="CR744" s="27"/>
      <c r="CS744" s="27"/>
      <c r="CT744" s="27"/>
      <c r="CU744" s="27"/>
      <c r="CV744" s="27"/>
      <c r="CW744" s="27"/>
      <c r="CX744" s="27"/>
      <c r="CY744" s="27"/>
      <c r="CZ744" s="27"/>
      <c r="DA744" s="27"/>
      <c r="DB744" s="27"/>
      <c r="DC744" s="27"/>
      <c r="DD744" s="27"/>
      <c r="DE744" s="27"/>
      <c r="DF744" s="27"/>
      <c r="DG744" s="27"/>
      <c r="DH744" s="27"/>
      <c r="DI744" s="27"/>
      <c r="DJ744" s="27"/>
      <c r="DK744" s="27"/>
      <c r="DL744" s="27"/>
      <c r="DM744" s="27"/>
      <c r="DN744" s="27"/>
      <c r="DO744" s="27"/>
      <c r="DP744" s="27"/>
      <c r="DQ744" s="27"/>
      <c r="DR744" s="27"/>
      <c r="DS744" s="27"/>
      <c r="DT744" s="27"/>
    </row>
    <row r="745" spans="7:124" x14ac:dyDescent="0.2">
      <c r="G745" s="27"/>
      <c r="H745" s="27"/>
      <c r="I745" s="27"/>
      <c r="J745" s="27"/>
      <c r="K745" s="27"/>
      <c r="L745" s="27"/>
      <c r="M745" s="27"/>
      <c r="N745" s="27" t="s">
        <v>95</v>
      </c>
      <c r="O745" s="27"/>
      <c r="P745" s="27"/>
      <c r="Q745" s="27"/>
      <c r="R745" s="27"/>
      <c r="S745" s="27"/>
      <c r="T745" s="27" t="s">
        <v>353</v>
      </c>
      <c r="U745" s="27"/>
      <c r="V745" s="27">
        <v>0</v>
      </c>
      <c r="W745" s="27" t="s">
        <v>354</v>
      </c>
      <c r="X745" s="27"/>
      <c r="Y745" s="27"/>
      <c r="Z745" s="27"/>
      <c r="AA745" s="27" t="s">
        <v>8</v>
      </c>
      <c r="AB745" s="27" t="s">
        <v>355</v>
      </c>
      <c r="AC745" s="27" t="s">
        <v>356</v>
      </c>
      <c r="AD745" s="27"/>
      <c r="AE745" s="27"/>
      <c r="AF745" s="27"/>
      <c r="AG745" s="27"/>
      <c r="AH745" s="27">
        <v>40390</v>
      </c>
      <c r="AI745" s="27"/>
      <c r="AJ745" s="27">
        <f>ROUND((AF735-AJ744)/365.25,2)-1</f>
        <v>-0.92</v>
      </c>
      <c r="AK745" s="27"/>
      <c r="AL745" s="27"/>
      <c r="AM745" s="27"/>
      <c r="AN745" s="27">
        <v>18</v>
      </c>
      <c r="AO745" s="27">
        <v>39</v>
      </c>
      <c r="AP745" s="27"/>
      <c r="AQ745" s="27"/>
      <c r="AR745" s="27"/>
      <c r="AS745" s="27"/>
      <c r="AT745" s="27"/>
      <c r="AU745" s="27"/>
      <c r="AV745" s="27"/>
      <c r="AW745" s="27"/>
      <c r="AX745" s="27"/>
      <c r="AY745" s="27"/>
      <c r="AZ745" s="27"/>
      <c r="BA745" s="27"/>
      <c r="BB745" s="27"/>
      <c r="BC745" s="27"/>
      <c r="BD745" s="27"/>
      <c r="BE745" s="27"/>
      <c r="BF745" s="27"/>
      <c r="BG745" s="27"/>
      <c r="BH745" s="27">
        <f>BH723+BE812</f>
        <v>11500</v>
      </c>
      <c r="BI745" s="27"/>
      <c r="BJ745" s="27"/>
      <c r="BK745" s="27"/>
      <c r="BL745" s="27"/>
      <c r="BM745" s="27"/>
      <c r="BN745" s="27"/>
      <c r="BO745" s="27"/>
      <c r="BP745" s="27"/>
      <c r="BQ745" s="27"/>
      <c r="BR745" s="27"/>
      <c r="BS745" s="27"/>
      <c r="BT745" s="27"/>
      <c r="BU745" s="27"/>
      <c r="BV745" s="27"/>
      <c r="BW745" s="27"/>
      <c r="BX745" s="27"/>
      <c r="BY745" s="27"/>
      <c r="BZ745" s="27"/>
      <c r="CA745" s="27"/>
      <c r="CB745" s="27"/>
      <c r="CC745" s="27"/>
      <c r="CD745" s="27"/>
      <c r="CE745" s="27"/>
      <c r="CF745" s="27"/>
      <c r="CG745" s="27"/>
      <c r="CH745" s="27"/>
      <c r="CI745" s="27"/>
      <c r="CJ745" s="27"/>
      <c r="CK745" s="27"/>
      <c r="CL745" s="27"/>
      <c r="CM745" s="27"/>
      <c r="CN745" s="27"/>
      <c r="CO745" s="27"/>
      <c r="CP745" s="27"/>
      <c r="CQ745" s="27"/>
      <c r="CR745" s="27"/>
      <c r="CS745" s="27"/>
      <c r="CT745" s="27"/>
      <c r="CU745" s="27"/>
      <c r="CV745" s="27"/>
      <c r="CW745" s="27"/>
      <c r="CX745" s="27"/>
      <c r="CY745" s="27"/>
      <c r="CZ745" s="27"/>
      <c r="DA745" s="27"/>
      <c r="DB745" s="27"/>
      <c r="DC745" s="27"/>
      <c r="DD745" s="27"/>
      <c r="DE745" s="27"/>
      <c r="DF745" s="27"/>
      <c r="DG745" s="27"/>
      <c r="DH745" s="27"/>
      <c r="DI745" s="27"/>
      <c r="DJ745" s="27"/>
      <c r="DK745" s="27"/>
      <c r="DL745" s="27"/>
      <c r="DM745" s="27"/>
      <c r="DN745" s="27"/>
      <c r="DO745" s="27"/>
      <c r="DP745" s="27"/>
      <c r="DQ745" s="27"/>
      <c r="DR745" s="27"/>
      <c r="DS745" s="27"/>
      <c r="DT745" s="27"/>
    </row>
    <row r="746" spans="7:124" x14ac:dyDescent="0.2">
      <c r="G746" s="27"/>
      <c r="H746" s="27"/>
      <c r="I746" s="27"/>
      <c r="J746" s="27"/>
      <c r="K746" s="27"/>
      <c r="L746" s="27"/>
      <c r="M746" s="27"/>
      <c r="N746" s="27" t="s">
        <v>103</v>
      </c>
      <c r="O746" s="27"/>
      <c r="P746" s="27"/>
      <c r="Q746" s="27"/>
      <c r="R746" s="27"/>
      <c r="S746" s="27"/>
      <c r="T746" s="27" t="s">
        <v>357</v>
      </c>
      <c r="U746" s="27"/>
      <c r="V746" s="27" t="s">
        <v>358</v>
      </c>
      <c r="W746" s="27" t="s">
        <v>359</v>
      </c>
      <c r="X746" s="27"/>
      <c r="Y746" s="27"/>
      <c r="Z746" s="27"/>
      <c r="AA746" s="27" t="s">
        <v>71</v>
      </c>
      <c r="AB746" s="27">
        <f>IF(AX734&lt;AA739,AX734-INT(AX734),0)</f>
        <v>0</v>
      </c>
      <c r="AC746" s="27" t="s">
        <v>360</v>
      </c>
      <c r="AD746" s="27">
        <f>IF((AC747=2)*AND(AD747&lt;16),0,AE746)</f>
        <v>0</v>
      </c>
      <c r="AE746" s="27">
        <f>IF(AC747&gt;11,1,IF((AC747=11)*AND(AD747&gt;15),1,IF(AC747&gt;8,0.75,IF((AC747=8)*AND(AD747&gt;15),0.75,IF(AC747&gt;5,0.5,IF((AC747=5)*AND(AD747&gt;15),0.5,IF(AC747&gt;2,0.25,IF(AC747=2,                0.25,0))))))))</f>
        <v>0</v>
      </c>
      <c r="AF746" s="27"/>
      <c r="AG746" s="27"/>
      <c r="AH746" s="27">
        <v>40421</v>
      </c>
      <c r="AI746" s="27"/>
      <c r="AJ746" s="27">
        <f>AJ745*30*AX737</f>
        <v>-27.6</v>
      </c>
      <c r="AK746" s="27">
        <f ca="1">AJ745*22*AX737+AL746*AX737</f>
        <v>1.759999999999998</v>
      </c>
      <c r="AL746" s="27">
        <f ca="1">IF(YEAR(I775)=YEAR(AF735),0,22)</f>
        <v>22</v>
      </c>
      <c r="AM746" s="27"/>
      <c r="AN746" s="27" t="s">
        <v>361</v>
      </c>
      <c r="AO746" s="27" t="s">
        <v>362</v>
      </c>
      <c r="AP746" s="27"/>
      <c r="AQ746" s="27"/>
      <c r="AR746" s="27"/>
      <c r="AS746" s="27" t="s">
        <v>363</v>
      </c>
      <c r="AT746" s="27">
        <f ca="1">AT742/12</f>
        <v>-0.91666666666666663</v>
      </c>
      <c r="AU746" s="27"/>
      <c r="AV746" s="27"/>
      <c r="AW746" s="27"/>
      <c r="AX746" s="27"/>
      <c r="AY746" s="27"/>
      <c r="AZ746" s="27"/>
      <c r="BA746" s="27"/>
      <c r="BB746" s="27"/>
      <c r="BC746" s="27"/>
      <c r="BD746" s="27"/>
      <c r="BE746" s="27"/>
      <c r="BF746" s="27"/>
      <c r="BG746" s="27"/>
      <c r="BH746" s="27"/>
      <c r="BI746" s="27"/>
      <c r="BJ746" s="27"/>
      <c r="BK746" s="27"/>
      <c r="BL746" s="27">
        <v>9268137</v>
      </c>
      <c r="BM746" s="27"/>
      <c r="BN746" s="27"/>
      <c r="BO746" s="27"/>
      <c r="BP746" s="27"/>
      <c r="BQ746" s="27"/>
      <c r="BR746" s="27"/>
      <c r="BS746" s="27"/>
      <c r="BT746" s="27"/>
      <c r="BU746" s="27">
        <v>8</v>
      </c>
      <c r="BV746" s="27">
        <v>0.02</v>
      </c>
      <c r="BW746" s="27">
        <v>4600.3500000000004</v>
      </c>
      <c r="BX746" s="27">
        <v>4345.97</v>
      </c>
      <c r="BY746" s="27">
        <v>4056.22</v>
      </c>
      <c r="BZ746" s="27">
        <v>3876.03</v>
      </c>
      <c r="CA746" s="27">
        <v>3533.29</v>
      </c>
      <c r="CB746" s="27">
        <v>3533.29</v>
      </c>
      <c r="CC746" s="27">
        <v>3073.95</v>
      </c>
      <c r="CD746" s="27">
        <v>2879.62</v>
      </c>
      <c r="CE746" s="27">
        <v>2808.95</v>
      </c>
      <c r="CF746" s="27">
        <v>2720.61</v>
      </c>
      <c r="CG746" s="27">
        <v>3876.03</v>
      </c>
      <c r="CH746" s="27">
        <v>3603.98</v>
      </c>
      <c r="CI746" s="27">
        <v>3073.95</v>
      </c>
      <c r="CJ746" s="27">
        <v>3794.77</v>
      </c>
      <c r="CK746" s="27">
        <v>3876.03</v>
      </c>
      <c r="CL746" s="27"/>
      <c r="CM746" s="27"/>
      <c r="CN746" s="27"/>
      <c r="CO746" s="27"/>
      <c r="CP746" s="27"/>
      <c r="CQ746" s="27"/>
      <c r="CR746" s="27"/>
      <c r="CS746" s="27"/>
      <c r="CT746" s="27"/>
      <c r="CU746" s="27"/>
      <c r="CV746" s="27"/>
      <c r="CW746" s="27"/>
      <c r="CX746" s="27"/>
      <c r="CY746" s="27"/>
      <c r="CZ746" s="27"/>
      <c r="DA746" s="27"/>
      <c r="DB746" s="27"/>
      <c r="DC746" s="27"/>
      <c r="DD746" s="27"/>
      <c r="DE746" s="27"/>
      <c r="DF746" s="27"/>
      <c r="DG746" s="27"/>
      <c r="DH746" s="27"/>
      <c r="DI746" s="27"/>
      <c r="DJ746" s="27"/>
      <c r="DK746" s="27"/>
      <c r="DL746" s="27"/>
      <c r="DM746" s="27"/>
      <c r="DN746" s="27"/>
      <c r="DO746" s="27"/>
      <c r="DP746" s="27"/>
      <c r="DQ746" s="27"/>
      <c r="DR746" s="27"/>
      <c r="DS746" s="27"/>
      <c r="DT746" s="27"/>
    </row>
    <row r="747" spans="7:124" x14ac:dyDescent="0.2">
      <c r="G747" s="27"/>
      <c r="H747" s="27"/>
      <c r="I747" s="27"/>
      <c r="J747" s="27"/>
      <c r="K747" s="27"/>
      <c r="L747" s="27"/>
      <c r="M747" s="27">
        <f>VLOOKUP(INT(W752),horaa2,AM720+2,FALSE)*(1)*AX737</f>
        <v>6975.17</v>
      </c>
      <c r="N747" s="27" t="s">
        <v>113</v>
      </c>
      <c r="O747" s="27"/>
      <c r="P747" s="27"/>
      <c r="Q747" s="27"/>
      <c r="R747" s="27"/>
      <c r="S747" s="27" t="str">
        <f>V743</f>
        <v xml:space="preserve">גמול תואר </v>
      </c>
      <c r="T747" s="27">
        <v>0</v>
      </c>
      <c r="U747" s="27">
        <v>0</v>
      </c>
      <c r="V747" s="27" t="str">
        <f>S747</f>
        <v xml:space="preserve">גמול תואר </v>
      </c>
      <c r="W747" s="27">
        <v>0</v>
      </c>
      <c r="X747" s="27"/>
      <c r="Y747" s="27"/>
      <c r="Z747" s="27"/>
      <c r="AA747" s="27" t="s">
        <v>304</v>
      </c>
      <c r="AB747" s="27">
        <f>IF(AA738&lt;AA739,AA738-INT(AA738),0)</f>
        <v>0</v>
      </c>
      <c r="AC747" s="27">
        <f>MONTH(AF735)</f>
        <v>1</v>
      </c>
      <c r="AD747" s="27">
        <f>DAY(AF735)</f>
        <v>31</v>
      </c>
      <c r="AE747" s="27"/>
      <c r="AF747" s="27"/>
      <c r="AG747" s="27"/>
      <c r="AH747" s="27">
        <v>40451</v>
      </c>
      <c r="AI747" s="27"/>
      <c r="AJ747" s="27"/>
      <c r="AK747" s="27"/>
      <c r="AL747" s="27"/>
      <c r="AM747" s="27"/>
      <c r="AN747" s="27">
        <v>19</v>
      </c>
      <c r="AO747" s="27">
        <v>40</v>
      </c>
      <c r="AP747" s="27"/>
      <c r="AQ747" s="27"/>
      <c r="AR747" s="27"/>
      <c r="AS747" s="27"/>
      <c r="AT747" s="27"/>
      <c r="AU747" s="27"/>
      <c r="AV747" s="27" t="s">
        <v>365</v>
      </c>
      <c r="AW747" s="27" t="s">
        <v>366</v>
      </c>
      <c r="AX747" s="27"/>
      <c r="AY747" s="27"/>
      <c r="AZ747" s="27"/>
      <c r="BA747" s="27"/>
      <c r="BB747" s="27"/>
      <c r="BC747" s="27"/>
      <c r="BD747" s="27"/>
      <c r="BE747" s="27"/>
      <c r="BF747" s="27"/>
      <c r="BG747" s="27"/>
      <c r="BH747" s="27"/>
      <c r="BI747" s="27"/>
      <c r="BJ747" s="27"/>
      <c r="BK747" s="27"/>
      <c r="BL747" s="27"/>
      <c r="BM747" s="27"/>
      <c r="BN747" s="27"/>
      <c r="BO747" s="27"/>
      <c r="BP747" s="27"/>
      <c r="BQ747" s="27"/>
      <c r="BR747" s="27"/>
      <c r="BS747" s="27"/>
      <c r="BT747" s="27"/>
      <c r="BU747" s="27"/>
      <c r="BV747" s="27"/>
      <c r="BW747" s="27"/>
      <c r="BX747" s="27"/>
      <c r="BY747" s="27"/>
      <c r="BZ747" s="27"/>
      <c r="CA747" s="27"/>
      <c r="CB747" s="27"/>
      <c r="CC747" s="27"/>
      <c r="CD747" s="27"/>
      <c r="CE747" s="27"/>
      <c r="CF747" s="27"/>
      <c r="CG747" s="27"/>
      <c r="CH747" s="27"/>
      <c r="CI747" s="27"/>
      <c r="CJ747" s="27"/>
      <c r="CK747" s="27"/>
      <c r="CL747" s="27"/>
      <c r="CM747" s="27"/>
      <c r="CN747" s="27"/>
      <c r="CO747" s="27"/>
      <c r="CP747" s="27"/>
      <c r="CQ747" s="27"/>
      <c r="CR747" s="27"/>
      <c r="CS747" s="27"/>
      <c r="CT747" s="27"/>
      <c r="CU747" s="27"/>
      <c r="CV747" s="27"/>
      <c r="CW747" s="27"/>
      <c r="CX747" s="27"/>
      <c r="CY747" s="27"/>
      <c r="CZ747" s="27"/>
      <c r="DA747" s="27"/>
      <c r="DB747" s="27"/>
      <c r="DC747" s="27"/>
      <c r="DD747" s="27"/>
      <c r="DE747" s="27"/>
      <c r="DF747" s="27"/>
      <c r="DG747" s="27"/>
      <c r="DH747" s="27"/>
      <c r="DI747" s="27"/>
      <c r="DJ747" s="27"/>
      <c r="DK747" s="27"/>
      <c r="DL747" s="27"/>
      <c r="DM747" s="27"/>
      <c r="DN747" s="27"/>
      <c r="DO747" s="27"/>
      <c r="DP747" s="27"/>
      <c r="DQ747" s="27"/>
      <c r="DR747" s="27"/>
      <c r="DS747" s="27"/>
      <c r="DT747" s="27"/>
    </row>
    <row r="748" spans="7:124" x14ac:dyDescent="0.2">
      <c r="G748" s="27"/>
      <c r="H748" s="27"/>
      <c r="I748" s="27"/>
      <c r="J748" s="27"/>
      <c r="K748" s="27"/>
      <c r="L748" s="27"/>
      <c r="M748" s="27">
        <f>M747*S705</f>
        <v>209.2551</v>
      </c>
      <c r="N748" s="27" t="e">
        <f>#REF!</f>
        <v>#REF!</v>
      </c>
      <c r="O748" s="27"/>
      <c r="P748" s="27"/>
      <c r="Q748" s="27"/>
      <c r="R748" s="27"/>
      <c r="S748" s="27"/>
      <c r="T748" s="27"/>
      <c r="U748" s="27"/>
      <c r="V748" s="27"/>
      <c r="W748" s="27"/>
      <c r="X748" s="27"/>
      <c r="Y748" s="27"/>
      <c r="Z748" s="27" t="e">
        <f ca="1">35%*Z749</f>
        <v>#REF!</v>
      </c>
      <c r="AA748" s="27" t="s">
        <v>370</v>
      </c>
      <c r="AB748" s="27">
        <f ca="1">YEAR(AF735)-YEAR(I775)</f>
        <v>-13</v>
      </c>
      <c r="AC748" s="27"/>
      <c r="AD748" s="27"/>
      <c r="AE748" s="27"/>
      <c r="AF748" s="27"/>
      <c r="AG748" s="27"/>
      <c r="AH748" s="27">
        <v>40482</v>
      </c>
      <c r="AI748" s="27"/>
      <c r="AJ748" s="27"/>
      <c r="AK748" s="27"/>
      <c r="AL748" s="27"/>
      <c r="AM748" s="27"/>
      <c r="AN748" s="27" t="s">
        <v>371</v>
      </c>
      <c r="AO748" s="27" t="s">
        <v>372</v>
      </c>
      <c r="AP748" s="27"/>
      <c r="AQ748" s="27"/>
      <c r="AR748" s="27"/>
      <c r="AS748" s="27"/>
      <c r="AT748" s="27" t="s">
        <v>373</v>
      </c>
      <c r="AU748" s="27" t="e">
        <f>IF(W724=AE723,(VLOOKUP(INT(W752),__tav1,AN720+1,FALSE))*(1+AB746/100)*AX737,(VLOOKUP(INT(W752),__tmh1,AN720+1,FALSE))*(1+AB746/100)*AX737)</f>
        <v>#REF!</v>
      </c>
      <c r="AV748" s="27"/>
      <c r="AW748" s="27"/>
      <c r="AX748" s="27"/>
      <c r="AY748" s="27"/>
      <c r="AZ748" s="27"/>
      <c r="BA748" s="27"/>
      <c r="BB748" s="27"/>
      <c r="BC748" s="27"/>
      <c r="BD748" s="27"/>
      <c r="BE748" s="27"/>
      <c r="BF748" s="27"/>
      <c r="BG748" s="27"/>
      <c r="BH748" s="27"/>
      <c r="BI748" s="27"/>
      <c r="BJ748" s="27"/>
      <c r="BK748" s="27" t="s">
        <v>59</v>
      </c>
      <c r="BL748" s="27">
        <v>9268236</v>
      </c>
      <c r="BM748" s="27"/>
      <c r="BN748" s="27"/>
      <c r="BO748" s="27"/>
      <c r="BP748" s="27"/>
      <c r="BQ748" s="27"/>
      <c r="BR748" s="27"/>
      <c r="BS748" s="27"/>
      <c r="BT748" s="27"/>
      <c r="BU748" s="27">
        <v>9</v>
      </c>
      <c r="BV748" s="27">
        <v>0.02</v>
      </c>
      <c r="BW748" s="27">
        <v>4692.3500000000004</v>
      </c>
      <c r="BX748" s="27">
        <v>4432.88</v>
      </c>
      <c r="BY748" s="27">
        <v>4137.34</v>
      </c>
      <c r="BZ748" s="27">
        <v>3953.55</v>
      </c>
      <c r="CA748" s="27">
        <v>3603.95</v>
      </c>
      <c r="CB748" s="27">
        <v>3603.95</v>
      </c>
      <c r="CC748" s="27">
        <v>3135.42</v>
      </c>
      <c r="CD748" s="27">
        <v>2937.21</v>
      </c>
      <c r="CE748" s="27">
        <v>2865.12</v>
      </c>
      <c r="CF748" s="27">
        <v>2775.02</v>
      </c>
      <c r="CG748" s="27">
        <v>3953.55</v>
      </c>
      <c r="CH748" s="27">
        <v>3676.05</v>
      </c>
      <c r="CI748" s="27">
        <v>3135.42</v>
      </c>
      <c r="CJ748" s="27">
        <v>3870.66</v>
      </c>
      <c r="CK748" s="27">
        <v>3953.55</v>
      </c>
      <c r="CL748" s="27"/>
      <c r="CM748" s="27"/>
      <c r="CN748" s="27"/>
      <c r="CO748" s="27"/>
      <c r="CP748" s="27"/>
      <c r="CQ748" s="27"/>
      <c r="CR748" s="27"/>
      <c r="CS748" s="27"/>
      <c r="CT748" s="27"/>
      <c r="CU748" s="27"/>
      <c r="CV748" s="27"/>
      <c r="CW748" s="27"/>
      <c r="CX748" s="27"/>
      <c r="CY748" s="27"/>
      <c r="CZ748" s="27"/>
      <c r="DA748" s="27"/>
      <c r="DB748" s="27"/>
      <c r="DC748" s="27"/>
      <c r="DD748" s="27"/>
      <c r="DE748" s="27"/>
      <c r="DF748" s="27"/>
      <c r="DG748" s="27"/>
      <c r="DH748" s="27"/>
      <c r="DI748" s="27"/>
      <c r="DJ748" s="27"/>
      <c r="DK748" s="27"/>
      <c r="DL748" s="27"/>
      <c r="DM748" s="27"/>
      <c r="DN748" s="27"/>
      <c r="DO748" s="27"/>
      <c r="DP748" s="27"/>
      <c r="DQ748" s="27"/>
      <c r="DR748" s="27"/>
      <c r="DS748" s="27"/>
      <c r="DT748" s="27"/>
    </row>
    <row r="749" spans="7:124" x14ac:dyDescent="0.2">
      <c r="G749" s="27"/>
      <c r="H749" s="27"/>
      <c r="I749" s="27"/>
      <c r="J749" s="27"/>
      <c r="K749" s="27"/>
      <c r="L749" s="27"/>
      <c r="M749" s="27">
        <f>L786</f>
        <v>0</v>
      </c>
      <c r="N749" s="27" t="e">
        <f>#REF!</f>
        <v>#REF!</v>
      </c>
      <c r="O749" s="27"/>
      <c r="P749" s="27"/>
      <c r="Q749" s="27"/>
      <c r="R749" s="27"/>
      <c r="S749" s="27"/>
      <c r="T749" s="27"/>
      <c r="U749" s="27"/>
      <c r="V749" s="27" t="s">
        <v>376</v>
      </c>
      <c r="W749" s="27">
        <v>0</v>
      </c>
      <c r="X749" s="27"/>
      <c r="Y749" s="27"/>
      <c r="Z749" s="27" t="e">
        <f ca="1">IF(K909&gt;'[1]נתוני מס'!N16,'[1]נתוני מס'!N16,K909)</f>
        <v>#REF!</v>
      </c>
      <c r="AA749" s="27"/>
      <c r="AB749" s="27"/>
      <c r="AC749" s="27">
        <f>MONTH(AL723)</f>
        <v>3</v>
      </c>
      <c r="AD749" s="27">
        <f>DAY(AL723)</f>
        <v>18</v>
      </c>
      <c r="AE749" s="27"/>
      <c r="AF749" s="27"/>
      <c r="AG749" s="27"/>
      <c r="AH749" s="27">
        <v>40512</v>
      </c>
      <c r="AI749" s="27"/>
      <c r="AJ749" s="27" t="s">
        <v>377</v>
      </c>
      <c r="AK749" s="27"/>
      <c r="AL749" s="27"/>
      <c r="AM749" s="27"/>
      <c r="AN749" s="27">
        <v>20</v>
      </c>
      <c r="AO749" s="27">
        <v>41</v>
      </c>
      <c r="AP749" s="27"/>
      <c r="AQ749" s="27"/>
      <c r="AR749" s="27"/>
      <c r="AS749" s="27"/>
      <c r="AT749" s="27"/>
      <c r="AU749" s="27"/>
      <c r="AV749" s="27"/>
      <c r="AW749" s="27"/>
      <c r="AX749" s="27"/>
      <c r="AY749" s="27"/>
      <c r="AZ749" s="27"/>
      <c r="BA749" s="27"/>
      <c r="BB749" s="27"/>
      <c r="BC749" s="27"/>
      <c r="BD749" s="27"/>
      <c r="BE749" s="27">
        <f>AK720-F927</f>
        <v>14.130000000000003</v>
      </c>
      <c r="BF749" s="27" t="s">
        <v>378</v>
      </c>
      <c r="BG749" s="27" t="e">
        <f>#REF!</f>
        <v>#REF!</v>
      </c>
      <c r="BH749" s="27"/>
      <c r="BI749" s="27"/>
      <c r="BJ749" s="27"/>
      <c r="BK749" s="27"/>
      <c r="BL749" s="27"/>
      <c r="BM749" s="27"/>
      <c r="BN749" s="27"/>
      <c r="BO749" s="27"/>
      <c r="BP749" s="27"/>
      <c r="BQ749" s="27"/>
      <c r="BR749" s="27"/>
      <c r="BS749" s="27"/>
      <c r="BT749" s="27"/>
      <c r="BU749" s="27"/>
      <c r="BV749" s="27"/>
      <c r="BW749" s="27"/>
      <c r="BX749" s="27"/>
      <c r="BY749" s="27"/>
      <c r="BZ749" s="27"/>
      <c r="CA749" s="27"/>
      <c r="CB749" s="27"/>
      <c r="CC749" s="27"/>
      <c r="CD749" s="27"/>
      <c r="CE749" s="27"/>
      <c r="CF749" s="27"/>
      <c r="CG749" s="27"/>
      <c r="CH749" s="27"/>
      <c r="CI749" s="27"/>
      <c r="CJ749" s="27"/>
      <c r="CK749" s="27"/>
      <c r="CL749" s="27"/>
      <c r="CM749" s="27"/>
      <c r="CN749" s="27"/>
      <c r="CO749" s="27"/>
      <c r="CP749" s="27"/>
      <c r="CQ749" s="27"/>
      <c r="CR749" s="27"/>
      <c r="CS749" s="27"/>
      <c r="CT749" s="27"/>
      <c r="CU749" s="27"/>
      <c r="CV749" s="27"/>
      <c r="CW749" s="27"/>
      <c r="CX749" s="27"/>
      <c r="CY749" s="27"/>
      <c r="CZ749" s="27"/>
      <c r="DA749" s="27"/>
      <c r="DB749" s="27"/>
      <c r="DC749" s="27"/>
      <c r="DD749" s="27"/>
      <c r="DE749" s="27"/>
      <c r="DF749" s="27"/>
      <c r="DG749" s="27"/>
      <c r="DH749" s="27"/>
      <c r="DI749" s="27"/>
      <c r="DJ749" s="27"/>
      <c r="DK749" s="27"/>
      <c r="DL749" s="27"/>
      <c r="DM749" s="27"/>
      <c r="DN749" s="27"/>
      <c r="DO749" s="27"/>
      <c r="DP749" s="27"/>
      <c r="DQ749" s="27"/>
      <c r="DR749" s="27"/>
      <c r="DS749" s="27"/>
      <c r="DT749" s="27"/>
    </row>
    <row r="750" spans="7:124" x14ac:dyDescent="0.2">
      <c r="G750" s="27"/>
      <c r="H750" s="27"/>
      <c r="I750" s="27"/>
      <c r="J750" s="27"/>
      <c r="K750" s="27"/>
      <c r="L750" s="27"/>
      <c r="M750" s="27">
        <f>(M747+M748)*S706</f>
        <v>345.57084730999998</v>
      </c>
      <c r="N750" s="27" t="e">
        <f>#REF!</f>
        <v>#REF!</v>
      </c>
      <c r="O750" s="27"/>
      <c r="P750" s="27"/>
      <c r="Q750" s="27"/>
      <c r="R750" s="27"/>
      <c r="S750" s="27"/>
      <c r="T750" s="27"/>
      <c r="U750" s="27"/>
      <c r="V750" s="27" t="s">
        <v>379</v>
      </c>
      <c r="W750" s="27">
        <v>0</v>
      </c>
      <c r="X750" s="27"/>
      <c r="Y750" s="27"/>
      <c r="Z750" s="27"/>
      <c r="AA750" s="27"/>
      <c r="AB750" s="27"/>
      <c r="AC750" s="27" t="s">
        <v>360</v>
      </c>
      <c r="AD750" s="27">
        <f>IF((AC749=2)*AND(AD749&lt;16),0,AE750)</f>
        <v>0.25</v>
      </c>
      <c r="AE750" s="27">
        <f>IF(AC749&gt;11,1,IF((AC749=11)*AND(AD749&gt;15),1,IF(AC749&gt;8,0.75,IF((AC749=8)*AND(AD749&gt;15),0.75,IF(AC749&gt;5,0.5,IF((AC749=5)*AND(AD749&gt;15),0.5,IF(AC749&gt;2,0.25,IF(AC749=2,                0.25,0))))))))</f>
        <v>0.25</v>
      </c>
      <c r="AF750" s="27"/>
      <c r="AG750" s="27"/>
      <c r="AH750" s="27">
        <v>40543</v>
      </c>
      <c r="AI750" s="27"/>
      <c r="AJ750" s="27">
        <v>24.582999999999998</v>
      </c>
      <c r="AK750" s="27"/>
      <c r="AL750" s="27"/>
      <c r="AM750" s="27"/>
      <c r="AN750" s="27" t="s">
        <v>380</v>
      </c>
      <c r="AO750" s="27" t="s">
        <v>381</v>
      </c>
      <c r="AP750" s="27"/>
      <c r="AQ750" s="27"/>
      <c r="AR750" s="27"/>
      <c r="AS750" s="27"/>
      <c r="AT750" s="27"/>
      <c r="AU750" s="27"/>
      <c r="AV750" s="27"/>
      <c r="AW750" s="27"/>
      <c r="AX750" s="27"/>
      <c r="AY750" s="27"/>
      <c r="AZ750" s="27"/>
      <c r="BA750" s="27"/>
      <c r="BB750" s="27"/>
      <c r="BC750" s="27"/>
      <c r="BD750" s="27"/>
      <c r="BE750" s="27" t="s">
        <v>59</v>
      </c>
      <c r="BF750" s="27" t="s">
        <v>382</v>
      </c>
      <c r="BG750" s="27" t="e">
        <f>G974</f>
        <v>#REF!</v>
      </c>
      <c r="BH750" s="27"/>
      <c r="BI750" s="27"/>
      <c r="BJ750" s="27"/>
      <c r="BK750" s="27"/>
      <c r="BL750" s="27"/>
      <c r="BM750" s="27"/>
      <c r="BN750" s="27"/>
      <c r="BO750" s="27"/>
      <c r="BP750" s="27"/>
      <c r="BQ750" s="27"/>
      <c r="BR750" s="27"/>
      <c r="BS750" s="27"/>
      <c r="BT750" s="27"/>
      <c r="BU750" s="27">
        <v>10</v>
      </c>
      <c r="BV750" s="27">
        <v>0.02</v>
      </c>
      <c r="BW750" s="27">
        <v>4786.1899999999996</v>
      </c>
      <c r="BX750" s="27">
        <v>4521.53</v>
      </c>
      <c r="BY750" s="27">
        <v>4220.08</v>
      </c>
      <c r="BZ750" s="27">
        <v>4032.62</v>
      </c>
      <c r="CA750" s="27">
        <v>3676.02</v>
      </c>
      <c r="CB750" s="27">
        <v>3676.02</v>
      </c>
      <c r="CC750" s="27">
        <v>3198.12</v>
      </c>
      <c r="CD750" s="27">
        <v>2995.95</v>
      </c>
      <c r="CE750" s="27">
        <v>2922.42</v>
      </c>
      <c r="CF750" s="27">
        <v>2830.52</v>
      </c>
      <c r="CG750" s="27">
        <v>4032.62</v>
      </c>
      <c r="CH750" s="27">
        <v>3749.57</v>
      </c>
      <c r="CI750" s="27">
        <v>3198.12</v>
      </c>
      <c r="CJ750" s="27">
        <v>3948.07</v>
      </c>
      <c r="CK750" s="27">
        <v>4032.62</v>
      </c>
      <c r="CL750" s="27"/>
      <c r="CM750" s="27"/>
      <c r="CN750" s="27"/>
      <c r="CO750" s="27"/>
      <c r="CP750" s="27"/>
      <c r="CQ750" s="27"/>
      <c r="CR750" s="27"/>
      <c r="CS750" s="27"/>
      <c r="CT750" s="27"/>
      <c r="CU750" s="27"/>
      <c r="CV750" s="27"/>
      <c r="CW750" s="27"/>
      <c r="CX750" s="27"/>
      <c r="CY750" s="27"/>
      <c r="CZ750" s="27"/>
      <c r="DA750" s="27"/>
      <c r="DB750" s="27"/>
      <c r="DC750" s="27"/>
      <c r="DD750" s="27"/>
      <c r="DE750" s="27"/>
      <c r="DF750" s="27"/>
      <c r="DG750" s="27"/>
      <c r="DH750" s="27"/>
      <c r="DI750" s="27"/>
      <c r="DJ750" s="27"/>
      <c r="DK750" s="27"/>
      <c r="DL750" s="27"/>
      <c r="DM750" s="27"/>
      <c r="DN750" s="27"/>
      <c r="DO750" s="27"/>
      <c r="DP750" s="27"/>
      <c r="DQ750" s="27"/>
      <c r="DR750" s="27"/>
      <c r="DS750" s="27"/>
      <c r="DT750" s="27"/>
    </row>
    <row r="751" spans="7:124" x14ac:dyDescent="0.2">
      <c r="G751" s="27"/>
      <c r="H751" s="27"/>
      <c r="I751" s="27"/>
      <c r="J751" s="27"/>
      <c r="K751" s="27"/>
      <c r="L751" s="27"/>
      <c r="M751" s="27">
        <f>L788</f>
        <v>0</v>
      </c>
      <c r="N751" s="27" t="e">
        <f>#REF!</f>
        <v>#REF!</v>
      </c>
      <c r="O751" s="27"/>
      <c r="P751" s="27"/>
      <c r="Q751" s="27"/>
      <c r="R751" s="27"/>
      <c r="S751" s="27"/>
      <c r="T751" s="27"/>
      <c r="U751" s="27"/>
      <c r="V751" s="27"/>
      <c r="W751" s="27"/>
      <c r="X751" s="27"/>
      <c r="Y751" s="27"/>
      <c r="Z751" s="27" t="s">
        <v>383</v>
      </c>
      <c r="AA751" s="27" t="e">
        <f ca="1">K909/G966</f>
        <v>#REF!</v>
      </c>
      <c r="AB751" s="27"/>
      <c r="AC751" s="27"/>
      <c r="AD751" s="27"/>
      <c r="AE751" s="27"/>
      <c r="AF751" s="27"/>
      <c r="AG751" s="27"/>
      <c r="AH751" s="27">
        <v>40574</v>
      </c>
      <c r="AI751" s="27"/>
      <c r="AJ751" s="27">
        <f>DATE(YEAR(AF735),MONTH(AF735)-MONTH(AF735)+1,DAY(AF735)-DAY(AF735)+1)</f>
        <v>40544</v>
      </c>
      <c r="AK751" s="27"/>
      <c r="AL751" s="27"/>
      <c r="AM751" s="27"/>
      <c r="AN751" s="27">
        <v>21</v>
      </c>
      <c r="AO751" s="27">
        <v>42</v>
      </c>
      <c r="AP751" s="27"/>
      <c r="AQ751" s="27"/>
      <c r="AR751" s="27"/>
      <c r="AS751" s="27"/>
      <c r="AT751" s="27" t="s">
        <v>384</v>
      </c>
      <c r="AU751" s="27" t="s">
        <v>385</v>
      </c>
      <c r="AV751" s="27"/>
      <c r="AW751" s="27"/>
      <c r="AX751" s="27"/>
      <c r="AY751" s="27"/>
      <c r="AZ751" s="27"/>
      <c r="BA751" s="27"/>
      <c r="BB751" s="27"/>
      <c r="BC751" s="27"/>
      <c r="BD751" s="27"/>
      <c r="BE751" s="27"/>
      <c r="BF751" s="27" t="s">
        <v>386</v>
      </c>
      <c r="BG751" s="27" t="e">
        <f>BG749-BG750</f>
        <v>#REF!</v>
      </c>
      <c r="BH751" s="27"/>
      <c r="BI751" s="27"/>
      <c r="BJ751" s="27"/>
      <c r="BK751" s="27"/>
      <c r="BL751" s="27"/>
      <c r="BM751" s="27">
        <v>9268335</v>
      </c>
      <c r="BN751" s="27"/>
      <c r="BO751" s="27"/>
      <c r="BP751" s="27"/>
      <c r="BQ751" s="27"/>
      <c r="BR751" s="27"/>
      <c r="BS751" s="27"/>
      <c r="BT751" s="27"/>
      <c r="BU751" s="27"/>
      <c r="BV751" s="27"/>
      <c r="BW751" s="27"/>
      <c r="BX751" s="27"/>
      <c r="BY751" s="27"/>
      <c r="BZ751" s="27"/>
      <c r="CA751" s="27"/>
      <c r="CB751" s="27"/>
      <c r="CC751" s="27"/>
      <c r="CD751" s="27"/>
      <c r="CE751" s="27"/>
      <c r="CF751" s="27"/>
      <c r="CG751" s="27"/>
      <c r="CH751" s="27"/>
      <c r="CI751" s="27"/>
      <c r="CJ751" s="27"/>
      <c r="CK751" s="27"/>
      <c r="CL751" s="27"/>
      <c r="CM751" s="27"/>
      <c r="CN751" s="27"/>
      <c r="CO751" s="27"/>
      <c r="CP751" s="27"/>
      <c r="CQ751" s="27"/>
      <c r="CR751" s="27"/>
      <c r="CS751" s="27"/>
      <c r="CT751" s="27"/>
      <c r="CU751" s="27"/>
      <c r="CV751" s="27"/>
      <c r="CW751" s="27"/>
      <c r="CX751" s="27"/>
      <c r="CY751" s="27"/>
      <c r="CZ751" s="27"/>
      <c r="DA751" s="27"/>
      <c r="DB751" s="27"/>
      <c r="DC751" s="27"/>
      <c r="DD751" s="27"/>
      <c r="DE751" s="27"/>
      <c r="DF751" s="27"/>
      <c r="DG751" s="27"/>
      <c r="DH751" s="27"/>
      <c r="DI751" s="27"/>
      <c r="DJ751" s="27"/>
      <c r="DK751" s="27"/>
      <c r="DL751" s="27"/>
      <c r="DM751" s="27"/>
      <c r="DN751" s="27"/>
      <c r="DO751" s="27"/>
      <c r="DP751" s="27"/>
      <c r="DQ751" s="27"/>
      <c r="DR751" s="27"/>
      <c r="DS751" s="27"/>
      <c r="DT751" s="27"/>
    </row>
    <row r="752" spans="7:124" x14ac:dyDescent="0.2">
      <c r="G752" s="27"/>
      <c r="H752" s="27"/>
      <c r="I752" s="27"/>
      <c r="J752" s="27"/>
      <c r="K752" s="27"/>
      <c r="L752" s="27"/>
      <c r="M752" s="27">
        <f>SUM(M747:M750)*BB774</f>
        <v>0</v>
      </c>
      <c r="N752" s="27" t="str">
        <f>K789</f>
        <v>גמול חינוך מיוחד</v>
      </c>
      <c r="O752" s="27"/>
      <c r="P752" s="27"/>
      <c r="Q752" s="27"/>
      <c r="R752" s="27"/>
      <c r="S752" s="27"/>
      <c r="T752" s="27"/>
      <c r="U752" s="27"/>
      <c r="V752" s="27" t="s">
        <v>257</v>
      </c>
      <c r="W752" s="27">
        <f>BB771</f>
        <v>33</v>
      </c>
      <c r="X752" s="27"/>
      <c r="Y752" s="27"/>
      <c r="Z752" s="27" t="s">
        <v>387</v>
      </c>
      <c r="AA752" s="27" t="e">
        <f ca="1">G974*AA751</f>
        <v>#REF!</v>
      </c>
      <c r="AB752" s="27"/>
      <c r="AC752" s="27"/>
      <c r="AD752" s="27"/>
      <c r="AE752" s="27"/>
      <c r="AF752" s="27"/>
      <c r="AG752" s="27"/>
      <c r="AH752" s="27"/>
      <c r="AI752" s="27"/>
      <c r="AJ752" s="27">
        <f>ROUND((AF735-AJ751)/365.25,2)</f>
        <v>0.08</v>
      </c>
      <c r="AK752" s="27"/>
      <c r="AL752" s="27"/>
      <c r="AM752" s="27"/>
      <c r="AN752" s="27" t="s">
        <v>388</v>
      </c>
      <c r="AO752" s="27" t="s">
        <v>389</v>
      </c>
      <c r="AP752" s="27"/>
      <c r="AQ752" s="27"/>
      <c r="AR752" s="27"/>
      <c r="AS752" s="27" t="s">
        <v>390</v>
      </c>
      <c r="AT752" s="27"/>
      <c r="AU752" s="27" t="e">
        <f>E947</f>
        <v>#REF!</v>
      </c>
      <c r="AV752" s="27" t="s">
        <v>391</v>
      </c>
      <c r="AW752" s="27"/>
      <c r="AX752" s="27"/>
      <c r="AY752" s="27"/>
      <c r="AZ752" s="27"/>
      <c r="BA752" s="27"/>
      <c r="BB752" s="27"/>
      <c r="BC752" s="27"/>
      <c r="BD752" s="27"/>
      <c r="BE752" s="27"/>
      <c r="BF752" s="27"/>
      <c r="BG752" s="27" t="e">
        <f>BG751/BG749</f>
        <v>#REF!</v>
      </c>
      <c r="BH752" s="27"/>
      <c r="BI752" s="27"/>
      <c r="BJ752" s="27"/>
      <c r="BK752" s="27"/>
      <c r="BL752" s="27"/>
      <c r="BM752" s="27"/>
      <c r="BN752" s="27"/>
      <c r="BO752" s="27"/>
      <c r="BP752" s="27"/>
      <c r="BQ752" s="27"/>
      <c r="BR752" s="27"/>
      <c r="BS752" s="27"/>
      <c r="BT752" s="27"/>
      <c r="BU752" s="27">
        <v>11</v>
      </c>
      <c r="BV752" s="27">
        <v>0.02</v>
      </c>
      <c r="BW752" s="27">
        <v>4881.91</v>
      </c>
      <c r="BX752" s="27">
        <v>4611.96</v>
      </c>
      <c r="BY752" s="27">
        <v>4304.4799999999996</v>
      </c>
      <c r="BZ752" s="27">
        <v>4113.2700000000004</v>
      </c>
      <c r="CA752" s="27">
        <v>3749.54</v>
      </c>
      <c r="CB752" s="27">
        <v>3749.54</v>
      </c>
      <c r="CC752" s="27">
        <v>3262.08</v>
      </c>
      <c r="CD752" s="27">
        <v>3055.86</v>
      </c>
      <c r="CE752" s="27">
        <v>2980.86</v>
      </c>
      <c r="CF752" s="27">
        <v>2887.13</v>
      </c>
      <c r="CG752" s="27">
        <v>4113.2700000000004</v>
      </c>
      <c r="CH752" s="27">
        <v>3824.56</v>
      </c>
      <c r="CI752" s="27">
        <v>3262.08</v>
      </c>
      <c r="CJ752" s="27">
        <v>4027.03</v>
      </c>
      <c r="CK752" s="27">
        <v>4113.2700000000004</v>
      </c>
      <c r="CL752" s="27"/>
      <c r="CM752" s="27"/>
      <c r="CN752" s="27"/>
      <c r="CO752" s="27"/>
      <c r="CP752" s="27"/>
      <c r="CQ752" s="27"/>
      <c r="CR752" s="27"/>
      <c r="CS752" s="27"/>
      <c r="CT752" s="27"/>
      <c r="CU752" s="27"/>
      <c r="CV752" s="27"/>
      <c r="CW752" s="27"/>
      <c r="CX752" s="27"/>
      <c r="CY752" s="27"/>
      <c r="CZ752" s="27"/>
      <c r="DA752" s="27"/>
      <c r="DB752" s="27"/>
      <c r="DC752" s="27"/>
      <c r="DD752" s="27"/>
      <c r="DE752" s="27"/>
      <c r="DF752" s="27"/>
      <c r="DG752" s="27"/>
      <c r="DH752" s="27"/>
      <c r="DI752" s="27"/>
      <c r="DJ752" s="27"/>
      <c r="DK752" s="27"/>
      <c r="DL752" s="27"/>
      <c r="DM752" s="27"/>
      <c r="DN752" s="27"/>
      <c r="DO752" s="27"/>
      <c r="DP752" s="27"/>
      <c r="DQ752" s="27"/>
      <c r="DR752" s="27"/>
      <c r="DS752" s="27"/>
      <c r="DT752" s="27"/>
    </row>
    <row r="753" spans="7:124" x14ac:dyDescent="0.2">
      <c r="G753" s="27"/>
      <c r="H753" s="27"/>
      <c r="I753" s="27"/>
      <c r="J753" s="27"/>
      <c r="K753" s="27"/>
      <c r="L753" s="27"/>
      <c r="M753" s="27">
        <f>IF(BB775=S709,0,IF(BB775=S710,10%*(M742+SUM(M748:M750)),IF(BB775=S711,20%*(M742+SUM(M748:M750)),IF(BB775=S712,11.5%*(M742+SUM(M748:M750)),6%*SUM(M747:M750)))))</f>
        <v>0</v>
      </c>
      <c r="N753" s="27" t="e">
        <f>#REF!</f>
        <v>#REF!</v>
      </c>
      <c r="O753" s="27"/>
      <c r="P753" s="27"/>
      <c r="Q753" s="27"/>
      <c r="R753" s="27"/>
      <c r="S753" s="27"/>
      <c r="T753" s="27"/>
      <c r="U753" s="27"/>
      <c r="V753" s="27" t="s">
        <v>2</v>
      </c>
      <c r="W753" s="27" t="e">
        <f>IF(#REF!&gt;36,36,#REF!)</f>
        <v>#REF!</v>
      </c>
      <c r="X753" s="27"/>
      <c r="Y753" s="27"/>
      <c r="Z753" s="27" t="s">
        <v>392</v>
      </c>
      <c r="AA753" s="27"/>
      <c r="AB753" s="27"/>
      <c r="AC753" s="27"/>
      <c r="AD753" s="27" t="s">
        <v>393</v>
      </c>
      <c r="AE753" s="27" t="s">
        <v>394</v>
      </c>
      <c r="AF753" s="27"/>
      <c r="AG753" s="27"/>
      <c r="AH753" s="27"/>
      <c r="AI753" s="27"/>
      <c r="AJ753" s="27"/>
      <c r="AK753" s="27"/>
      <c r="AL753" s="27"/>
      <c r="AM753" s="27"/>
      <c r="AN753" s="27">
        <v>22</v>
      </c>
      <c r="AO753" s="27">
        <v>43</v>
      </c>
      <c r="AP753" s="27"/>
      <c r="AQ753" s="27"/>
      <c r="AR753" s="27"/>
      <c r="AS753" s="27" t="s">
        <v>59</v>
      </c>
      <c r="AT753" s="27">
        <v>12</v>
      </c>
      <c r="AU753" s="27" t="s">
        <v>395</v>
      </c>
      <c r="AV753" s="27" t="e">
        <f>12*AU752</f>
        <v>#REF!</v>
      </c>
      <c r="AW753" s="27"/>
      <c r="AX753" s="27"/>
      <c r="AY753" s="27"/>
      <c r="AZ753" s="27"/>
      <c r="BA753" s="27" t="s">
        <v>59</v>
      </c>
      <c r="BB753" s="27"/>
      <c r="BC753" s="27"/>
      <c r="BD753" s="27"/>
      <c r="BE753" s="27" t="s">
        <v>396</v>
      </c>
      <c r="BF753" s="27"/>
      <c r="BG753" s="27"/>
      <c r="BH753" s="27"/>
      <c r="BI753" s="27"/>
      <c r="BJ753" s="27"/>
      <c r="BK753" s="27"/>
      <c r="BL753" s="27" t="s">
        <v>397</v>
      </c>
      <c r="BM753" s="27"/>
      <c r="BN753" s="27"/>
      <c r="BO753" s="27"/>
      <c r="BP753" s="27"/>
      <c r="BQ753" s="27"/>
      <c r="BR753" s="27"/>
      <c r="BS753" s="27"/>
      <c r="BT753" s="27"/>
      <c r="BU753" s="27"/>
      <c r="BV753" s="27"/>
      <c r="BW753" s="27"/>
      <c r="BX753" s="27"/>
      <c r="BY753" s="27"/>
      <c r="BZ753" s="27"/>
      <c r="CA753" s="27"/>
      <c r="CB753" s="27"/>
      <c r="CC753" s="27"/>
      <c r="CD753" s="27"/>
      <c r="CE753" s="27"/>
      <c r="CF753" s="27"/>
      <c r="CG753" s="27"/>
      <c r="CH753" s="27"/>
      <c r="CI753" s="27"/>
      <c r="CJ753" s="27"/>
      <c r="CK753" s="27"/>
      <c r="CL753" s="27"/>
      <c r="CM753" s="27"/>
      <c r="CN753" s="27"/>
      <c r="CO753" s="27"/>
      <c r="CP753" s="27"/>
      <c r="CQ753" s="27"/>
      <c r="CR753" s="27"/>
      <c r="CS753" s="27"/>
      <c r="CT753" s="27"/>
      <c r="CU753" s="27"/>
      <c r="CV753" s="27"/>
      <c r="CW753" s="27"/>
      <c r="CX753" s="27"/>
      <c r="CY753" s="27"/>
      <c r="CZ753" s="27"/>
      <c r="DA753" s="27"/>
      <c r="DB753" s="27"/>
      <c r="DC753" s="27"/>
      <c r="DD753" s="27"/>
      <c r="DE753" s="27"/>
      <c r="DF753" s="27"/>
      <c r="DG753" s="27"/>
      <c r="DH753" s="27"/>
      <c r="DI753" s="27"/>
      <c r="DJ753" s="27"/>
      <c r="DK753" s="27"/>
      <c r="DL753" s="27"/>
      <c r="DM753" s="27"/>
      <c r="DN753" s="27"/>
      <c r="DO753" s="27"/>
      <c r="DP753" s="27"/>
      <c r="DQ753" s="27"/>
      <c r="DR753" s="27"/>
      <c r="DS753" s="27"/>
      <c r="DT753" s="27"/>
    </row>
    <row r="754" spans="7:124" x14ac:dyDescent="0.2">
      <c r="G754" s="27"/>
      <c r="H754" s="27"/>
      <c r="I754" s="27"/>
      <c r="J754" s="27"/>
      <c r="K754" s="27"/>
      <c r="L754" s="27"/>
      <c r="M754" s="27"/>
      <c r="N754" s="27"/>
      <c r="O754" s="27"/>
      <c r="P754" s="27"/>
      <c r="Q754" s="27"/>
      <c r="R754" s="27"/>
      <c r="S754" s="27"/>
      <c r="T754" s="27"/>
      <c r="U754" s="27"/>
      <c r="V754" s="27" t="s">
        <v>400</v>
      </c>
      <c r="W754" s="27">
        <v>1</v>
      </c>
      <c r="X754" s="27"/>
      <c r="Y754" s="27"/>
      <c r="Z754" s="27" t="e">
        <f>IF(#REF!&gt;0,#REF!/'[1]נתוני מס'!N16,0)</f>
        <v>#REF!</v>
      </c>
      <c r="AA754" s="27" t="s">
        <v>401</v>
      </c>
      <c r="AB754" s="27" t="s">
        <v>402</v>
      </c>
      <c r="AC754" s="27" t="s">
        <v>198</v>
      </c>
      <c r="AD754" s="27"/>
      <c r="AE754" s="27" t="e">
        <f>#REF!</f>
        <v>#REF!</v>
      </c>
      <c r="AF754" s="27"/>
      <c r="AG754" s="27"/>
      <c r="AH754" s="27"/>
      <c r="AI754" s="27"/>
      <c r="AJ754" s="27"/>
      <c r="AK754" s="27"/>
      <c r="AL754" s="27"/>
      <c r="AM754" s="27"/>
      <c r="AN754" s="27" t="s">
        <v>403</v>
      </c>
      <c r="AO754" s="27" t="s">
        <v>404</v>
      </c>
      <c r="AP754" s="27"/>
      <c r="AQ754" s="27"/>
      <c r="AR754" s="27"/>
      <c r="AS754" s="27" t="s">
        <v>405</v>
      </c>
      <c r="AT754" s="27"/>
      <c r="AU754" s="27"/>
      <c r="AV754" s="27" t="e">
        <f>AU752/2*G908</f>
        <v>#REF!</v>
      </c>
      <c r="AW754" s="27"/>
      <c r="AX754" s="27"/>
      <c r="AY754" s="27"/>
      <c r="AZ754" s="27"/>
      <c r="BA754" s="27">
        <f>IF((((60-F927)*2+(G908*2))/100+E110)&gt;70%,70%,(((60-F927)*2+(G908*2))/100+E110))</f>
        <v>0.7</v>
      </c>
      <c r="BB754" s="27"/>
      <c r="BC754" s="27"/>
      <c r="BD754" s="27"/>
      <c r="BE754" s="27"/>
      <c r="BF754" s="27"/>
      <c r="BG754" s="27"/>
      <c r="BH754" s="27"/>
      <c r="BI754" s="27"/>
      <c r="BJ754" s="27"/>
      <c r="BK754" s="27"/>
      <c r="BL754" s="27" t="s">
        <v>406</v>
      </c>
      <c r="BM754" s="27"/>
      <c r="BN754" s="27"/>
      <c r="BO754" s="27"/>
      <c r="BP754" s="27"/>
      <c r="BQ754" s="27"/>
      <c r="BR754" s="27"/>
      <c r="BS754" s="27"/>
      <c r="BT754" s="27"/>
      <c r="BU754" s="27">
        <v>12</v>
      </c>
      <c r="BV754" s="27">
        <v>0.02</v>
      </c>
      <c r="BW754" s="27">
        <v>4979.54</v>
      </c>
      <c r="BX754" s="27">
        <v>4704.1899999999996</v>
      </c>
      <c r="BY754" s="27">
        <v>4390.5600000000004</v>
      </c>
      <c r="BZ754" s="27">
        <v>4195.53</v>
      </c>
      <c r="CA754" s="27">
        <v>3824.53</v>
      </c>
      <c r="CB754" s="27">
        <v>3824.53</v>
      </c>
      <c r="CC754" s="27">
        <v>3327.32</v>
      </c>
      <c r="CD754" s="27">
        <v>3116.97</v>
      </c>
      <c r="CE754" s="27">
        <v>3040.47</v>
      </c>
      <c r="CF754" s="27">
        <v>2944.87</v>
      </c>
      <c r="CG754" s="27">
        <v>4195.53</v>
      </c>
      <c r="CH754" s="27">
        <v>3901.05</v>
      </c>
      <c r="CI754" s="27">
        <v>3327.32</v>
      </c>
      <c r="CJ754" s="27">
        <v>4107.57</v>
      </c>
      <c r="CK754" s="27">
        <v>4195.53</v>
      </c>
      <c r="CL754" s="27"/>
      <c r="CM754" s="27"/>
      <c r="CN754" s="27"/>
      <c r="CO754" s="27"/>
      <c r="CP754" s="27"/>
      <c r="CQ754" s="27"/>
      <c r="CR754" s="27"/>
      <c r="CS754" s="27"/>
      <c r="CT754" s="27"/>
      <c r="CU754" s="27"/>
      <c r="CV754" s="27"/>
      <c r="CW754" s="27"/>
      <c r="CX754" s="27"/>
      <c r="CY754" s="27"/>
      <c r="CZ754" s="27"/>
      <c r="DA754" s="27"/>
      <c r="DB754" s="27"/>
      <c r="DC754" s="27"/>
      <c r="DD754" s="27"/>
      <c r="DE754" s="27"/>
      <c r="DF754" s="27"/>
      <c r="DG754" s="27"/>
      <c r="DH754" s="27"/>
      <c r="DI754" s="27"/>
      <c r="DJ754" s="27"/>
      <c r="DK754" s="27"/>
      <c r="DL754" s="27"/>
      <c r="DM754" s="27"/>
      <c r="DN754" s="27"/>
      <c r="DO754" s="27"/>
      <c r="DP754" s="27"/>
      <c r="DQ754" s="27"/>
      <c r="DR754" s="27"/>
      <c r="DS754" s="27"/>
      <c r="DT754" s="27"/>
    </row>
    <row r="755" spans="7:124" x14ac:dyDescent="0.2">
      <c r="G755" s="27"/>
      <c r="H755" s="27"/>
      <c r="I755" s="27"/>
      <c r="J755" s="27"/>
      <c r="K755" s="27"/>
      <c r="L755" s="27"/>
      <c r="M755" s="27">
        <f>L792</f>
        <v>0</v>
      </c>
      <c r="N755" s="27" t="str">
        <f>K792</f>
        <v>גמול הכנה לבגרות</v>
      </c>
      <c r="O755" s="27"/>
      <c r="P755" s="27"/>
      <c r="Q755" s="27"/>
      <c r="R755" s="27"/>
      <c r="S755" s="27"/>
      <c r="T755" s="27"/>
      <c r="U755" s="27"/>
      <c r="V755" s="27"/>
      <c r="W755" s="27"/>
      <c r="X755" s="27"/>
      <c r="Y755" s="27"/>
      <c r="Z755" s="27"/>
      <c r="AA755" s="27" t="s">
        <v>407</v>
      </c>
      <c r="AB755" s="27" t="s">
        <v>408</v>
      </c>
      <c r="AC755" s="27" t="s">
        <v>71</v>
      </c>
      <c r="AD755" s="27"/>
      <c r="AE755" s="27"/>
      <c r="AF755" s="27" t="s">
        <v>409</v>
      </c>
      <c r="AG755" s="27">
        <f>IF(AF707=AC754,0.01%,0)</f>
        <v>0</v>
      </c>
      <c r="AH755" s="27"/>
      <c r="AI755" s="27"/>
      <c r="AJ755" s="27" t="s">
        <v>351</v>
      </c>
      <c r="AK755" s="27"/>
      <c r="AL755" s="27"/>
      <c r="AM755" s="27"/>
      <c r="AN755" s="27">
        <v>23</v>
      </c>
      <c r="AO755" s="27">
        <v>44</v>
      </c>
      <c r="AP755" s="27"/>
      <c r="AQ755" s="27"/>
      <c r="AR755" s="27"/>
      <c r="AS755" s="27"/>
      <c r="AT755" s="27"/>
      <c r="AU755" s="27" t="s">
        <v>410</v>
      </c>
      <c r="AV755" s="27" t="e">
        <f ca="1">BA758</f>
        <v>#REF!</v>
      </c>
      <c r="AW755" s="27"/>
      <c r="AX755" s="27" t="s">
        <v>411</v>
      </c>
      <c r="AY755" s="27"/>
      <c r="AZ755" s="27"/>
      <c r="BA755" s="27" t="e">
        <f ca="1">O737*BA754</f>
        <v>#REF!</v>
      </c>
      <c r="BB755" s="27"/>
      <c r="BC755" s="27"/>
      <c r="BD755" s="27"/>
      <c r="BE755" s="27"/>
      <c r="BF755" s="27"/>
      <c r="BG755" s="27"/>
      <c r="BH755" s="27"/>
      <c r="BI755" s="27"/>
      <c r="BJ755" s="27"/>
      <c r="BK755" s="27"/>
      <c r="BL755" s="27"/>
      <c r="BM755" s="27"/>
      <c r="BN755" s="27"/>
      <c r="BO755" s="27"/>
      <c r="BP755" s="27"/>
      <c r="BQ755" s="27"/>
      <c r="BR755" s="27"/>
      <c r="BS755" s="27"/>
      <c r="BT755" s="27"/>
      <c r="BU755" s="27"/>
      <c r="BV755" s="27"/>
      <c r="BW755" s="27"/>
      <c r="BX755" s="27"/>
      <c r="BY755" s="27"/>
      <c r="BZ755" s="27"/>
      <c r="CA755" s="27"/>
      <c r="CB755" s="27"/>
      <c r="CC755" s="27"/>
      <c r="CD755" s="27"/>
      <c r="CE755" s="27"/>
      <c r="CF755" s="27"/>
      <c r="CG755" s="27"/>
      <c r="CH755" s="27"/>
      <c r="CI755" s="27"/>
      <c r="CJ755" s="27"/>
      <c r="CK755" s="27"/>
      <c r="CL755" s="27"/>
      <c r="CM755" s="27"/>
      <c r="CN755" s="27"/>
      <c r="CO755" s="27"/>
      <c r="CP755" s="27"/>
      <c r="CQ755" s="27"/>
      <c r="CR755" s="27"/>
      <c r="CS755" s="27"/>
      <c r="CT755" s="27"/>
      <c r="CU755" s="27"/>
      <c r="CV755" s="27"/>
      <c r="CW755" s="27"/>
      <c r="CX755" s="27"/>
      <c r="CY755" s="27"/>
      <c r="CZ755" s="27"/>
      <c r="DA755" s="27"/>
      <c r="DB755" s="27"/>
      <c r="DC755" s="27"/>
      <c r="DD755" s="27"/>
      <c r="DE755" s="27"/>
      <c r="DF755" s="27"/>
      <c r="DG755" s="27"/>
      <c r="DH755" s="27"/>
      <c r="DI755" s="27"/>
      <c r="DJ755" s="27"/>
      <c r="DK755" s="27"/>
      <c r="DL755" s="27"/>
      <c r="DM755" s="27"/>
      <c r="DN755" s="27"/>
      <c r="DO755" s="27"/>
      <c r="DP755" s="27"/>
      <c r="DQ755" s="27"/>
      <c r="DR755" s="27"/>
      <c r="DS755" s="27"/>
      <c r="DT755" s="27"/>
    </row>
    <row r="756" spans="7:124" x14ac:dyDescent="0.2">
      <c r="G756" s="27"/>
      <c r="H756" s="27"/>
      <c r="I756" s="27"/>
      <c r="J756" s="27"/>
      <c r="K756" s="27"/>
      <c r="L756" s="27"/>
      <c r="M756" s="27">
        <f>Y714*M742</f>
        <v>0</v>
      </c>
      <c r="N756" s="27" t="str">
        <f>K793</f>
        <v xml:space="preserve">גמול יעוץ </v>
      </c>
      <c r="O756" s="27"/>
      <c r="P756" s="27"/>
      <c r="Q756" s="27"/>
      <c r="R756" s="27"/>
      <c r="S756" s="27"/>
      <c r="T756" s="27"/>
      <c r="U756" s="27"/>
      <c r="V756" s="27" t="s">
        <v>412</v>
      </c>
      <c r="W756" s="27"/>
      <c r="X756" s="27"/>
      <c r="Y756" s="27"/>
      <c r="Z756" s="27"/>
      <c r="AA756" s="27"/>
      <c r="AB756" s="27"/>
      <c r="AC756" s="27"/>
      <c r="AD756" s="27"/>
      <c r="AE756" s="27"/>
      <c r="AF756" s="27"/>
      <c r="AG756" s="27">
        <f>IF(AF707=AC754,0.21%,0)</f>
        <v>0</v>
      </c>
      <c r="AH756" s="27"/>
      <c r="AI756" s="27"/>
      <c r="AJ756" s="27" t="e">
        <f>IF(G971-'[1]נתוני מס'!J42&lt;0,0,G971-'[1]נתוני מס'!J42)</f>
        <v>#REF!</v>
      </c>
      <c r="AK756" s="27"/>
      <c r="AL756" s="27"/>
      <c r="AM756" s="27"/>
      <c r="AN756" s="27" t="s">
        <v>413</v>
      </c>
      <c r="AO756" s="27" t="s">
        <v>414</v>
      </c>
      <c r="AP756" s="27"/>
      <c r="AQ756" s="27"/>
      <c r="AR756" s="27"/>
      <c r="AS756" s="27"/>
      <c r="AT756" s="27"/>
      <c r="AU756" s="27"/>
      <c r="AV756" s="27"/>
      <c r="AW756" s="27"/>
      <c r="AX756" s="27" t="s">
        <v>415</v>
      </c>
      <c r="AY756" s="27"/>
      <c r="AZ756" s="27"/>
      <c r="BA756" s="27" t="e">
        <f>E947*G960</f>
        <v>#REF!</v>
      </c>
      <c r="BB756" s="27"/>
      <c r="BC756" s="27"/>
      <c r="BD756" s="27"/>
      <c r="BE756" s="27"/>
      <c r="BF756" s="27"/>
      <c r="BG756" s="27"/>
      <c r="BH756" s="27"/>
      <c r="BI756" s="27"/>
      <c r="BJ756" s="27"/>
      <c r="BK756" s="27"/>
      <c r="BL756" s="27"/>
      <c r="BM756" s="27"/>
      <c r="BN756" s="27"/>
      <c r="BO756" s="27"/>
      <c r="BP756" s="27"/>
      <c r="BQ756" s="27"/>
      <c r="BR756" s="27"/>
      <c r="BS756" s="27"/>
      <c r="BT756" s="27"/>
      <c r="BU756" s="27">
        <v>13</v>
      </c>
      <c r="BV756" s="27">
        <v>0.02</v>
      </c>
      <c r="BW756" s="27">
        <v>5079.13</v>
      </c>
      <c r="BX756" s="27">
        <v>4798.2700000000004</v>
      </c>
      <c r="BY756" s="27">
        <v>4478.37</v>
      </c>
      <c r="BZ756" s="27">
        <v>4279.4399999999996</v>
      </c>
      <c r="CA756" s="27">
        <v>3901.02</v>
      </c>
      <c r="CB756" s="27">
        <v>3901.02</v>
      </c>
      <c r="CC756" s="27">
        <v>3393.86</v>
      </c>
      <c r="CD756" s="27">
        <v>3179.3</v>
      </c>
      <c r="CE756" s="27">
        <v>3101.27</v>
      </c>
      <c r="CF756" s="27">
        <v>3003.76</v>
      </c>
      <c r="CG756" s="27">
        <v>4279.4399999999996</v>
      </c>
      <c r="CH756" s="27">
        <v>3979.07</v>
      </c>
      <c r="CI756" s="27">
        <v>3393.86</v>
      </c>
      <c r="CJ756" s="27">
        <v>4189.72</v>
      </c>
      <c r="CK756" s="27">
        <v>4279.4399999999996</v>
      </c>
      <c r="CL756" s="27"/>
      <c r="CM756" s="27"/>
      <c r="CN756" s="27"/>
      <c r="CO756" s="27"/>
      <c r="CP756" s="27"/>
      <c r="CQ756" s="27"/>
      <c r="CR756" s="27"/>
      <c r="CS756" s="27"/>
      <c r="CT756" s="27"/>
      <c r="CU756" s="27"/>
      <c r="CV756" s="27"/>
      <c r="CW756" s="27"/>
      <c r="CX756" s="27"/>
      <c r="CY756" s="27"/>
      <c r="CZ756" s="27"/>
      <c r="DA756" s="27"/>
      <c r="DB756" s="27"/>
      <c r="DC756" s="27"/>
      <c r="DD756" s="27"/>
      <c r="DE756" s="27"/>
      <c r="DF756" s="27"/>
      <c r="DG756" s="27"/>
      <c r="DH756" s="27"/>
      <c r="DI756" s="27"/>
      <c r="DJ756" s="27"/>
      <c r="DK756" s="27"/>
      <c r="DL756" s="27"/>
      <c r="DM756" s="27"/>
      <c r="DN756" s="27"/>
      <c r="DO756" s="27"/>
      <c r="DP756" s="27"/>
      <c r="DQ756" s="27"/>
      <c r="DR756" s="27"/>
      <c r="DS756" s="27"/>
      <c r="DT756" s="27"/>
    </row>
    <row r="757" spans="7:124" x14ac:dyDescent="0.2">
      <c r="G757" s="27"/>
      <c r="H757" s="27"/>
      <c r="I757" s="27"/>
      <c r="J757" s="27"/>
      <c r="K757" s="27"/>
      <c r="L757" s="27"/>
      <c r="M757" s="27">
        <f>SUM(M747:M750)*BB778</f>
        <v>0</v>
      </c>
      <c r="N757" s="27" t="str">
        <f>K794</f>
        <v>גמול ניהול /סגנות/גננות</v>
      </c>
      <c r="O757" s="27"/>
      <c r="P757" s="27"/>
      <c r="Q757" s="27" t="s">
        <v>59</v>
      </c>
      <c r="R757" s="27"/>
      <c r="S757" s="27" t="e">
        <f>(1-#REF!/#REF!)*#REF!</f>
        <v>#REF!</v>
      </c>
      <c r="T757" s="27"/>
      <c r="U757" s="27" t="s">
        <v>417</v>
      </c>
      <c r="V757" s="27"/>
      <c r="W757" s="27"/>
      <c r="X757" s="27"/>
      <c r="Y757" s="27"/>
      <c r="Z757" s="27"/>
      <c r="AA757" s="27" t="s">
        <v>418</v>
      </c>
      <c r="AB757" s="27">
        <f>'[1]נתוני מס'!I15</f>
        <v>11650</v>
      </c>
      <c r="AC757" s="27"/>
      <c r="AD757" s="27"/>
      <c r="AE757" s="27"/>
      <c r="AF757" s="27"/>
      <c r="AG757" s="27"/>
      <c r="AH757" s="27"/>
      <c r="AI757" s="27"/>
      <c r="AJ757" s="27"/>
      <c r="AK757" s="27"/>
      <c r="AL757" s="27"/>
      <c r="AM757" s="27"/>
      <c r="AN757" s="27"/>
      <c r="AO757" s="27"/>
      <c r="AP757" s="27"/>
      <c r="AQ757" s="27"/>
      <c r="AR757" s="27"/>
      <c r="AS757" s="27"/>
      <c r="AT757" s="27"/>
      <c r="AU757" s="27"/>
      <c r="AV757" s="27"/>
      <c r="AW757" s="27"/>
      <c r="AX757" s="27" t="s">
        <v>386</v>
      </c>
      <c r="AY757" s="27"/>
      <c r="AZ757" s="27"/>
      <c r="BA757" s="27" t="e">
        <f ca="1">IF(BA755-BA756&lt;0,0,BA755-BA756)</f>
        <v>#REF!</v>
      </c>
      <c r="BB757" s="27"/>
      <c r="BC757" s="27"/>
      <c r="BD757" s="27"/>
      <c r="BE757" s="27"/>
      <c r="BF757" s="27"/>
      <c r="BG757" s="27"/>
      <c r="BH757" s="27"/>
      <c r="BI757" s="27"/>
      <c r="BJ757" s="27"/>
      <c r="BK757" s="27"/>
      <c r="BL757" s="27"/>
      <c r="BM757" s="27"/>
      <c r="BN757" s="27"/>
      <c r="BO757" s="27"/>
      <c r="BP757" s="27"/>
      <c r="BQ757" s="27"/>
      <c r="BR757" s="27"/>
      <c r="BS757" s="27"/>
      <c r="BT757" s="27"/>
      <c r="BU757" s="27"/>
      <c r="BV757" s="27"/>
      <c r="BW757" s="27"/>
      <c r="BX757" s="27"/>
      <c r="BY757" s="27"/>
      <c r="BZ757" s="27"/>
      <c r="CA757" s="27"/>
      <c r="CB757" s="27"/>
      <c r="CC757" s="27"/>
      <c r="CD757" s="27"/>
      <c r="CE757" s="27"/>
      <c r="CF757" s="27"/>
      <c r="CG757" s="27"/>
      <c r="CH757" s="27"/>
      <c r="CI757" s="27"/>
      <c r="CJ757" s="27"/>
      <c r="CK757" s="27"/>
      <c r="CL757" s="27"/>
      <c r="CM757" s="27"/>
      <c r="CN757" s="27"/>
      <c r="CO757" s="27"/>
      <c r="CP757" s="27"/>
      <c r="CQ757" s="27"/>
      <c r="CR757" s="27"/>
      <c r="CS757" s="27"/>
      <c r="CT757" s="27"/>
      <c r="CU757" s="27"/>
      <c r="CV757" s="27"/>
      <c r="CW757" s="27"/>
      <c r="CX757" s="27"/>
      <c r="CY757" s="27"/>
      <c r="CZ757" s="27"/>
      <c r="DA757" s="27"/>
      <c r="DB757" s="27"/>
      <c r="DC757" s="27"/>
      <c r="DD757" s="27"/>
      <c r="DE757" s="27"/>
      <c r="DF757" s="27"/>
      <c r="DG757" s="27"/>
      <c r="DH757" s="27"/>
      <c r="DI757" s="27"/>
      <c r="DJ757" s="27"/>
      <c r="DK757" s="27"/>
      <c r="DL757" s="27"/>
      <c r="DM757" s="27"/>
      <c r="DN757" s="27"/>
      <c r="DO757" s="27"/>
      <c r="DP757" s="27"/>
      <c r="DQ757" s="27"/>
      <c r="DR757" s="27"/>
      <c r="DS757" s="27"/>
      <c r="DT757" s="27"/>
    </row>
    <row r="758" spans="7:124" x14ac:dyDescent="0.2">
      <c r="G758" s="27"/>
      <c r="H758" s="27"/>
      <c r="I758" s="27"/>
      <c r="J758" s="27"/>
      <c r="K758" s="27"/>
      <c r="L758" s="27"/>
      <c r="M758" s="27">
        <f>AW722*M757</f>
        <v>0</v>
      </c>
      <c r="N758" s="27" t="str">
        <f>K795</f>
        <v>ותק בניהול למנהל ולסגנו/גננת</v>
      </c>
      <c r="O758" s="27"/>
      <c r="P758" s="27"/>
      <c r="Q758" s="27"/>
      <c r="R758" s="27"/>
      <c r="S758" s="27" t="e">
        <f>IF(E947&lt;AB757,E947,AB757)</f>
        <v>#REF!</v>
      </c>
      <c r="T758" s="27"/>
      <c r="U758" s="27"/>
      <c r="V758" s="27" t="s">
        <v>419</v>
      </c>
      <c r="W758" s="27" t="e">
        <f ca="1">E947+(E963+E964+E965)/12</f>
        <v>#REF!</v>
      </c>
      <c r="X758" s="27"/>
      <c r="Y758" s="27"/>
      <c r="Z758" s="27"/>
      <c r="AA758" s="27"/>
      <c r="AB758" s="27" t="s">
        <v>59</v>
      </c>
      <c r="AC758" s="27"/>
      <c r="AD758" s="27"/>
      <c r="AE758" s="27"/>
      <c r="AF758" s="27"/>
      <c r="AG758" s="27"/>
      <c r="AH758" s="27"/>
      <c r="AI758" s="27"/>
      <c r="AJ758" s="27"/>
      <c r="AK758" s="27"/>
      <c r="AL758" s="27"/>
      <c r="AM758" s="27"/>
      <c r="AN758" s="27">
        <v>24</v>
      </c>
      <c r="AO758" s="27">
        <v>45</v>
      </c>
      <c r="AP758" s="27"/>
      <c r="AQ758" s="27"/>
      <c r="AR758" s="27"/>
      <c r="AS758" s="27"/>
      <c r="AT758" s="27"/>
      <c r="AU758" s="27"/>
      <c r="AV758" s="27"/>
      <c r="AW758" s="27"/>
      <c r="AX758" s="27"/>
      <c r="AY758" s="27"/>
      <c r="AZ758" s="27"/>
      <c r="BA758" s="27" t="e">
        <f ca="1">BA757*12*BA761</f>
        <v>#REF!</v>
      </c>
      <c r="BB758" s="27"/>
      <c r="BC758" s="27"/>
      <c r="BD758" s="27"/>
      <c r="BE758" s="27"/>
      <c r="BF758" s="27"/>
      <c r="BG758" s="27"/>
      <c r="BH758" s="27"/>
      <c r="BI758" s="27"/>
      <c r="BJ758" s="27"/>
      <c r="BK758" s="27"/>
      <c r="BL758" s="27"/>
      <c r="BM758" s="27"/>
      <c r="BN758" s="27"/>
      <c r="BO758" s="27"/>
      <c r="BP758" s="27"/>
      <c r="BQ758" s="27"/>
      <c r="BR758" s="27"/>
      <c r="BS758" s="27"/>
      <c r="BT758" s="27"/>
      <c r="BU758" s="27">
        <v>14</v>
      </c>
      <c r="BV758" s="27">
        <v>0.02</v>
      </c>
      <c r="BW758" s="27">
        <v>5180.71</v>
      </c>
      <c r="BX758" s="27">
        <v>4894.2299999999996</v>
      </c>
      <c r="BY758" s="27">
        <v>4567.93</v>
      </c>
      <c r="BZ758" s="27">
        <v>4365.0200000000004</v>
      </c>
      <c r="CA758" s="27">
        <v>3979.04</v>
      </c>
      <c r="CB758" s="27">
        <v>3979.04</v>
      </c>
      <c r="CC758" s="27">
        <v>3461.73</v>
      </c>
      <c r="CD758" s="27">
        <v>3242.88</v>
      </c>
      <c r="CE758" s="27">
        <v>3163.29</v>
      </c>
      <c r="CF758" s="27">
        <v>3063.83</v>
      </c>
      <c r="CG758" s="27">
        <v>4365.0200000000004</v>
      </c>
      <c r="CH758" s="27">
        <v>4058.65</v>
      </c>
      <c r="CI758" s="27">
        <v>3461.73</v>
      </c>
      <c r="CJ758" s="27">
        <v>4273.51</v>
      </c>
      <c r="CK758" s="27">
        <v>4365.0200000000004</v>
      </c>
      <c r="CL758" s="27"/>
      <c r="CM758" s="27"/>
      <c r="CN758" s="27"/>
      <c r="CO758" s="27"/>
      <c r="CP758" s="27"/>
      <c r="CQ758" s="27"/>
      <c r="CR758" s="27"/>
      <c r="CS758" s="27"/>
      <c r="CT758" s="27"/>
      <c r="CU758" s="27"/>
      <c r="CV758" s="27"/>
      <c r="CW758" s="27"/>
      <c r="CX758" s="27"/>
      <c r="CY758" s="27"/>
      <c r="CZ758" s="27"/>
      <c r="DA758" s="27"/>
      <c r="DB758" s="27"/>
      <c r="DC758" s="27"/>
      <c r="DD758" s="27"/>
      <c r="DE758" s="27"/>
      <c r="DF758" s="27"/>
      <c r="DG758" s="27"/>
      <c r="DH758" s="27"/>
      <c r="DI758" s="27"/>
      <c r="DJ758" s="27"/>
      <c r="DK758" s="27"/>
      <c r="DL758" s="27"/>
      <c r="DM758" s="27"/>
      <c r="DN758" s="27"/>
      <c r="DO758" s="27"/>
      <c r="DP758" s="27"/>
      <c r="DQ758" s="27"/>
      <c r="DR758" s="27"/>
      <c r="DS758" s="27"/>
      <c r="DT758" s="27"/>
    </row>
    <row r="759" spans="7:124" x14ac:dyDescent="0.2">
      <c r="G759" s="27"/>
      <c r="H759" s="27"/>
      <c r="I759" s="27"/>
      <c r="J759" s="27"/>
      <c r="K759" s="27"/>
      <c r="L759" s="27"/>
      <c r="M759" s="27"/>
      <c r="N759" s="27"/>
      <c r="O759" s="27"/>
      <c r="P759" s="27"/>
      <c r="Q759" s="27" t="s">
        <v>59</v>
      </c>
      <c r="R759" s="27"/>
      <c r="S759" s="27" t="e">
        <f>S758*2</f>
        <v>#REF!</v>
      </c>
      <c r="T759" s="27"/>
      <c r="U759" s="27"/>
      <c r="V759" s="27" t="s">
        <v>421</v>
      </c>
      <c r="W759" s="27" t="e">
        <f ca="1">E947+(E964+E965)/12</f>
        <v>#REF!</v>
      </c>
      <c r="X759" s="27"/>
      <c r="Y759" s="27"/>
      <c r="Z759" s="27"/>
      <c r="AA759" s="27"/>
      <c r="AB759" s="27" t="s">
        <v>59</v>
      </c>
      <c r="AC759" s="27"/>
      <c r="AD759" s="27"/>
      <c r="AE759" s="27"/>
      <c r="AF759" s="27"/>
      <c r="AG759" s="27"/>
      <c r="AH759" s="27"/>
      <c r="AI759" s="27"/>
      <c r="AJ759" s="27"/>
      <c r="AK759" s="27"/>
      <c r="AL759" s="27"/>
      <c r="AM759" s="27"/>
      <c r="AN759" s="27" t="s">
        <v>422</v>
      </c>
      <c r="AO759" s="27" t="s">
        <v>423</v>
      </c>
      <c r="AP759" s="27"/>
      <c r="AQ759" s="27"/>
      <c r="AR759" s="27"/>
      <c r="AS759" s="27"/>
      <c r="AT759" s="27"/>
      <c r="AU759" s="27"/>
      <c r="AV759" s="27"/>
      <c r="AW759" s="27"/>
      <c r="AX759" s="27"/>
      <c r="AY759" s="27"/>
      <c r="AZ759" s="27"/>
      <c r="BA759" s="27"/>
      <c r="BB759" s="27"/>
      <c r="BC759" s="27"/>
      <c r="BD759" s="27"/>
      <c r="BE759" s="27"/>
      <c r="BF759" s="27"/>
      <c r="BG759" s="27"/>
      <c r="BH759" s="27"/>
      <c r="BI759" s="27"/>
      <c r="BJ759" s="27"/>
      <c r="BK759" s="27"/>
      <c r="BL759" s="27"/>
      <c r="BM759" s="27"/>
      <c r="BN759" s="27"/>
      <c r="BO759" s="27"/>
      <c r="BP759" s="27"/>
      <c r="BQ759" s="27"/>
      <c r="BR759" s="27"/>
      <c r="BS759" s="27"/>
      <c r="BT759" s="27"/>
      <c r="BU759" s="27"/>
      <c r="BV759" s="27"/>
      <c r="BW759" s="27"/>
      <c r="BX759" s="27"/>
      <c r="BY759" s="27"/>
      <c r="BZ759" s="27"/>
      <c r="CA759" s="27"/>
      <c r="CB759" s="27"/>
      <c r="CC759" s="27"/>
      <c r="CD759" s="27"/>
      <c r="CE759" s="27"/>
      <c r="CF759" s="27"/>
      <c r="CG759" s="27"/>
      <c r="CH759" s="27"/>
      <c r="CI759" s="27"/>
      <c r="CJ759" s="27"/>
      <c r="CK759" s="27"/>
      <c r="CL759" s="27"/>
      <c r="CM759" s="27"/>
      <c r="CN759" s="27"/>
      <c r="CO759" s="27"/>
      <c r="CP759" s="27"/>
      <c r="CQ759" s="27"/>
      <c r="CR759" s="27"/>
      <c r="CS759" s="27"/>
      <c r="CT759" s="27"/>
      <c r="CU759" s="27"/>
      <c r="CV759" s="27"/>
      <c r="CW759" s="27"/>
      <c r="CX759" s="27"/>
      <c r="CY759" s="27"/>
      <c r="CZ759" s="27"/>
      <c r="DA759" s="27"/>
      <c r="DB759" s="27"/>
      <c r="DC759" s="27"/>
      <c r="DD759" s="27"/>
      <c r="DE759" s="27"/>
      <c r="DF759" s="27"/>
      <c r="DG759" s="27"/>
      <c r="DH759" s="27"/>
      <c r="DI759" s="27"/>
      <c r="DJ759" s="27"/>
      <c r="DK759" s="27"/>
      <c r="DL759" s="27"/>
      <c r="DM759" s="27"/>
      <c r="DN759" s="27"/>
      <c r="DO759" s="27"/>
      <c r="DP759" s="27"/>
      <c r="DQ759" s="27"/>
      <c r="DR759" s="27"/>
      <c r="DS759" s="27"/>
      <c r="DT759" s="27"/>
    </row>
    <row r="760" spans="7:124" x14ac:dyDescent="0.2">
      <c r="G760" s="27"/>
      <c r="H760" s="27"/>
      <c r="I760" s="27"/>
      <c r="J760" s="27"/>
      <c r="K760" s="27"/>
      <c r="L760" s="27"/>
      <c r="M760" s="27"/>
      <c r="N760" s="27"/>
      <c r="O760" s="27"/>
      <c r="P760" s="27"/>
      <c r="Q760" s="27"/>
      <c r="R760" s="27"/>
      <c r="S760" s="27"/>
      <c r="T760" s="27"/>
      <c r="U760" s="27"/>
      <c r="V760" s="27" t="s">
        <v>424</v>
      </c>
      <c r="W760" s="27" t="e">
        <f>E947</f>
        <v>#REF!</v>
      </c>
      <c r="X760" s="27"/>
      <c r="Y760" s="27"/>
      <c r="Z760" s="27"/>
      <c r="AA760" s="27"/>
      <c r="AB760" s="27" t="s">
        <v>59</v>
      </c>
      <c r="AC760" s="27"/>
      <c r="AD760" s="27"/>
      <c r="AE760" s="27"/>
      <c r="AF760" s="27"/>
      <c r="AG760" s="27"/>
      <c r="AH760" s="27"/>
      <c r="AI760" s="27"/>
      <c r="AJ760" s="27"/>
      <c r="AK760" s="27"/>
      <c r="AL760" s="27"/>
      <c r="AM760" s="27"/>
      <c r="AN760" s="27">
        <v>25</v>
      </c>
      <c r="AO760" s="27">
        <v>46</v>
      </c>
      <c r="AP760" s="27"/>
      <c r="AQ760" s="27"/>
      <c r="AR760" s="27"/>
      <c r="AS760" s="27"/>
      <c r="AT760" s="27"/>
      <c r="AU760" s="27"/>
      <c r="AV760" s="27"/>
      <c r="AW760" s="27"/>
      <c r="AX760" s="27"/>
      <c r="AY760" s="27"/>
      <c r="AZ760" s="27" t="str">
        <f>AL724</f>
        <v>אשה נשואה</v>
      </c>
      <c r="BA760" s="27">
        <f>F927</f>
        <v>52.87</v>
      </c>
      <c r="BB760" s="27"/>
      <c r="BC760" s="27"/>
      <c r="BD760" s="27"/>
      <c r="BE760" s="27"/>
      <c r="BF760" s="27"/>
      <c r="BG760" s="27"/>
      <c r="BH760" s="27"/>
      <c r="BI760" s="27"/>
      <c r="BJ760" s="27"/>
      <c r="BK760" s="27"/>
      <c r="BL760" s="27"/>
      <c r="BM760" s="27"/>
      <c r="BN760" s="27"/>
      <c r="BO760" s="27"/>
      <c r="BP760" s="27"/>
      <c r="BQ760" s="27"/>
      <c r="BR760" s="27"/>
      <c r="BS760" s="27"/>
      <c r="BT760" s="27"/>
      <c r="BU760" s="27">
        <v>15</v>
      </c>
      <c r="BV760" s="27">
        <v>0.02</v>
      </c>
      <c r="BW760" s="27">
        <v>5284.32</v>
      </c>
      <c r="BX760" s="27">
        <v>4992.1099999999997</v>
      </c>
      <c r="BY760" s="27">
        <v>4659.28</v>
      </c>
      <c r="BZ760" s="27">
        <v>4452.32</v>
      </c>
      <c r="CA760" s="27">
        <v>4058.62</v>
      </c>
      <c r="CB760" s="27">
        <v>4058.62</v>
      </c>
      <c r="CC760" s="27">
        <v>3530.96</v>
      </c>
      <c r="CD760" s="27">
        <v>3307.73</v>
      </c>
      <c r="CE760" s="27">
        <v>3226.55</v>
      </c>
      <c r="CF760" s="27">
        <v>3125.1</v>
      </c>
      <c r="CG760" s="27">
        <v>4452.32</v>
      </c>
      <c r="CH760" s="27">
        <v>4139.82</v>
      </c>
      <c r="CI760" s="27">
        <v>3530.96</v>
      </c>
      <c r="CJ760" s="27">
        <v>4358.9799999999996</v>
      </c>
      <c r="CK760" s="27">
        <v>4452.32</v>
      </c>
      <c r="CL760" s="27"/>
      <c r="CM760" s="27"/>
      <c r="CN760" s="27"/>
      <c r="CO760" s="27"/>
      <c r="CP760" s="27"/>
      <c r="CQ760" s="27"/>
      <c r="CR760" s="27"/>
      <c r="CS760" s="27"/>
      <c r="CT760" s="27"/>
      <c r="CU760" s="27"/>
      <c r="CV760" s="27"/>
      <c r="CW760" s="27"/>
      <c r="CX760" s="27"/>
      <c r="CY760" s="27"/>
      <c r="CZ760" s="27"/>
      <c r="DA760" s="27"/>
      <c r="DB760" s="27"/>
      <c r="DC760" s="27"/>
      <c r="DD760" s="27"/>
      <c r="DE760" s="27"/>
      <c r="DF760" s="27"/>
      <c r="DG760" s="27"/>
      <c r="DH760" s="27"/>
      <c r="DI760" s="27"/>
      <c r="DJ760" s="27"/>
      <c r="DK760" s="27"/>
      <c r="DL760" s="27"/>
      <c r="DM760" s="27"/>
      <c r="DN760" s="27"/>
      <c r="DO760" s="27"/>
      <c r="DP760" s="27"/>
      <c r="DQ760" s="27"/>
      <c r="DR760" s="27"/>
      <c r="DS760" s="27"/>
      <c r="DT760" s="27"/>
    </row>
    <row r="761" spans="7:124" x14ac:dyDescent="0.2">
      <c r="G761" s="27"/>
      <c r="H761" s="27"/>
      <c r="I761" s="27"/>
      <c r="J761" s="27"/>
      <c r="K761" s="27"/>
      <c r="L761" s="27"/>
      <c r="M761" s="27"/>
      <c r="N761" s="27"/>
      <c r="O761" s="27"/>
      <c r="P761" s="27"/>
      <c r="Q761" s="27"/>
      <c r="R761" s="27"/>
      <c r="S761" s="27"/>
      <c r="T761" s="27"/>
      <c r="U761" s="27"/>
      <c r="V761" s="27" t="s">
        <v>59</v>
      </c>
      <c r="W761" s="27"/>
      <c r="X761" s="27"/>
      <c r="Y761" s="27"/>
      <c r="Z761" s="27"/>
      <c r="AA761" s="27"/>
      <c r="AB761" s="27" t="s">
        <v>59</v>
      </c>
      <c r="AC761" s="27"/>
      <c r="AD761" s="27"/>
      <c r="AE761" s="27"/>
      <c r="AF761" s="27"/>
      <c r="AG761" s="27"/>
      <c r="AH761" s="27"/>
      <c r="AI761" s="27"/>
      <c r="AJ761" s="27"/>
      <c r="AK761" s="27"/>
      <c r="AL761" s="27"/>
      <c r="AM761" s="27"/>
      <c r="AN761" s="27" t="s">
        <v>425</v>
      </c>
      <c r="AO761" s="27" t="s">
        <v>426</v>
      </c>
      <c r="AP761" s="27"/>
      <c r="AQ761" s="27"/>
      <c r="AR761" s="27"/>
      <c r="AS761" s="27"/>
      <c r="AT761" s="27"/>
      <c r="AU761" s="27"/>
      <c r="AV761" s="27"/>
      <c r="AW761" s="27"/>
      <c r="AX761" s="27"/>
      <c r="AY761" s="27"/>
      <c r="AZ761" s="27" t="s">
        <v>427</v>
      </c>
      <c r="BA761" s="27">
        <v>0</v>
      </c>
      <c r="BB761" s="27"/>
      <c r="BC761" s="27"/>
      <c r="BD761" s="27"/>
      <c r="BE761" s="27"/>
      <c r="BF761" s="27"/>
      <c r="BG761" s="27"/>
      <c r="BH761" s="27"/>
      <c r="BI761" s="27"/>
      <c r="BJ761" s="27"/>
      <c r="BK761" s="27"/>
      <c r="BL761" s="27"/>
      <c r="BM761" s="27"/>
      <c r="BN761" s="27"/>
      <c r="BO761" s="27"/>
      <c r="BP761" s="27"/>
      <c r="BQ761" s="27"/>
      <c r="BR761" s="27"/>
      <c r="BS761" s="27"/>
      <c r="BT761" s="27"/>
      <c r="BU761" s="27"/>
      <c r="BV761" s="27"/>
      <c r="BW761" s="27"/>
      <c r="BX761" s="27"/>
      <c r="BY761" s="27"/>
      <c r="BZ761" s="27"/>
      <c r="CA761" s="27"/>
      <c r="CB761" s="27"/>
      <c r="CC761" s="27"/>
      <c r="CD761" s="27"/>
      <c r="CE761" s="27"/>
      <c r="CF761" s="27"/>
      <c r="CG761" s="27"/>
      <c r="CH761" s="27"/>
      <c r="CI761" s="27"/>
      <c r="CJ761" s="27"/>
      <c r="CK761" s="27"/>
      <c r="CL761" s="27"/>
      <c r="CM761" s="27"/>
      <c r="CN761" s="27"/>
      <c r="CO761" s="27"/>
      <c r="CP761" s="27"/>
      <c r="CQ761" s="27"/>
      <c r="CR761" s="27"/>
      <c r="CS761" s="27"/>
      <c r="CT761" s="27"/>
      <c r="CU761" s="27"/>
      <c r="CV761" s="27"/>
      <c r="CW761" s="27"/>
      <c r="CX761" s="27"/>
      <c r="CY761" s="27"/>
      <c r="CZ761" s="27"/>
      <c r="DA761" s="27"/>
      <c r="DB761" s="27"/>
      <c r="DC761" s="27"/>
      <c r="DD761" s="27"/>
      <c r="DE761" s="27"/>
      <c r="DF761" s="27"/>
      <c r="DG761" s="27"/>
      <c r="DH761" s="27"/>
      <c r="DI761" s="27"/>
      <c r="DJ761" s="27"/>
      <c r="DK761" s="27"/>
      <c r="DL761" s="27"/>
      <c r="DM761" s="27"/>
      <c r="DN761" s="27"/>
      <c r="DO761" s="27"/>
      <c r="DP761" s="27"/>
      <c r="DQ761" s="27"/>
      <c r="DR761" s="27"/>
      <c r="DS761" s="27"/>
      <c r="DT761" s="27"/>
    </row>
    <row r="762" spans="7:124" x14ac:dyDescent="0.2">
      <c r="G762" s="27"/>
      <c r="H762" s="27"/>
      <c r="I762" s="27"/>
      <c r="J762" s="27"/>
      <c r="K762" s="27"/>
      <c r="L762" s="27"/>
      <c r="M762" s="27"/>
      <c r="N762" s="27"/>
      <c r="O762" s="27"/>
      <c r="P762" s="27"/>
      <c r="Q762" s="27"/>
      <c r="R762" s="27"/>
      <c r="S762" s="27"/>
      <c r="T762" s="27"/>
      <c r="U762" s="27"/>
      <c r="V762" s="27"/>
      <c r="W762" s="27"/>
      <c r="X762" s="27"/>
      <c r="Y762" s="27"/>
      <c r="Z762" s="27"/>
      <c r="AA762" s="27"/>
      <c r="AB762" s="27"/>
      <c r="AC762" s="27"/>
      <c r="AD762" s="27"/>
      <c r="AE762" s="27"/>
      <c r="AF762" s="27"/>
      <c r="AG762" s="27"/>
      <c r="AH762" s="27"/>
      <c r="AI762" s="27"/>
      <c r="AJ762" s="27"/>
      <c r="AK762" s="27"/>
      <c r="AL762" s="27"/>
      <c r="AM762" s="27"/>
      <c r="AN762" s="27"/>
      <c r="AO762" s="27"/>
      <c r="AP762" s="27"/>
      <c r="AQ762" s="27"/>
      <c r="AR762" s="27"/>
      <c r="AS762" s="27"/>
      <c r="AT762" s="27"/>
      <c r="AU762" s="27"/>
      <c r="AV762" s="27"/>
      <c r="AW762" s="27"/>
      <c r="AX762" s="27"/>
      <c r="AY762" s="27"/>
      <c r="AZ762" s="27"/>
      <c r="BA762" s="27"/>
      <c r="BB762" s="27"/>
      <c r="BC762" s="27"/>
      <c r="BD762" s="27"/>
      <c r="BE762" s="27"/>
      <c r="BF762" s="27"/>
      <c r="BG762" s="27"/>
      <c r="BH762" s="27"/>
      <c r="BI762" s="27"/>
      <c r="BJ762" s="27"/>
      <c r="BK762" s="27"/>
      <c r="BL762" s="27"/>
      <c r="BM762" s="27"/>
      <c r="BN762" s="27"/>
      <c r="BO762" s="27"/>
      <c r="BP762" s="27"/>
      <c r="BQ762" s="27"/>
      <c r="BR762" s="27"/>
      <c r="BS762" s="27"/>
      <c r="BT762" s="27"/>
      <c r="BU762" s="27">
        <v>16</v>
      </c>
      <c r="BV762" s="27">
        <v>0.02</v>
      </c>
      <c r="BW762" s="27">
        <v>5390</v>
      </c>
      <c r="BX762" s="27">
        <v>5091.95</v>
      </c>
      <c r="BY762" s="27">
        <v>4752.46</v>
      </c>
      <c r="BZ762" s="27">
        <v>4541.3599999999997</v>
      </c>
      <c r="CA762" s="27">
        <v>4139.79</v>
      </c>
      <c r="CB762" s="27">
        <v>4139.79</v>
      </c>
      <c r="CC762" s="27">
        <v>3601.57</v>
      </c>
      <c r="CD762" s="27">
        <v>3373.88</v>
      </c>
      <c r="CE762" s="27">
        <v>3291.08</v>
      </c>
      <c r="CF762" s="27">
        <v>3187.6</v>
      </c>
      <c r="CG762" s="27">
        <v>4541.3599999999997</v>
      </c>
      <c r="CH762" s="27">
        <v>4222.6099999999997</v>
      </c>
      <c r="CI762" s="27">
        <v>3601.57</v>
      </c>
      <c r="CJ762" s="27">
        <v>4446.1499999999996</v>
      </c>
      <c r="CK762" s="27">
        <v>4541.3599999999997</v>
      </c>
      <c r="CL762" s="27"/>
      <c r="CM762" s="27"/>
      <c r="CN762" s="27"/>
      <c r="CO762" s="27"/>
      <c r="CP762" s="27"/>
      <c r="CQ762" s="27"/>
      <c r="CR762" s="27"/>
      <c r="CS762" s="27"/>
      <c r="CT762" s="27"/>
      <c r="CU762" s="27"/>
      <c r="CV762" s="27"/>
      <c r="CW762" s="27"/>
      <c r="CX762" s="27"/>
      <c r="CY762" s="27"/>
      <c r="CZ762" s="27"/>
      <c r="DA762" s="27"/>
      <c r="DB762" s="27"/>
      <c r="DC762" s="27"/>
      <c r="DD762" s="27"/>
      <c r="DE762" s="27"/>
      <c r="DF762" s="27"/>
      <c r="DG762" s="27"/>
      <c r="DH762" s="27"/>
      <c r="DI762" s="27"/>
      <c r="DJ762" s="27"/>
      <c r="DK762" s="27"/>
      <c r="DL762" s="27"/>
      <c r="DM762" s="27"/>
      <c r="DN762" s="27"/>
      <c r="DO762" s="27"/>
      <c r="DP762" s="27"/>
      <c r="DQ762" s="27"/>
      <c r="DR762" s="27"/>
      <c r="DS762" s="27"/>
      <c r="DT762" s="27"/>
    </row>
    <row r="763" spans="7:124" x14ac:dyDescent="0.2">
      <c r="G763" s="27"/>
      <c r="H763" s="27"/>
      <c r="I763" s="27"/>
      <c r="J763" s="27"/>
      <c r="K763" s="27"/>
      <c r="L763" s="27"/>
      <c r="M763" s="27"/>
      <c r="N763" s="27"/>
      <c r="O763" s="27"/>
      <c r="P763" s="27"/>
      <c r="Q763" s="27"/>
      <c r="R763" s="27"/>
      <c r="S763" s="27"/>
      <c r="T763" s="27"/>
      <c r="U763" s="27"/>
      <c r="V763" s="27" t="s">
        <v>430</v>
      </c>
      <c r="W763" s="27"/>
      <c r="X763" s="27" t="s">
        <v>424</v>
      </c>
      <c r="Y763" s="27"/>
      <c r="Z763" s="27"/>
      <c r="AA763" s="27"/>
      <c r="AB763" s="27"/>
      <c r="AC763" s="27"/>
      <c r="AD763" s="27"/>
      <c r="AE763" s="27"/>
      <c r="AF763" s="27"/>
      <c r="AG763" s="27"/>
      <c r="AH763" s="27"/>
      <c r="AI763" s="27"/>
      <c r="AJ763" s="27"/>
      <c r="AK763" s="27"/>
      <c r="AL763" s="27"/>
      <c r="AM763" s="27"/>
      <c r="AN763" s="27"/>
      <c r="AO763" s="27"/>
      <c r="AP763" s="27"/>
      <c r="AQ763" s="27"/>
      <c r="AR763" s="27"/>
      <c r="AS763" s="27"/>
      <c r="AT763" s="27"/>
      <c r="AU763" s="27"/>
      <c r="AV763" s="27"/>
      <c r="AW763" s="27"/>
      <c r="AX763" s="27"/>
      <c r="AY763" s="27"/>
      <c r="AZ763" s="27"/>
      <c r="BA763" s="27"/>
      <c r="BB763" s="27"/>
      <c r="BC763" s="27"/>
      <c r="BD763" s="27"/>
      <c r="BE763" s="27"/>
      <c r="BF763" s="27"/>
      <c r="BG763" s="27"/>
      <c r="BH763" s="27"/>
      <c r="BI763" s="27"/>
      <c r="BJ763" s="27"/>
      <c r="BK763" s="27"/>
      <c r="BL763" s="27"/>
      <c r="BM763" s="27"/>
      <c r="BN763" s="27"/>
      <c r="BO763" s="27"/>
      <c r="BP763" s="27"/>
      <c r="BQ763" s="27"/>
      <c r="BR763" s="27"/>
      <c r="BS763" s="27"/>
      <c r="BT763" s="27"/>
      <c r="BU763" s="27"/>
      <c r="BV763" s="27"/>
      <c r="BW763" s="27"/>
      <c r="BX763" s="27"/>
      <c r="BY763" s="27"/>
      <c r="BZ763" s="27"/>
      <c r="CA763" s="27"/>
      <c r="CB763" s="27"/>
      <c r="CC763" s="27"/>
      <c r="CD763" s="27"/>
      <c r="CE763" s="27"/>
      <c r="CF763" s="27"/>
      <c r="CG763" s="27"/>
      <c r="CH763" s="27"/>
      <c r="CI763" s="27"/>
      <c r="CJ763" s="27"/>
      <c r="CK763" s="27"/>
      <c r="CL763" s="27"/>
      <c r="CM763" s="27"/>
      <c r="CN763" s="27"/>
      <c r="CO763" s="27"/>
      <c r="CP763" s="27"/>
      <c r="CQ763" s="27"/>
      <c r="CR763" s="27"/>
      <c r="CS763" s="27"/>
      <c r="CT763" s="27"/>
      <c r="CU763" s="27"/>
      <c r="CV763" s="27"/>
      <c r="CW763" s="27"/>
      <c r="CX763" s="27"/>
      <c r="CY763" s="27"/>
      <c r="CZ763" s="27"/>
      <c r="DA763" s="27"/>
      <c r="DB763" s="27"/>
      <c r="DC763" s="27"/>
      <c r="DD763" s="27"/>
      <c r="DE763" s="27"/>
      <c r="DF763" s="27"/>
      <c r="DG763" s="27"/>
      <c r="DH763" s="27"/>
      <c r="DI763" s="27"/>
      <c r="DJ763" s="27"/>
      <c r="DK763" s="27"/>
      <c r="DL763" s="27"/>
      <c r="DM763" s="27"/>
      <c r="DN763" s="27"/>
      <c r="DO763" s="27"/>
      <c r="DP763" s="27"/>
      <c r="DQ763" s="27"/>
      <c r="DR763" s="27"/>
      <c r="DS763" s="27"/>
      <c r="DT763" s="27"/>
    </row>
    <row r="764" spans="7:124" x14ac:dyDescent="0.2">
      <c r="G764" s="27"/>
      <c r="H764" s="27"/>
      <c r="I764" s="27"/>
      <c r="J764" s="27"/>
      <c r="K764" s="27"/>
      <c r="L764" s="27"/>
      <c r="M764" s="27"/>
      <c r="N764" s="27"/>
      <c r="O764" s="27"/>
      <c r="P764" s="27"/>
      <c r="Q764" s="27"/>
      <c r="R764" s="27"/>
      <c r="S764" s="27"/>
      <c r="T764" s="27"/>
      <c r="U764" s="27"/>
      <c r="V764" s="27"/>
      <c r="W764" s="27"/>
      <c r="X764" s="27"/>
      <c r="Y764" s="27"/>
      <c r="Z764" s="27"/>
      <c r="AA764" s="27"/>
      <c r="AB764" s="27"/>
      <c r="AC764" s="27"/>
      <c r="AD764" s="27"/>
      <c r="AE764" s="27"/>
      <c r="AF764" s="27"/>
      <c r="AG764" s="27"/>
      <c r="AH764" s="27"/>
      <c r="AI764" s="27"/>
      <c r="AJ764" s="27"/>
      <c r="AK764" s="27"/>
      <c r="AL764" s="27"/>
      <c r="AM764" s="27"/>
      <c r="AN764" s="27"/>
      <c r="AO764" s="27"/>
      <c r="AP764" s="27"/>
      <c r="AQ764" s="27"/>
      <c r="AR764" s="27"/>
      <c r="AS764" s="27"/>
      <c r="AT764" s="27"/>
      <c r="AU764" s="27"/>
      <c r="AV764" s="27"/>
      <c r="AW764" s="27"/>
      <c r="AX764" s="27"/>
      <c r="AY764" s="27"/>
      <c r="AZ764" s="27"/>
      <c r="BA764" s="27"/>
      <c r="BB764" s="27"/>
      <c r="BC764" s="27"/>
      <c r="BD764" s="27"/>
      <c r="BE764" s="27"/>
      <c r="BF764" s="27"/>
      <c r="BG764" s="27"/>
      <c r="BH764" s="27"/>
      <c r="BI764" s="27"/>
      <c r="BJ764" s="27"/>
      <c r="BK764" s="27"/>
      <c r="BL764" s="27"/>
      <c r="BM764" s="27"/>
      <c r="BN764" s="27"/>
      <c r="BO764" s="27"/>
      <c r="BP764" s="27"/>
      <c r="BQ764" s="27"/>
      <c r="BR764" s="27"/>
      <c r="BS764" s="27"/>
      <c r="BT764" s="27"/>
      <c r="BU764" s="27">
        <v>17</v>
      </c>
      <c r="BV764" s="27">
        <v>0.02</v>
      </c>
      <c r="BW764" s="27">
        <v>5497.8</v>
      </c>
      <c r="BX764" s="27">
        <v>5193.78</v>
      </c>
      <c r="BY764" s="27">
        <v>4847.5</v>
      </c>
      <c r="BZ764" s="27">
        <v>4632.18</v>
      </c>
      <c r="CA764" s="27">
        <v>4222.58</v>
      </c>
      <c r="CB764" s="27">
        <v>4222.58</v>
      </c>
      <c r="CC764" s="27">
        <v>3673.6</v>
      </c>
      <c r="CD764" s="27">
        <v>3441.35</v>
      </c>
      <c r="CE764" s="27">
        <v>3356.9</v>
      </c>
      <c r="CF764" s="27">
        <v>3251.35</v>
      </c>
      <c r="CG764" s="27">
        <v>4632.18</v>
      </c>
      <c r="CH764" s="27">
        <v>4307.0600000000004</v>
      </c>
      <c r="CI764" s="27">
        <v>3673.6</v>
      </c>
      <c r="CJ764" s="27">
        <v>4535.07</v>
      </c>
      <c r="CK764" s="27">
        <v>4632.18</v>
      </c>
      <c r="CL764" s="27"/>
      <c r="CM764" s="27"/>
      <c r="CN764" s="27"/>
      <c r="CO764" s="27"/>
      <c r="CP764" s="27"/>
      <c r="CQ764" s="27"/>
      <c r="CR764" s="27"/>
      <c r="CS764" s="27"/>
      <c r="CT764" s="27"/>
      <c r="CU764" s="27"/>
      <c r="CV764" s="27"/>
      <c r="CW764" s="27"/>
      <c r="CX764" s="27"/>
      <c r="CY764" s="27"/>
      <c r="CZ764" s="27"/>
      <c r="DA764" s="27"/>
      <c r="DB764" s="27"/>
      <c r="DC764" s="27"/>
      <c r="DD764" s="27"/>
      <c r="DE764" s="27"/>
      <c r="DF764" s="27"/>
      <c r="DG764" s="27"/>
      <c r="DH764" s="27"/>
      <c r="DI764" s="27"/>
      <c r="DJ764" s="27"/>
      <c r="DK764" s="27"/>
      <c r="DL764" s="27"/>
      <c r="DM764" s="27"/>
      <c r="DN764" s="27"/>
      <c r="DO764" s="27"/>
      <c r="DP764" s="27"/>
      <c r="DQ764" s="27"/>
      <c r="DR764" s="27"/>
      <c r="DS764" s="27"/>
      <c r="DT764" s="27"/>
    </row>
    <row r="765" spans="7:124" x14ac:dyDescent="0.2">
      <c r="G765" s="27"/>
      <c r="H765" s="27"/>
      <c r="I765" s="27"/>
      <c r="J765" s="27"/>
      <c r="K765" s="27"/>
      <c r="L765" s="27"/>
      <c r="M765" s="27"/>
      <c r="N765" s="27"/>
      <c r="O765" s="27"/>
      <c r="P765" s="27"/>
      <c r="Q765" s="27"/>
      <c r="R765" s="27"/>
      <c r="S765" s="27"/>
      <c r="T765" s="27"/>
      <c r="U765" s="27"/>
      <c r="V765" s="27"/>
      <c r="W765" s="27"/>
      <c r="X765" s="27"/>
      <c r="Y765" s="27"/>
      <c r="Z765" s="27"/>
      <c r="AA765" s="27"/>
      <c r="AB765" s="27"/>
      <c r="AC765" s="27"/>
      <c r="AD765" s="27"/>
      <c r="AE765" s="27"/>
      <c r="AF765" s="27"/>
      <c r="AG765" s="27"/>
      <c r="AH765" s="27"/>
      <c r="AI765" s="27"/>
      <c r="AJ765" s="27"/>
      <c r="AK765" s="27"/>
      <c r="AL765" s="27"/>
      <c r="AM765" s="27"/>
      <c r="AN765" s="27"/>
      <c r="AO765" s="27"/>
      <c r="AP765" s="27"/>
      <c r="AQ765" s="27"/>
      <c r="AR765" s="27"/>
      <c r="AS765" s="27"/>
      <c r="AT765" s="27"/>
      <c r="AU765" s="27"/>
      <c r="AV765" s="27"/>
      <c r="AW765" s="27"/>
      <c r="AX765" s="27"/>
      <c r="AY765" s="27"/>
      <c r="AZ765" s="27"/>
      <c r="BA765" s="27"/>
      <c r="BB765" s="27"/>
      <c r="BC765" s="27"/>
      <c r="BD765" s="27"/>
      <c r="BE765" s="27"/>
      <c r="BF765" s="27"/>
      <c r="BG765" s="27"/>
      <c r="BH765" s="27"/>
      <c r="BI765" s="27"/>
      <c r="BJ765" s="27"/>
      <c r="BK765" s="27"/>
      <c r="BL765" s="27"/>
      <c r="BM765" s="27"/>
      <c r="BN765" s="27"/>
      <c r="BO765" s="27"/>
      <c r="BP765" s="27"/>
      <c r="BQ765" s="27"/>
      <c r="BR765" s="27"/>
      <c r="BS765" s="27"/>
      <c r="BT765" s="27"/>
      <c r="BU765" s="27"/>
      <c r="BV765" s="27"/>
      <c r="BW765" s="27"/>
      <c r="BX765" s="27"/>
      <c r="BY765" s="27"/>
      <c r="BZ765" s="27"/>
      <c r="CA765" s="27"/>
      <c r="CB765" s="27"/>
      <c r="CC765" s="27"/>
      <c r="CD765" s="27"/>
      <c r="CE765" s="27"/>
      <c r="CF765" s="27"/>
      <c r="CG765" s="27"/>
      <c r="CH765" s="27"/>
      <c r="CI765" s="27"/>
      <c r="CJ765" s="27"/>
      <c r="CK765" s="27"/>
      <c r="CL765" s="27"/>
      <c r="CM765" s="27"/>
      <c r="CN765" s="27"/>
      <c r="CO765" s="27"/>
      <c r="CP765" s="27"/>
      <c r="CQ765" s="27"/>
      <c r="CR765" s="27"/>
      <c r="CS765" s="27"/>
      <c r="CT765" s="27"/>
      <c r="CU765" s="27"/>
      <c r="CV765" s="27"/>
      <c r="CW765" s="27"/>
      <c r="CX765" s="27"/>
      <c r="CY765" s="27"/>
      <c r="CZ765" s="27"/>
      <c r="DA765" s="27"/>
      <c r="DB765" s="27"/>
      <c r="DC765" s="27"/>
      <c r="DD765" s="27"/>
      <c r="DE765" s="27"/>
      <c r="DF765" s="27"/>
      <c r="DG765" s="27"/>
      <c r="DH765" s="27"/>
      <c r="DI765" s="27"/>
      <c r="DJ765" s="27"/>
      <c r="DK765" s="27"/>
      <c r="DL765" s="27"/>
      <c r="DM765" s="27"/>
      <c r="DN765" s="27"/>
      <c r="DO765" s="27"/>
      <c r="DP765" s="27"/>
      <c r="DQ765" s="27"/>
      <c r="DR765" s="27"/>
      <c r="DS765" s="27"/>
      <c r="DT765" s="27"/>
    </row>
    <row r="766" spans="7:124" x14ac:dyDescent="0.2">
      <c r="G766" s="27"/>
      <c r="H766" s="27"/>
      <c r="I766" s="27"/>
      <c r="J766" s="27"/>
      <c r="K766" s="27"/>
      <c r="L766" s="27"/>
      <c r="M766" s="27">
        <f>W719*M747</f>
        <v>0</v>
      </c>
      <c r="N766" s="27" t="str">
        <f>K803</f>
        <v>ותק הדרכה לגמול פיקוח/הדרכה</v>
      </c>
      <c r="O766" s="27"/>
      <c r="P766" s="27"/>
      <c r="Q766" s="27"/>
      <c r="R766" s="27"/>
      <c r="S766" s="27"/>
      <c r="T766" s="27"/>
      <c r="U766" s="27"/>
      <c r="V766" s="27"/>
      <c r="W766" s="27"/>
      <c r="X766" s="27"/>
      <c r="Y766" s="27"/>
      <c r="Z766" s="27"/>
      <c r="AA766" s="27"/>
      <c r="AB766" s="27"/>
      <c r="AC766" s="27"/>
      <c r="AD766" s="27"/>
      <c r="AE766" s="27"/>
      <c r="AF766" s="27"/>
      <c r="AG766" s="27"/>
      <c r="AH766" s="27"/>
      <c r="AI766" s="27"/>
      <c r="AJ766" s="27"/>
      <c r="AK766" s="27"/>
      <c r="AL766" s="27"/>
      <c r="AM766" s="27"/>
      <c r="AN766" s="27"/>
      <c r="AO766" s="27"/>
      <c r="AP766" s="27"/>
      <c r="AQ766" s="27"/>
      <c r="AR766" s="27"/>
      <c r="AS766" s="27"/>
      <c r="AT766" s="27"/>
      <c r="AU766" s="27"/>
      <c r="AV766" s="27"/>
      <c r="AW766" s="27"/>
      <c r="AX766" s="27"/>
      <c r="AY766" s="27"/>
      <c r="AZ766" s="27"/>
      <c r="BA766" s="27"/>
      <c r="BB766" s="27"/>
      <c r="BC766" s="27"/>
      <c r="BD766" s="27"/>
      <c r="BE766" s="27"/>
      <c r="BF766" s="27"/>
      <c r="BG766" s="27"/>
      <c r="BH766" s="27"/>
      <c r="BI766" s="27"/>
      <c r="BJ766" s="27"/>
      <c r="BK766" s="27"/>
      <c r="BL766" s="27"/>
      <c r="BM766" s="27"/>
      <c r="BN766" s="27"/>
      <c r="BO766" s="27"/>
      <c r="BP766" s="27"/>
      <c r="BQ766" s="27"/>
      <c r="BR766" s="27"/>
      <c r="BS766" s="27"/>
      <c r="BT766" s="27"/>
      <c r="BU766" s="27">
        <v>18</v>
      </c>
      <c r="BV766" s="27">
        <v>0.02</v>
      </c>
      <c r="BW766" s="27">
        <v>5607.75</v>
      </c>
      <c r="BX766" s="27">
        <v>5297.65</v>
      </c>
      <c r="BY766" s="27">
        <v>4944.45</v>
      </c>
      <c r="BZ766" s="27">
        <v>4724.82</v>
      </c>
      <c r="CA766" s="27">
        <v>4307.03</v>
      </c>
      <c r="CB766" s="27">
        <v>4307.03</v>
      </c>
      <c r="CC766" s="27">
        <v>3747.07</v>
      </c>
      <c r="CD766" s="27">
        <v>3510.17</v>
      </c>
      <c r="CE766" s="27">
        <v>3424.03</v>
      </c>
      <c r="CF766" s="27">
        <v>3316.37</v>
      </c>
      <c r="CG766" s="27">
        <v>4724.82</v>
      </c>
      <c r="CH766" s="27">
        <v>4393.2</v>
      </c>
      <c r="CI766" s="27">
        <v>3747.07</v>
      </c>
      <c r="CJ766" s="27">
        <v>4625.7700000000004</v>
      </c>
      <c r="CK766" s="27">
        <v>4724.82</v>
      </c>
      <c r="CL766" s="27"/>
      <c r="CM766" s="27"/>
      <c r="CN766" s="27"/>
      <c r="CO766" s="27"/>
      <c r="CP766" s="27"/>
      <c r="CQ766" s="27"/>
      <c r="CR766" s="27"/>
      <c r="CS766" s="27"/>
      <c r="CT766" s="27"/>
      <c r="CU766" s="27"/>
      <c r="CV766" s="27"/>
      <c r="CW766" s="27"/>
      <c r="CX766" s="27"/>
      <c r="CY766" s="27"/>
      <c r="CZ766" s="27"/>
      <c r="DA766" s="27"/>
      <c r="DB766" s="27"/>
      <c r="DC766" s="27"/>
      <c r="DD766" s="27"/>
      <c r="DE766" s="27"/>
      <c r="DF766" s="27"/>
      <c r="DG766" s="27"/>
      <c r="DH766" s="27"/>
      <c r="DI766" s="27"/>
      <c r="DJ766" s="27"/>
      <c r="DK766" s="27"/>
      <c r="DL766" s="27"/>
      <c r="DM766" s="27"/>
      <c r="DN766" s="27"/>
      <c r="DO766" s="27"/>
      <c r="DP766" s="27"/>
      <c r="DQ766" s="27"/>
      <c r="DR766" s="27"/>
      <c r="DS766" s="27"/>
      <c r="DT766" s="27"/>
    </row>
    <row r="767" spans="7:124" x14ac:dyDescent="0.2">
      <c r="G767" s="27"/>
      <c r="H767" s="27"/>
      <c r="I767" s="27"/>
      <c r="J767" s="27"/>
      <c r="K767" s="27"/>
      <c r="L767" s="27"/>
      <c r="M767" s="27">
        <f>SUM(M747:M750)*W739</f>
        <v>0</v>
      </c>
      <c r="N767" s="27" t="str">
        <f>C941</f>
        <v>תוספת סמינרים  12%</v>
      </c>
      <c r="O767" s="27"/>
      <c r="P767" s="27"/>
      <c r="Q767" s="27"/>
      <c r="R767" s="27"/>
      <c r="S767" s="27"/>
      <c r="T767" s="27"/>
      <c r="U767" s="27"/>
      <c r="V767" s="27"/>
      <c r="W767" s="27"/>
      <c r="X767" s="27"/>
      <c r="Y767" s="27"/>
      <c r="Z767" s="27"/>
      <c r="AA767" s="27"/>
      <c r="AB767" s="27"/>
      <c r="AC767" s="27"/>
      <c r="AD767" s="27"/>
      <c r="AE767" s="27"/>
      <c r="AF767" s="27"/>
      <c r="AG767" s="27"/>
      <c r="AH767" s="27"/>
      <c r="AI767" s="27"/>
      <c r="AJ767" s="27"/>
      <c r="AK767" s="27"/>
      <c r="AL767" s="27"/>
      <c r="AM767" s="27"/>
      <c r="AN767" s="27"/>
      <c r="AO767" s="27"/>
      <c r="AP767" s="27"/>
      <c r="AQ767" s="27"/>
      <c r="AR767" s="27"/>
      <c r="AS767" s="27"/>
      <c r="AT767" s="27"/>
      <c r="AU767" s="27"/>
      <c r="AV767" s="27"/>
      <c r="AW767" s="27"/>
      <c r="AX767" s="27"/>
      <c r="AY767" s="27"/>
      <c r="AZ767" s="27"/>
      <c r="BA767" s="27"/>
      <c r="BB767" s="27"/>
      <c r="BC767" s="27"/>
      <c r="BD767" s="27"/>
      <c r="BE767" s="27"/>
      <c r="BF767" s="27"/>
      <c r="BG767" s="27"/>
      <c r="BH767" s="27"/>
      <c r="BI767" s="27"/>
      <c r="BJ767" s="27"/>
      <c r="BK767" s="27"/>
      <c r="BL767" s="27"/>
      <c r="BM767" s="27"/>
      <c r="BN767" s="27"/>
      <c r="BO767" s="27"/>
      <c r="BP767" s="27"/>
      <c r="BQ767" s="27"/>
      <c r="BR767" s="27"/>
      <c r="BS767" s="27"/>
      <c r="BT767" s="27"/>
      <c r="BU767" s="27"/>
      <c r="BV767" s="27"/>
      <c r="BW767" s="27"/>
      <c r="BX767" s="27"/>
      <c r="BY767" s="27"/>
      <c r="BZ767" s="27"/>
      <c r="CA767" s="27"/>
      <c r="CB767" s="27"/>
      <c r="CC767" s="27"/>
      <c r="CD767" s="27"/>
      <c r="CE767" s="27"/>
      <c r="CF767" s="27"/>
      <c r="CG767" s="27"/>
      <c r="CH767" s="27"/>
      <c r="CI767" s="27"/>
      <c r="CJ767" s="27"/>
      <c r="CK767" s="27"/>
      <c r="CL767" s="27"/>
      <c r="CM767" s="27"/>
      <c r="CN767" s="27"/>
      <c r="CO767" s="27"/>
      <c r="CP767" s="27"/>
      <c r="CQ767" s="27"/>
      <c r="CR767" s="27"/>
      <c r="CS767" s="27"/>
      <c r="CT767" s="27"/>
      <c r="CU767" s="27"/>
      <c r="CV767" s="27"/>
      <c r="CW767" s="27"/>
      <c r="CX767" s="27"/>
      <c r="CY767" s="27"/>
      <c r="CZ767" s="27"/>
      <c r="DA767" s="27"/>
      <c r="DB767" s="27"/>
      <c r="DC767" s="27"/>
      <c r="DD767" s="27"/>
      <c r="DE767" s="27"/>
      <c r="DF767" s="27"/>
      <c r="DG767" s="27"/>
      <c r="DH767" s="27"/>
      <c r="DI767" s="27"/>
      <c r="DJ767" s="27"/>
      <c r="DK767" s="27"/>
      <c r="DL767" s="27"/>
      <c r="DM767" s="27"/>
      <c r="DN767" s="27"/>
      <c r="DO767" s="27"/>
      <c r="DP767" s="27"/>
      <c r="DQ767" s="27"/>
      <c r="DR767" s="27"/>
      <c r="DS767" s="27"/>
      <c r="DT767" s="27"/>
    </row>
    <row r="768" spans="7:124" x14ac:dyDescent="0.2">
      <c r="G768" s="27"/>
      <c r="H768" s="27"/>
      <c r="I768" s="27"/>
      <c r="J768" s="27"/>
      <c r="K768" s="27"/>
      <c r="L768" s="27"/>
      <c r="M768" s="27">
        <f>L806</f>
        <v>0</v>
      </c>
      <c r="N768" s="27" t="s">
        <v>251</v>
      </c>
      <c r="O768" s="27"/>
      <c r="P768" s="27"/>
      <c r="Q768" s="27"/>
      <c r="R768" s="27"/>
      <c r="S768" s="27"/>
      <c r="T768" s="27"/>
      <c r="U768" s="27"/>
      <c r="V768" s="27"/>
      <c r="W768" s="27"/>
      <c r="X768" s="27"/>
      <c r="Y768" s="27"/>
      <c r="Z768" s="27"/>
      <c r="AA768" s="27"/>
      <c r="AB768" s="27"/>
      <c r="AC768" s="27"/>
      <c r="AD768" s="27"/>
      <c r="AE768" s="27"/>
      <c r="AF768" s="27"/>
      <c r="AG768" s="27"/>
      <c r="AH768" s="27"/>
      <c r="AI768" s="27"/>
      <c r="AJ768" s="27"/>
      <c r="AK768" s="27"/>
      <c r="AL768" s="27"/>
      <c r="AM768" s="27"/>
      <c r="AN768" s="27"/>
      <c r="AO768" s="27"/>
      <c r="AP768" s="27"/>
      <c r="AQ768" s="27"/>
      <c r="AR768" s="27"/>
      <c r="AS768" s="27"/>
      <c r="AT768" s="27"/>
      <c r="AU768" s="27"/>
      <c r="AV768" s="27"/>
      <c r="AW768" s="27"/>
      <c r="AX768" s="27"/>
      <c r="AY768" s="27"/>
      <c r="AZ768" s="27"/>
      <c r="BA768" s="27" t="s">
        <v>431</v>
      </c>
      <c r="BB768" s="27"/>
      <c r="BC768" s="27"/>
      <c r="BD768" s="27"/>
      <c r="BE768" s="27"/>
      <c r="BF768" s="27"/>
      <c r="BG768" s="27"/>
      <c r="BH768" s="27"/>
      <c r="BI768" s="27"/>
      <c r="BJ768" s="27"/>
      <c r="BK768" s="27"/>
      <c r="BL768" s="27"/>
      <c r="BM768" s="27"/>
      <c r="BN768" s="27"/>
      <c r="BO768" s="27"/>
      <c r="BP768" s="27"/>
      <c r="BQ768" s="27"/>
      <c r="BR768" s="27"/>
      <c r="BS768" s="27"/>
      <c r="BT768" s="27"/>
      <c r="BU768" s="27">
        <v>19</v>
      </c>
      <c r="BV768" s="27">
        <v>0.02</v>
      </c>
      <c r="BW768" s="27">
        <v>5719.9</v>
      </c>
      <c r="BX768" s="27">
        <v>5403.6</v>
      </c>
      <c r="BY768" s="27">
        <v>5043.33</v>
      </c>
      <c r="BZ768" s="27">
        <v>4819.3100000000004</v>
      </c>
      <c r="CA768" s="27">
        <v>4393.17</v>
      </c>
      <c r="CB768" s="27">
        <v>4393.17</v>
      </c>
      <c r="CC768" s="27">
        <v>3822.01</v>
      </c>
      <c r="CD768" s="27">
        <v>3580.37</v>
      </c>
      <c r="CE768" s="27">
        <v>3492.51</v>
      </c>
      <c r="CF768" s="27">
        <v>3382.69</v>
      </c>
      <c r="CG768" s="27">
        <v>4819.3100000000004</v>
      </c>
      <c r="CH768" s="27">
        <v>4481.0600000000004</v>
      </c>
      <c r="CI768" s="27">
        <v>3822.01</v>
      </c>
      <c r="CJ768" s="27">
        <v>4718.28</v>
      </c>
      <c r="CK768" s="27">
        <v>4819.3100000000004</v>
      </c>
      <c r="CL768" s="27"/>
      <c r="CM768" s="27"/>
      <c r="CN768" s="27"/>
      <c r="CO768" s="27"/>
      <c r="CP768" s="27"/>
      <c r="CQ768" s="27"/>
      <c r="CR768" s="27"/>
      <c r="CS768" s="27"/>
      <c r="CT768" s="27"/>
      <c r="CU768" s="27"/>
      <c r="CV768" s="27"/>
      <c r="CW768" s="27"/>
      <c r="CX768" s="27"/>
      <c r="CY768" s="27"/>
      <c r="CZ768" s="27"/>
      <c r="DA768" s="27"/>
      <c r="DB768" s="27"/>
      <c r="DC768" s="27"/>
      <c r="DD768" s="27"/>
      <c r="DE768" s="27"/>
      <c r="DF768" s="27"/>
      <c r="DG768" s="27"/>
      <c r="DH768" s="27"/>
      <c r="DI768" s="27"/>
      <c r="DJ768" s="27"/>
      <c r="DK768" s="27"/>
      <c r="DL768" s="27"/>
      <c r="DM768" s="27"/>
      <c r="DN768" s="27"/>
      <c r="DO768" s="27"/>
      <c r="DP768" s="27"/>
      <c r="DQ768" s="27"/>
      <c r="DR768" s="27"/>
      <c r="DS768" s="27"/>
      <c r="DT768" s="27"/>
    </row>
    <row r="769" spans="7:124" x14ac:dyDescent="0.2">
      <c r="G769" s="27"/>
      <c r="H769" s="27"/>
      <c r="I769" s="27"/>
      <c r="J769" s="27"/>
      <c r="K769" s="27"/>
      <c r="L769" s="27"/>
      <c r="M769" s="27">
        <f>SUM(M747:M768)*'[1]נתוני מס'!L23</f>
        <v>271.07985410316002</v>
      </c>
      <c r="N769" s="27" t="str">
        <f>K806</f>
        <v>תוספת ערבה</v>
      </c>
      <c r="O769" s="27"/>
      <c r="P769" s="27"/>
      <c r="Q769" s="27"/>
      <c r="R769" s="27"/>
      <c r="S769" s="27"/>
      <c r="T769" s="27"/>
      <c r="U769" s="27"/>
      <c r="V769" s="27"/>
      <c r="W769" s="27"/>
      <c r="X769" s="27"/>
      <c r="Y769" s="27"/>
      <c r="Z769" s="27"/>
      <c r="AA769" s="27"/>
      <c r="AB769" s="27"/>
      <c r="AC769" s="27"/>
      <c r="AD769" s="27"/>
      <c r="AE769" s="27"/>
      <c r="AF769" s="27"/>
      <c r="AG769" s="27"/>
      <c r="AH769" s="27"/>
      <c r="AI769" s="27"/>
      <c r="AJ769" s="27"/>
      <c r="AK769" s="27"/>
      <c r="AL769" s="27"/>
      <c r="AM769" s="27"/>
      <c r="AN769" s="27"/>
      <c r="AO769" s="27"/>
      <c r="AP769" s="27"/>
      <c r="AQ769" s="27"/>
      <c r="AR769" s="27"/>
      <c r="AS769" s="27"/>
      <c r="AT769" s="27"/>
      <c r="AU769" s="27"/>
      <c r="AV769" s="27"/>
      <c r="AW769" s="27"/>
      <c r="AX769" s="27"/>
      <c r="AY769" s="27"/>
      <c r="AZ769" s="27"/>
      <c r="BA769" s="27" t="s">
        <v>0</v>
      </c>
      <c r="BB769" s="27" t="s">
        <v>10</v>
      </c>
      <c r="BC769" s="27"/>
      <c r="BD769" s="27"/>
      <c r="BE769" s="27"/>
      <c r="BF769" s="27"/>
      <c r="BG769" s="27"/>
      <c r="BH769" s="27"/>
      <c r="BI769" s="27"/>
      <c r="BJ769" s="27"/>
      <c r="BK769" s="27"/>
      <c r="BL769" s="27"/>
      <c r="BM769" s="27"/>
      <c r="BN769" s="27"/>
      <c r="BO769" s="27"/>
      <c r="BP769" s="27"/>
      <c r="BQ769" s="27"/>
      <c r="BR769" s="27"/>
      <c r="BS769" s="27"/>
      <c r="BT769" s="27"/>
      <c r="BU769" s="27"/>
      <c r="BV769" s="27"/>
      <c r="BW769" s="27"/>
      <c r="BX769" s="27"/>
      <c r="BY769" s="27"/>
      <c r="BZ769" s="27"/>
      <c r="CA769" s="27"/>
      <c r="CB769" s="27"/>
      <c r="CC769" s="27"/>
      <c r="CD769" s="27"/>
      <c r="CE769" s="27"/>
      <c r="CF769" s="27"/>
      <c r="CG769" s="27"/>
      <c r="CH769" s="27"/>
      <c r="CI769" s="27"/>
      <c r="CJ769" s="27"/>
      <c r="CK769" s="27"/>
      <c r="CL769" s="27"/>
      <c r="CM769" s="27"/>
      <c r="CN769" s="27"/>
      <c r="CO769" s="27"/>
      <c r="CP769" s="27"/>
      <c r="CQ769" s="27"/>
      <c r="CR769" s="27"/>
      <c r="CS769" s="27"/>
      <c r="CT769" s="27"/>
      <c r="CU769" s="27"/>
      <c r="CV769" s="27"/>
      <c r="CW769" s="27"/>
      <c r="CX769" s="27"/>
      <c r="CY769" s="27"/>
      <c r="CZ769" s="27"/>
      <c r="DA769" s="27"/>
      <c r="DB769" s="27"/>
      <c r="DC769" s="27"/>
      <c r="DD769" s="27"/>
      <c r="DE769" s="27"/>
      <c r="DF769" s="27"/>
      <c r="DG769" s="27"/>
      <c r="DH769" s="27"/>
      <c r="DI769" s="27"/>
      <c r="DJ769" s="27"/>
      <c r="DK769" s="27"/>
      <c r="DL769" s="27"/>
      <c r="DM769" s="27"/>
      <c r="DN769" s="27"/>
      <c r="DO769" s="27"/>
      <c r="DP769" s="27"/>
      <c r="DQ769" s="27"/>
      <c r="DR769" s="27"/>
      <c r="DS769" s="27"/>
      <c r="DT769" s="27"/>
    </row>
    <row r="770" spans="7:124" x14ac:dyDescent="0.2">
      <c r="G770" s="27"/>
      <c r="H770" s="27"/>
      <c r="I770" s="27"/>
      <c r="J770" s="27"/>
      <c r="K770" s="27"/>
      <c r="L770" s="27"/>
      <c r="M770" s="27">
        <f>SUM(M747:M768)*'[1]נתוני מס'!L22*(1+'[1]נתוני מס'!L23)</f>
        <v>366.65056266641858</v>
      </c>
      <c r="N770" s="27" t="s">
        <v>271</v>
      </c>
      <c r="O770" s="27"/>
      <c r="P770" s="27"/>
      <c r="Q770" s="27"/>
      <c r="R770" s="27" t="s">
        <v>432</v>
      </c>
      <c r="S770" s="27"/>
      <c r="T770" s="27"/>
      <c r="U770" s="27"/>
      <c r="V770" s="27"/>
      <c r="W770" s="27"/>
      <c r="X770" s="27"/>
      <c r="Y770" s="27"/>
      <c r="Z770" s="27"/>
      <c r="AA770" s="27"/>
      <c r="AB770" s="27"/>
      <c r="AC770" s="27"/>
      <c r="AD770" s="27"/>
      <c r="AE770" s="27"/>
      <c r="AF770" s="27"/>
      <c r="AG770" s="27"/>
      <c r="AH770" s="27"/>
      <c r="AI770" s="27"/>
      <c r="AJ770" s="27"/>
      <c r="AK770" s="27"/>
      <c r="AL770" s="27"/>
      <c r="AM770" s="27"/>
      <c r="AN770" s="27"/>
      <c r="AO770" s="27"/>
      <c r="AP770" s="27"/>
      <c r="AQ770" s="27"/>
      <c r="AR770" s="27"/>
      <c r="AS770" s="27"/>
      <c r="AT770" s="27"/>
      <c r="AU770" s="27"/>
      <c r="AV770" s="27"/>
      <c r="AW770" s="27"/>
      <c r="AX770" s="27"/>
      <c r="AY770" s="27"/>
      <c r="AZ770" s="27"/>
      <c r="BA770" s="27" t="s">
        <v>433</v>
      </c>
      <c r="BB770" s="27">
        <v>6</v>
      </c>
      <c r="BC770" s="27"/>
      <c r="BD770" s="27"/>
      <c r="BE770" s="27"/>
      <c r="BF770" s="27"/>
      <c r="BG770" s="27"/>
      <c r="BH770" s="27"/>
      <c r="BI770" s="27"/>
      <c r="BJ770" s="27"/>
      <c r="BK770" s="27"/>
      <c r="BL770" s="27"/>
      <c r="BM770" s="27"/>
      <c r="BN770" s="27"/>
      <c r="BO770" s="27"/>
      <c r="BP770" s="27"/>
      <c r="BQ770" s="27"/>
      <c r="BR770" s="27"/>
      <c r="BS770" s="27"/>
      <c r="BT770" s="27"/>
      <c r="BU770" s="27">
        <v>20</v>
      </c>
      <c r="BV770" s="27">
        <v>0.02</v>
      </c>
      <c r="BW770" s="27">
        <v>5834.29</v>
      </c>
      <c r="BX770" s="27">
        <v>5511.67</v>
      </c>
      <c r="BY770" s="27">
        <v>5144.1899999999996</v>
      </c>
      <c r="BZ770" s="27">
        <v>4915.6899999999996</v>
      </c>
      <c r="CA770" s="27">
        <v>4481.03</v>
      </c>
      <c r="CB770" s="27">
        <v>4481.03</v>
      </c>
      <c r="CC770" s="27">
        <v>3898.45</v>
      </c>
      <c r="CD770" s="27">
        <v>3651.97</v>
      </c>
      <c r="CE770" s="27">
        <v>3562.36</v>
      </c>
      <c r="CF770" s="27">
        <v>3450.34</v>
      </c>
      <c r="CG770" s="27">
        <v>4915.6899999999996</v>
      </c>
      <c r="CH770" s="27">
        <v>4570.68</v>
      </c>
      <c r="CI770" s="27">
        <v>3898.45</v>
      </c>
      <c r="CJ770" s="27">
        <v>4812.6400000000003</v>
      </c>
      <c r="CK770" s="27">
        <v>4915.6899999999996</v>
      </c>
      <c r="CL770" s="27"/>
      <c r="CM770" s="27"/>
      <c r="CN770" s="27"/>
      <c r="CO770" s="27"/>
      <c r="CP770" s="27"/>
      <c r="CQ770" s="27"/>
      <c r="CR770" s="27"/>
      <c r="CS770" s="27"/>
      <c r="CT770" s="27"/>
      <c r="CU770" s="27"/>
      <c r="CV770" s="27"/>
      <c r="CW770" s="27"/>
      <c r="CX770" s="27"/>
      <c r="CY770" s="27"/>
      <c r="CZ770" s="27"/>
      <c r="DA770" s="27"/>
      <c r="DB770" s="27"/>
      <c r="DC770" s="27"/>
      <c r="DD770" s="27"/>
      <c r="DE770" s="27"/>
      <c r="DF770" s="27"/>
      <c r="DG770" s="27"/>
      <c r="DH770" s="27"/>
      <c r="DI770" s="27"/>
      <c r="DJ770" s="27"/>
      <c r="DK770" s="27"/>
      <c r="DL770" s="27"/>
      <c r="DM770" s="27"/>
      <c r="DN770" s="27"/>
      <c r="DO770" s="27"/>
      <c r="DP770" s="27"/>
      <c r="DQ770" s="27"/>
      <c r="DR770" s="27"/>
      <c r="DS770" s="27"/>
      <c r="DT770" s="27"/>
    </row>
    <row r="771" spans="7:124" x14ac:dyDescent="0.2">
      <c r="G771" s="27"/>
      <c r="H771" s="27"/>
      <c r="I771" s="27"/>
      <c r="J771" s="27"/>
      <c r="K771" s="27"/>
      <c r="L771" s="27"/>
      <c r="M771" s="27">
        <f>SUM(M747:M770)</f>
        <v>8167.7263640795791</v>
      </c>
      <c r="N771" s="27" t="s">
        <v>279</v>
      </c>
      <c r="O771" s="27"/>
      <c r="P771" s="27"/>
      <c r="Q771" s="27"/>
      <c r="R771" s="27" t="s">
        <v>59</v>
      </c>
      <c r="S771" s="27"/>
      <c r="T771" s="27"/>
      <c r="U771" s="27"/>
      <c r="V771" s="27"/>
      <c r="W771" s="27"/>
      <c r="X771" s="27"/>
      <c r="Y771" s="27"/>
      <c r="Z771" s="27"/>
      <c r="AA771" s="27"/>
      <c r="AB771" s="27"/>
      <c r="AC771" s="27"/>
      <c r="AD771" s="27"/>
      <c r="AE771" s="27"/>
      <c r="AF771" s="27"/>
      <c r="AG771" s="27"/>
      <c r="AH771" s="27"/>
      <c r="AI771" s="27"/>
      <c r="AJ771" s="27"/>
      <c r="AK771" s="27"/>
      <c r="AL771" s="27"/>
      <c r="AM771" s="27"/>
      <c r="AN771" s="27"/>
      <c r="AO771" s="27"/>
      <c r="AP771" s="27"/>
      <c r="AQ771" s="27"/>
      <c r="AR771" s="27"/>
      <c r="AS771" s="27"/>
      <c r="AT771" s="27"/>
      <c r="AU771" s="27"/>
      <c r="AV771" s="27"/>
      <c r="AW771" s="27"/>
      <c r="AX771" s="27"/>
      <c r="AY771" s="27"/>
      <c r="AZ771" s="27"/>
      <c r="BA771" s="27" t="s">
        <v>2</v>
      </c>
      <c r="BB771" s="27">
        <v>33</v>
      </c>
      <c r="BC771" s="27"/>
      <c r="BD771" s="27"/>
      <c r="BE771" s="27"/>
      <c r="BF771" s="27"/>
      <c r="BG771" s="27"/>
      <c r="BH771" s="27"/>
      <c r="BI771" s="27"/>
      <c r="BJ771" s="27"/>
      <c r="BK771" s="27"/>
      <c r="BL771" s="27"/>
      <c r="BM771" s="27"/>
      <c r="BN771" s="27"/>
      <c r="BO771" s="27"/>
      <c r="BP771" s="27"/>
      <c r="BQ771" s="27"/>
      <c r="BR771" s="27"/>
      <c r="BS771" s="27"/>
      <c r="BT771" s="27"/>
      <c r="BU771" s="27"/>
      <c r="BV771" s="27"/>
      <c r="BW771" s="27"/>
      <c r="BX771" s="27"/>
      <c r="BY771" s="27"/>
      <c r="BZ771" s="27"/>
      <c r="CA771" s="27"/>
      <c r="CB771" s="27"/>
      <c r="CC771" s="27"/>
      <c r="CD771" s="27"/>
      <c r="CE771" s="27"/>
      <c r="CF771" s="27"/>
      <c r="CG771" s="27"/>
      <c r="CH771" s="27"/>
      <c r="CI771" s="27"/>
      <c r="CJ771" s="27"/>
      <c r="CK771" s="27"/>
      <c r="CL771" s="27"/>
      <c r="CM771" s="27"/>
      <c r="CN771" s="27"/>
      <c r="CO771" s="27"/>
      <c r="CP771" s="27"/>
      <c r="CQ771" s="27"/>
      <c r="CR771" s="27"/>
      <c r="CS771" s="27"/>
      <c r="CT771" s="27"/>
      <c r="CU771" s="27"/>
      <c r="CV771" s="27"/>
      <c r="CW771" s="27"/>
      <c r="CX771" s="27"/>
      <c r="CY771" s="27"/>
      <c r="CZ771" s="27"/>
      <c r="DA771" s="27"/>
      <c r="DB771" s="27"/>
      <c r="DC771" s="27"/>
      <c r="DD771" s="27"/>
      <c r="DE771" s="27"/>
      <c r="DF771" s="27"/>
      <c r="DG771" s="27"/>
      <c r="DH771" s="27"/>
      <c r="DI771" s="27"/>
      <c r="DJ771" s="27"/>
      <c r="DK771" s="27"/>
      <c r="DL771" s="27"/>
      <c r="DM771" s="27"/>
      <c r="DN771" s="27"/>
      <c r="DO771" s="27"/>
      <c r="DP771" s="27"/>
      <c r="DQ771" s="27"/>
      <c r="DR771" s="27"/>
      <c r="DS771" s="27"/>
      <c r="DT771" s="27"/>
    </row>
    <row r="772" spans="7:124" x14ac:dyDescent="0.2">
      <c r="G772" s="27"/>
      <c r="H772" s="27"/>
      <c r="I772" s="27"/>
      <c r="J772" s="27"/>
      <c r="K772" s="27"/>
      <c r="L772" s="27"/>
      <c r="M772" s="27"/>
      <c r="N772" s="27"/>
      <c r="O772" s="27"/>
      <c r="P772" s="27"/>
      <c r="Q772" s="27"/>
      <c r="R772" s="27"/>
      <c r="S772" s="27"/>
      <c r="T772" s="27"/>
      <c r="U772" s="27"/>
      <c r="V772" s="27"/>
      <c r="W772" s="27"/>
      <c r="X772" s="27"/>
      <c r="Y772" s="27"/>
      <c r="Z772" s="27"/>
      <c r="AA772" s="27"/>
      <c r="AB772" s="27"/>
      <c r="AC772" s="27"/>
      <c r="AD772" s="27"/>
      <c r="AE772" s="27"/>
      <c r="AF772" s="27"/>
      <c r="AG772" s="27"/>
      <c r="AH772" s="27"/>
      <c r="AI772" s="27"/>
      <c r="AJ772" s="27"/>
      <c r="AK772" s="27"/>
      <c r="AL772" s="27"/>
      <c r="AM772" s="27"/>
      <c r="AN772" s="27"/>
      <c r="AO772" s="27"/>
      <c r="AP772" s="27"/>
      <c r="AQ772" s="27"/>
      <c r="AR772" s="27"/>
      <c r="AS772" s="27"/>
      <c r="AT772" s="27"/>
      <c r="AU772" s="27"/>
      <c r="AV772" s="27"/>
      <c r="AW772" s="27"/>
      <c r="AX772" s="27"/>
      <c r="AY772" s="27"/>
      <c r="AZ772" s="27"/>
      <c r="BA772" s="27" t="s">
        <v>434</v>
      </c>
      <c r="BB772" s="27">
        <v>0</v>
      </c>
      <c r="BC772" s="27"/>
      <c r="BD772" s="27"/>
      <c r="BE772" s="27"/>
      <c r="BF772" s="27"/>
      <c r="BG772" s="27"/>
      <c r="BH772" s="27"/>
      <c r="BI772" s="27"/>
      <c r="BJ772" s="27"/>
      <c r="BK772" s="27"/>
      <c r="BL772" s="27"/>
      <c r="BM772" s="27"/>
      <c r="BN772" s="27"/>
      <c r="BO772" s="27"/>
      <c r="BP772" s="27"/>
      <c r="BQ772" s="27"/>
      <c r="BR772" s="27"/>
      <c r="BS772" s="27"/>
      <c r="BT772" s="27"/>
      <c r="BU772" s="27">
        <v>21</v>
      </c>
      <c r="BV772" s="27">
        <v>0.02</v>
      </c>
      <c r="BW772" s="27">
        <v>5950.97</v>
      </c>
      <c r="BX772" s="27">
        <v>5621.9</v>
      </c>
      <c r="BY772" s="27">
        <v>5247.07</v>
      </c>
      <c r="BZ772" s="27">
        <v>5014</v>
      </c>
      <c r="CA772" s="27">
        <v>4570.6499999999996</v>
      </c>
      <c r="CB772" s="27">
        <v>4570.6499999999996</v>
      </c>
      <c r="CC772" s="27">
        <v>3976.41</v>
      </c>
      <c r="CD772" s="27">
        <v>3725</v>
      </c>
      <c r="CE772" s="27">
        <v>3633.6</v>
      </c>
      <c r="CF772" s="27">
        <v>3519.34</v>
      </c>
      <c r="CG772" s="27">
        <v>5014</v>
      </c>
      <c r="CH772" s="27">
        <v>4662.09</v>
      </c>
      <c r="CI772" s="27">
        <v>3976.41</v>
      </c>
      <c r="CJ772" s="27">
        <v>4908.8900000000003</v>
      </c>
      <c r="CK772" s="27">
        <v>5014</v>
      </c>
      <c r="CL772" s="27"/>
      <c r="CM772" s="27"/>
      <c r="CN772" s="27"/>
      <c r="CO772" s="27"/>
      <c r="CP772" s="27"/>
      <c r="CQ772" s="27"/>
      <c r="CR772" s="27"/>
      <c r="CS772" s="27"/>
      <c r="CT772" s="27"/>
      <c r="CU772" s="27"/>
      <c r="CV772" s="27"/>
      <c r="CW772" s="27"/>
      <c r="CX772" s="27"/>
      <c r="CY772" s="27"/>
      <c r="CZ772" s="27"/>
      <c r="DA772" s="27"/>
      <c r="DB772" s="27"/>
      <c r="DC772" s="27"/>
      <c r="DD772" s="27"/>
      <c r="DE772" s="27"/>
      <c r="DF772" s="27"/>
      <c r="DG772" s="27"/>
      <c r="DH772" s="27"/>
      <c r="DI772" s="27"/>
      <c r="DJ772" s="27"/>
      <c r="DK772" s="27"/>
      <c r="DL772" s="27"/>
      <c r="DM772" s="27"/>
      <c r="DN772" s="27"/>
      <c r="DO772" s="27"/>
      <c r="DP772" s="27"/>
      <c r="DQ772" s="27"/>
      <c r="DR772" s="27"/>
      <c r="DS772" s="27"/>
      <c r="DT772" s="27"/>
    </row>
    <row r="773" spans="7:124" x14ac:dyDescent="0.2">
      <c r="G773" s="27"/>
      <c r="H773" s="27"/>
      <c r="I773" s="27"/>
      <c r="J773" s="27"/>
      <c r="K773" s="27"/>
      <c r="L773" s="27"/>
      <c r="M773" s="27"/>
      <c r="N773" s="27"/>
      <c r="O773" s="27"/>
      <c r="P773" s="27"/>
      <c r="Q773" s="27"/>
      <c r="R773" s="27"/>
      <c r="S773" s="27"/>
      <c r="T773" s="27"/>
      <c r="U773" s="27"/>
      <c r="V773" s="27"/>
      <c r="W773" s="27"/>
      <c r="X773" s="27"/>
      <c r="Y773" s="27"/>
      <c r="Z773" s="27"/>
      <c r="AA773" s="27"/>
      <c r="AB773" s="27"/>
      <c r="AC773" s="27"/>
      <c r="AD773" s="27"/>
      <c r="AE773" s="27"/>
      <c r="AF773" s="27"/>
      <c r="AG773" s="27"/>
      <c r="AH773" s="27"/>
      <c r="AI773" s="27"/>
      <c r="AJ773" s="27"/>
      <c r="AK773" s="27"/>
      <c r="AL773" s="27"/>
      <c r="AM773" s="27"/>
      <c r="AN773" s="27"/>
      <c r="AO773" s="27"/>
      <c r="AP773" s="27"/>
      <c r="AQ773" s="27"/>
      <c r="AR773" s="27"/>
      <c r="AS773" s="27"/>
      <c r="AT773" s="27"/>
      <c r="AU773" s="27"/>
      <c r="AV773" s="27"/>
      <c r="AW773" s="27"/>
      <c r="AX773" s="27"/>
      <c r="AY773" s="27"/>
      <c r="AZ773" s="27"/>
      <c r="BA773" s="27" t="s">
        <v>275</v>
      </c>
      <c r="BB773" s="27">
        <v>33</v>
      </c>
      <c r="BC773" s="27"/>
      <c r="BD773" s="27"/>
      <c r="BE773" s="27"/>
      <c r="BF773" s="27"/>
      <c r="BG773" s="27"/>
      <c r="BH773" s="27"/>
      <c r="BI773" s="27"/>
      <c r="BJ773" s="27"/>
      <c r="BK773" s="27"/>
      <c r="BL773" s="27"/>
      <c r="BM773" s="27"/>
      <c r="BN773" s="27"/>
      <c r="BO773" s="27"/>
      <c r="BP773" s="27"/>
      <c r="BQ773" s="27"/>
      <c r="BR773" s="27"/>
      <c r="BS773" s="27"/>
      <c r="BT773" s="27"/>
      <c r="BU773" s="27"/>
      <c r="BV773" s="27"/>
      <c r="BW773" s="27"/>
      <c r="BX773" s="27"/>
      <c r="BY773" s="27"/>
      <c r="BZ773" s="27"/>
      <c r="CA773" s="27"/>
      <c r="CB773" s="27"/>
      <c r="CC773" s="27"/>
      <c r="CD773" s="27"/>
      <c r="CE773" s="27"/>
      <c r="CF773" s="27"/>
      <c r="CG773" s="27"/>
      <c r="CH773" s="27"/>
      <c r="CI773" s="27"/>
      <c r="CJ773" s="27"/>
      <c r="CK773" s="27"/>
      <c r="CL773" s="27"/>
      <c r="CM773" s="27"/>
      <c r="CN773" s="27"/>
      <c r="CO773" s="27"/>
      <c r="CP773" s="27"/>
      <c r="CQ773" s="27"/>
      <c r="CR773" s="27"/>
      <c r="CS773" s="27"/>
      <c r="CT773" s="27"/>
      <c r="CU773" s="27"/>
      <c r="CV773" s="27"/>
      <c r="CW773" s="27"/>
      <c r="CX773" s="27"/>
      <c r="CY773" s="27"/>
      <c r="CZ773" s="27"/>
      <c r="DA773" s="27"/>
      <c r="DB773" s="27"/>
      <c r="DC773" s="27"/>
      <c r="DD773" s="27"/>
      <c r="DE773" s="27"/>
      <c r="DF773" s="27"/>
      <c r="DG773" s="27"/>
      <c r="DH773" s="27"/>
      <c r="DI773" s="27"/>
      <c r="DJ773" s="27"/>
      <c r="DK773" s="27"/>
      <c r="DL773" s="27"/>
      <c r="DM773" s="27"/>
      <c r="DN773" s="27"/>
      <c r="DO773" s="27"/>
      <c r="DP773" s="27"/>
      <c r="DQ773" s="27"/>
      <c r="DR773" s="27"/>
      <c r="DS773" s="27"/>
      <c r="DT773" s="27"/>
    </row>
    <row r="774" spans="7:124" x14ac:dyDescent="0.2">
      <c r="G774" s="27"/>
      <c r="H774" s="27"/>
      <c r="I774" s="27"/>
      <c r="J774" s="27"/>
      <c r="K774" s="27"/>
      <c r="L774" s="27"/>
      <c r="M774" s="27"/>
      <c r="N774" s="27"/>
      <c r="O774" s="27"/>
      <c r="P774" s="27"/>
      <c r="Q774" s="27"/>
      <c r="R774" s="27"/>
      <c r="S774" s="27"/>
      <c r="T774" s="27"/>
      <c r="U774" s="27"/>
      <c r="V774" s="27"/>
      <c r="W774" s="27"/>
      <c r="X774" s="27"/>
      <c r="Y774" s="27"/>
      <c r="Z774" s="27"/>
      <c r="AA774" s="27"/>
      <c r="AB774" s="27"/>
      <c r="AC774" s="27"/>
      <c r="AD774" s="27"/>
      <c r="AE774" s="27"/>
      <c r="AF774" s="27"/>
      <c r="AG774" s="27"/>
      <c r="AH774" s="27"/>
      <c r="AI774" s="27"/>
      <c r="AJ774" s="27"/>
      <c r="AK774" s="27"/>
      <c r="AL774" s="27"/>
      <c r="AM774" s="27"/>
      <c r="AN774" s="27"/>
      <c r="AO774" s="27"/>
      <c r="AP774" s="27"/>
      <c r="AQ774" s="27"/>
      <c r="AR774" s="27"/>
      <c r="AS774" s="27"/>
      <c r="AT774" s="27"/>
      <c r="AU774" s="27"/>
      <c r="AV774" s="27"/>
      <c r="AW774" s="27"/>
      <c r="AX774" s="27"/>
      <c r="AY774" s="27"/>
      <c r="AZ774" s="27"/>
      <c r="BA774" s="27" t="s">
        <v>32</v>
      </c>
      <c r="BB774" s="27">
        <v>0</v>
      </c>
      <c r="BC774" s="27"/>
      <c r="BD774" s="27"/>
      <c r="BE774" s="27"/>
      <c r="BF774" s="27"/>
      <c r="BG774" s="27"/>
      <c r="BH774" s="27"/>
      <c r="BI774" s="27"/>
      <c r="BJ774" s="27"/>
      <c r="BK774" s="27"/>
      <c r="BL774" s="27"/>
      <c r="BM774" s="27"/>
      <c r="BN774" s="27"/>
      <c r="BO774" s="27"/>
      <c r="BP774" s="27"/>
      <c r="BQ774" s="27"/>
      <c r="BR774" s="27"/>
      <c r="BS774" s="27"/>
      <c r="BT774" s="27"/>
      <c r="BU774" s="27">
        <v>22</v>
      </c>
      <c r="BV774" s="27">
        <v>0.02</v>
      </c>
      <c r="BW774" s="27">
        <v>6069.98</v>
      </c>
      <c r="BX774" s="27">
        <v>5734.33</v>
      </c>
      <c r="BY774" s="27">
        <v>5352.01</v>
      </c>
      <c r="BZ774" s="27">
        <v>5114.28</v>
      </c>
      <c r="CA774" s="27">
        <v>4662.0600000000004</v>
      </c>
      <c r="CB774" s="27">
        <v>4662.0600000000004</v>
      </c>
      <c r="CC774" s="27">
        <v>4055.93</v>
      </c>
      <c r="CD774" s="27">
        <v>3799.5</v>
      </c>
      <c r="CE774" s="27">
        <v>3706.27</v>
      </c>
      <c r="CF774" s="27">
        <v>3589.72</v>
      </c>
      <c r="CG774" s="27">
        <v>5114.28</v>
      </c>
      <c r="CH774" s="27">
        <v>4755.33</v>
      </c>
      <c r="CI774" s="27">
        <v>4055.93</v>
      </c>
      <c r="CJ774" s="27">
        <v>5007.0600000000004</v>
      </c>
      <c r="CK774" s="27">
        <v>5114.28</v>
      </c>
      <c r="CL774" s="27"/>
      <c r="CM774" s="27"/>
      <c r="CN774" s="27"/>
      <c r="CO774" s="27"/>
      <c r="CP774" s="27"/>
      <c r="CQ774" s="27"/>
      <c r="CR774" s="27"/>
      <c r="CS774" s="27"/>
      <c r="CT774" s="27"/>
      <c r="CU774" s="27"/>
      <c r="CV774" s="27"/>
      <c r="CW774" s="27"/>
      <c r="CX774" s="27"/>
      <c r="CY774" s="27"/>
      <c r="CZ774" s="27"/>
      <c r="DA774" s="27"/>
      <c r="DB774" s="27"/>
      <c r="DC774" s="27"/>
      <c r="DD774" s="27"/>
      <c r="DE774" s="27"/>
      <c r="DF774" s="27"/>
      <c r="DG774" s="27"/>
      <c r="DH774" s="27"/>
      <c r="DI774" s="27"/>
      <c r="DJ774" s="27"/>
      <c r="DK774" s="27"/>
      <c r="DL774" s="27"/>
      <c r="DM774" s="27"/>
      <c r="DN774" s="27"/>
      <c r="DO774" s="27"/>
      <c r="DP774" s="27"/>
      <c r="DQ774" s="27"/>
      <c r="DR774" s="27"/>
      <c r="DS774" s="27"/>
      <c r="DT774" s="27"/>
    </row>
    <row r="775" spans="7:124" x14ac:dyDescent="0.2">
      <c r="G775" s="27"/>
      <c r="H775" s="27" t="s">
        <v>575</v>
      </c>
      <c r="I775" s="27">
        <f ca="1">TODAY()</f>
        <v>45310</v>
      </c>
      <c r="J775" s="27"/>
      <c r="K775" s="27">
        <f ca="1">IF(YEAR(I775)&lt;2011,0,IF(YEAR(I775)&lt;2012,2.25%,IF(YEAR(I775)&lt;2013,4.25%,6.25%)))</f>
        <v>6.25E-2</v>
      </c>
      <c r="L775" s="27">
        <f ca="1">1+K775</f>
        <v>1.0625</v>
      </c>
      <c r="M775" s="27"/>
      <c r="N775" s="27"/>
      <c r="O775" s="27"/>
      <c r="P775" s="27"/>
      <c r="Q775" s="27"/>
      <c r="R775" s="27"/>
      <c r="S775" s="27"/>
      <c r="T775" s="27"/>
      <c r="U775" s="27"/>
      <c r="V775" s="27"/>
      <c r="W775" s="27"/>
      <c r="X775" s="27"/>
      <c r="Y775" s="27"/>
      <c r="Z775" s="27"/>
      <c r="AA775" s="27"/>
      <c r="AB775" s="27"/>
      <c r="AC775" s="27"/>
      <c r="AD775" s="27"/>
      <c r="AE775" s="27"/>
      <c r="AF775" s="27"/>
      <c r="AG775" s="27"/>
      <c r="AH775" s="27"/>
      <c r="AI775" s="27"/>
      <c r="AJ775" s="27"/>
      <c r="AK775" s="27"/>
      <c r="AL775" s="27"/>
      <c r="AM775" s="27"/>
      <c r="AN775" s="27"/>
      <c r="AO775" s="27"/>
      <c r="AP775" s="27"/>
      <c r="AQ775" s="27"/>
      <c r="AR775" s="27"/>
      <c r="AS775" s="27"/>
      <c r="AT775" s="27"/>
      <c r="AU775" s="27"/>
      <c r="AV775" s="27"/>
      <c r="AW775" s="27"/>
      <c r="AX775" s="27"/>
      <c r="AY775" s="27"/>
      <c r="AZ775" s="27"/>
      <c r="BA775" s="27" t="s">
        <v>436</v>
      </c>
      <c r="BB775" s="27" t="s">
        <v>84</v>
      </c>
      <c r="BC775" s="27"/>
      <c r="BD775" s="27"/>
      <c r="BE775" s="27"/>
      <c r="BF775" s="27"/>
      <c r="BG775" s="27"/>
      <c r="BH775" s="27"/>
      <c r="BI775" s="27"/>
      <c r="BJ775" s="27"/>
      <c r="BK775" s="27"/>
      <c r="BL775" s="27"/>
      <c r="BM775" s="27"/>
      <c r="BN775" s="27"/>
      <c r="BO775" s="27"/>
      <c r="BP775" s="27"/>
      <c r="BQ775" s="27"/>
      <c r="BR775" s="27"/>
      <c r="BS775" s="27"/>
      <c r="BT775" s="27"/>
      <c r="BU775" s="27"/>
      <c r="BV775" s="27"/>
      <c r="BW775" s="27"/>
      <c r="BX775" s="27"/>
      <c r="BY775" s="27"/>
      <c r="BZ775" s="27"/>
      <c r="CA775" s="27"/>
      <c r="CB775" s="27"/>
      <c r="CC775" s="27"/>
      <c r="CD775" s="27"/>
      <c r="CE775" s="27"/>
      <c r="CF775" s="27"/>
      <c r="CG775" s="27"/>
      <c r="CH775" s="27"/>
      <c r="CI775" s="27"/>
      <c r="CJ775" s="27"/>
      <c r="CK775" s="27"/>
      <c r="CL775" s="27"/>
      <c r="CM775" s="27"/>
      <c r="CN775" s="27"/>
      <c r="CO775" s="27"/>
      <c r="CP775" s="27"/>
      <c r="CQ775" s="27"/>
      <c r="CR775" s="27"/>
      <c r="CS775" s="27"/>
      <c r="CT775" s="27"/>
      <c r="CU775" s="27"/>
      <c r="CV775" s="27"/>
      <c r="CW775" s="27"/>
      <c r="CX775" s="27"/>
      <c r="CY775" s="27"/>
      <c r="CZ775" s="27"/>
      <c r="DA775" s="27"/>
      <c r="DB775" s="27"/>
      <c r="DC775" s="27"/>
      <c r="DD775" s="27"/>
      <c r="DE775" s="27"/>
      <c r="DF775" s="27"/>
      <c r="DG775" s="27"/>
      <c r="DH775" s="27"/>
      <c r="DI775" s="27"/>
      <c r="DJ775" s="27"/>
      <c r="DK775" s="27"/>
      <c r="DL775" s="27"/>
      <c r="DM775" s="27"/>
      <c r="DN775" s="27"/>
      <c r="DO775" s="27"/>
      <c r="DP775" s="27"/>
      <c r="DQ775" s="27"/>
      <c r="DR775" s="27"/>
      <c r="DS775" s="27"/>
      <c r="DT775" s="27"/>
    </row>
    <row r="776" spans="7:124" x14ac:dyDescent="0.2">
      <c r="G776" s="27"/>
      <c r="H776" s="27" t="s">
        <v>576</v>
      </c>
      <c r="I776" s="27" t="s">
        <v>577</v>
      </c>
      <c r="J776" s="27"/>
      <c r="K776" s="27" t="e">
        <f>VLOOKUP(L776,טור,1,1)</f>
        <v>#N/A</v>
      </c>
      <c r="L776" s="27" t="str">
        <f>IF(I30&lt;N28,M28,IF(I30&lt;N29,M29,IF(I30&lt;N30,M30,IF(I30&lt;N31,M31,IF(I30&lt;N32,M32,IF(I30&lt;N33,M33,IF(I30&lt;N34,M34,IF(I30&lt;AP705,AO705,M739))))))))</f>
        <v xml:space="preserve"> </v>
      </c>
      <c r="M776" s="27"/>
      <c r="N776" s="27"/>
      <c r="O776" s="27"/>
      <c r="P776" s="27"/>
      <c r="Q776" s="27"/>
      <c r="R776" s="27"/>
      <c r="S776" s="27"/>
      <c r="T776" s="27"/>
      <c r="U776" s="27"/>
      <c r="V776" s="27"/>
      <c r="W776" s="27"/>
      <c r="X776" s="27"/>
      <c r="Y776" s="27"/>
      <c r="Z776" s="27"/>
      <c r="AA776" s="27"/>
      <c r="AB776" s="27"/>
      <c r="AC776" s="27"/>
      <c r="AD776" s="27"/>
      <c r="AE776" s="27"/>
      <c r="AF776" s="27"/>
      <c r="AG776" s="27"/>
      <c r="AH776" s="27"/>
      <c r="AI776" s="27"/>
      <c r="AJ776" s="27"/>
      <c r="AK776" s="27"/>
      <c r="AL776" s="27"/>
      <c r="AM776" s="27"/>
      <c r="AN776" s="27"/>
      <c r="AO776" s="27"/>
      <c r="AP776" s="27"/>
      <c r="AQ776" s="27"/>
      <c r="AR776" s="27"/>
      <c r="AS776" s="27"/>
      <c r="AT776" s="27"/>
      <c r="AU776" s="27"/>
      <c r="AV776" s="27"/>
      <c r="AW776" s="27"/>
      <c r="AX776" s="27"/>
      <c r="AY776" s="27"/>
      <c r="AZ776" s="27"/>
      <c r="BA776" s="27" t="s">
        <v>379</v>
      </c>
      <c r="BB776" s="27">
        <v>0</v>
      </c>
      <c r="BC776" s="27"/>
      <c r="BD776" s="27"/>
      <c r="BE776" s="27"/>
      <c r="BF776" s="27"/>
      <c r="BG776" s="27"/>
      <c r="BH776" s="27"/>
      <c r="BI776" s="27"/>
      <c r="BJ776" s="27"/>
      <c r="BK776" s="27"/>
      <c r="BL776" s="27"/>
      <c r="BM776" s="27"/>
      <c r="BN776" s="27"/>
      <c r="BO776" s="27"/>
      <c r="BP776" s="27"/>
      <c r="BQ776" s="27"/>
      <c r="BR776" s="27"/>
      <c r="BS776" s="27"/>
      <c r="BT776" s="27"/>
      <c r="BU776" s="27">
        <v>23</v>
      </c>
      <c r="BV776" s="27">
        <v>0.02</v>
      </c>
      <c r="BW776" s="27">
        <v>6191.37</v>
      </c>
      <c r="BX776" s="27">
        <v>5849.01</v>
      </c>
      <c r="BY776" s="27">
        <v>5459.05</v>
      </c>
      <c r="BZ776" s="27">
        <v>5216.5600000000004</v>
      </c>
      <c r="CA776" s="27">
        <v>4755.3</v>
      </c>
      <c r="CB776" s="27">
        <v>4755.3</v>
      </c>
      <c r="CC776" s="27">
        <v>4137.04</v>
      </c>
      <c r="CD776" s="27">
        <v>3875.49</v>
      </c>
      <c r="CE776" s="27">
        <v>3780.39</v>
      </c>
      <c r="CF776" s="27">
        <v>3661.51</v>
      </c>
      <c r="CG776" s="27">
        <v>5216.5600000000004</v>
      </c>
      <c r="CH776" s="27">
        <v>4850.43</v>
      </c>
      <c r="CI776" s="27">
        <v>4137.04</v>
      </c>
      <c r="CJ776" s="27">
        <v>5107.2</v>
      </c>
      <c r="CK776" s="27">
        <v>5216.5600000000004</v>
      </c>
      <c r="CL776" s="27"/>
      <c r="CM776" s="27"/>
      <c r="CN776" s="27"/>
      <c r="CO776" s="27"/>
      <c r="CP776" s="27"/>
      <c r="CQ776" s="27"/>
      <c r="CR776" s="27"/>
      <c r="CS776" s="27"/>
      <c r="CT776" s="27"/>
      <c r="CU776" s="27"/>
      <c r="CV776" s="27"/>
      <c r="CW776" s="27"/>
      <c r="CX776" s="27"/>
      <c r="CY776" s="27"/>
      <c r="CZ776" s="27"/>
      <c r="DA776" s="27"/>
      <c r="DB776" s="27"/>
      <c r="DC776" s="27"/>
      <c r="DD776" s="27"/>
      <c r="DE776" s="27"/>
      <c r="DF776" s="27"/>
      <c r="DG776" s="27"/>
      <c r="DH776" s="27"/>
      <c r="DI776" s="27"/>
      <c r="DJ776" s="27"/>
      <c r="DK776" s="27"/>
      <c r="DL776" s="27"/>
      <c r="DM776" s="27"/>
      <c r="DN776" s="27"/>
      <c r="DO776" s="27"/>
      <c r="DP776" s="27"/>
      <c r="DQ776" s="27"/>
      <c r="DR776" s="27"/>
      <c r="DS776" s="27"/>
      <c r="DT776" s="27"/>
    </row>
    <row r="777" spans="7:124" x14ac:dyDescent="0.2">
      <c r="G777" s="27"/>
      <c r="H777" s="27"/>
      <c r="I777" s="27"/>
      <c r="J777" s="27"/>
      <c r="K777" s="27"/>
      <c r="L777" s="27" t="s">
        <v>69</v>
      </c>
      <c r="M777" s="27"/>
      <c r="N777" s="27"/>
      <c r="O777" s="27"/>
      <c r="P777" s="27"/>
      <c r="Q777" s="27"/>
      <c r="R777" s="27"/>
      <c r="S777" s="27"/>
      <c r="T777" s="27"/>
      <c r="U777" s="27"/>
      <c r="V777" s="27"/>
      <c r="W777" s="27"/>
      <c r="X777" s="27"/>
      <c r="Y777" s="27"/>
      <c r="Z777" s="27"/>
      <c r="AA777" s="27"/>
      <c r="AB777" s="27"/>
      <c r="AC777" s="27"/>
      <c r="AD777" s="27"/>
      <c r="AE777" s="27"/>
      <c r="AF777" s="27"/>
      <c r="AG777" s="27"/>
      <c r="AH777" s="27"/>
      <c r="AI777" s="27"/>
      <c r="AJ777" s="27"/>
      <c r="AK777" s="27"/>
      <c r="AL777" s="27"/>
      <c r="AM777" s="27"/>
      <c r="AN777" s="27"/>
      <c r="AO777" s="27"/>
      <c r="AP777" s="27"/>
      <c r="AQ777" s="27"/>
      <c r="AR777" s="27"/>
      <c r="AS777" s="27"/>
      <c r="AT777" s="27"/>
      <c r="AU777" s="27"/>
      <c r="AV777" s="27"/>
      <c r="AW777" s="27"/>
      <c r="AX777" s="27"/>
      <c r="AY777" s="27"/>
      <c r="AZ777" s="27"/>
      <c r="BA777" s="27" t="s">
        <v>437</v>
      </c>
      <c r="BB777" s="27" t="s">
        <v>115</v>
      </c>
      <c r="BC777" s="27"/>
      <c r="BD777" s="27"/>
      <c r="BE777" s="27"/>
      <c r="BF777" s="27"/>
      <c r="BG777" s="27"/>
      <c r="BH777" s="27"/>
      <c r="BI777" s="27"/>
      <c r="BJ777" s="27"/>
      <c r="BK777" s="27"/>
      <c r="BL777" s="27"/>
      <c r="BM777" s="27"/>
      <c r="BN777" s="27"/>
      <c r="BO777" s="27"/>
      <c r="BP777" s="27"/>
      <c r="BQ777" s="27"/>
      <c r="BR777" s="27"/>
      <c r="BS777" s="27"/>
      <c r="BT777" s="27"/>
      <c r="BU777" s="27"/>
      <c r="BV777" s="27"/>
      <c r="BW777" s="27"/>
      <c r="BX777" s="27"/>
      <c r="BY777" s="27"/>
      <c r="BZ777" s="27"/>
      <c r="CA777" s="27"/>
      <c r="CB777" s="27"/>
      <c r="CC777" s="27"/>
      <c r="CD777" s="27"/>
      <c r="CE777" s="27"/>
      <c r="CF777" s="27"/>
      <c r="CG777" s="27"/>
      <c r="CH777" s="27"/>
      <c r="CI777" s="27"/>
      <c r="CJ777" s="27"/>
      <c r="CK777" s="27"/>
      <c r="CL777" s="27"/>
      <c r="CM777" s="27"/>
      <c r="CN777" s="27"/>
      <c r="CO777" s="27"/>
      <c r="CP777" s="27"/>
      <c r="CQ777" s="27"/>
      <c r="CR777" s="27"/>
      <c r="CS777" s="27"/>
      <c r="CT777" s="27"/>
      <c r="CU777" s="27"/>
      <c r="CV777" s="27"/>
      <c r="CW777" s="27"/>
      <c r="CX777" s="27"/>
      <c r="CY777" s="27"/>
      <c r="CZ777" s="27"/>
      <c r="DA777" s="27"/>
      <c r="DB777" s="27"/>
      <c r="DC777" s="27"/>
      <c r="DD777" s="27"/>
      <c r="DE777" s="27"/>
      <c r="DF777" s="27"/>
      <c r="DG777" s="27"/>
      <c r="DH777" s="27"/>
      <c r="DI777" s="27"/>
      <c r="DJ777" s="27"/>
      <c r="DK777" s="27"/>
      <c r="DL777" s="27"/>
      <c r="DM777" s="27"/>
      <c r="DN777" s="27"/>
      <c r="DO777" s="27"/>
      <c r="DP777" s="27"/>
      <c r="DQ777" s="27"/>
      <c r="DR777" s="27"/>
      <c r="DS777" s="27"/>
      <c r="DT777" s="27"/>
    </row>
    <row r="778" spans="7:124" x14ac:dyDescent="0.2">
      <c r="G778" s="27"/>
      <c r="H778" s="27" t="s">
        <v>578</v>
      </c>
      <c r="I778" s="27"/>
      <c r="J778" s="27"/>
      <c r="K778" s="27"/>
      <c r="L778" s="27"/>
      <c r="M778" s="27"/>
      <c r="N778" s="27"/>
      <c r="O778" s="27"/>
      <c r="P778" s="27"/>
      <c r="Q778" s="27"/>
      <c r="R778" s="27"/>
      <c r="S778" s="27"/>
      <c r="T778" s="27"/>
      <c r="U778" s="27"/>
      <c r="V778" s="27"/>
      <c r="W778" s="27"/>
      <c r="X778" s="27"/>
      <c r="Y778" s="27"/>
      <c r="Z778" s="27"/>
      <c r="AA778" s="27"/>
      <c r="AB778" s="27"/>
      <c r="AC778" s="27"/>
      <c r="AD778" s="27"/>
      <c r="AE778" s="27"/>
      <c r="AF778" s="27"/>
      <c r="AG778" s="27"/>
      <c r="AH778" s="27"/>
      <c r="AI778" s="27"/>
      <c r="AJ778" s="27"/>
      <c r="AK778" s="27"/>
      <c r="AL778" s="27"/>
      <c r="AM778" s="27"/>
      <c r="AN778" s="27"/>
      <c r="AO778" s="27"/>
      <c r="AP778" s="27"/>
      <c r="AQ778" s="27"/>
      <c r="AR778" s="27"/>
      <c r="AS778" s="27"/>
      <c r="AT778" s="27"/>
      <c r="AU778" s="27"/>
      <c r="AV778" s="27"/>
      <c r="AW778" s="27"/>
      <c r="AX778" s="27"/>
      <c r="AY778" s="27"/>
      <c r="AZ778" s="27"/>
      <c r="BA778" s="27" t="s">
        <v>438</v>
      </c>
      <c r="BB778" s="27">
        <v>0</v>
      </c>
      <c r="BC778" s="27"/>
      <c r="BD778" s="27"/>
      <c r="BE778" s="27"/>
      <c r="BF778" s="27"/>
      <c r="BG778" s="27"/>
      <c r="BH778" s="27"/>
      <c r="BI778" s="27"/>
      <c r="BJ778" s="27"/>
      <c r="BK778" s="27"/>
      <c r="BL778" s="27"/>
      <c r="BM778" s="27"/>
      <c r="BN778" s="27"/>
      <c r="BO778" s="27"/>
      <c r="BP778" s="27"/>
      <c r="BQ778" s="27"/>
      <c r="BR778" s="27"/>
      <c r="BS778" s="27"/>
      <c r="BT778" s="27"/>
      <c r="BU778" s="27">
        <v>24</v>
      </c>
      <c r="BV778" s="27">
        <v>0.02</v>
      </c>
      <c r="BW778" s="27">
        <v>6315.19</v>
      </c>
      <c r="BX778" s="27">
        <v>5965.99</v>
      </c>
      <c r="BY778" s="27">
        <v>5568.23</v>
      </c>
      <c r="BZ778" s="27">
        <v>5320.89</v>
      </c>
      <c r="CA778" s="27">
        <v>4850.3999999999996</v>
      </c>
      <c r="CB778" s="27">
        <v>4850.3999999999996</v>
      </c>
      <c r="CC778" s="27">
        <v>4219.78</v>
      </c>
      <c r="CD778" s="27">
        <v>3952.99</v>
      </c>
      <c r="CE778" s="27">
        <v>3855.99</v>
      </c>
      <c r="CF778" s="27">
        <v>3734.74</v>
      </c>
      <c r="CG778" s="27">
        <v>5320.89</v>
      </c>
      <c r="CH778" s="27">
        <v>4947.43</v>
      </c>
      <c r="CI778" s="27">
        <v>4219.78</v>
      </c>
      <c r="CJ778" s="27">
        <v>5209.34</v>
      </c>
      <c r="CK778" s="27">
        <v>5320.89</v>
      </c>
      <c r="CL778" s="27"/>
      <c r="CM778" s="27"/>
      <c r="CN778" s="27"/>
      <c r="CO778" s="27"/>
      <c r="CP778" s="27"/>
      <c r="CQ778" s="27"/>
      <c r="CR778" s="27"/>
      <c r="CS778" s="27"/>
      <c r="CT778" s="27"/>
      <c r="CU778" s="27"/>
      <c r="CV778" s="27"/>
      <c r="CW778" s="27"/>
      <c r="CX778" s="27"/>
      <c r="CY778" s="27"/>
      <c r="CZ778" s="27"/>
      <c r="DA778" s="27"/>
      <c r="DB778" s="27"/>
      <c r="DC778" s="27"/>
      <c r="DD778" s="27"/>
      <c r="DE778" s="27"/>
      <c r="DF778" s="27"/>
      <c r="DG778" s="27"/>
      <c r="DH778" s="27"/>
      <c r="DI778" s="27"/>
      <c r="DJ778" s="27"/>
      <c r="DK778" s="27"/>
      <c r="DL778" s="27"/>
      <c r="DM778" s="27"/>
      <c r="DN778" s="27"/>
      <c r="DO778" s="27"/>
      <c r="DP778" s="27"/>
      <c r="DQ778" s="27"/>
      <c r="DR778" s="27"/>
      <c r="DS778" s="27"/>
      <c r="DT778" s="27"/>
    </row>
    <row r="779" spans="7:124" x14ac:dyDescent="0.2">
      <c r="G779" s="27"/>
      <c r="H779" s="27">
        <f t="shared" ref="H779:H790" si="18">G47*$C$59</f>
        <v>0</v>
      </c>
      <c r="I779" s="27">
        <f>VLOOKUP(INT(1),horaa2,$AJ$711+2,FALSE)*$AB$747</f>
        <v>0</v>
      </c>
      <c r="J779" s="27"/>
      <c r="K779" s="27" t="s">
        <v>79</v>
      </c>
      <c r="L779" s="27">
        <f>VLOOKUP(INT(G946),ofek4,BB770+2,FALSE)*(1+AB746/100)*T719*T705</f>
        <v>14401.146916299316</v>
      </c>
      <c r="M779" s="27"/>
      <c r="N779" s="27"/>
      <c r="O779" s="27"/>
      <c r="P779" s="27"/>
      <c r="Q779" s="27"/>
      <c r="R779" s="27" t="s">
        <v>407</v>
      </c>
      <c r="S779" s="27"/>
      <c r="T779" s="27"/>
      <c r="U779" s="27"/>
      <c r="V779" s="27"/>
      <c r="W779" s="27"/>
      <c r="X779" s="27"/>
      <c r="Y779" s="27"/>
      <c r="Z779" s="27"/>
      <c r="AA779" s="27"/>
      <c r="AB779" s="27"/>
      <c r="AC779" s="27"/>
      <c r="AD779" s="27"/>
      <c r="AE779" s="27"/>
      <c r="AF779" s="27"/>
      <c r="AG779" s="27"/>
      <c r="AH779" s="27"/>
      <c r="AI779" s="27"/>
      <c r="AJ779" s="27"/>
      <c r="AK779" s="27"/>
      <c r="AL779" s="27"/>
      <c r="AM779" s="27"/>
      <c r="AN779" s="27"/>
      <c r="AO779" s="27"/>
      <c r="AP779" s="27"/>
      <c r="AQ779" s="27"/>
      <c r="AR779" s="27"/>
      <c r="AS779" s="27"/>
      <c r="AT779" s="27"/>
      <c r="AU779" s="27"/>
      <c r="AV779" s="27"/>
      <c r="AW779" s="27"/>
      <c r="AX779" s="27"/>
      <c r="AY779" s="27"/>
      <c r="AZ779" s="27"/>
      <c r="BA779" s="27" t="s">
        <v>439</v>
      </c>
      <c r="BB779" s="27">
        <v>0</v>
      </c>
      <c r="BC779" s="27"/>
      <c r="BD779" s="27"/>
      <c r="BE779" s="27"/>
      <c r="BF779" s="27"/>
      <c r="BG779" s="27"/>
      <c r="BH779" s="27"/>
      <c r="BI779" s="27"/>
      <c r="BJ779" s="27"/>
      <c r="BK779" s="27"/>
      <c r="BL779" s="27"/>
      <c r="BM779" s="27"/>
      <c r="BN779" s="27"/>
      <c r="BO779" s="27"/>
      <c r="BP779" s="27"/>
      <c r="BQ779" s="27"/>
      <c r="BR779" s="27"/>
      <c r="BS779" s="27"/>
      <c r="BT779" s="27"/>
      <c r="BU779" s="27"/>
      <c r="BV779" s="27"/>
      <c r="BW779" s="27"/>
      <c r="BX779" s="27"/>
      <c r="BY779" s="27"/>
      <c r="BZ779" s="27"/>
      <c r="CA779" s="27"/>
      <c r="CB779" s="27"/>
      <c r="CC779" s="27"/>
      <c r="CD779" s="27"/>
      <c r="CE779" s="27"/>
      <c r="CF779" s="27"/>
      <c r="CG779" s="27"/>
      <c r="CH779" s="27"/>
      <c r="CI779" s="27"/>
      <c r="CJ779" s="27"/>
      <c r="CK779" s="27"/>
      <c r="CL779" s="27"/>
      <c r="CM779" s="27"/>
      <c r="CN779" s="27"/>
      <c r="CO779" s="27"/>
      <c r="CP779" s="27"/>
      <c r="CQ779" s="27"/>
      <c r="CR779" s="27"/>
      <c r="CS779" s="27"/>
      <c r="CT779" s="27"/>
      <c r="CU779" s="27"/>
      <c r="CV779" s="27"/>
      <c r="CW779" s="27"/>
      <c r="CX779" s="27"/>
      <c r="CY779" s="27"/>
      <c r="CZ779" s="27"/>
      <c r="DA779" s="27"/>
      <c r="DB779" s="27"/>
      <c r="DC779" s="27"/>
      <c r="DD779" s="27"/>
      <c r="DE779" s="27"/>
      <c r="DF779" s="27"/>
      <c r="DG779" s="27"/>
      <c r="DH779" s="27"/>
      <c r="DI779" s="27"/>
      <c r="DJ779" s="27"/>
      <c r="DK779" s="27"/>
      <c r="DL779" s="27"/>
      <c r="DM779" s="27"/>
      <c r="DN779" s="27"/>
      <c r="DO779" s="27"/>
      <c r="DP779" s="27"/>
      <c r="DQ779" s="27"/>
      <c r="DR779" s="27"/>
      <c r="DS779" s="27"/>
      <c r="DT779" s="27"/>
    </row>
    <row r="780" spans="7:124" x14ac:dyDescent="0.2">
      <c r="G780" s="27"/>
      <c r="H780" s="27">
        <f t="shared" si="18"/>
        <v>0</v>
      </c>
      <c r="I780" s="27"/>
      <c r="J780" s="27"/>
      <c r="K780" s="27"/>
      <c r="L780" s="27"/>
      <c r="M780" s="27"/>
      <c r="N780" s="27"/>
      <c r="O780" s="27"/>
      <c r="P780" s="27"/>
      <c r="Q780" s="27"/>
      <c r="R780" s="27"/>
      <c r="S780" s="27"/>
      <c r="T780" s="27"/>
      <c r="U780" s="27"/>
      <c r="V780" s="27"/>
      <c r="W780" s="27"/>
      <c r="X780" s="27"/>
      <c r="Y780" s="27"/>
      <c r="Z780" s="27"/>
      <c r="AA780" s="27"/>
      <c r="AB780" s="27"/>
      <c r="AC780" s="27"/>
      <c r="AD780" s="27"/>
      <c r="AE780" s="27"/>
      <c r="AF780" s="27"/>
      <c r="AG780" s="27"/>
      <c r="AH780" s="27"/>
      <c r="AI780" s="27"/>
      <c r="AJ780" s="27"/>
      <c r="AK780" s="27"/>
      <c r="AL780" s="27"/>
      <c r="AM780" s="27"/>
      <c r="AN780" s="27"/>
      <c r="AO780" s="27"/>
      <c r="AP780" s="27"/>
      <c r="AQ780" s="27"/>
      <c r="AR780" s="27"/>
      <c r="AS780" s="27"/>
      <c r="AT780" s="27"/>
      <c r="AU780" s="27"/>
      <c r="AV780" s="27"/>
      <c r="AW780" s="27"/>
      <c r="AX780" s="27"/>
      <c r="AY780" s="27"/>
      <c r="AZ780" s="27"/>
      <c r="BA780" s="27" t="s">
        <v>441</v>
      </c>
      <c r="BB780" s="27">
        <v>0</v>
      </c>
      <c r="BC780" s="27"/>
      <c r="BD780" s="27"/>
      <c r="BE780" s="27"/>
      <c r="BF780" s="27"/>
      <c r="BG780" s="27"/>
      <c r="BH780" s="27"/>
      <c r="BI780" s="27"/>
      <c r="BJ780" s="27"/>
      <c r="BK780" s="27"/>
      <c r="BL780" s="27"/>
      <c r="BM780" s="27"/>
      <c r="BN780" s="27"/>
      <c r="BO780" s="27"/>
      <c r="BP780" s="27"/>
      <c r="BQ780" s="27"/>
      <c r="BR780" s="27"/>
      <c r="BS780" s="27"/>
      <c r="BT780" s="27"/>
      <c r="BU780" s="27">
        <v>25</v>
      </c>
      <c r="BV780" s="27">
        <v>0.02</v>
      </c>
      <c r="BW780" s="27">
        <v>6441.49</v>
      </c>
      <c r="BX780" s="27">
        <v>6085.3</v>
      </c>
      <c r="BY780" s="27">
        <v>5679.59</v>
      </c>
      <c r="BZ780" s="27">
        <v>5427.3</v>
      </c>
      <c r="CA780" s="27">
        <v>4947.3999999999996</v>
      </c>
      <c r="CB780" s="27">
        <v>4947.3999999999996</v>
      </c>
      <c r="CC780" s="27">
        <v>4304.17</v>
      </c>
      <c r="CD780" s="27">
        <v>4032.04</v>
      </c>
      <c r="CE780" s="27">
        <v>3933.1</v>
      </c>
      <c r="CF780" s="27">
        <v>3809.43</v>
      </c>
      <c r="CG780" s="27">
        <v>5427.3</v>
      </c>
      <c r="CH780" s="27">
        <v>5046.37</v>
      </c>
      <c r="CI780" s="27">
        <v>4304.17</v>
      </c>
      <c r="CJ780" s="27">
        <v>5313.52</v>
      </c>
      <c r="CK780" s="27">
        <v>5427.3</v>
      </c>
      <c r="CL780" s="27"/>
      <c r="CM780" s="27"/>
      <c r="CN780" s="27"/>
      <c r="CO780" s="27"/>
      <c r="CP780" s="27"/>
      <c r="CQ780" s="27"/>
      <c r="CR780" s="27"/>
      <c r="CS780" s="27"/>
      <c r="CT780" s="27"/>
      <c r="CU780" s="27"/>
      <c r="CV780" s="27"/>
      <c r="CW780" s="27"/>
      <c r="CX780" s="27"/>
      <c r="CY780" s="27"/>
      <c r="CZ780" s="27"/>
      <c r="DA780" s="27"/>
      <c r="DB780" s="27"/>
      <c r="DC780" s="27"/>
      <c r="DD780" s="27"/>
      <c r="DE780" s="27"/>
      <c r="DF780" s="27"/>
      <c r="DG780" s="27"/>
      <c r="DH780" s="27"/>
      <c r="DI780" s="27"/>
      <c r="DJ780" s="27"/>
      <c r="DK780" s="27"/>
      <c r="DL780" s="27"/>
      <c r="DM780" s="27"/>
      <c r="DN780" s="27"/>
      <c r="DO780" s="27"/>
      <c r="DP780" s="27"/>
      <c r="DQ780" s="27"/>
      <c r="DR780" s="27"/>
      <c r="DS780" s="27"/>
      <c r="DT780" s="27"/>
    </row>
    <row r="781" spans="7:124" x14ac:dyDescent="0.2">
      <c r="G781" s="27"/>
      <c r="H781" s="27">
        <f t="shared" si="18"/>
        <v>0</v>
      </c>
      <c r="I781" s="27"/>
      <c r="J781" s="27"/>
      <c r="K781" s="27" t="str">
        <f ca="1">IF(OR((AP719=TRUE),L781=0),"מענק יובל  מ  "&amp;AX720,"מענק יובל")</f>
        <v>מענק יובל</v>
      </c>
      <c r="L781" s="27">
        <f>IF(BB771+BB772+G905&gt;=AJ750,'[1]נתוני מס'!I16*L807,0)</f>
        <v>8640.6881497795894</v>
      </c>
      <c r="M781" s="27"/>
      <c r="N781" s="27"/>
      <c r="O781" s="27"/>
      <c r="P781" s="27"/>
      <c r="Q781" s="27"/>
      <c r="R781" s="27" t="s">
        <v>446</v>
      </c>
      <c r="S781" s="27"/>
      <c r="T781" s="27"/>
      <c r="U781" s="27"/>
      <c r="V781" s="27"/>
      <c r="W781" s="27"/>
      <c r="X781" s="27"/>
      <c r="Y781" s="27"/>
      <c r="Z781" s="27"/>
      <c r="AA781" s="27"/>
      <c r="AB781" s="27"/>
      <c r="AC781" s="27"/>
      <c r="AD781" s="27"/>
      <c r="AE781" s="27"/>
      <c r="AF781" s="27"/>
      <c r="AG781" s="27"/>
      <c r="AH781" s="27"/>
      <c r="AI781" s="27"/>
      <c r="AJ781" s="27"/>
      <c r="AK781" s="27"/>
      <c r="AL781" s="27"/>
      <c r="AM781" s="27"/>
      <c r="AN781" s="27"/>
      <c r="AO781" s="27"/>
      <c r="AP781" s="27"/>
      <c r="AQ781" s="27"/>
      <c r="AR781" s="27"/>
      <c r="AS781" s="27"/>
      <c r="AT781" s="27"/>
      <c r="AU781" s="27"/>
      <c r="AV781" s="27"/>
      <c r="AW781" s="27"/>
      <c r="AX781" s="27"/>
      <c r="AY781" s="27"/>
      <c r="AZ781" s="27"/>
      <c r="BA781" s="27" t="s">
        <v>447</v>
      </c>
      <c r="BB781" s="27" t="s">
        <v>27</v>
      </c>
      <c r="BC781" s="27"/>
      <c r="BD781" s="27"/>
      <c r="BE781" s="27"/>
      <c r="BF781" s="27"/>
      <c r="BG781" s="27"/>
      <c r="BH781" s="27"/>
      <c r="BI781" s="27"/>
      <c r="BJ781" s="27"/>
      <c r="BK781" s="27"/>
      <c r="BL781" s="27"/>
      <c r="BM781" s="27"/>
      <c r="BN781" s="27"/>
      <c r="BO781" s="27"/>
      <c r="BP781" s="27"/>
      <c r="BQ781" s="27"/>
      <c r="BR781" s="27"/>
      <c r="BS781" s="27"/>
      <c r="BT781" s="27"/>
      <c r="BU781" s="27"/>
      <c r="BV781" s="27"/>
      <c r="BW781" s="27"/>
      <c r="BX781" s="27"/>
      <c r="BY781" s="27"/>
      <c r="BZ781" s="27"/>
      <c r="CA781" s="27"/>
      <c r="CB781" s="27"/>
      <c r="CC781" s="27"/>
      <c r="CD781" s="27"/>
      <c r="CE781" s="27"/>
      <c r="CF781" s="27"/>
      <c r="CG781" s="27"/>
      <c r="CH781" s="27"/>
      <c r="CI781" s="27"/>
      <c r="CJ781" s="27"/>
      <c r="CK781" s="27"/>
      <c r="CL781" s="27"/>
      <c r="CM781" s="27"/>
      <c r="CN781" s="27"/>
      <c r="CO781" s="27"/>
      <c r="CP781" s="27"/>
      <c r="CQ781" s="27"/>
      <c r="CR781" s="27"/>
      <c r="CS781" s="27"/>
      <c r="CT781" s="27"/>
      <c r="CU781" s="27"/>
      <c r="CV781" s="27"/>
      <c r="CW781" s="27"/>
      <c r="CX781" s="27"/>
      <c r="CY781" s="27"/>
      <c r="CZ781" s="27"/>
      <c r="DA781" s="27"/>
      <c r="DB781" s="27"/>
      <c r="DC781" s="27"/>
      <c r="DD781" s="27"/>
      <c r="DE781" s="27"/>
      <c r="DF781" s="27"/>
      <c r="DG781" s="27"/>
      <c r="DH781" s="27"/>
      <c r="DI781" s="27"/>
      <c r="DJ781" s="27"/>
      <c r="DK781" s="27"/>
      <c r="DL781" s="27"/>
      <c r="DM781" s="27"/>
      <c r="DN781" s="27"/>
      <c r="DO781" s="27"/>
      <c r="DP781" s="27"/>
      <c r="DQ781" s="27"/>
      <c r="DR781" s="27"/>
      <c r="DS781" s="27"/>
      <c r="DT781" s="27"/>
    </row>
    <row r="782" spans="7:124" x14ac:dyDescent="0.2">
      <c r="G782" s="27"/>
      <c r="H782" s="27">
        <f t="shared" si="18"/>
        <v>0</v>
      </c>
      <c r="I782" s="27"/>
      <c r="J782" s="27"/>
      <c r="K782" s="27" t="s">
        <v>94</v>
      </c>
      <c r="L782" s="27">
        <f>IF(BB771&lt;26,'[1]נתוני מס'!I18*AX737,'[1]נתוני מס'!I19*AX737)</f>
        <v>2014</v>
      </c>
      <c r="M782" s="27"/>
      <c r="N782" s="27"/>
      <c r="O782" s="27"/>
      <c r="P782" s="27"/>
      <c r="Q782" s="27"/>
      <c r="R782" s="27">
        <f>BB770</f>
        <v>6</v>
      </c>
      <c r="S782" s="27"/>
      <c r="T782" s="27"/>
      <c r="U782" s="27"/>
      <c r="V782" s="27"/>
      <c r="W782" s="27"/>
      <c r="X782" s="27"/>
      <c r="Y782" s="27"/>
      <c r="Z782" s="27"/>
      <c r="AA782" s="27"/>
      <c r="AB782" s="27"/>
      <c r="AC782" s="27"/>
      <c r="AD782" s="27"/>
      <c r="AE782" s="27"/>
      <c r="AF782" s="27"/>
      <c r="AG782" s="27"/>
      <c r="AH782" s="27"/>
      <c r="AI782" s="27"/>
      <c r="AJ782" s="27"/>
      <c r="AK782" s="27"/>
      <c r="AL782" s="27"/>
      <c r="AM782" s="27"/>
      <c r="AN782" s="27"/>
      <c r="AO782" s="27"/>
      <c r="AP782" s="27"/>
      <c r="AQ782" s="27"/>
      <c r="AR782" s="27"/>
      <c r="AS782" s="27"/>
      <c r="AT782" s="27"/>
      <c r="AU782" s="27"/>
      <c r="AV782" s="27"/>
      <c r="AW782" s="27"/>
      <c r="AX782" s="27"/>
      <c r="AY782" s="27"/>
      <c r="AZ782" s="27"/>
      <c r="BA782" s="27" t="s">
        <v>251</v>
      </c>
      <c r="BB782" s="27">
        <v>0</v>
      </c>
      <c r="BC782" s="27"/>
      <c r="BD782" s="27"/>
      <c r="BE782" s="27"/>
      <c r="BF782" s="27"/>
      <c r="BG782" s="27"/>
      <c r="BH782" s="27"/>
      <c r="BI782" s="27"/>
      <c r="BJ782" s="27"/>
      <c r="BK782" s="27"/>
      <c r="BL782" s="27"/>
      <c r="BM782" s="27"/>
      <c r="BN782" s="27"/>
      <c r="BO782" s="27"/>
      <c r="BP782" s="27"/>
      <c r="BQ782" s="27"/>
      <c r="BR782" s="27"/>
      <c r="BS782" s="27"/>
      <c r="BT782" s="27"/>
      <c r="BU782" s="27">
        <v>26</v>
      </c>
      <c r="BV782" s="27">
        <v>0.01</v>
      </c>
      <c r="BW782" s="27">
        <v>6505.9</v>
      </c>
      <c r="BX782" s="27">
        <v>6146.15</v>
      </c>
      <c r="BY782" s="27">
        <v>5736.38</v>
      </c>
      <c r="BZ782" s="27">
        <v>5481.57</v>
      </c>
      <c r="CA782" s="27">
        <v>4996.87</v>
      </c>
      <c r="CB782" s="27">
        <v>4996.87</v>
      </c>
      <c r="CC782" s="27">
        <v>4347.21</v>
      </c>
      <c r="CD782" s="27">
        <v>4072.36</v>
      </c>
      <c r="CE782" s="27">
        <v>3972.43</v>
      </c>
      <c r="CF782" s="27">
        <v>3847.52</v>
      </c>
      <c r="CG782" s="27">
        <v>5481.57</v>
      </c>
      <c r="CH782" s="27">
        <v>5096.83</v>
      </c>
      <c r="CI782" s="27">
        <v>4347.21</v>
      </c>
      <c r="CJ782" s="27">
        <v>5366.65</v>
      </c>
      <c r="CK782" s="27">
        <v>5481.57</v>
      </c>
      <c r="CL782" s="27"/>
      <c r="CM782" s="27"/>
      <c r="CN782" s="27"/>
      <c r="CO782" s="27"/>
      <c r="CP782" s="27"/>
      <c r="CQ782" s="27"/>
      <c r="CR782" s="27"/>
      <c r="CS782" s="27"/>
      <c r="CT782" s="27"/>
      <c r="CU782" s="27"/>
      <c r="CV782" s="27"/>
      <c r="CW782" s="27"/>
      <c r="CX782" s="27"/>
      <c r="CY782" s="27"/>
      <c r="CZ782" s="27"/>
      <c r="DA782" s="27"/>
      <c r="DB782" s="27"/>
      <c r="DC782" s="27"/>
      <c r="DD782" s="27"/>
      <c r="DE782" s="27"/>
      <c r="DF782" s="27"/>
      <c r="DG782" s="27"/>
      <c r="DH782" s="27"/>
      <c r="DI782" s="27"/>
      <c r="DJ782" s="27"/>
      <c r="DK782" s="27"/>
      <c r="DL782" s="27"/>
      <c r="DM782" s="27"/>
      <c r="DN782" s="27"/>
      <c r="DO782" s="27"/>
      <c r="DP782" s="27"/>
      <c r="DQ782" s="27"/>
      <c r="DR782" s="27"/>
      <c r="DS782" s="27"/>
      <c r="DT782" s="27"/>
    </row>
    <row r="783" spans="7:124" x14ac:dyDescent="0.2">
      <c r="G783" s="27"/>
      <c r="H783" s="27">
        <f t="shared" si="18"/>
        <v>0</v>
      </c>
      <c r="I783" s="27"/>
      <c r="J783" s="27"/>
      <c r="K783" s="27" t="s">
        <v>102</v>
      </c>
      <c r="L783" s="27" t="e">
        <f>#REF!</f>
        <v>#REF!</v>
      </c>
      <c r="M783" s="27"/>
      <c r="N783" s="27"/>
      <c r="O783" s="27"/>
      <c r="P783" s="27"/>
      <c r="Q783" s="27"/>
      <c r="R783" s="27">
        <f>INT(L784)</f>
        <v>14401</v>
      </c>
      <c r="S783" s="27"/>
      <c r="T783" s="27"/>
      <c r="U783" s="27"/>
      <c r="V783" s="27"/>
      <c r="W783" s="27"/>
      <c r="X783" s="27"/>
      <c r="Y783" s="27"/>
      <c r="Z783" s="27"/>
      <c r="AA783" s="27"/>
      <c r="AB783" s="27"/>
      <c r="AC783" s="27"/>
      <c r="AD783" s="27"/>
      <c r="AE783" s="27"/>
      <c r="AF783" s="27"/>
      <c r="AG783" s="27"/>
      <c r="AH783" s="27"/>
      <c r="AI783" s="27"/>
      <c r="AJ783" s="27"/>
      <c r="AK783" s="27"/>
      <c r="AL783" s="27"/>
      <c r="AM783" s="27"/>
      <c r="AN783" s="27"/>
      <c r="AO783" s="27"/>
      <c r="AP783" s="27"/>
      <c r="AQ783" s="27"/>
      <c r="AR783" s="27"/>
      <c r="AS783" s="27"/>
      <c r="AT783" s="27"/>
      <c r="AU783" s="27"/>
      <c r="AV783" s="27"/>
      <c r="AW783" s="27"/>
      <c r="AX783" s="27"/>
      <c r="AY783" s="27"/>
      <c r="AZ783" s="27"/>
      <c r="BA783" s="27" t="s">
        <v>376</v>
      </c>
      <c r="BB783" s="27">
        <v>0</v>
      </c>
      <c r="BC783" s="27"/>
      <c r="BD783" s="27"/>
      <c r="BE783" s="27"/>
      <c r="BF783" s="27"/>
      <c r="BG783" s="27"/>
      <c r="BH783" s="27"/>
      <c r="BI783" s="27"/>
      <c r="BJ783" s="27"/>
      <c r="BK783" s="27"/>
      <c r="BL783" s="27"/>
      <c r="BM783" s="27"/>
      <c r="BN783" s="27"/>
      <c r="BO783" s="27"/>
      <c r="BP783" s="27"/>
      <c r="BQ783" s="27"/>
      <c r="BR783" s="27"/>
      <c r="BS783" s="27"/>
      <c r="BT783" s="27"/>
      <c r="BU783" s="27"/>
      <c r="BV783" s="27"/>
      <c r="BW783" s="27"/>
      <c r="BX783" s="27"/>
      <c r="BY783" s="27"/>
      <c r="BZ783" s="27"/>
      <c r="CA783" s="27"/>
      <c r="CB783" s="27"/>
      <c r="CC783" s="27"/>
      <c r="CD783" s="27"/>
      <c r="CE783" s="27"/>
      <c r="CF783" s="27"/>
      <c r="CG783" s="27"/>
      <c r="CH783" s="27"/>
      <c r="CI783" s="27"/>
      <c r="CJ783" s="27"/>
      <c r="CK783" s="27"/>
      <c r="CL783" s="27"/>
      <c r="CM783" s="27"/>
      <c r="CN783" s="27"/>
      <c r="CO783" s="27"/>
      <c r="CP783" s="27"/>
      <c r="CQ783" s="27"/>
      <c r="CR783" s="27"/>
      <c r="CS783" s="27"/>
      <c r="CT783" s="27"/>
      <c r="CU783" s="27"/>
      <c r="CV783" s="27"/>
      <c r="CW783" s="27"/>
      <c r="CX783" s="27"/>
      <c r="CY783" s="27"/>
      <c r="CZ783" s="27"/>
      <c r="DA783" s="27"/>
      <c r="DB783" s="27"/>
      <c r="DC783" s="27"/>
      <c r="DD783" s="27"/>
      <c r="DE783" s="27"/>
      <c r="DF783" s="27"/>
      <c r="DG783" s="27"/>
      <c r="DH783" s="27"/>
      <c r="DI783" s="27"/>
      <c r="DJ783" s="27"/>
      <c r="DK783" s="27"/>
      <c r="DL783" s="27"/>
      <c r="DM783" s="27"/>
      <c r="DN783" s="27"/>
      <c r="DO783" s="27"/>
      <c r="DP783" s="27"/>
      <c r="DQ783" s="27"/>
      <c r="DR783" s="27"/>
      <c r="DS783" s="27"/>
      <c r="DT783" s="27"/>
    </row>
    <row r="784" spans="7:124" x14ac:dyDescent="0.2">
      <c r="G784" s="27"/>
      <c r="H784" s="27">
        <f t="shared" si="18"/>
        <v>0</v>
      </c>
      <c r="I784" s="27"/>
      <c r="J784" s="27"/>
      <c r="K784" s="27" t="s">
        <v>87</v>
      </c>
      <c r="L784" s="27">
        <f>F926</f>
        <v>14401.146916299316</v>
      </c>
      <c r="M784" s="27"/>
      <c r="N784" s="27"/>
      <c r="O784" s="27"/>
      <c r="P784" s="27"/>
      <c r="Q784" s="27"/>
      <c r="R784" s="27"/>
      <c r="S784" s="27"/>
      <c r="T784" s="27"/>
      <c r="U784" s="27"/>
      <c r="V784" s="27"/>
      <c r="W784" s="27"/>
      <c r="X784" s="27"/>
      <c r="Y784" s="27"/>
      <c r="Z784" s="27"/>
      <c r="AA784" s="27"/>
      <c r="AB784" s="27"/>
      <c r="AC784" s="27"/>
      <c r="AD784" s="27"/>
      <c r="AE784" s="27"/>
      <c r="AF784" s="27"/>
      <c r="AG784" s="27"/>
      <c r="AH784" s="27"/>
      <c r="AI784" s="27"/>
      <c r="AJ784" s="27"/>
      <c r="AK784" s="27"/>
      <c r="AL784" s="27"/>
      <c r="AM784" s="27"/>
      <c r="AN784" s="27"/>
      <c r="AO784" s="27"/>
      <c r="AP784" s="27"/>
      <c r="AQ784" s="27"/>
      <c r="AR784" s="27"/>
      <c r="AS784" s="27"/>
      <c r="AT784" s="27"/>
      <c r="AU784" s="27"/>
      <c r="AV784" s="27"/>
      <c r="AW784" s="27"/>
      <c r="AX784" s="27"/>
      <c r="AY784" s="27"/>
      <c r="AZ784" s="27"/>
      <c r="BA784" s="27" t="str">
        <f>IF(BB784&lt;0,"ימי מחלה לפדיון","יתרת ימי מחלה")</f>
        <v>יתרת ימי מחלה</v>
      </c>
      <c r="BB784" s="27">
        <v>0</v>
      </c>
      <c r="BC784" s="27"/>
      <c r="BD784" s="27"/>
      <c r="BE784" s="27"/>
      <c r="BF784" s="27"/>
      <c r="BG784" s="27"/>
      <c r="BH784" s="27"/>
      <c r="BI784" s="27"/>
      <c r="BJ784" s="27"/>
      <c r="BK784" s="27"/>
      <c r="BL784" s="27"/>
      <c r="BM784" s="27"/>
      <c r="BN784" s="27"/>
      <c r="BO784" s="27"/>
      <c r="BP784" s="27"/>
      <c r="BQ784" s="27"/>
      <c r="BR784" s="27"/>
      <c r="BS784" s="27"/>
      <c r="BT784" s="27"/>
      <c r="BU784" s="27">
        <v>27</v>
      </c>
      <c r="BV784" s="27">
        <v>0.01</v>
      </c>
      <c r="BW784" s="27">
        <v>6570.95</v>
      </c>
      <c r="BX784" s="27">
        <v>6207.61</v>
      </c>
      <c r="BY784" s="27">
        <v>5793.74</v>
      </c>
      <c r="BZ784" s="27">
        <v>5536.38</v>
      </c>
      <c r="CA784" s="27">
        <v>5046.83</v>
      </c>
      <c r="CB784" s="27">
        <v>5046.83</v>
      </c>
      <c r="CC784" s="27">
        <v>4390.68</v>
      </c>
      <c r="CD784" s="27">
        <v>4113.08</v>
      </c>
      <c r="CE784" s="27">
        <v>4012.15</v>
      </c>
      <c r="CF784" s="27">
        <v>3885.99</v>
      </c>
      <c r="CG784" s="27">
        <v>5536.38</v>
      </c>
      <c r="CH784" s="27">
        <v>5147.79</v>
      </c>
      <c r="CI784" s="27">
        <v>4390.68</v>
      </c>
      <c r="CJ784" s="27">
        <v>5420.31</v>
      </c>
      <c r="CK784" s="27">
        <v>5536.38</v>
      </c>
      <c r="CL784" s="27"/>
      <c r="CM784" s="27"/>
      <c r="CN784" s="27"/>
      <c r="CO784" s="27"/>
      <c r="CP784" s="27"/>
      <c r="CQ784" s="27"/>
      <c r="CR784" s="27"/>
      <c r="CS784" s="27"/>
      <c r="CT784" s="27"/>
      <c r="CU784" s="27"/>
      <c r="CV784" s="27"/>
      <c r="CW784" s="27"/>
      <c r="CX784" s="27"/>
      <c r="CY784" s="27"/>
      <c r="CZ784" s="27"/>
      <c r="DA784" s="27"/>
      <c r="DB784" s="27"/>
      <c r="DC784" s="27"/>
      <c r="DD784" s="27"/>
      <c r="DE784" s="27"/>
      <c r="DF784" s="27"/>
      <c r="DG784" s="27"/>
      <c r="DH784" s="27"/>
      <c r="DI784" s="27"/>
      <c r="DJ784" s="27"/>
      <c r="DK784" s="27"/>
      <c r="DL784" s="27"/>
      <c r="DM784" s="27"/>
      <c r="DN784" s="27"/>
      <c r="DO784" s="27"/>
      <c r="DP784" s="27"/>
      <c r="DQ784" s="27"/>
      <c r="DR784" s="27"/>
      <c r="DS784" s="27"/>
      <c r="DT784" s="27"/>
    </row>
    <row r="785" spans="7:124" x14ac:dyDescent="0.2">
      <c r="G785" s="27"/>
      <c r="H785" s="27">
        <f t="shared" si="18"/>
        <v>0</v>
      </c>
      <c r="I785" s="27"/>
      <c r="J785" s="27"/>
      <c r="K785" s="27" t="str">
        <f>IF(S705=0," = הזן  נתונים מימין ==&gt;",R705)</f>
        <v>ת.שכר 2001</v>
      </c>
      <c r="L785" s="27">
        <v>0</v>
      </c>
      <c r="M785" s="27"/>
      <c r="N785" s="27"/>
      <c r="O785" s="27"/>
      <c r="P785" s="27"/>
      <c r="Q785" s="27"/>
      <c r="R785" s="27"/>
      <c r="S785" s="27"/>
      <c r="T785" s="27"/>
      <c r="U785" s="27"/>
      <c r="V785" s="27"/>
      <c r="W785" s="27"/>
      <c r="X785" s="27"/>
      <c r="Y785" s="27"/>
      <c r="Z785" s="27"/>
      <c r="AA785" s="27"/>
      <c r="AB785" s="27"/>
      <c r="AC785" s="27"/>
      <c r="AD785" s="27"/>
      <c r="AE785" s="27"/>
      <c r="AF785" s="27"/>
      <c r="AG785" s="27"/>
      <c r="AH785" s="27"/>
      <c r="AI785" s="27"/>
      <c r="AJ785" s="27"/>
      <c r="AK785" s="27"/>
      <c r="AL785" s="27"/>
      <c r="AM785" s="27"/>
      <c r="AN785" s="27"/>
      <c r="AO785" s="27"/>
      <c r="AP785" s="27"/>
      <c r="AQ785" s="27"/>
      <c r="AR785" s="27"/>
      <c r="AS785" s="27"/>
      <c r="AT785" s="27"/>
      <c r="AU785" s="27"/>
      <c r="AV785" s="27"/>
      <c r="AW785" s="27"/>
      <c r="AX785" s="27"/>
      <c r="AY785" s="27"/>
      <c r="AZ785" s="27"/>
      <c r="BA785" s="27" t="str">
        <f>IF(BB785&lt;0,"ימי חופש לפדיון","יתרת ימי חופש")</f>
        <v>יתרת ימי חופש</v>
      </c>
      <c r="BB785" s="27">
        <v>0</v>
      </c>
      <c r="BC785" s="27"/>
      <c r="BD785" s="27"/>
      <c r="BE785" s="27"/>
      <c r="BF785" s="27"/>
      <c r="BG785" s="27"/>
      <c r="BH785" s="27"/>
      <c r="BI785" s="27"/>
      <c r="BJ785" s="27"/>
      <c r="BK785" s="27"/>
      <c r="BL785" s="27"/>
      <c r="BM785" s="27"/>
      <c r="BN785" s="27"/>
      <c r="BO785" s="27"/>
      <c r="BP785" s="27"/>
      <c r="BQ785" s="27"/>
      <c r="BR785" s="27"/>
      <c r="BS785" s="27"/>
      <c r="BT785" s="27"/>
      <c r="BU785" s="27"/>
      <c r="BV785" s="27"/>
      <c r="BW785" s="27"/>
      <c r="BX785" s="27"/>
      <c r="BY785" s="27"/>
      <c r="BZ785" s="27"/>
      <c r="CA785" s="27"/>
      <c r="CB785" s="27"/>
      <c r="CC785" s="27"/>
      <c r="CD785" s="27"/>
      <c r="CE785" s="27"/>
      <c r="CF785" s="27"/>
      <c r="CG785" s="27"/>
      <c r="CH785" s="27"/>
      <c r="CI785" s="27"/>
      <c r="CJ785" s="27"/>
      <c r="CK785" s="27"/>
      <c r="CL785" s="27"/>
      <c r="CM785" s="27"/>
      <c r="CN785" s="27"/>
      <c r="CO785" s="27"/>
      <c r="CP785" s="27"/>
      <c r="CQ785" s="27"/>
      <c r="CR785" s="27"/>
      <c r="CS785" s="27"/>
      <c r="CT785" s="27"/>
      <c r="CU785" s="27"/>
      <c r="CV785" s="27"/>
      <c r="CW785" s="27"/>
      <c r="CX785" s="27"/>
      <c r="CY785" s="27"/>
      <c r="CZ785" s="27"/>
      <c r="DA785" s="27"/>
      <c r="DB785" s="27"/>
      <c r="DC785" s="27"/>
      <c r="DD785" s="27"/>
      <c r="DE785" s="27"/>
      <c r="DF785" s="27"/>
      <c r="DG785" s="27"/>
      <c r="DH785" s="27"/>
      <c r="DI785" s="27"/>
      <c r="DJ785" s="27"/>
      <c r="DK785" s="27"/>
      <c r="DL785" s="27"/>
      <c r="DM785" s="27"/>
      <c r="DN785" s="27"/>
      <c r="DO785" s="27"/>
      <c r="DP785" s="27"/>
      <c r="DQ785" s="27"/>
      <c r="DR785" s="27"/>
      <c r="DS785" s="27"/>
      <c r="DT785" s="27"/>
    </row>
    <row r="786" spans="7:124" x14ac:dyDescent="0.2">
      <c r="G786" s="27"/>
      <c r="H786" s="27">
        <f t="shared" si="18"/>
        <v>0</v>
      </c>
      <c r="I786" s="27"/>
      <c r="J786" s="27"/>
      <c r="K786" s="27" t="e">
        <f>IF(#REF!=0," = הזן  נתונים  מימין ==&gt;",#REF!)</f>
        <v>#REF!</v>
      </c>
      <c r="L786" s="27">
        <v>0</v>
      </c>
      <c r="M786" s="27"/>
      <c r="N786" s="27"/>
      <c r="O786" s="27"/>
      <c r="P786" s="27"/>
      <c r="Q786" s="27"/>
      <c r="R786" s="27"/>
      <c r="S786" s="27"/>
      <c r="T786" s="27"/>
      <c r="U786" s="27"/>
      <c r="V786" s="27"/>
      <c r="W786" s="27"/>
      <c r="X786" s="27"/>
      <c r="Y786" s="27"/>
      <c r="Z786" s="27"/>
      <c r="AA786" s="27"/>
      <c r="AB786" s="27"/>
      <c r="AC786" s="27"/>
      <c r="AD786" s="27"/>
      <c r="AE786" s="27"/>
      <c r="AF786" s="27"/>
      <c r="AG786" s="27"/>
      <c r="AH786" s="27"/>
      <c r="AI786" s="27"/>
      <c r="AJ786" s="27"/>
      <c r="AK786" s="27"/>
      <c r="AL786" s="27"/>
      <c r="AM786" s="27"/>
      <c r="AN786" s="27"/>
      <c r="AO786" s="27"/>
      <c r="AP786" s="27"/>
      <c r="AQ786" s="27"/>
      <c r="AR786" s="27"/>
      <c r="AS786" s="27"/>
      <c r="AT786" s="27"/>
      <c r="AU786" s="27"/>
      <c r="AV786" s="27"/>
      <c r="AW786" s="27"/>
      <c r="AX786" s="27"/>
      <c r="AY786" s="27"/>
      <c r="AZ786" s="27"/>
      <c r="BA786" s="27" t="s">
        <v>449</v>
      </c>
      <c r="BB786" s="27">
        <v>2.75</v>
      </c>
      <c r="BC786" s="27"/>
      <c r="BD786" s="27"/>
      <c r="BE786" s="27"/>
      <c r="BF786" s="27"/>
      <c r="BG786" s="27"/>
      <c r="BH786" s="27"/>
      <c r="BI786" s="27"/>
      <c r="BJ786" s="27"/>
      <c r="BK786" s="27"/>
      <c r="BL786" s="27"/>
      <c r="BM786" s="27"/>
      <c r="BN786" s="27"/>
      <c r="BO786" s="27"/>
      <c r="BP786" s="27"/>
      <c r="BQ786" s="27"/>
      <c r="BR786" s="27"/>
      <c r="BS786" s="27"/>
      <c r="BT786" s="27"/>
      <c r="BU786" s="27">
        <v>28</v>
      </c>
      <c r="BV786" s="27">
        <v>0.01</v>
      </c>
      <c r="BW786" s="27">
        <v>6636.65</v>
      </c>
      <c r="BX786" s="27">
        <v>6269.68</v>
      </c>
      <c r="BY786" s="27">
        <v>5851.67</v>
      </c>
      <c r="BZ786" s="27">
        <v>5591.74</v>
      </c>
      <c r="CA786" s="27">
        <v>5097.29</v>
      </c>
      <c r="CB786" s="27">
        <v>5097.29</v>
      </c>
      <c r="CC786" s="27">
        <v>4434.58</v>
      </c>
      <c r="CD786" s="27">
        <v>4154.21</v>
      </c>
      <c r="CE786" s="27">
        <v>4052.27</v>
      </c>
      <c r="CF786" s="27">
        <v>3924.84</v>
      </c>
      <c r="CG786" s="27">
        <v>5591.74</v>
      </c>
      <c r="CH786" s="27">
        <v>5199.26</v>
      </c>
      <c r="CI786" s="27">
        <v>4434.58</v>
      </c>
      <c r="CJ786" s="27">
        <v>5474.51</v>
      </c>
      <c r="CK786" s="27">
        <v>5591.74</v>
      </c>
      <c r="CL786" s="27"/>
      <c r="CM786" s="27"/>
      <c r="CN786" s="27"/>
      <c r="CO786" s="27"/>
      <c r="CP786" s="27"/>
      <c r="CQ786" s="27"/>
      <c r="CR786" s="27"/>
      <c r="CS786" s="27"/>
      <c r="CT786" s="27"/>
      <c r="CU786" s="27"/>
      <c r="CV786" s="27"/>
      <c r="CW786" s="27"/>
      <c r="CX786" s="27"/>
      <c r="CY786" s="27"/>
      <c r="CZ786" s="27"/>
      <c r="DA786" s="27"/>
      <c r="DB786" s="27"/>
      <c r="DC786" s="27"/>
      <c r="DD786" s="27"/>
      <c r="DE786" s="27"/>
      <c r="DF786" s="27"/>
      <c r="DG786" s="27"/>
      <c r="DH786" s="27"/>
      <c r="DI786" s="27"/>
      <c r="DJ786" s="27"/>
      <c r="DK786" s="27"/>
      <c r="DL786" s="27"/>
      <c r="DM786" s="27"/>
      <c r="DN786" s="27"/>
      <c r="DO786" s="27"/>
      <c r="DP786" s="27"/>
      <c r="DQ786" s="27"/>
      <c r="DR786" s="27"/>
      <c r="DS786" s="27"/>
      <c r="DT786" s="27"/>
    </row>
    <row r="787" spans="7:124" x14ac:dyDescent="0.2">
      <c r="G787" s="27"/>
      <c r="H787" s="27">
        <f t="shared" si="18"/>
        <v>0</v>
      </c>
      <c r="I787" s="27"/>
      <c r="J787" s="27"/>
      <c r="K787" s="27" t="str">
        <f>IF(S706=0," = הזן  נתונים מימין ==&gt;",R706)</f>
        <v xml:space="preserve">ת.שכר 2008 </v>
      </c>
      <c r="L787" s="27">
        <v>0</v>
      </c>
      <c r="M787" s="27"/>
      <c r="N787" s="27"/>
      <c r="O787" s="27"/>
      <c r="P787" s="27"/>
      <c r="Q787" s="27"/>
      <c r="R787" s="27"/>
      <c r="S787" s="27"/>
      <c r="T787" s="27"/>
      <c r="U787" s="27"/>
      <c r="V787" s="27"/>
      <c r="W787" s="27"/>
      <c r="X787" s="27"/>
      <c r="Y787" s="27"/>
      <c r="Z787" s="27"/>
      <c r="AA787" s="27"/>
      <c r="AB787" s="27"/>
      <c r="AC787" s="27"/>
      <c r="AD787" s="27"/>
      <c r="AE787" s="27"/>
      <c r="AF787" s="27"/>
      <c r="AG787" s="27"/>
      <c r="AH787" s="27"/>
      <c r="AI787" s="27"/>
      <c r="AJ787" s="27"/>
      <c r="AK787" s="27"/>
      <c r="AL787" s="27"/>
      <c r="AM787" s="27"/>
      <c r="AN787" s="27"/>
      <c r="AO787" s="27"/>
      <c r="AP787" s="27"/>
      <c r="AQ787" s="27"/>
      <c r="AR787" s="27"/>
      <c r="AS787" s="27"/>
      <c r="AT787" s="27"/>
      <c r="AU787" s="27"/>
      <c r="AV787" s="27"/>
      <c r="AW787" s="27"/>
      <c r="AX787" s="27"/>
      <c r="AY787" s="27"/>
      <c r="AZ787" s="27"/>
      <c r="BA787" s="27" t="s">
        <v>451</v>
      </c>
      <c r="BB787" s="27">
        <v>138000</v>
      </c>
      <c r="BC787" s="27"/>
      <c r="BD787" s="27"/>
      <c r="BE787" s="27"/>
      <c r="BF787" s="27"/>
      <c r="BG787" s="27"/>
      <c r="BH787" s="27"/>
      <c r="BI787" s="27"/>
      <c r="BJ787" s="27"/>
      <c r="BK787" s="27"/>
      <c r="BL787" s="27"/>
      <c r="BM787" s="27"/>
      <c r="BN787" s="27"/>
      <c r="BO787" s="27"/>
      <c r="BP787" s="27"/>
      <c r="BQ787" s="27"/>
      <c r="BR787" s="27"/>
      <c r="BS787" s="27"/>
      <c r="BT787" s="27"/>
      <c r="BU787" s="27"/>
      <c r="BV787" s="27"/>
      <c r="BW787" s="27"/>
      <c r="BX787" s="27"/>
      <c r="BY787" s="27"/>
      <c r="BZ787" s="27"/>
      <c r="CA787" s="27"/>
      <c r="CB787" s="27"/>
      <c r="CC787" s="27"/>
      <c r="CD787" s="27"/>
      <c r="CE787" s="27"/>
      <c r="CF787" s="27"/>
      <c r="CG787" s="27"/>
      <c r="CH787" s="27"/>
      <c r="CI787" s="27"/>
      <c r="CJ787" s="27"/>
      <c r="CK787" s="27"/>
      <c r="CL787" s="27"/>
      <c r="CM787" s="27"/>
      <c r="CN787" s="27"/>
      <c r="CO787" s="27"/>
      <c r="CP787" s="27"/>
      <c r="CQ787" s="27"/>
      <c r="CR787" s="27"/>
      <c r="CS787" s="27"/>
      <c r="CT787" s="27"/>
      <c r="CU787" s="27"/>
      <c r="CV787" s="27"/>
      <c r="CW787" s="27"/>
      <c r="CX787" s="27"/>
      <c r="CY787" s="27"/>
      <c r="CZ787" s="27"/>
      <c r="DA787" s="27"/>
      <c r="DB787" s="27"/>
      <c r="DC787" s="27"/>
      <c r="DD787" s="27"/>
      <c r="DE787" s="27"/>
      <c r="DF787" s="27"/>
      <c r="DG787" s="27"/>
      <c r="DH787" s="27"/>
      <c r="DI787" s="27"/>
      <c r="DJ787" s="27"/>
      <c r="DK787" s="27"/>
      <c r="DL787" s="27"/>
      <c r="DM787" s="27"/>
      <c r="DN787" s="27"/>
      <c r="DO787" s="27"/>
      <c r="DP787" s="27"/>
      <c r="DQ787" s="27"/>
      <c r="DR787" s="27"/>
      <c r="DS787" s="27"/>
      <c r="DT787" s="27"/>
    </row>
    <row r="788" spans="7:124" x14ac:dyDescent="0.2">
      <c r="G788" s="27"/>
      <c r="H788" s="27">
        <f t="shared" si="18"/>
        <v>0</v>
      </c>
      <c r="I788" s="27"/>
      <c r="J788" s="27"/>
      <c r="K788" s="27" t="e">
        <f>IF(#REF!=0," = הזן  נתונים  מימין ==&gt;",#REF!)</f>
        <v>#REF!</v>
      </c>
      <c r="L788" s="27">
        <v>0</v>
      </c>
      <c r="M788" s="27"/>
      <c r="N788" s="27"/>
      <c r="O788" s="27"/>
      <c r="P788" s="27"/>
      <c r="Q788" s="27"/>
      <c r="R788" s="27">
        <f>INT(BB783)</f>
        <v>0</v>
      </c>
      <c r="S788" s="27"/>
      <c r="T788" s="27"/>
      <c r="U788" s="27"/>
      <c r="V788" s="27"/>
      <c r="W788" s="27"/>
      <c r="X788" s="27"/>
      <c r="Y788" s="27"/>
      <c r="Z788" s="27"/>
      <c r="AA788" s="27"/>
      <c r="AB788" s="27"/>
      <c r="AC788" s="27"/>
      <c r="AD788" s="27"/>
      <c r="AE788" s="27"/>
      <c r="AF788" s="27"/>
      <c r="AG788" s="27"/>
      <c r="AH788" s="27"/>
      <c r="AI788" s="27"/>
      <c r="AJ788" s="27"/>
      <c r="AK788" s="27"/>
      <c r="AL788" s="27"/>
      <c r="AM788" s="27"/>
      <c r="AN788" s="27"/>
      <c r="AO788" s="27"/>
      <c r="AP788" s="27"/>
      <c r="AQ788" s="27"/>
      <c r="AR788" s="27"/>
      <c r="AS788" s="27"/>
      <c r="AT788" s="27"/>
      <c r="AU788" s="27"/>
      <c r="AV788" s="27"/>
      <c r="AW788" s="27"/>
      <c r="AX788" s="27"/>
      <c r="AY788" s="27"/>
      <c r="AZ788" s="27"/>
      <c r="BA788" s="27"/>
      <c r="BB788" s="27"/>
      <c r="BC788" s="27"/>
      <c r="BD788" s="27"/>
      <c r="BE788" s="27"/>
      <c r="BF788" s="27"/>
      <c r="BG788" s="27"/>
      <c r="BH788" s="27"/>
      <c r="BI788" s="27"/>
      <c r="BJ788" s="27"/>
      <c r="BK788" s="27"/>
      <c r="BL788" s="27"/>
      <c r="BM788" s="27"/>
      <c r="BN788" s="27"/>
      <c r="BO788" s="27"/>
      <c r="BP788" s="27"/>
      <c r="BQ788" s="27"/>
      <c r="BR788" s="27"/>
      <c r="BS788" s="27"/>
      <c r="BT788" s="27"/>
      <c r="BU788" s="27">
        <v>29</v>
      </c>
      <c r="BV788" s="27">
        <v>0.01</v>
      </c>
      <c r="BW788" s="27">
        <v>6703.01</v>
      </c>
      <c r="BX788" s="27">
        <v>6332.37</v>
      </c>
      <c r="BY788" s="27">
        <v>5910.18</v>
      </c>
      <c r="BZ788" s="27">
        <v>5647.65</v>
      </c>
      <c r="CA788" s="27">
        <v>5148.26</v>
      </c>
      <c r="CB788" s="27">
        <v>5148.26</v>
      </c>
      <c r="CC788" s="27">
        <v>4478.92</v>
      </c>
      <c r="CD788" s="27">
        <v>4195.75</v>
      </c>
      <c r="CE788" s="27">
        <v>4092.79</v>
      </c>
      <c r="CF788" s="27">
        <v>3964.08</v>
      </c>
      <c r="CG788" s="27">
        <v>5647.65</v>
      </c>
      <c r="CH788" s="27">
        <v>5251.25</v>
      </c>
      <c r="CI788" s="27">
        <v>4478.92</v>
      </c>
      <c r="CJ788" s="27">
        <v>5529.25</v>
      </c>
      <c r="CK788" s="27">
        <v>5647.65</v>
      </c>
      <c r="CL788" s="27"/>
      <c r="CM788" s="27"/>
      <c r="CN788" s="27"/>
      <c r="CO788" s="27"/>
      <c r="CP788" s="27"/>
      <c r="CQ788" s="27"/>
      <c r="CR788" s="27"/>
      <c r="CS788" s="27"/>
      <c r="CT788" s="27"/>
      <c r="CU788" s="27"/>
      <c r="CV788" s="27"/>
      <c r="CW788" s="27"/>
      <c r="CX788" s="27"/>
      <c r="CY788" s="27"/>
      <c r="CZ788" s="27"/>
      <c r="DA788" s="27"/>
      <c r="DB788" s="27"/>
      <c r="DC788" s="27"/>
      <c r="DD788" s="27"/>
      <c r="DE788" s="27"/>
      <c r="DF788" s="27"/>
      <c r="DG788" s="27"/>
      <c r="DH788" s="27"/>
      <c r="DI788" s="27"/>
      <c r="DJ788" s="27"/>
      <c r="DK788" s="27"/>
      <c r="DL788" s="27"/>
      <c r="DM788" s="27"/>
      <c r="DN788" s="27"/>
      <c r="DO788" s="27"/>
      <c r="DP788" s="27"/>
      <c r="DQ788" s="27"/>
      <c r="DR788" s="27"/>
      <c r="DS788" s="27"/>
      <c r="DT788" s="27"/>
    </row>
    <row r="789" spans="7:124" x14ac:dyDescent="0.2">
      <c r="G789" s="27"/>
      <c r="H789" s="27">
        <f t="shared" si="18"/>
        <v>0</v>
      </c>
      <c r="I789" s="27"/>
      <c r="J789" s="27"/>
      <c r="K789" s="27" t="str">
        <f>BA774</f>
        <v>גמול חינוך מיוחד</v>
      </c>
      <c r="L789" s="27">
        <f>SUM(L784:L787)*BB774</f>
        <v>0</v>
      </c>
      <c r="M789" s="27"/>
      <c r="N789" s="27"/>
      <c r="O789" s="27"/>
      <c r="P789" s="27"/>
      <c r="Q789" s="27"/>
      <c r="R789" s="27">
        <f>INT(L790)</f>
        <v>0</v>
      </c>
      <c r="S789" s="27"/>
      <c r="T789" s="27"/>
      <c r="U789" s="27"/>
      <c r="V789" s="27"/>
      <c r="W789" s="27"/>
      <c r="X789" s="27"/>
      <c r="Y789" s="27"/>
      <c r="Z789" s="27"/>
      <c r="AA789" s="27"/>
      <c r="AB789" s="27"/>
      <c r="AC789" s="27"/>
      <c r="AD789" s="27"/>
      <c r="AE789" s="27"/>
      <c r="AF789" s="27"/>
      <c r="AG789" s="27"/>
      <c r="AH789" s="27"/>
      <c r="AI789" s="27"/>
      <c r="AJ789" s="27"/>
      <c r="AK789" s="27"/>
      <c r="AL789" s="27"/>
      <c r="AM789" s="27"/>
      <c r="AN789" s="27"/>
      <c r="AO789" s="27"/>
      <c r="AP789" s="27"/>
      <c r="AQ789" s="27"/>
      <c r="AR789" s="27"/>
      <c r="AS789" s="27"/>
      <c r="AT789" s="27"/>
      <c r="AU789" s="27"/>
      <c r="AV789" s="27"/>
      <c r="AW789" s="27"/>
      <c r="AX789" s="27"/>
      <c r="AY789" s="27"/>
      <c r="AZ789" s="27"/>
      <c r="BA789" s="27"/>
      <c r="BB789" s="27"/>
      <c r="BC789" s="27"/>
      <c r="BD789" s="27"/>
      <c r="BE789" s="27"/>
      <c r="BF789" s="27"/>
      <c r="BG789" s="27"/>
      <c r="BH789" s="27"/>
      <c r="BI789" s="27"/>
      <c r="BJ789" s="27"/>
      <c r="BK789" s="27"/>
      <c r="BL789" s="27"/>
      <c r="BM789" s="27"/>
      <c r="BN789" s="27"/>
      <c r="BO789" s="27"/>
      <c r="BP789" s="27"/>
      <c r="BQ789" s="27"/>
      <c r="BR789" s="27"/>
      <c r="BS789" s="27"/>
      <c r="BT789" s="27"/>
      <c r="BU789" s="27"/>
      <c r="BV789" s="27"/>
      <c r="BW789" s="27"/>
      <c r="BX789" s="27"/>
      <c r="BY789" s="27"/>
      <c r="BZ789" s="27"/>
      <c r="CA789" s="27"/>
      <c r="CB789" s="27"/>
      <c r="CC789" s="27"/>
      <c r="CD789" s="27"/>
      <c r="CE789" s="27"/>
      <c r="CF789" s="27"/>
      <c r="CG789" s="27"/>
      <c r="CH789" s="27"/>
      <c r="CI789" s="27"/>
      <c r="CJ789" s="27"/>
      <c r="CK789" s="27"/>
      <c r="CL789" s="27"/>
      <c r="CM789" s="27"/>
      <c r="CN789" s="27"/>
      <c r="CO789" s="27"/>
      <c r="CP789" s="27"/>
      <c r="CQ789" s="27"/>
      <c r="CR789" s="27"/>
      <c r="CS789" s="27"/>
      <c r="CT789" s="27"/>
      <c r="CU789" s="27"/>
      <c r="CV789" s="27"/>
      <c r="CW789" s="27"/>
      <c r="CX789" s="27"/>
      <c r="CY789" s="27"/>
      <c r="CZ789" s="27"/>
      <c r="DA789" s="27"/>
      <c r="DB789" s="27"/>
      <c r="DC789" s="27"/>
      <c r="DD789" s="27"/>
      <c r="DE789" s="27"/>
      <c r="DF789" s="27"/>
      <c r="DG789" s="27"/>
      <c r="DH789" s="27"/>
      <c r="DI789" s="27"/>
      <c r="DJ789" s="27"/>
      <c r="DK789" s="27"/>
      <c r="DL789" s="27"/>
      <c r="DM789" s="27"/>
      <c r="DN789" s="27"/>
      <c r="DO789" s="27"/>
      <c r="DP789" s="27"/>
      <c r="DQ789" s="27"/>
      <c r="DR789" s="27"/>
      <c r="DS789" s="27"/>
      <c r="DT789" s="27"/>
    </row>
    <row r="790" spans="7:124" x14ac:dyDescent="0.2">
      <c r="G790" s="27"/>
      <c r="H790" s="27">
        <f t="shared" si="18"/>
        <v>0</v>
      </c>
      <c r="I790" s="27"/>
      <c r="J790" s="27"/>
      <c r="K790" s="27" t="str">
        <f>BA775</f>
        <v>גמול חינוך כתה</v>
      </c>
      <c r="L790" s="27">
        <f>IF(BB775=S709,0,IF(BB775=S710,10%*(L779+SUM(L785:L787)),IF(BB775=S711,20%*(L779+SUM(L785:L787)),IF(BB775=S712,11.5%*(L779+SUM(L785:L787)),6%*SUM(L784:L787)))))</f>
        <v>0</v>
      </c>
      <c r="M790" s="27"/>
      <c r="N790" s="27"/>
      <c r="O790" s="27"/>
      <c r="P790" s="27"/>
      <c r="Q790" s="27"/>
      <c r="R790" s="27">
        <f>INT(BB776)</f>
        <v>0</v>
      </c>
      <c r="S790" s="27"/>
      <c r="T790" s="27"/>
      <c r="U790" s="27"/>
      <c r="V790" s="27"/>
      <c r="W790" s="27"/>
      <c r="X790" s="27"/>
      <c r="Y790" s="27"/>
      <c r="Z790" s="27"/>
      <c r="AA790" s="27"/>
      <c r="AB790" s="27"/>
      <c r="AC790" s="27"/>
      <c r="AD790" s="27"/>
      <c r="AE790" s="27"/>
      <c r="AF790" s="27"/>
      <c r="AG790" s="27"/>
      <c r="AH790" s="27"/>
      <c r="AI790" s="27"/>
      <c r="AJ790" s="27"/>
      <c r="AK790" s="27"/>
      <c r="AL790" s="27"/>
      <c r="AM790" s="27"/>
      <c r="AN790" s="27"/>
      <c r="AO790" s="27"/>
      <c r="AP790" s="27"/>
      <c r="AQ790" s="27"/>
      <c r="AR790" s="27"/>
      <c r="AS790" s="27"/>
      <c r="AT790" s="27"/>
      <c r="AU790" s="27"/>
      <c r="AV790" s="27"/>
      <c r="AW790" s="27"/>
      <c r="AX790" s="27"/>
      <c r="AY790" s="27"/>
      <c r="AZ790" s="27"/>
      <c r="BA790" s="27"/>
      <c r="BB790" s="27"/>
      <c r="BC790" s="27"/>
      <c r="BD790" s="27"/>
      <c r="BE790" s="27"/>
      <c r="BF790" s="27"/>
      <c r="BG790" s="27"/>
      <c r="BH790" s="27"/>
      <c r="BI790" s="27"/>
      <c r="BJ790" s="27"/>
      <c r="BK790" s="27"/>
      <c r="BL790" s="27"/>
      <c r="BM790" s="27"/>
      <c r="BN790" s="27"/>
      <c r="BO790" s="27"/>
      <c r="BP790" s="27"/>
      <c r="BQ790" s="27"/>
      <c r="BR790" s="27"/>
      <c r="BS790" s="27"/>
      <c r="BT790" s="27"/>
      <c r="BU790" s="27">
        <v>30</v>
      </c>
      <c r="BV790" s="27">
        <v>0.01</v>
      </c>
      <c r="BW790" s="27">
        <v>6770.04</v>
      </c>
      <c r="BX790" s="27">
        <v>6395.69</v>
      </c>
      <c r="BY790" s="27">
        <v>5969.28</v>
      </c>
      <c r="BZ790" s="27">
        <v>5704.12</v>
      </c>
      <c r="CA790" s="27">
        <v>5199.74</v>
      </c>
      <c r="CB790" s="27">
        <v>5199.74</v>
      </c>
      <c r="CC790" s="27">
        <v>4523.7</v>
      </c>
      <c r="CD790" s="27">
        <v>4237.7</v>
      </c>
      <c r="CE790" s="27">
        <v>4133.71</v>
      </c>
      <c r="CF790" s="27">
        <v>4003.72</v>
      </c>
      <c r="CG790" s="27">
        <v>5704.12</v>
      </c>
      <c r="CH790" s="27">
        <v>5303.76</v>
      </c>
      <c r="CI790" s="27">
        <v>4523.7</v>
      </c>
      <c r="CJ790" s="27">
        <v>5584.54</v>
      </c>
      <c r="CK790" s="27">
        <v>5704.12</v>
      </c>
      <c r="CL790" s="27"/>
      <c r="CM790" s="27"/>
      <c r="CN790" s="27"/>
      <c r="CO790" s="27"/>
      <c r="CP790" s="27"/>
      <c r="CQ790" s="27"/>
      <c r="CR790" s="27"/>
      <c r="CS790" s="27"/>
      <c r="CT790" s="27"/>
      <c r="CU790" s="27"/>
      <c r="CV790" s="27"/>
      <c r="CW790" s="27"/>
      <c r="CX790" s="27"/>
      <c r="CY790" s="27"/>
      <c r="CZ790" s="27"/>
      <c r="DA790" s="27"/>
      <c r="DB790" s="27"/>
      <c r="DC790" s="27"/>
      <c r="DD790" s="27"/>
      <c r="DE790" s="27"/>
      <c r="DF790" s="27"/>
      <c r="DG790" s="27"/>
      <c r="DH790" s="27"/>
      <c r="DI790" s="27"/>
      <c r="DJ790" s="27"/>
      <c r="DK790" s="27"/>
      <c r="DL790" s="27"/>
      <c r="DM790" s="27"/>
      <c r="DN790" s="27"/>
      <c r="DO790" s="27"/>
      <c r="DP790" s="27"/>
      <c r="DQ790" s="27"/>
      <c r="DR790" s="27"/>
      <c r="DS790" s="27"/>
      <c r="DT790" s="27"/>
    </row>
    <row r="791" spans="7:124" x14ac:dyDescent="0.2">
      <c r="G791" s="27"/>
      <c r="H791" s="27">
        <f>C58</f>
        <v>0</v>
      </c>
      <c r="I791" s="27"/>
      <c r="J791" s="27"/>
      <c r="K791" s="27"/>
      <c r="L791" s="27"/>
      <c r="M791" s="27"/>
      <c r="N791" s="27"/>
      <c r="O791" s="27"/>
      <c r="P791" s="27"/>
      <c r="Q791" s="27"/>
      <c r="R791" s="27">
        <f>INT(L793)</f>
        <v>0</v>
      </c>
      <c r="S791" s="27"/>
      <c r="T791" s="27"/>
      <c r="U791" s="27"/>
      <c r="V791" s="27"/>
      <c r="W791" s="27"/>
      <c r="X791" s="27"/>
      <c r="Y791" s="27"/>
      <c r="Z791" s="27"/>
      <c r="AA791" s="27"/>
      <c r="AB791" s="27"/>
      <c r="AC791" s="27"/>
      <c r="AD791" s="27"/>
      <c r="AE791" s="27"/>
      <c r="AF791" s="27"/>
      <c r="AG791" s="27"/>
      <c r="AH791" s="27"/>
      <c r="AI791" s="27"/>
      <c r="AJ791" s="27"/>
      <c r="AK791" s="27"/>
      <c r="AL791" s="27"/>
      <c r="AM791" s="27"/>
      <c r="AN791" s="27"/>
      <c r="AO791" s="27"/>
      <c r="AP791" s="27"/>
      <c r="AQ791" s="27"/>
      <c r="AR791" s="27"/>
      <c r="AS791" s="27"/>
      <c r="AT791" s="27"/>
      <c r="AU791" s="27"/>
      <c r="AV791" s="27"/>
      <c r="AW791" s="27"/>
      <c r="AX791" s="27"/>
      <c r="AY791" s="27"/>
      <c r="AZ791" s="27"/>
      <c r="BA791" s="27"/>
      <c r="BB791" s="27"/>
      <c r="BC791" s="27"/>
      <c r="BD791" s="27"/>
      <c r="BE791" s="27"/>
      <c r="BF791" s="27"/>
      <c r="BG791" s="27"/>
      <c r="BH791" s="27"/>
      <c r="BI791" s="27"/>
      <c r="BJ791" s="27"/>
      <c r="BK791" s="27"/>
      <c r="BL791" s="27"/>
      <c r="BM791" s="27"/>
      <c r="BN791" s="27"/>
      <c r="BO791" s="27"/>
      <c r="BP791" s="27"/>
      <c r="BQ791" s="27"/>
      <c r="BR791" s="27"/>
      <c r="BS791" s="27"/>
      <c r="BT791" s="27"/>
      <c r="BU791" s="27"/>
      <c r="BV791" s="27"/>
      <c r="BW791" s="27"/>
      <c r="BX791" s="27"/>
      <c r="BY791" s="27"/>
      <c r="BZ791" s="27"/>
      <c r="CA791" s="27"/>
      <c r="CB791" s="27"/>
      <c r="CC791" s="27"/>
      <c r="CD791" s="27"/>
      <c r="CE791" s="27"/>
      <c r="CF791" s="27"/>
      <c r="CG791" s="27"/>
      <c r="CH791" s="27"/>
      <c r="CI791" s="27"/>
      <c r="CJ791" s="27"/>
      <c r="CK791" s="27"/>
      <c r="CL791" s="27"/>
      <c r="CM791" s="27"/>
      <c r="CN791" s="27"/>
      <c r="CO791" s="27"/>
      <c r="CP791" s="27"/>
      <c r="CQ791" s="27"/>
      <c r="CR791" s="27"/>
      <c r="CS791" s="27"/>
      <c r="CT791" s="27"/>
      <c r="CU791" s="27"/>
      <c r="CV791" s="27"/>
      <c r="CW791" s="27"/>
      <c r="CX791" s="27"/>
      <c r="CY791" s="27"/>
      <c r="CZ791" s="27"/>
      <c r="DA791" s="27"/>
      <c r="DB791" s="27"/>
      <c r="DC791" s="27"/>
      <c r="DD791" s="27"/>
      <c r="DE791" s="27"/>
      <c r="DF791" s="27"/>
      <c r="DG791" s="27"/>
      <c r="DH791" s="27"/>
      <c r="DI791" s="27"/>
      <c r="DJ791" s="27"/>
      <c r="DK791" s="27"/>
      <c r="DL791" s="27"/>
      <c r="DM791" s="27"/>
      <c r="DN791" s="27"/>
      <c r="DO791" s="27"/>
      <c r="DP791" s="27"/>
      <c r="DQ791" s="27"/>
      <c r="DR791" s="27"/>
      <c r="DS791" s="27"/>
      <c r="DT791" s="27"/>
    </row>
    <row r="792" spans="7:124" x14ac:dyDescent="0.2">
      <c r="G792" s="27"/>
      <c r="H792" s="27">
        <f>G60*$C$59</f>
        <v>0</v>
      </c>
      <c r="I792" s="27"/>
      <c r="J792" s="27"/>
      <c r="K792" s="27" t="str">
        <f>BA776</f>
        <v>גמול הכנה לבגרות</v>
      </c>
      <c r="L792" s="27">
        <f>BB776</f>
        <v>0</v>
      </c>
      <c r="M792" s="27"/>
      <c r="N792" s="27"/>
      <c r="O792" s="27"/>
      <c r="P792" s="27"/>
      <c r="Q792" s="27"/>
      <c r="R792" s="27">
        <f>INT(L794)</f>
        <v>0</v>
      </c>
      <c r="S792" s="27"/>
      <c r="T792" s="27"/>
      <c r="U792" s="27"/>
      <c r="V792" s="27"/>
      <c r="W792" s="27"/>
      <c r="X792" s="27"/>
      <c r="Y792" s="27"/>
      <c r="Z792" s="27"/>
      <c r="AA792" s="27"/>
      <c r="AB792" s="27"/>
      <c r="AC792" s="27"/>
      <c r="AD792" s="27"/>
      <c r="AE792" s="27"/>
      <c r="AF792" s="27"/>
      <c r="AG792" s="27"/>
      <c r="AH792" s="27"/>
      <c r="AI792" s="27"/>
      <c r="AJ792" s="27"/>
      <c r="AK792" s="27"/>
      <c r="AL792" s="27"/>
      <c r="AM792" s="27"/>
      <c r="AN792" s="27"/>
      <c r="AO792" s="27"/>
      <c r="AP792" s="27"/>
      <c r="AQ792" s="27"/>
      <c r="AR792" s="27"/>
      <c r="AS792" s="27"/>
      <c r="AT792" s="27"/>
      <c r="AU792" s="27"/>
      <c r="AV792" s="27"/>
      <c r="AW792" s="27"/>
      <c r="AX792" s="27"/>
      <c r="AY792" s="27"/>
      <c r="AZ792" s="27"/>
      <c r="BA792" s="27"/>
      <c r="BB792" s="27"/>
      <c r="BC792" s="27"/>
      <c r="BD792" s="27"/>
      <c r="BE792" s="27"/>
      <c r="BF792" s="27"/>
      <c r="BG792" s="27"/>
      <c r="BH792" s="27"/>
      <c r="BI792" s="27"/>
      <c r="BJ792" s="27"/>
      <c r="BK792" s="27"/>
      <c r="BL792" s="27"/>
      <c r="BM792" s="27"/>
      <c r="BN792" s="27"/>
      <c r="BO792" s="27"/>
      <c r="BP792" s="27"/>
      <c r="BQ792" s="27"/>
      <c r="BR792" s="27"/>
      <c r="BS792" s="27"/>
      <c r="BT792" s="27"/>
      <c r="BU792" s="27">
        <v>31</v>
      </c>
      <c r="BV792" s="27">
        <v>0.01</v>
      </c>
      <c r="BW792" s="27">
        <v>6837.74</v>
      </c>
      <c r="BX792" s="27">
        <v>6459.64</v>
      </c>
      <c r="BY792" s="27">
        <v>6028.97</v>
      </c>
      <c r="BZ792" s="27">
        <v>5761.16</v>
      </c>
      <c r="CA792" s="27">
        <v>5251.73</v>
      </c>
      <c r="CB792" s="27">
        <v>5251.73</v>
      </c>
      <c r="CC792" s="27">
        <v>4568.93</v>
      </c>
      <c r="CD792" s="27">
        <v>4280.07</v>
      </c>
      <c r="CE792" s="27">
        <v>4175.04</v>
      </c>
      <c r="CF792" s="27">
        <v>4043.75</v>
      </c>
      <c r="CG792" s="27">
        <v>5761.16</v>
      </c>
      <c r="CH792" s="27">
        <v>5356.79</v>
      </c>
      <c r="CI792" s="27">
        <v>4568.93</v>
      </c>
      <c r="CJ792" s="27">
        <v>5640.38</v>
      </c>
      <c r="CK792" s="27">
        <v>5761.16</v>
      </c>
      <c r="CL792" s="27"/>
      <c r="CM792" s="27"/>
      <c r="CN792" s="27"/>
      <c r="CO792" s="27"/>
      <c r="CP792" s="27"/>
      <c r="CQ792" s="27"/>
      <c r="CR792" s="27"/>
      <c r="CS792" s="27"/>
      <c r="CT792" s="27"/>
      <c r="CU792" s="27"/>
      <c r="CV792" s="27"/>
      <c r="CW792" s="27"/>
      <c r="CX792" s="27"/>
      <c r="CY792" s="27"/>
      <c r="CZ792" s="27"/>
      <c r="DA792" s="27"/>
      <c r="DB792" s="27"/>
      <c r="DC792" s="27"/>
      <c r="DD792" s="27"/>
      <c r="DE792" s="27"/>
      <c r="DF792" s="27"/>
      <c r="DG792" s="27"/>
      <c r="DH792" s="27"/>
      <c r="DI792" s="27"/>
      <c r="DJ792" s="27"/>
      <c r="DK792" s="27"/>
      <c r="DL792" s="27"/>
      <c r="DM792" s="27"/>
      <c r="DN792" s="27"/>
      <c r="DO792" s="27"/>
      <c r="DP792" s="27"/>
      <c r="DQ792" s="27"/>
      <c r="DR792" s="27"/>
      <c r="DS792" s="27"/>
      <c r="DT792" s="27"/>
    </row>
    <row r="793" spans="7:124" x14ac:dyDescent="0.2">
      <c r="G793" s="27"/>
      <c r="H793" s="27">
        <f>G61*$C$59</f>
        <v>0</v>
      </c>
      <c r="I793" s="27"/>
      <c r="J793" s="27"/>
      <c r="K793" s="27" t="str">
        <f>BA777</f>
        <v xml:space="preserve">גמול יעוץ </v>
      </c>
      <c r="L793" s="27">
        <f>Y714*L779</f>
        <v>0</v>
      </c>
      <c r="M793" s="27"/>
      <c r="N793" s="27"/>
      <c r="O793" s="27"/>
      <c r="P793" s="27"/>
      <c r="Q793" s="27"/>
      <c r="R793" s="27">
        <f>INT(L795)</f>
        <v>0</v>
      </c>
      <c r="S793" s="27"/>
      <c r="T793" s="27"/>
      <c r="U793" s="27"/>
      <c r="V793" s="27"/>
      <c r="W793" s="27"/>
      <c r="X793" s="27"/>
      <c r="Y793" s="27"/>
      <c r="Z793" s="27"/>
      <c r="AA793" s="27"/>
      <c r="AB793" s="27"/>
      <c r="AC793" s="27"/>
      <c r="AD793" s="27"/>
      <c r="AE793" s="27"/>
      <c r="AF793" s="27"/>
      <c r="AG793" s="27"/>
      <c r="AH793" s="27"/>
      <c r="AI793" s="27"/>
      <c r="AJ793" s="27"/>
      <c r="AK793" s="27"/>
      <c r="AL793" s="27"/>
      <c r="AM793" s="27"/>
      <c r="AN793" s="27"/>
      <c r="AO793" s="27"/>
      <c r="AP793" s="27"/>
      <c r="AQ793" s="27"/>
      <c r="AR793" s="27"/>
      <c r="AS793" s="27"/>
      <c r="AT793" s="27"/>
      <c r="AU793" s="27"/>
      <c r="AV793" s="27"/>
      <c r="AW793" s="27"/>
      <c r="AX793" s="27"/>
      <c r="AY793" s="27"/>
      <c r="AZ793" s="27"/>
      <c r="BA793" s="27"/>
      <c r="BB793" s="27"/>
      <c r="BC793" s="27"/>
      <c r="BD793" s="27"/>
      <c r="BE793" s="27"/>
      <c r="BF793" s="27"/>
      <c r="BG793" s="27"/>
      <c r="BH793" s="27"/>
      <c r="BI793" s="27"/>
      <c r="BJ793" s="27"/>
      <c r="BK793" s="27"/>
      <c r="BL793" s="27"/>
      <c r="BM793" s="27"/>
      <c r="BN793" s="27"/>
      <c r="BO793" s="27"/>
      <c r="BP793" s="27"/>
      <c r="BQ793" s="27"/>
      <c r="BR793" s="27"/>
      <c r="BS793" s="27"/>
      <c r="BT793" s="27"/>
      <c r="BU793" s="27"/>
      <c r="BV793" s="27"/>
      <c r="BW793" s="27"/>
      <c r="BX793" s="27"/>
      <c r="BY793" s="27"/>
      <c r="BZ793" s="27"/>
      <c r="CA793" s="27"/>
      <c r="CB793" s="27"/>
      <c r="CC793" s="27"/>
      <c r="CD793" s="27"/>
      <c r="CE793" s="27"/>
      <c r="CF793" s="27"/>
      <c r="CG793" s="27"/>
      <c r="CH793" s="27"/>
      <c r="CI793" s="27"/>
      <c r="CJ793" s="27"/>
      <c r="CK793" s="27"/>
      <c r="CL793" s="27"/>
      <c r="CM793" s="27"/>
      <c r="CN793" s="27"/>
      <c r="CO793" s="27"/>
      <c r="CP793" s="27"/>
      <c r="CQ793" s="27"/>
      <c r="CR793" s="27"/>
      <c r="CS793" s="27"/>
      <c r="CT793" s="27"/>
      <c r="CU793" s="27"/>
      <c r="CV793" s="27"/>
      <c r="CW793" s="27"/>
      <c r="CX793" s="27"/>
      <c r="CY793" s="27"/>
      <c r="CZ793" s="27"/>
      <c r="DA793" s="27"/>
      <c r="DB793" s="27"/>
      <c r="DC793" s="27"/>
      <c r="DD793" s="27"/>
      <c r="DE793" s="27"/>
      <c r="DF793" s="27"/>
      <c r="DG793" s="27"/>
      <c r="DH793" s="27"/>
      <c r="DI793" s="27"/>
      <c r="DJ793" s="27"/>
      <c r="DK793" s="27"/>
      <c r="DL793" s="27"/>
      <c r="DM793" s="27"/>
      <c r="DN793" s="27"/>
      <c r="DO793" s="27"/>
      <c r="DP793" s="27"/>
      <c r="DQ793" s="27"/>
      <c r="DR793" s="27"/>
      <c r="DS793" s="27"/>
      <c r="DT793" s="27"/>
    </row>
    <row r="794" spans="7:124" x14ac:dyDescent="0.2">
      <c r="G794" s="27"/>
      <c r="H794" s="27">
        <f>G62*$C$59</f>
        <v>0</v>
      </c>
      <c r="I794" s="27"/>
      <c r="J794" s="27"/>
      <c r="K794" s="27" t="str">
        <f>BA778</f>
        <v>גמול ניהול /סגנות/גננות</v>
      </c>
      <c r="L794" s="27">
        <f>SUM(L784:L787)*BB778</f>
        <v>0</v>
      </c>
      <c r="M794" s="27"/>
      <c r="N794" s="27"/>
      <c r="O794" s="27"/>
      <c r="P794" s="27"/>
      <c r="Q794" s="27"/>
      <c r="R794" s="27">
        <f>INT(W719*L784)</f>
        <v>0</v>
      </c>
      <c r="S794" s="27"/>
      <c r="T794" s="27"/>
      <c r="U794" s="27"/>
      <c r="V794" s="27"/>
      <c r="W794" s="27"/>
      <c r="X794" s="27"/>
      <c r="Y794" s="27"/>
      <c r="Z794" s="27"/>
      <c r="AA794" s="27"/>
      <c r="AB794" s="27"/>
      <c r="AC794" s="27"/>
      <c r="AD794" s="27"/>
      <c r="AE794" s="27"/>
      <c r="AF794" s="27"/>
      <c r="AG794" s="27"/>
      <c r="AH794" s="27"/>
      <c r="AI794" s="27"/>
      <c r="AJ794" s="27"/>
      <c r="AK794" s="27"/>
      <c r="AL794" s="27"/>
      <c r="AM794" s="27"/>
      <c r="AN794" s="27"/>
      <c r="AO794" s="27"/>
      <c r="AP794" s="27"/>
      <c r="AQ794" s="27"/>
      <c r="AR794" s="27"/>
      <c r="AS794" s="27"/>
      <c r="AT794" s="27"/>
      <c r="AU794" s="27"/>
      <c r="AV794" s="27"/>
      <c r="AW794" s="27"/>
      <c r="AX794" s="27"/>
      <c r="AY794" s="27"/>
      <c r="AZ794" s="27"/>
      <c r="BA794" s="27"/>
      <c r="BB794" s="27"/>
      <c r="BC794" s="27"/>
      <c r="BD794" s="27"/>
      <c r="BE794" s="27"/>
      <c r="BF794" s="27"/>
      <c r="BG794" s="27"/>
      <c r="BH794" s="27"/>
      <c r="BI794" s="27"/>
      <c r="BJ794" s="27"/>
      <c r="BK794" s="27"/>
      <c r="BL794" s="27"/>
      <c r="BM794" s="27"/>
      <c r="BN794" s="27"/>
      <c r="BO794" s="27"/>
      <c r="BP794" s="27"/>
      <c r="BQ794" s="27"/>
      <c r="BR794" s="27"/>
      <c r="BS794" s="27"/>
      <c r="BT794" s="27"/>
      <c r="BU794" s="27">
        <v>32</v>
      </c>
      <c r="BV794" s="27">
        <v>0.01</v>
      </c>
      <c r="BW794" s="27">
        <v>6906.11</v>
      </c>
      <c r="BX794" s="27">
        <v>6524.23</v>
      </c>
      <c r="BY794" s="27">
        <v>6089.25</v>
      </c>
      <c r="BZ794" s="27">
        <v>5818.77</v>
      </c>
      <c r="CA794" s="27">
        <v>5304.24</v>
      </c>
      <c r="CB794" s="27">
        <v>5304.24</v>
      </c>
      <c r="CC794" s="27">
        <v>4614.6099999999997</v>
      </c>
      <c r="CD794" s="27">
        <v>4322.87</v>
      </c>
      <c r="CE794" s="27">
        <v>4216.79</v>
      </c>
      <c r="CF794" s="27">
        <v>4084.18</v>
      </c>
      <c r="CG794" s="27">
        <v>5818.77</v>
      </c>
      <c r="CH794" s="27">
        <v>5410.35</v>
      </c>
      <c r="CI794" s="27">
        <v>4614.6099999999997</v>
      </c>
      <c r="CJ794" s="27">
        <v>5696.78</v>
      </c>
      <c r="CK794" s="27">
        <v>5818.77</v>
      </c>
      <c r="CL794" s="27"/>
      <c r="CM794" s="27"/>
      <c r="CN794" s="27"/>
      <c r="CO794" s="27"/>
      <c r="CP794" s="27"/>
      <c r="CQ794" s="27"/>
      <c r="CR794" s="27"/>
      <c r="CS794" s="27"/>
      <c r="CT794" s="27"/>
      <c r="CU794" s="27"/>
      <c r="CV794" s="27"/>
      <c r="CW794" s="27"/>
      <c r="CX794" s="27"/>
      <c r="CY794" s="27"/>
      <c r="CZ794" s="27"/>
      <c r="DA794" s="27"/>
      <c r="DB794" s="27"/>
      <c r="DC794" s="27"/>
      <c r="DD794" s="27"/>
      <c r="DE794" s="27"/>
      <c r="DF794" s="27"/>
      <c r="DG794" s="27"/>
      <c r="DH794" s="27"/>
      <c r="DI794" s="27"/>
      <c r="DJ794" s="27"/>
      <c r="DK794" s="27"/>
      <c r="DL794" s="27"/>
      <c r="DM794" s="27"/>
      <c r="DN794" s="27"/>
      <c r="DO794" s="27"/>
      <c r="DP794" s="27"/>
      <c r="DQ794" s="27"/>
      <c r="DR794" s="27"/>
      <c r="DS794" s="27"/>
      <c r="DT794" s="27"/>
    </row>
    <row r="795" spans="7:124" x14ac:dyDescent="0.2">
      <c r="G795" s="27"/>
      <c r="H795" s="27">
        <f>G63*$C$59</f>
        <v>0</v>
      </c>
      <c r="I795" s="27"/>
      <c r="J795" s="27"/>
      <c r="K795" s="27" t="str">
        <f>BA779</f>
        <v>ותק בניהול למנהל ולסגנו/גננת</v>
      </c>
      <c r="L795" s="27">
        <f>AW722*L794</f>
        <v>0</v>
      </c>
      <c r="M795" s="27"/>
      <c r="N795" s="27"/>
      <c r="O795" s="27"/>
      <c r="P795" s="27"/>
      <c r="Q795" s="27"/>
      <c r="R795" s="27">
        <f xml:space="preserve">  INT(L804)</f>
        <v>0</v>
      </c>
      <c r="S795" s="27"/>
      <c r="T795" s="27"/>
      <c r="U795" s="27"/>
      <c r="V795" s="27"/>
      <c r="W795" s="27"/>
      <c r="X795" s="27"/>
      <c r="Y795" s="27"/>
      <c r="Z795" s="27"/>
      <c r="AA795" s="27"/>
      <c r="AB795" s="27"/>
      <c r="AC795" s="27"/>
      <c r="AD795" s="27"/>
      <c r="AE795" s="27"/>
      <c r="AF795" s="27"/>
      <c r="AG795" s="27"/>
      <c r="AH795" s="27"/>
      <c r="AI795" s="27"/>
      <c r="AJ795" s="27"/>
      <c r="AK795" s="27"/>
      <c r="AL795" s="27"/>
      <c r="AM795" s="27"/>
      <c r="AN795" s="27"/>
      <c r="AO795" s="27"/>
      <c r="AP795" s="27"/>
      <c r="AQ795" s="27"/>
      <c r="AR795" s="27"/>
      <c r="AS795" s="27"/>
      <c r="AT795" s="27"/>
      <c r="AU795" s="27"/>
      <c r="AV795" s="27"/>
      <c r="AW795" s="27"/>
      <c r="AX795" s="27"/>
      <c r="AY795" s="27"/>
      <c r="AZ795" s="27"/>
      <c r="BA795" s="27"/>
      <c r="BB795" s="27"/>
      <c r="BC795" s="27"/>
      <c r="BD795" s="27"/>
      <c r="BE795" s="27"/>
      <c r="BF795" s="27"/>
      <c r="BG795" s="27"/>
      <c r="BH795" s="27"/>
      <c r="BI795" s="27"/>
      <c r="BJ795" s="27"/>
      <c r="BK795" s="27"/>
      <c r="BL795" s="27"/>
      <c r="BM795" s="27"/>
      <c r="BN795" s="27"/>
      <c r="BO795" s="27"/>
      <c r="BP795" s="27"/>
      <c r="BQ795" s="27"/>
      <c r="BR795" s="27"/>
      <c r="BS795" s="27"/>
      <c r="BT795" s="27"/>
      <c r="BU795" s="27"/>
      <c r="BV795" s="27"/>
      <c r="BW795" s="27"/>
      <c r="BX795" s="27"/>
      <c r="BY795" s="27"/>
      <c r="BZ795" s="27"/>
      <c r="CA795" s="27"/>
      <c r="CB795" s="27"/>
      <c r="CC795" s="27"/>
      <c r="CD795" s="27"/>
      <c r="CE795" s="27"/>
      <c r="CF795" s="27"/>
      <c r="CG795" s="27"/>
      <c r="CH795" s="27"/>
      <c r="CI795" s="27"/>
      <c r="CJ795" s="27"/>
      <c r="CK795" s="27"/>
      <c r="CL795" s="27"/>
      <c r="CM795" s="27"/>
      <c r="CN795" s="27"/>
      <c r="CO795" s="27"/>
      <c r="CP795" s="27"/>
      <c r="CQ795" s="27"/>
      <c r="CR795" s="27"/>
      <c r="CS795" s="27"/>
      <c r="CT795" s="27"/>
      <c r="CU795" s="27"/>
      <c r="CV795" s="27"/>
      <c r="CW795" s="27"/>
      <c r="CX795" s="27"/>
      <c r="CY795" s="27"/>
      <c r="CZ795" s="27"/>
      <c r="DA795" s="27"/>
      <c r="DB795" s="27"/>
      <c r="DC795" s="27"/>
      <c r="DD795" s="27"/>
      <c r="DE795" s="27"/>
      <c r="DF795" s="27"/>
      <c r="DG795" s="27"/>
      <c r="DH795" s="27"/>
      <c r="DI795" s="27"/>
      <c r="DJ795" s="27"/>
      <c r="DK795" s="27"/>
      <c r="DL795" s="27"/>
      <c r="DM795" s="27"/>
      <c r="DN795" s="27"/>
      <c r="DO795" s="27"/>
      <c r="DP795" s="27"/>
      <c r="DQ795" s="27"/>
      <c r="DR795" s="27"/>
      <c r="DS795" s="27"/>
      <c r="DT795" s="27"/>
    </row>
    <row r="796" spans="7:124" x14ac:dyDescent="0.2">
      <c r="G796" s="27"/>
      <c r="H796" s="27">
        <f>G64*$C$59</f>
        <v>0</v>
      </c>
      <c r="I796" s="27"/>
      <c r="J796" s="27"/>
      <c r="K796" s="27"/>
      <c r="L796" s="27"/>
      <c r="M796" s="27"/>
      <c r="N796" s="27"/>
      <c r="O796" s="27"/>
      <c r="P796" s="27"/>
      <c r="Q796" s="27"/>
      <c r="R796" s="27">
        <f>R783*BB782</f>
        <v>0</v>
      </c>
      <c r="S796" s="27"/>
      <c r="T796" s="27"/>
      <c r="U796" s="27"/>
      <c r="V796" s="27"/>
      <c r="W796" s="27"/>
      <c r="X796" s="27"/>
      <c r="Y796" s="27"/>
      <c r="Z796" s="27"/>
      <c r="AA796" s="27"/>
      <c r="AB796" s="27" t="s">
        <v>59</v>
      </c>
      <c r="AC796" s="27"/>
      <c r="AD796" s="27"/>
      <c r="AE796" s="27"/>
      <c r="AF796" s="27"/>
      <c r="AG796" s="27"/>
      <c r="AH796" s="27"/>
      <c r="AI796" s="27"/>
      <c r="AJ796" s="27"/>
      <c r="AK796" s="27"/>
      <c r="AL796" s="27"/>
      <c r="AM796" s="27"/>
      <c r="AN796" s="27"/>
      <c r="AO796" s="27"/>
      <c r="AP796" s="27"/>
      <c r="AQ796" s="27"/>
      <c r="AR796" s="27"/>
      <c r="AS796" s="27"/>
      <c r="AT796" s="27"/>
      <c r="AU796" s="27"/>
      <c r="AV796" s="27"/>
      <c r="AW796" s="27"/>
      <c r="AX796" s="27"/>
      <c r="AY796" s="27"/>
      <c r="AZ796" s="27"/>
      <c r="BA796" s="27"/>
      <c r="BB796" s="27"/>
      <c r="BC796" s="27"/>
      <c r="BD796" s="27"/>
      <c r="BE796" s="27"/>
      <c r="BF796" s="27"/>
      <c r="BG796" s="27"/>
      <c r="BH796" s="27"/>
      <c r="BI796" s="27"/>
      <c r="BJ796" s="27"/>
      <c r="BK796" s="27"/>
      <c r="BL796" s="27"/>
      <c r="BM796" s="27"/>
      <c r="BN796" s="27"/>
      <c r="BO796" s="27"/>
      <c r="BP796" s="27"/>
      <c r="BQ796" s="27"/>
      <c r="BR796" s="27"/>
      <c r="BS796" s="27"/>
      <c r="BT796" s="27"/>
      <c r="BU796" s="27">
        <v>33</v>
      </c>
      <c r="BV796" s="27">
        <v>0.01</v>
      </c>
      <c r="BW796" s="27">
        <v>6975.17</v>
      </c>
      <c r="BX796" s="27">
        <v>6589.47</v>
      </c>
      <c r="BY796" s="27">
        <v>6150.14</v>
      </c>
      <c r="BZ796" s="27">
        <v>5876.95</v>
      </c>
      <c r="CA796" s="27">
        <v>5357.28</v>
      </c>
      <c r="CB796" s="27">
        <v>5357.28</v>
      </c>
      <c r="CC796" s="27">
        <v>4660.75</v>
      </c>
      <c r="CD796" s="27">
        <v>4366.09</v>
      </c>
      <c r="CE796" s="27">
        <v>4258.95</v>
      </c>
      <c r="CF796" s="27">
        <v>4125.0200000000004</v>
      </c>
      <c r="CG796" s="27">
        <v>5876.95</v>
      </c>
      <c r="CH796" s="27">
        <v>5464.45</v>
      </c>
      <c r="CI796" s="27">
        <v>4660.75</v>
      </c>
      <c r="CJ796" s="27">
        <v>5753.74</v>
      </c>
      <c r="CK796" s="27">
        <v>5876.95</v>
      </c>
      <c r="CL796" s="27"/>
      <c r="CM796" s="27"/>
      <c r="CN796" s="27"/>
      <c r="CO796" s="27"/>
      <c r="CP796" s="27"/>
      <c r="CQ796" s="27"/>
      <c r="CR796" s="27"/>
      <c r="CS796" s="27"/>
      <c r="CT796" s="27"/>
      <c r="CU796" s="27"/>
      <c r="CV796" s="27"/>
      <c r="CW796" s="27"/>
      <c r="CX796" s="27"/>
      <c r="CY796" s="27"/>
      <c r="CZ796" s="27"/>
      <c r="DA796" s="27"/>
      <c r="DB796" s="27"/>
      <c r="DC796" s="27"/>
      <c r="DD796" s="27"/>
      <c r="DE796" s="27"/>
      <c r="DF796" s="27"/>
      <c r="DG796" s="27"/>
      <c r="DH796" s="27"/>
      <c r="DI796" s="27"/>
      <c r="DJ796" s="27"/>
      <c r="DK796" s="27"/>
      <c r="DL796" s="27"/>
      <c r="DM796" s="27"/>
      <c r="DN796" s="27"/>
      <c r="DO796" s="27"/>
      <c r="DP796" s="27"/>
      <c r="DQ796" s="27"/>
      <c r="DR796" s="27"/>
      <c r="DS796" s="27"/>
      <c r="DT796" s="27"/>
    </row>
    <row r="797" spans="7:124" x14ac:dyDescent="0.2">
      <c r="G797" s="27"/>
      <c r="H797" s="27" t="s">
        <v>277</v>
      </c>
      <c r="I797" s="27">
        <f>IF(BD711=AC754,SUM(G47:G58)+Y729+C58,SUM(G47:G59))</f>
        <v>0</v>
      </c>
      <c r="J797" s="27">
        <f>SUM(H779:H791)</f>
        <v>0</v>
      </c>
      <c r="K797" s="27"/>
      <c r="L797" s="27"/>
      <c r="M797" s="27"/>
      <c r="N797" s="27"/>
      <c r="O797" s="27"/>
      <c r="P797" s="27"/>
      <c r="Q797" s="27"/>
      <c r="R797" s="27">
        <f>INT(L789)</f>
        <v>0</v>
      </c>
      <c r="S797" s="27"/>
      <c r="T797" s="27"/>
      <c r="U797" s="27"/>
      <c r="V797" s="27"/>
      <c r="W797" s="27"/>
      <c r="X797" s="27"/>
      <c r="Y797" s="27"/>
      <c r="Z797" s="27"/>
      <c r="AA797" s="27"/>
      <c r="AB797" s="27"/>
      <c r="AC797" s="27"/>
      <c r="AD797" s="27"/>
      <c r="AE797" s="27"/>
      <c r="AF797" s="27"/>
      <c r="AG797" s="27"/>
      <c r="AH797" s="27"/>
      <c r="AI797" s="27"/>
      <c r="AJ797" s="27"/>
      <c r="AK797" s="27"/>
      <c r="AL797" s="27"/>
      <c r="AM797" s="27"/>
      <c r="AN797" s="27"/>
      <c r="AO797" s="27"/>
      <c r="AP797" s="27"/>
      <c r="AQ797" s="27"/>
      <c r="AR797" s="27"/>
      <c r="AS797" s="27"/>
      <c r="AT797" s="27"/>
      <c r="AU797" s="27"/>
      <c r="AV797" s="27"/>
      <c r="AW797" s="27"/>
      <c r="AX797" s="27"/>
      <c r="AY797" s="27"/>
      <c r="AZ797" s="27"/>
      <c r="BA797" s="27"/>
      <c r="BB797" s="27"/>
      <c r="BC797" s="27"/>
      <c r="BD797" s="27"/>
      <c r="BE797" s="27"/>
      <c r="BF797" s="27"/>
      <c r="BG797" s="27"/>
      <c r="BH797" s="27"/>
      <c r="BI797" s="27"/>
      <c r="BJ797" s="27"/>
      <c r="BK797" s="27"/>
      <c r="BL797" s="27"/>
      <c r="BM797" s="27"/>
      <c r="BN797" s="27"/>
      <c r="BO797" s="27"/>
      <c r="BP797" s="27"/>
      <c r="BQ797" s="27"/>
      <c r="BR797" s="27"/>
      <c r="BS797" s="27"/>
      <c r="BT797" s="27"/>
      <c r="BU797" s="27"/>
      <c r="BV797" s="27"/>
      <c r="BW797" s="27"/>
      <c r="BX797" s="27"/>
      <c r="BY797" s="27"/>
      <c r="BZ797" s="27"/>
      <c r="CA797" s="27"/>
      <c r="CB797" s="27"/>
      <c r="CC797" s="27"/>
      <c r="CD797" s="27"/>
      <c r="CE797" s="27"/>
      <c r="CF797" s="27"/>
      <c r="CG797" s="27"/>
      <c r="CH797" s="27"/>
      <c r="CI797" s="27"/>
      <c r="CJ797" s="27"/>
      <c r="CK797" s="27"/>
      <c r="CL797" s="27"/>
      <c r="CM797" s="27"/>
      <c r="CN797" s="27"/>
      <c r="CO797" s="27"/>
      <c r="CP797" s="27"/>
      <c r="CQ797" s="27"/>
      <c r="CR797" s="27"/>
      <c r="CS797" s="27"/>
      <c r="CT797" s="27"/>
      <c r="CU797" s="27"/>
      <c r="CV797" s="27"/>
      <c r="CW797" s="27"/>
      <c r="CX797" s="27"/>
      <c r="CY797" s="27"/>
      <c r="CZ797" s="27"/>
      <c r="DA797" s="27"/>
      <c r="DB797" s="27"/>
      <c r="DC797" s="27"/>
      <c r="DD797" s="27"/>
      <c r="DE797" s="27"/>
      <c r="DF797" s="27"/>
      <c r="DG797" s="27"/>
      <c r="DH797" s="27"/>
      <c r="DI797" s="27"/>
      <c r="DJ797" s="27"/>
      <c r="DK797" s="27"/>
      <c r="DL797" s="27"/>
      <c r="DM797" s="27"/>
      <c r="DN797" s="27"/>
      <c r="DO797" s="27"/>
      <c r="DP797" s="27"/>
      <c r="DQ797" s="27"/>
      <c r="DR797" s="27"/>
      <c r="DS797" s="27"/>
      <c r="DT797" s="27"/>
    </row>
    <row r="798" spans="7:124" x14ac:dyDescent="0.2">
      <c r="G798" s="27"/>
      <c r="H798" s="27"/>
      <c r="I798" s="27"/>
      <c r="J798" s="27"/>
      <c r="K798" s="27"/>
      <c r="L798" s="27"/>
      <c r="M798" s="27"/>
      <c r="N798" s="27"/>
      <c r="O798" s="27"/>
      <c r="P798" s="27"/>
      <c r="Q798" s="27"/>
      <c r="R798" s="27"/>
      <c r="S798" s="27"/>
      <c r="T798" s="27"/>
      <c r="U798" s="27"/>
      <c r="V798" s="27"/>
      <c r="W798" s="27"/>
      <c r="X798" s="27"/>
      <c r="Y798" s="27"/>
      <c r="Z798" s="27"/>
      <c r="AA798" s="27"/>
      <c r="AB798" s="27"/>
      <c r="AC798" s="27"/>
      <c r="AD798" s="27"/>
      <c r="AE798" s="27"/>
      <c r="AF798" s="27"/>
      <c r="AG798" s="27"/>
      <c r="AH798" s="27"/>
      <c r="AI798" s="27"/>
      <c r="AJ798" s="27"/>
      <c r="AK798" s="27"/>
      <c r="AL798" s="27"/>
      <c r="AM798" s="27"/>
      <c r="AN798" s="27"/>
      <c r="AO798" s="27"/>
      <c r="AP798" s="27"/>
      <c r="AQ798" s="27"/>
      <c r="AR798" s="27"/>
      <c r="AS798" s="27"/>
      <c r="AT798" s="27"/>
      <c r="AU798" s="27"/>
      <c r="AV798" s="27"/>
      <c r="AW798" s="27" t="e">
        <f>((L807*12+#REF!+#REF!+AE743))</f>
        <v>#REF!</v>
      </c>
      <c r="AX798" s="27"/>
      <c r="AY798" s="27"/>
      <c r="AZ798" s="27"/>
      <c r="BA798" s="27"/>
      <c r="BB798" s="27"/>
      <c r="BC798" s="27"/>
      <c r="BD798" s="27"/>
      <c r="BE798" s="27"/>
      <c r="BF798" s="27"/>
      <c r="BG798" s="27"/>
      <c r="BH798" s="27"/>
      <c r="BI798" s="27"/>
      <c r="BJ798" s="27"/>
      <c r="BK798" s="27"/>
      <c r="BL798" s="27"/>
      <c r="BM798" s="27"/>
      <c r="BN798" s="27"/>
      <c r="BO798" s="27"/>
      <c r="BP798" s="27"/>
      <c r="BQ798" s="27"/>
      <c r="BR798" s="27"/>
      <c r="BS798" s="27"/>
      <c r="BT798" s="27"/>
      <c r="BU798" s="27">
        <v>34</v>
      </c>
      <c r="BV798" s="27">
        <v>0.01</v>
      </c>
      <c r="BW798" s="27">
        <v>7044.92</v>
      </c>
      <c r="BX798" s="27">
        <v>6655.36</v>
      </c>
      <c r="BY798" s="27">
        <v>6211.64</v>
      </c>
      <c r="BZ798" s="27">
        <v>5935.71</v>
      </c>
      <c r="CA798" s="27">
        <v>5410.85</v>
      </c>
      <c r="CB798" s="27">
        <v>5410.85</v>
      </c>
      <c r="CC798" s="27">
        <v>4707.3500000000004</v>
      </c>
      <c r="CD798" s="27">
        <v>4409.75</v>
      </c>
      <c r="CE798" s="27">
        <v>4301.53</v>
      </c>
      <c r="CF798" s="27">
        <v>4166.2700000000004</v>
      </c>
      <c r="CG798" s="27">
        <v>5935.71</v>
      </c>
      <c r="CH798" s="27">
        <v>5519.09</v>
      </c>
      <c r="CI798" s="27">
        <v>4707.3500000000004</v>
      </c>
      <c r="CJ798" s="27">
        <v>5811.27</v>
      </c>
      <c r="CK798" s="27">
        <v>5935.71</v>
      </c>
      <c r="CL798" s="27"/>
      <c r="CM798" s="27"/>
      <c r="CN798" s="27"/>
      <c r="CO798" s="27"/>
      <c r="CP798" s="27"/>
      <c r="CQ798" s="27"/>
      <c r="CR798" s="27"/>
      <c r="CS798" s="27"/>
      <c r="CT798" s="27"/>
      <c r="CU798" s="27"/>
      <c r="CV798" s="27"/>
      <c r="CW798" s="27"/>
      <c r="CX798" s="27"/>
      <c r="CY798" s="27"/>
      <c r="CZ798" s="27"/>
      <c r="DA798" s="27"/>
      <c r="DB798" s="27"/>
      <c r="DC798" s="27"/>
      <c r="DD798" s="27"/>
      <c r="DE798" s="27"/>
      <c r="DF798" s="27"/>
      <c r="DG798" s="27"/>
      <c r="DH798" s="27"/>
      <c r="DI798" s="27"/>
      <c r="DJ798" s="27"/>
      <c r="DK798" s="27"/>
      <c r="DL798" s="27"/>
      <c r="DM798" s="27"/>
      <c r="DN798" s="27"/>
      <c r="DO798" s="27"/>
      <c r="DP798" s="27"/>
      <c r="DQ798" s="27"/>
      <c r="DR798" s="27"/>
      <c r="DS798" s="27"/>
      <c r="DT798" s="27"/>
    </row>
    <row r="799" spans="7:124" x14ac:dyDescent="0.2">
      <c r="G799" s="27"/>
      <c r="H799" s="27"/>
      <c r="I799" s="27"/>
      <c r="J799" s="27"/>
      <c r="K799" s="27"/>
      <c r="L799" s="27"/>
      <c r="M799" s="27"/>
      <c r="N799" s="27"/>
      <c r="O799" s="27"/>
      <c r="P799" s="27"/>
      <c r="Q799" s="27"/>
      <c r="R799" s="27"/>
      <c r="S799" s="27"/>
      <c r="T799" s="27"/>
      <c r="U799" s="27"/>
      <c r="V799" s="27"/>
      <c r="W799" s="27"/>
      <c r="X799" s="27"/>
      <c r="Y799" s="27"/>
      <c r="Z799" s="27"/>
      <c r="AA799" s="27"/>
      <c r="AB799" s="27"/>
      <c r="AC799" s="27"/>
      <c r="AD799" s="27"/>
      <c r="AE799" s="27"/>
      <c r="AF799" s="27"/>
      <c r="AG799" s="27"/>
      <c r="AH799" s="27"/>
      <c r="AI799" s="27"/>
      <c r="AJ799" s="27"/>
      <c r="AK799" s="27"/>
      <c r="AL799" s="27"/>
      <c r="AM799" s="27"/>
      <c r="AN799" s="27"/>
      <c r="AO799" s="27"/>
      <c r="AP799" s="27"/>
      <c r="AQ799" s="27"/>
      <c r="AR799" s="27"/>
      <c r="AS799" s="27"/>
      <c r="AT799" s="27" t="s">
        <v>454</v>
      </c>
      <c r="AU799" s="27"/>
      <c r="AV799" s="27"/>
      <c r="AW799" s="27" t="e">
        <f>((L807*12+#REF!+#REF!+AE743)*'[1]נתוני מס'!L27)/12</f>
        <v>#REF!</v>
      </c>
      <c r="AX799" s="27"/>
      <c r="AY799" s="27"/>
      <c r="AZ799" s="27"/>
      <c r="BA799" s="27"/>
      <c r="BB799" s="27"/>
      <c r="BC799" s="27"/>
      <c r="BD799" s="27"/>
      <c r="BE799" s="27"/>
      <c r="BF799" s="27"/>
      <c r="BG799" s="27"/>
      <c r="BH799" s="27"/>
      <c r="BI799" s="27"/>
      <c r="BJ799" s="27"/>
      <c r="BK799" s="27"/>
      <c r="BL799" s="27"/>
      <c r="BM799" s="27"/>
      <c r="BN799" s="27"/>
      <c r="BO799" s="27"/>
      <c r="BP799" s="27"/>
      <c r="BQ799" s="27"/>
      <c r="BR799" s="27"/>
      <c r="BS799" s="27"/>
      <c r="BT799" s="27"/>
      <c r="BU799" s="27"/>
      <c r="BV799" s="27"/>
      <c r="BW799" s="27"/>
      <c r="BX799" s="27"/>
      <c r="BY799" s="27"/>
      <c r="BZ799" s="27"/>
      <c r="CA799" s="27"/>
      <c r="CB799" s="27"/>
      <c r="CC799" s="27"/>
      <c r="CD799" s="27"/>
      <c r="CE799" s="27"/>
      <c r="CF799" s="27"/>
      <c r="CG799" s="27"/>
      <c r="CH799" s="27"/>
      <c r="CI799" s="27"/>
      <c r="CJ799" s="27"/>
      <c r="CK799" s="27"/>
      <c r="CL799" s="27"/>
      <c r="CM799" s="27"/>
      <c r="CN799" s="27"/>
      <c r="CO799" s="27"/>
      <c r="CP799" s="27"/>
      <c r="CQ799" s="27"/>
      <c r="CR799" s="27"/>
      <c r="CS799" s="27"/>
      <c r="CT799" s="27"/>
      <c r="CU799" s="27"/>
      <c r="CV799" s="27"/>
      <c r="CW799" s="27"/>
      <c r="CX799" s="27"/>
      <c r="CY799" s="27"/>
      <c r="CZ799" s="27"/>
      <c r="DA799" s="27"/>
      <c r="DB799" s="27"/>
      <c r="DC799" s="27"/>
      <c r="DD799" s="27"/>
      <c r="DE799" s="27"/>
      <c r="DF799" s="27"/>
      <c r="DG799" s="27"/>
      <c r="DH799" s="27"/>
      <c r="DI799" s="27"/>
      <c r="DJ799" s="27"/>
      <c r="DK799" s="27"/>
      <c r="DL799" s="27"/>
      <c r="DM799" s="27"/>
      <c r="DN799" s="27"/>
      <c r="DO799" s="27"/>
      <c r="DP799" s="27"/>
      <c r="DQ799" s="27"/>
      <c r="DR799" s="27"/>
      <c r="DS799" s="27"/>
      <c r="DT799" s="27"/>
    </row>
    <row r="800" spans="7:124" x14ac:dyDescent="0.2">
      <c r="G800" s="27"/>
      <c r="H800" s="27"/>
      <c r="I800" s="27"/>
      <c r="J800" s="27"/>
      <c r="K800" s="27"/>
      <c r="L800" s="27"/>
      <c r="M800" s="27"/>
      <c r="N800" s="27"/>
      <c r="O800" s="27"/>
      <c r="P800" s="27"/>
      <c r="Q800" s="27"/>
      <c r="R800" s="27">
        <f>L807</f>
        <v>14401.146916299316</v>
      </c>
      <c r="S800" s="27"/>
      <c r="T800" s="27"/>
      <c r="U800" s="27"/>
      <c r="V800" s="27"/>
      <c r="W800" s="27"/>
      <c r="X800" s="27"/>
      <c r="Y800" s="27"/>
      <c r="Z800" s="27"/>
      <c r="AA800" s="27"/>
      <c r="AB800" s="27"/>
      <c r="AC800" s="27"/>
      <c r="AD800" s="27"/>
      <c r="AE800" s="27"/>
      <c r="AF800" s="27" t="s">
        <v>59</v>
      </c>
      <c r="AG800" s="27"/>
      <c r="AH800" s="27"/>
      <c r="AI800" s="27"/>
      <c r="AJ800" s="27"/>
      <c r="AK800" s="27"/>
      <c r="AL800" s="27"/>
      <c r="AM800" s="27"/>
      <c r="AN800" s="27"/>
      <c r="AO800" s="27"/>
      <c r="AP800" s="27"/>
      <c r="AQ800" s="27"/>
      <c r="AR800" s="27"/>
      <c r="AS800" s="27"/>
      <c r="AT800" s="27" t="s">
        <v>455</v>
      </c>
      <c r="AU800" s="27"/>
      <c r="AV800" s="27"/>
      <c r="AW800" s="27" t="e">
        <f>IF(AX800&gt;'[1]נתוני מס'!L28*'[1]נתוני מס'!M28,'[1]נתוני מס'!L28*'[1]נתוני מס'!M28,AX800)</f>
        <v>#REF!</v>
      </c>
      <c r="AX800" s="27" t="e">
        <f>((BB787-(L807*AE740*12+AE743+#REF!+#REF!))*'[1]נתוני מס'!L28)/12</f>
        <v>#REF!</v>
      </c>
      <c r="AY800" s="27"/>
      <c r="AZ800" s="27"/>
      <c r="BA800" s="27"/>
      <c r="BB800" s="27"/>
      <c r="BC800" s="27" t="s">
        <v>456</v>
      </c>
      <c r="BD800" s="27"/>
      <c r="BE800" s="27"/>
      <c r="BF800" s="27"/>
      <c r="BG800" s="27"/>
      <c r="BH800" s="27"/>
      <c r="BI800" s="27"/>
      <c r="BJ800" s="27"/>
      <c r="BK800" s="27"/>
      <c r="BL800" s="27"/>
      <c r="BM800" s="27"/>
      <c r="BN800" s="27"/>
      <c r="BO800" s="27"/>
      <c r="BP800" s="27"/>
      <c r="BQ800" s="27"/>
      <c r="BR800" s="27"/>
      <c r="BS800" s="27"/>
      <c r="BT800" s="27"/>
      <c r="BU800" s="27">
        <v>35</v>
      </c>
      <c r="BV800" s="27">
        <v>0.01</v>
      </c>
      <c r="BW800" s="27">
        <v>7115.36</v>
      </c>
      <c r="BX800" s="27">
        <v>6721.91</v>
      </c>
      <c r="BY800" s="27">
        <v>6273.75</v>
      </c>
      <c r="BZ800" s="27">
        <v>5995.06</v>
      </c>
      <c r="CA800" s="27">
        <v>5464.95</v>
      </c>
      <c r="CB800" s="27">
        <v>5464.95</v>
      </c>
      <c r="CC800" s="27">
        <v>4754.42</v>
      </c>
      <c r="CD800" s="27">
        <v>4453.84</v>
      </c>
      <c r="CE800" s="27">
        <v>4344.54</v>
      </c>
      <c r="CF800" s="27">
        <v>4207.93</v>
      </c>
      <c r="CG800" s="27">
        <v>5995.06</v>
      </c>
      <c r="CH800" s="27">
        <v>5574.28</v>
      </c>
      <c r="CI800" s="27">
        <v>4754.42</v>
      </c>
      <c r="CJ800" s="27">
        <v>5869.38</v>
      </c>
      <c r="CK800" s="27">
        <v>5995.06</v>
      </c>
      <c r="CL800" s="27"/>
      <c r="CM800" s="27"/>
      <c r="CN800" s="27"/>
      <c r="CO800" s="27"/>
      <c r="CP800" s="27"/>
      <c r="CQ800" s="27"/>
      <c r="CR800" s="27"/>
      <c r="CS800" s="27"/>
      <c r="CT800" s="27"/>
      <c r="CU800" s="27"/>
      <c r="CV800" s="27"/>
      <c r="CW800" s="27"/>
      <c r="CX800" s="27"/>
      <c r="CY800" s="27"/>
      <c r="CZ800" s="27"/>
      <c r="DA800" s="27"/>
      <c r="DB800" s="27"/>
      <c r="DC800" s="27"/>
      <c r="DD800" s="27"/>
      <c r="DE800" s="27"/>
      <c r="DF800" s="27"/>
      <c r="DG800" s="27"/>
      <c r="DH800" s="27"/>
      <c r="DI800" s="27"/>
      <c r="DJ800" s="27"/>
      <c r="DK800" s="27"/>
      <c r="DL800" s="27"/>
      <c r="DM800" s="27"/>
      <c r="DN800" s="27"/>
      <c r="DO800" s="27"/>
      <c r="DP800" s="27"/>
      <c r="DQ800" s="27"/>
      <c r="DR800" s="27"/>
      <c r="DS800" s="27"/>
      <c r="DT800" s="27"/>
    </row>
    <row r="801" spans="7:124" x14ac:dyDescent="0.2">
      <c r="G801" s="27"/>
      <c r="H801" s="27"/>
      <c r="I801" s="27"/>
      <c r="J801" s="27"/>
      <c r="K801" s="27"/>
      <c r="L801" s="27"/>
      <c r="M801" s="27"/>
      <c r="N801" s="27"/>
      <c r="O801" s="27"/>
      <c r="P801" s="27"/>
      <c r="Q801" s="27"/>
      <c r="R801" s="27"/>
      <c r="S801" s="27"/>
      <c r="T801" s="27"/>
      <c r="U801" s="27"/>
      <c r="V801" s="27"/>
      <c r="W801" s="27"/>
      <c r="X801" s="27"/>
      <c r="Y801" s="27"/>
      <c r="Z801" s="27"/>
      <c r="AA801" s="27"/>
      <c r="AB801" s="27"/>
      <c r="AC801" s="27"/>
      <c r="AD801" s="27"/>
      <c r="AE801" s="27"/>
      <c r="AF801" s="27"/>
      <c r="AG801" s="27"/>
      <c r="AH801" s="27"/>
      <c r="AI801" s="27"/>
      <c r="AJ801" s="27"/>
      <c r="AK801" s="27"/>
      <c r="AL801" s="27"/>
      <c r="AM801" s="27"/>
      <c r="AN801" s="27"/>
      <c r="AO801" s="27"/>
      <c r="AP801" s="27"/>
      <c r="AQ801" s="27"/>
      <c r="AR801" s="27"/>
      <c r="AS801" s="27"/>
      <c r="AT801" s="27"/>
      <c r="AU801" s="27"/>
      <c r="AV801" s="27"/>
      <c r="AW801" s="27" t="s">
        <v>457</v>
      </c>
      <c r="AX801" s="27"/>
      <c r="AY801" s="27"/>
      <c r="AZ801" s="27"/>
      <c r="BA801" s="27"/>
      <c r="BB801" s="27"/>
      <c r="BC801" s="27" t="s">
        <v>27</v>
      </c>
      <c r="BD801" s="27">
        <v>0</v>
      </c>
      <c r="BE801" s="27">
        <v>0</v>
      </c>
      <c r="BF801" s="27"/>
      <c r="BG801" s="27"/>
      <c r="BH801" s="27"/>
      <c r="BI801" s="27"/>
      <c r="BJ801" s="27"/>
      <c r="BK801" s="27"/>
      <c r="BL801" s="27"/>
      <c r="BM801" s="27"/>
      <c r="BN801" s="27"/>
      <c r="BO801" s="27"/>
      <c r="BP801" s="27"/>
      <c r="BQ801" s="27"/>
      <c r="BR801" s="27" t="s">
        <v>59</v>
      </c>
      <c r="BS801" s="27"/>
      <c r="BT801" s="27"/>
      <c r="BU801" s="27"/>
      <c r="BV801" s="27"/>
      <c r="BW801" s="27"/>
      <c r="BX801" s="27"/>
      <c r="BY801" s="27"/>
      <c r="BZ801" s="27"/>
      <c r="CA801" s="27"/>
      <c r="CB801" s="27"/>
      <c r="CC801" s="27"/>
      <c r="CD801" s="27"/>
      <c r="CE801" s="27"/>
      <c r="CF801" s="27"/>
      <c r="CG801" s="27"/>
      <c r="CH801" s="27"/>
      <c r="CI801" s="27"/>
      <c r="CJ801" s="27"/>
      <c r="CK801" s="27"/>
      <c r="CL801" s="27"/>
      <c r="CM801" s="27"/>
      <c r="CN801" s="27"/>
      <c r="CO801" s="27"/>
      <c r="CP801" s="27"/>
      <c r="CQ801" s="27"/>
      <c r="CR801" s="27"/>
      <c r="CS801" s="27"/>
      <c r="CT801" s="27"/>
      <c r="CU801" s="27"/>
      <c r="CV801" s="27"/>
      <c r="CW801" s="27"/>
      <c r="CX801" s="27"/>
      <c r="CY801" s="27"/>
      <c r="CZ801" s="27"/>
      <c r="DA801" s="27"/>
      <c r="DB801" s="27"/>
      <c r="DC801" s="27"/>
      <c r="DD801" s="27"/>
      <c r="DE801" s="27"/>
      <c r="DF801" s="27"/>
      <c r="DG801" s="27"/>
      <c r="DH801" s="27"/>
      <c r="DI801" s="27"/>
      <c r="DJ801" s="27"/>
      <c r="DK801" s="27"/>
      <c r="DL801" s="27"/>
      <c r="DM801" s="27"/>
      <c r="DN801" s="27"/>
      <c r="DO801" s="27"/>
      <c r="DP801" s="27"/>
      <c r="DQ801" s="27"/>
      <c r="DR801" s="27"/>
      <c r="DS801" s="27"/>
      <c r="DT801" s="27"/>
    </row>
    <row r="802" spans="7:124" x14ac:dyDescent="0.2">
      <c r="G802" s="27"/>
      <c r="H802" s="27"/>
      <c r="I802" s="27"/>
      <c r="J802" s="27"/>
      <c r="K802" s="27"/>
      <c r="L802" s="27"/>
      <c r="M802" s="27"/>
      <c r="N802" s="27"/>
      <c r="O802" s="27"/>
      <c r="P802" s="27"/>
      <c r="Q802" s="27"/>
      <c r="R802" s="27"/>
      <c r="S802" s="27"/>
      <c r="T802" s="27"/>
      <c r="U802" s="27"/>
      <c r="V802" s="27"/>
      <c r="W802" s="27"/>
      <c r="X802" s="27"/>
      <c r="Y802" s="27"/>
      <c r="Z802" s="27"/>
      <c r="AA802" s="27"/>
      <c r="AB802" s="27"/>
      <c r="AC802" s="27"/>
      <c r="AD802" s="27"/>
      <c r="AE802" s="27"/>
      <c r="AF802" s="27"/>
      <c r="AG802" s="27"/>
      <c r="AH802" s="27"/>
      <c r="AI802" s="27"/>
      <c r="AJ802" s="27"/>
      <c r="AK802" s="27"/>
      <c r="AL802" s="27"/>
      <c r="AM802" s="27"/>
      <c r="AN802" s="27"/>
      <c r="AO802" s="27"/>
      <c r="AP802" s="27"/>
      <c r="AQ802" s="27"/>
      <c r="AR802" s="27"/>
      <c r="AS802" s="27"/>
      <c r="AT802" s="27"/>
      <c r="AU802" s="27"/>
      <c r="AV802" s="27"/>
      <c r="AW802" s="27"/>
      <c r="AX802" s="27"/>
      <c r="AY802" s="27"/>
      <c r="AZ802" s="27"/>
      <c r="BA802" s="27"/>
      <c r="BB802" s="27"/>
      <c r="BC802" s="27" t="s">
        <v>458</v>
      </c>
      <c r="BD802" s="27">
        <f>'[1]נתוני מס'!B17</f>
        <v>0.13</v>
      </c>
      <c r="BE802" s="27">
        <f>'[1]נתוני מס'!C17</f>
        <v>227640</v>
      </c>
      <c r="BF802" s="27"/>
      <c r="BG802" s="27"/>
      <c r="BH802" s="27"/>
      <c r="BI802" s="27"/>
      <c r="BJ802" s="27"/>
      <c r="BK802" s="27"/>
      <c r="BL802" s="27"/>
      <c r="BM802" s="27"/>
      <c r="BN802" s="27"/>
      <c r="BO802" s="27"/>
      <c r="BP802" s="27"/>
      <c r="BQ802" s="27"/>
      <c r="BR802" s="27"/>
      <c r="BS802" s="27"/>
      <c r="BT802" s="27"/>
      <c r="BU802" s="27">
        <v>36</v>
      </c>
      <c r="BV802" s="27">
        <v>0.01</v>
      </c>
      <c r="BW802" s="27">
        <v>7186.51</v>
      </c>
      <c r="BX802" s="27">
        <v>6789.12</v>
      </c>
      <c r="BY802" s="27">
        <v>6336.48</v>
      </c>
      <c r="BZ802" s="27">
        <v>6055.01</v>
      </c>
      <c r="CA802" s="27">
        <v>5519.59</v>
      </c>
      <c r="CB802" s="27">
        <v>5519.59</v>
      </c>
      <c r="CC802" s="27">
        <v>4801.96</v>
      </c>
      <c r="CD802" s="27">
        <v>4498.37</v>
      </c>
      <c r="CE802" s="27">
        <v>4387.9799999999996</v>
      </c>
      <c r="CF802" s="27">
        <v>4250</v>
      </c>
      <c r="CG802" s="27">
        <v>6055.01</v>
      </c>
      <c r="CH802" s="27">
        <v>5630.02</v>
      </c>
      <c r="CI802" s="27">
        <v>4801.96</v>
      </c>
      <c r="CJ802" s="27">
        <v>5928.07</v>
      </c>
      <c r="CK802" s="27">
        <v>6055.01</v>
      </c>
      <c r="CL802" s="27"/>
      <c r="CM802" s="27"/>
      <c r="CN802" s="27"/>
      <c r="CO802" s="27"/>
      <c r="CP802" s="27"/>
      <c r="CQ802" s="27"/>
      <c r="CR802" s="27"/>
      <c r="CS802" s="27"/>
      <c r="CT802" s="27"/>
      <c r="CU802" s="27"/>
      <c r="CV802" s="27"/>
      <c r="CW802" s="27"/>
      <c r="CX802" s="27"/>
      <c r="CY802" s="27"/>
      <c r="CZ802" s="27"/>
      <c r="DA802" s="27"/>
      <c r="DB802" s="27"/>
      <c r="DC802" s="27"/>
      <c r="DD802" s="27"/>
      <c r="DE802" s="27"/>
      <c r="DF802" s="27"/>
      <c r="DG802" s="27"/>
      <c r="DH802" s="27"/>
      <c r="DI802" s="27"/>
      <c r="DJ802" s="27"/>
      <c r="DK802" s="27"/>
      <c r="DL802" s="27"/>
      <c r="DM802" s="27"/>
      <c r="DN802" s="27"/>
      <c r="DO802" s="27"/>
      <c r="DP802" s="27"/>
      <c r="DQ802" s="27"/>
      <c r="DR802" s="27"/>
      <c r="DS802" s="27"/>
      <c r="DT802" s="27"/>
    </row>
    <row r="803" spans="7:124" x14ac:dyDescent="0.2">
      <c r="G803" s="27"/>
      <c r="H803" s="27"/>
      <c r="I803" s="27"/>
      <c r="J803" s="27"/>
      <c r="K803" s="27" t="str">
        <f>BA780</f>
        <v>ותק הדרכה לגמול פיקוח/הדרכה</v>
      </c>
      <c r="L803" s="27">
        <f>W719*L784</f>
        <v>0</v>
      </c>
      <c r="M803" s="27"/>
      <c r="N803" s="27"/>
      <c r="O803" s="27"/>
      <c r="P803" s="27"/>
      <c r="Q803" s="27"/>
      <c r="R803" s="27"/>
      <c r="S803" s="27"/>
      <c r="T803" s="27"/>
      <c r="U803" s="27"/>
      <c r="V803" s="27"/>
      <c r="W803" s="27"/>
      <c r="X803" s="27"/>
      <c r="Y803" s="27"/>
      <c r="Z803" s="27"/>
      <c r="AA803" s="27"/>
      <c r="AB803" s="27"/>
      <c r="AC803" s="27"/>
      <c r="AD803" s="27"/>
      <c r="AE803" s="27"/>
      <c r="AF803" s="27"/>
      <c r="AG803" s="27"/>
      <c r="AH803" s="27"/>
      <c r="AI803" s="27"/>
      <c r="AJ803" s="27"/>
      <c r="AK803" s="27"/>
      <c r="AL803" s="27"/>
      <c r="AM803" s="27"/>
      <c r="AN803" s="27"/>
      <c r="AO803" s="27"/>
      <c r="AP803" s="27"/>
      <c r="AQ803" s="27"/>
      <c r="AR803" s="27"/>
      <c r="AS803" s="27"/>
      <c r="AT803" s="27"/>
      <c r="AU803" s="27"/>
      <c r="AV803" s="27"/>
      <c r="AW803" s="27"/>
      <c r="AX803" s="27"/>
      <c r="AY803" s="27"/>
      <c r="AZ803" s="27"/>
      <c r="BA803" s="27"/>
      <c r="BB803" s="27"/>
      <c r="BC803" s="27" t="s">
        <v>459</v>
      </c>
      <c r="BD803" s="27">
        <f>'[1]נתוני מס'!B18</f>
        <v>0.25</v>
      </c>
      <c r="BE803" s="27">
        <f>'[1]נתוני מס'!C18</f>
        <v>227640</v>
      </c>
      <c r="BF803" s="27"/>
      <c r="BG803" s="27"/>
      <c r="BH803" s="27"/>
      <c r="BI803" s="27"/>
      <c r="BJ803" s="27"/>
      <c r="BK803" s="27"/>
      <c r="BL803" s="27"/>
      <c r="BM803" s="27"/>
      <c r="BN803" s="27"/>
      <c r="BO803" s="27"/>
      <c r="BP803" s="27"/>
      <c r="BQ803" s="27"/>
      <c r="BR803" s="27"/>
      <c r="BS803" s="27"/>
      <c r="BT803" s="27"/>
      <c r="BU803" s="27"/>
      <c r="BV803" s="27"/>
      <c r="BW803" s="27"/>
      <c r="BX803" s="27"/>
      <c r="BY803" s="27"/>
      <c r="BZ803" s="27"/>
      <c r="CA803" s="27"/>
      <c r="CB803" s="27"/>
      <c r="CC803" s="27"/>
      <c r="CD803" s="27"/>
      <c r="CE803" s="27"/>
      <c r="CF803" s="27"/>
      <c r="CG803" s="27"/>
      <c r="CH803" s="27"/>
      <c r="CI803" s="27"/>
      <c r="CJ803" s="27"/>
      <c r="CK803" s="27"/>
      <c r="CL803" s="27"/>
      <c r="CM803" s="27"/>
      <c r="CN803" s="27"/>
      <c r="CO803" s="27"/>
      <c r="CP803" s="27"/>
      <c r="CQ803" s="27"/>
      <c r="CR803" s="27"/>
      <c r="CS803" s="27"/>
      <c r="CT803" s="27"/>
      <c r="CU803" s="27"/>
      <c r="CV803" s="27"/>
      <c r="CW803" s="27"/>
      <c r="CX803" s="27"/>
      <c r="CY803" s="27"/>
      <c r="CZ803" s="27"/>
      <c r="DA803" s="27"/>
      <c r="DB803" s="27"/>
      <c r="DC803" s="27"/>
      <c r="DD803" s="27"/>
      <c r="DE803" s="27"/>
      <c r="DF803" s="27"/>
      <c r="DG803" s="27"/>
      <c r="DH803" s="27"/>
      <c r="DI803" s="27"/>
      <c r="DJ803" s="27"/>
      <c r="DK803" s="27"/>
      <c r="DL803" s="27"/>
      <c r="DM803" s="27"/>
      <c r="DN803" s="27"/>
      <c r="DO803" s="27"/>
      <c r="DP803" s="27"/>
      <c r="DQ803" s="27"/>
      <c r="DR803" s="27"/>
      <c r="DS803" s="27"/>
      <c r="DT803" s="27"/>
    </row>
    <row r="804" spans="7:124" x14ac:dyDescent="0.2">
      <c r="G804" s="27"/>
      <c r="H804" s="27"/>
      <c r="I804" s="27"/>
      <c r="J804" s="27"/>
      <c r="K804" s="27" t="str">
        <f>V739</f>
        <v>תוספת סמינרים  12%</v>
      </c>
      <c r="L804" s="27">
        <f>SUM(L784:L787)*W739</f>
        <v>0</v>
      </c>
      <c r="M804" s="27"/>
      <c r="N804" s="27"/>
      <c r="O804" s="27"/>
      <c r="P804" s="27"/>
      <c r="Q804" s="27"/>
      <c r="R804" s="27"/>
      <c r="S804" s="27"/>
      <c r="T804" s="27"/>
      <c r="U804" s="27"/>
      <c r="V804" s="27"/>
      <c r="W804" s="27"/>
      <c r="X804" s="27"/>
      <c r="Y804" s="27"/>
      <c r="Z804" s="27"/>
      <c r="AA804" s="27"/>
      <c r="AB804" s="27"/>
      <c r="AC804" s="27"/>
      <c r="AD804" s="27"/>
      <c r="AE804" s="27"/>
      <c r="AF804" s="27"/>
      <c r="AG804" s="27"/>
      <c r="AH804" s="27"/>
      <c r="AI804" s="27"/>
      <c r="AJ804" s="27"/>
      <c r="AK804" s="27"/>
      <c r="AL804" s="27"/>
      <c r="AM804" s="27"/>
      <c r="AN804" s="27"/>
      <c r="AO804" s="27"/>
      <c r="AP804" s="27"/>
      <c r="AQ804" s="27"/>
      <c r="AR804" s="27"/>
      <c r="AS804" s="27"/>
      <c r="AT804" s="27"/>
      <c r="AU804" s="27"/>
      <c r="AV804" s="27"/>
      <c r="AW804" s="27"/>
      <c r="AX804" s="27"/>
      <c r="AY804" s="27"/>
      <c r="AZ804" s="27"/>
      <c r="BA804" s="27"/>
      <c r="BB804" s="27"/>
      <c r="BC804" s="27" t="s">
        <v>460</v>
      </c>
      <c r="BD804" s="27">
        <f>'[1]נתוני מס'!B19</f>
        <v>0.2</v>
      </c>
      <c r="BE804" s="27">
        <f>'[1]נתוני מס'!C19</f>
        <v>227640</v>
      </c>
      <c r="BF804" s="27"/>
      <c r="BG804" s="27"/>
      <c r="BH804" s="27"/>
      <c r="BI804" s="27"/>
      <c r="BJ804" s="27"/>
      <c r="BK804" s="27"/>
      <c r="BL804" s="27"/>
      <c r="BM804" s="27"/>
      <c r="BN804" s="27"/>
      <c r="BO804" s="27"/>
      <c r="BP804" s="27"/>
      <c r="BQ804" s="27"/>
      <c r="BR804" s="27"/>
      <c r="BS804" s="27"/>
      <c r="BT804" s="27"/>
      <c r="BU804" s="27"/>
      <c r="BV804" s="27"/>
      <c r="BW804" s="27"/>
      <c r="BX804" s="27"/>
      <c r="BY804" s="27"/>
      <c r="BZ804" s="27"/>
      <c r="CA804" s="27"/>
      <c r="CB804" s="27"/>
      <c r="CC804" s="27"/>
      <c r="CD804" s="27"/>
      <c r="CE804" s="27"/>
      <c r="CF804" s="27"/>
      <c r="CG804" s="27"/>
      <c r="CH804" s="27"/>
      <c r="CI804" s="27"/>
      <c r="CJ804" s="27"/>
      <c r="CK804" s="27"/>
      <c r="CL804" s="27"/>
      <c r="CM804" s="27"/>
      <c r="CN804" s="27"/>
      <c r="CO804" s="27"/>
      <c r="CP804" s="27"/>
      <c r="CQ804" s="27"/>
      <c r="CR804" s="27"/>
      <c r="CS804" s="27"/>
      <c r="CT804" s="27"/>
      <c r="CU804" s="27"/>
      <c r="CV804" s="27"/>
      <c r="CW804" s="27"/>
      <c r="CX804" s="27"/>
      <c r="CY804" s="27"/>
      <c r="CZ804" s="27"/>
      <c r="DA804" s="27"/>
      <c r="DB804" s="27"/>
      <c r="DC804" s="27"/>
      <c r="DD804" s="27"/>
      <c r="DE804" s="27"/>
      <c r="DF804" s="27"/>
      <c r="DG804" s="27"/>
      <c r="DH804" s="27"/>
      <c r="DI804" s="27"/>
      <c r="DJ804" s="27"/>
      <c r="DK804" s="27"/>
      <c r="DL804" s="27"/>
      <c r="DM804" s="27"/>
      <c r="DN804" s="27"/>
      <c r="DO804" s="27"/>
      <c r="DP804" s="27"/>
      <c r="DQ804" s="27"/>
      <c r="DR804" s="27"/>
      <c r="DS804" s="27"/>
      <c r="DT804" s="27"/>
    </row>
    <row r="805" spans="7:124" x14ac:dyDescent="0.2">
      <c r="G805" s="27"/>
      <c r="H805" s="27"/>
      <c r="I805" s="27"/>
      <c r="J805" s="27"/>
      <c r="K805" s="27"/>
      <c r="L805" s="27">
        <f>L779*BB782</f>
        <v>0</v>
      </c>
      <c r="M805" s="27"/>
      <c r="N805" s="27"/>
      <c r="O805" s="27"/>
      <c r="P805" s="27" t="s">
        <v>59</v>
      </c>
      <c r="Q805" s="27"/>
      <c r="R805" s="27"/>
      <c r="S805" s="27"/>
      <c r="T805" s="27"/>
      <c r="U805" s="27"/>
      <c r="V805" s="27"/>
      <c r="W805" s="27"/>
      <c r="X805" s="27"/>
      <c r="Y805" s="27"/>
      <c r="Z805" s="27"/>
      <c r="AA805" s="27"/>
      <c r="AB805" s="27"/>
      <c r="AC805" s="27"/>
      <c r="AD805" s="27"/>
      <c r="AE805" s="27"/>
      <c r="AF805" s="27"/>
      <c r="AG805" s="27"/>
      <c r="AH805" s="27"/>
      <c r="AI805" s="27"/>
      <c r="AJ805" s="27"/>
      <c r="AK805" s="27"/>
      <c r="AL805" s="27"/>
      <c r="AM805" s="27"/>
      <c r="AN805" s="27"/>
      <c r="AO805" s="27"/>
      <c r="AP805" s="27"/>
      <c r="AQ805" s="27"/>
      <c r="AR805" s="27"/>
      <c r="AS805" s="27"/>
      <c r="AT805" s="27"/>
      <c r="AU805" s="27"/>
      <c r="AV805" s="27"/>
      <c r="AW805" s="27"/>
      <c r="AX805" s="27"/>
      <c r="AY805" s="27"/>
      <c r="AZ805" s="27"/>
      <c r="BA805" s="27"/>
      <c r="BB805" s="27"/>
      <c r="BC805" s="27" t="s">
        <v>461</v>
      </c>
      <c r="BD805" s="27">
        <f>'[1]נתוני מס'!B20</f>
        <v>0.16</v>
      </c>
      <c r="BE805" s="27">
        <f>'[1]נתוני מס'!C20</f>
        <v>151680</v>
      </c>
      <c r="BF805" s="27"/>
      <c r="BG805" s="27"/>
      <c r="BH805" s="27"/>
      <c r="BI805" s="27"/>
      <c r="BJ805" s="27"/>
      <c r="BK805" s="27"/>
      <c r="BL805" s="27"/>
      <c r="BM805" s="27"/>
      <c r="BN805" s="27"/>
      <c r="BO805" s="27"/>
      <c r="BP805" s="27"/>
      <c r="BQ805" s="27"/>
      <c r="BR805" s="27"/>
      <c r="BS805" s="27"/>
      <c r="BT805" s="27"/>
      <c r="BU805" s="27"/>
      <c r="BV805" s="27"/>
      <c r="BW805" s="27"/>
      <c r="BX805" s="27"/>
      <c r="BY805" s="27"/>
      <c r="BZ805" s="27"/>
      <c r="CA805" s="27"/>
      <c r="CB805" s="27"/>
      <c r="CC805" s="27"/>
      <c r="CD805" s="27"/>
      <c r="CE805" s="27"/>
      <c r="CF805" s="27"/>
      <c r="CG805" s="27"/>
      <c r="CH805" s="27"/>
      <c r="CI805" s="27"/>
      <c r="CJ805" s="27"/>
      <c r="CK805" s="27"/>
      <c r="CL805" s="27"/>
      <c r="CM805" s="27"/>
      <c r="CN805" s="27"/>
      <c r="CO805" s="27"/>
      <c r="CP805" s="27"/>
      <c r="CQ805" s="27"/>
      <c r="CR805" s="27"/>
      <c r="CS805" s="27"/>
      <c r="CT805" s="27"/>
      <c r="CU805" s="27"/>
      <c r="CV805" s="27"/>
      <c r="CW805" s="27"/>
      <c r="CX805" s="27"/>
      <c r="CY805" s="27"/>
      <c r="CZ805" s="27"/>
      <c r="DA805" s="27"/>
      <c r="DB805" s="27"/>
      <c r="DC805" s="27"/>
      <c r="DD805" s="27"/>
      <c r="DE805" s="27"/>
      <c r="DF805" s="27"/>
      <c r="DG805" s="27"/>
      <c r="DH805" s="27"/>
      <c r="DI805" s="27"/>
      <c r="DJ805" s="27"/>
      <c r="DK805" s="27"/>
      <c r="DL805" s="27"/>
      <c r="DM805" s="27"/>
      <c r="DN805" s="27"/>
      <c r="DO805" s="27"/>
      <c r="DP805" s="27"/>
      <c r="DQ805" s="27"/>
      <c r="DR805" s="27"/>
      <c r="DS805" s="27"/>
      <c r="DT805" s="27"/>
    </row>
    <row r="806" spans="7:124" x14ac:dyDescent="0.2">
      <c r="G806" s="27"/>
      <c r="H806" s="27"/>
      <c r="I806" s="27"/>
      <c r="J806" s="27"/>
      <c r="K806" s="27" t="str">
        <f>BA783</f>
        <v>תוספת ערבה</v>
      </c>
      <c r="L806" s="27">
        <f>BB783</f>
        <v>0</v>
      </c>
      <c r="M806" s="27"/>
      <c r="N806" s="27"/>
      <c r="O806" s="27"/>
      <c r="P806" s="27"/>
      <c r="Q806" s="27"/>
      <c r="R806" s="27"/>
      <c r="S806" s="27"/>
      <c r="T806" s="27"/>
      <c r="U806" s="27"/>
      <c r="V806" s="27"/>
      <c r="W806" s="27"/>
      <c r="X806" s="27"/>
      <c r="Y806" s="27"/>
      <c r="Z806" s="27"/>
      <c r="AA806" s="27"/>
      <c r="AB806" s="27"/>
      <c r="AC806" s="27"/>
      <c r="AD806" s="27"/>
      <c r="AE806" s="27"/>
      <c r="AF806" s="27"/>
      <c r="AG806" s="27"/>
      <c r="AH806" s="27"/>
      <c r="AI806" s="27"/>
      <c r="AJ806" s="27"/>
      <c r="AK806" s="27"/>
      <c r="AL806" s="27"/>
      <c r="AM806" s="27"/>
      <c r="AN806" s="27"/>
      <c r="AO806" s="27"/>
      <c r="AP806" s="27"/>
      <c r="AQ806" s="27"/>
      <c r="AR806" s="27"/>
      <c r="AS806" s="27"/>
      <c r="AT806" s="27"/>
      <c r="AU806" s="27"/>
      <c r="AV806" s="27"/>
      <c r="AW806" s="27"/>
      <c r="AX806" s="27"/>
      <c r="AY806" s="27"/>
      <c r="AZ806" s="27"/>
      <c r="BA806" s="27"/>
      <c r="BB806" s="27"/>
      <c r="BC806" s="27" t="s">
        <v>462</v>
      </c>
      <c r="BD806" s="27">
        <f>'[1]נתוני מס'!B21</f>
        <v>0.25</v>
      </c>
      <c r="BE806" s="27">
        <f>'[1]נתוני מס'!C21</f>
        <v>151680</v>
      </c>
      <c r="BF806" s="27"/>
      <c r="BG806" s="27"/>
      <c r="BH806" s="27"/>
      <c r="BI806" s="27"/>
      <c r="BJ806" s="27"/>
      <c r="BK806" s="27"/>
      <c r="BL806" s="27"/>
      <c r="BM806" s="27"/>
      <c r="BN806" s="27"/>
      <c r="BO806" s="27"/>
      <c r="BP806" s="27"/>
      <c r="BQ806" s="27"/>
      <c r="BR806" s="27"/>
      <c r="BS806" s="27"/>
      <c r="BT806" s="27"/>
      <c r="BU806" s="27"/>
      <c r="BV806" s="27"/>
      <c r="BW806" s="27"/>
      <c r="BX806" s="27"/>
      <c r="BY806" s="27"/>
      <c r="BZ806" s="27"/>
      <c r="CA806" s="27"/>
      <c r="CB806" s="27"/>
      <c r="CC806" s="27"/>
      <c r="CD806" s="27"/>
      <c r="CE806" s="27"/>
      <c r="CF806" s="27"/>
      <c r="CG806" s="27"/>
      <c r="CH806" s="27"/>
      <c r="CI806" s="27"/>
      <c r="CJ806" s="27"/>
      <c r="CK806" s="27"/>
      <c r="CL806" s="27"/>
      <c r="CM806" s="27"/>
      <c r="CN806" s="27"/>
      <c r="CO806" s="27"/>
      <c r="CP806" s="27"/>
      <c r="CQ806" s="27"/>
      <c r="CR806" s="27"/>
      <c r="CS806" s="27"/>
      <c r="CT806" s="27"/>
      <c r="CU806" s="27"/>
      <c r="CV806" s="27"/>
      <c r="CW806" s="27"/>
      <c r="CX806" s="27"/>
      <c r="CY806" s="27"/>
      <c r="CZ806" s="27"/>
      <c r="DA806" s="27"/>
      <c r="DB806" s="27"/>
      <c r="DC806" s="27"/>
      <c r="DD806" s="27"/>
      <c r="DE806" s="27"/>
      <c r="DF806" s="27"/>
      <c r="DG806" s="27"/>
      <c r="DH806" s="27"/>
      <c r="DI806" s="27"/>
      <c r="DJ806" s="27"/>
      <c r="DK806" s="27"/>
      <c r="DL806" s="27"/>
      <c r="DM806" s="27"/>
      <c r="DN806" s="27"/>
      <c r="DO806" s="27"/>
      <c r="DP806" s="27"/>
      <c r="DQ806" s="27"/>
      <c r="DR806" s="27"/>
      <c r="DS806" s="27"/>
      <c r="DT806" s="27"/>
    </row>
    <row r="807" spans="7:124" x14ac:dyDescent="0.2">
      <c r="G807" s="27"/>
      <c r="H807" s="27"/>
      <c r="I807" s="27"/>
      <c r="J807" s="27"/>
      <c r="K807" s="27" t="s">
        <v>579</v>
      </c>
      <c r="L807" s="27">
        <f>SUM(L784:L806)</f>
        <v>14401.146916299316</v>
      </c>
      <c r="M807" s="27"/>
      <c r="N807" s="27"/>
      <c r="O807" s="27"/>
      <c r="P807" s="27"/>
      <c r="Q807" s="27"/>
      <c r="R807" s="27"/>
      <c r="S807" s="27"/>
      <c r="T807" s="27"/>
      <c r="U807" s="27"/>
      <c r="V807" s="27"/>
      <c r="W807" s="27"/>
      <c r="X807" s="27"/>
      <c r="Y807" s="27"/>
      <c r="Z807" s="27"/>
      <c r="AA807" s="27"/>
      <c r="AB807" s="27"/>
      <c r="AC807" s="27"/>
      <c r="AD807" s="27"/>
      <c r="AE807" s="27"/>
      <c r="AF807" s="27"/>
      <c r="AG807" s="27"/>
      <c r="AH807" s="27"/>
      <c r="AI807" s="27"/>
      <c r="AJ807" s="27"/>
      <c r="AK807" s="27"/>
      <c r="AL807" s="27"/>
      <c r="AM807" s="27"/>
      <c r="AN807" s="27"/>
      <c r="AO807" s="27"/>
      <c r="AP807" s="27"/>
      <c r="AQ807" s="27"/>
      <c r="AR807" s="27"/>
      <c r="AS807" s="27"/>
      <c r="AT807" s="27"/>
      <c r="AU807" s="27"/>
      <c r="AV807" s="27"/>
      <c r="AW807" s="27"/>
      <c r="AX807" s="27"/>
      <c r="AY807" s="27"/>
      <c r="AZ807" s="27"/>
      <c r="BA807" s="27"/>
      <c r="BB807" s="27"/>
      <c r="BC807" s="27" t="s">
        <v>463</v>
      </c>
      <c r="BD807" s="27">
        <f>'[1]נתוני מס'!B22</f>
        <v>0.2</v>
      </c>
      <c r="BE807" s="27">
        <f>'[1]נתוני מס'!C22</f>
        <v>151680</v>
      </c>
      <c r="BF807" s="27"/>
      <c r="BG807" s="27"/>
      <c r="BH807" s="27"/>
      <c r="BI807" s="27"/>
      <c r="BJ807" s="27"/>
      <c r="BK807" s="27"/>
      <c r="BL807" s="27"/>
      <c r="BM807" s="27"/>
      <c r="BN807" s="27"/>
      <c r="BO807" s="27"/>
      <c r="BP807" s="27"/>
      <c r="BQ807" s="27"/>
      <c r="BR807" s="27"/>
      <c r="BS807" s="27"/>
      <c r="BT807" s="27"/>
      <c r="BU807" s="27"/>
      <c r="BV807" s="27"/>
      <c r="BW807" s="27"/>
      <c r="BX807" s="27"/>
      <c r="BY807" s="27"/>
      <c r="BZ807" s="27"/>
      <c r="CA807" s="27"/>
      <c r="CB807" s="27"/>
      <c r="CC807" s="27"/>
      <c r="CD807" s="27"/>
      <c r="CE807" s="27"/>
      <c r="CF807" s="27"/>
      <c r="CG807" s="27"/>
      <c r="CH807" s="27"/>
      <c r="CI807" s="27"/>
      <c r="CJ807" s="27"/>
      <c r="CK807" s="27"/>
      <c r="CL807" s="27"/>
      <c r="CM807" s="27"/>
      <c r="CN807" s="27"/>
      <c r="CO807" s="27"/>
      <c r="CP807" s="27"/>
      <c r="CQ807" s="27"/>
      <c r="CR807" s="27"/>
      <c r="CS807" s="27"/>
      <c r="CT807" s="27"/>
      <c r="CU807" s="27"/>
      <c r="CV807" s="27"/>
      <c r="CW807" s="27"/>
      <c r="CX807" s="27"/>
      <c r="CY807" s="27"/>
      <c r="CZ807" s="27"/>
      <c r="DA807" s="27"/>
      <c r="DB807" s="27"/>
      <c r="DC807" s="27"/>
      <c r="DD807" s="27"/>
      <c r="DE807" s="27"/>
      <c r="DF807" s="27"/>
      <c r="DG807" s="27"/>
      <c r="DH807" s="27"/>
      <c r="DI807" s="27"/>
      <c r="DJ807" s="27"/>
      <c r="DK807" s="27"/>
      <c r="DL807" s="27"/>
      <c r="DM807" s="27"/>
      <c r="DN807" s="27"/>
      <c r="DO807" s="27"/>
      <c r="DP807" s="27"/>
      <c r="DQ807" s="27"/>
      <c r="DR807" s="27"/>
      <c r="DS807" s="27"/>
      <c r="DT807" s="27"/>
    </row>
    <row r="808" spans="7:124" x14ac:dyDescent="0.2">
      <c r="G808" s="27"/>
      <c r="H808" s="27"/>
      <c r="I808" s="27"/>
      <c r="J808" s="27"/>
      <c r="K808" s="27"/>
      <c r="L808" s="27"/>
      <c r="M808" s="27"/>
      <c r="N808" s="27"/>
      <c r="O808" s="27"/>
      <c r="P808" s="27" t="s">
        <v>59</v>
      </c>
      <c r="Q808" s="27"/>
      <c r="R808" s="27"/>
      <c r="S808" s="27"/>
      <c r="T808" s="27"/>
      <c r="U808" s="27"/>
      <c r="V808" s="27"/>
      <c r="W808" s="27"/>
      <c r="X808" s="27"/>
      <c r="Y808" s="27"/>
      <c r="Z808" s="27"/>
      <c r="AA808" s="27"/>
      <c r="AB808" s="27"/>
      <c r="AC808" s="27"/>
      <c r="AD808" s="27"/>
      <c r="AE808" s="27"/>
      <c r="AF808" s="27"/>
      <c r="AG808" s="27"/>
      <c r="AH808" s="27"/>
      <c r="AI808" s="27"/>
      <c r="AJ808" s="27"/>
      <c r="AK808" s="27"/>
      <c r="AL808" s="27"/>
      <c r="AM808" s="27"/>
      <c r="AN808" s="27"/>
      <c r="AO808" s="27"/>
      <c r="AP808" s="27"/>
      <c r="AQ808" s="27"/>
      <c r="AR808" s="27"/>
      <c r="AS808" s="27"/>
      <c r="AT808" s="27"/>
      <c r="AU808" s="27"/>
      <c r="AV808" s="27"/>
      <c r="AW808" s="27"/>
      <c r="AX808" s="27"/>
      <c r="AY808" s="27"/>
      <c r="AZ808" s="27"/>
      <c r="BA808" s="27"/>
      <c r="BB808" s="27"/>
      <c r="BC808" s="27" t="s">
        <v>464</v>
      </c>
      <c r="BD808" s="27">
        <f>IF(BC802=P705,BD802+BD814,IF(BC803=P705,BD803+BD814,IF(BC804=P705,BD804+BD814,IF(BC805=P705,BD805+BD814,IF(BC806=P705,BD806+BD814,IF(BC807=P705,BD807+BD814,BD814))))))</f>
        <v>0</v>
      </c>
      <c r="BE808" s="27">
        <f>IF(BC802=P705,BE802,IF(BC803=P705,BE803,IF(BC804=P705,BE804,IF(BC805=P705,BE805,IF(BC806=P705,BE806,IF(BC807=P705,BE807,0))))))</f>
        <v>0</v>
      </c>
      <c r="BF808" s="27"/>
      <c r="BG808" s="27"/>
      <c r="BH808" s="27"/>
      <c r="BI808" s="27"/>
      <c r="BJ808" s="27"/>
      <c r="BK808" s="27"/>
      <c r="BL808" s="27"/>
      <c r="BM808" s="27"/>
      <c r="BN808" s="27"/>
      <c r="BO808" s="27"/>
      <c r="BP808" s="27"/>
      <c r="BQ808" s="27"/>
      <c r="BR808" s="27"/>
      <c r="BS808" s="27"/>
      <c r="BT808" s="27"/>
      <c r="BU808" s="27"/>
      <c r="BV808" s="27"/>
      <c r="BW808" s="27"/>
      <c r="BX808" s="27"/>
      <c r="BY808" s="27"/>
      <c r="BZ808" s="27"/>
      <c r="CA808" s="27"/>
      <c r="CB808" s="27"/>
      <c r="CC808" s="27"/>
      <c r="CD808" s="27"/>
      <c r="CE808" s="27"/>
      <c r="CF808" s="27"/>
      <c r="CG808" s="27"/>
      <c r="CH808" s="27"/>
      <c r="CI808" s="27"/>
      <c r="CJ808" s="27"/>
      <c r="CK808" s="27"/>
      <c r="CL808" s="27"/>
      <c r="CM808" s="27"/>
      <c r="CN808" s="27"/>
      <c r="CO808" s="27"/>
      <c r="CP808" s="27"/>
      <c r="CQ808" s="27"/>
      <c r="CR808" s="27"/>
      <c r="CS808" s="27"/>
      <c r="CT808" s="27"/>
      <c r="CU808" s="27"/>
      <c r="CV808" s="27"/>
      <c r="CW808" s="27"/>
      <c r="CX808" s="27"/>
      <c r="CY808" s="27"/>
      <c r="CZ808" s="27"/>
      <c r="DA808" s="27"/>
      <c r="DB808" s="27"/>
      <c r="DC808" s="27"/>
      <c r="DD808" s="27"/>
      <c r="DE808" s="27"/>
      <c r="DF808" s="27"/>
      <c r="DG808" s="27"/>
      <c r="DH808" s="27"/>
      <c r="DI808" s="27"/>
      <c r="DJ808" s="27"/>
      <c r="DK808" s="27"/>
      <c r="DL808" s="27"/>
      <c r="DM808" s="27"/>
      <c r="DN808" s="27"/>
      <c r="DO808" s="27"/>
      <c r="DP808" s="27"/>
      <c r="DQ808" s="27"/>
      <c r="DR808" s="27"/>
      <c r="DS808" s="27"/>
      <c r="DT808" s="27"/>
    </row>
    <row r="809" spans="7:124" x14ac:dyDescent="0.2">
      <c r="G809" s="27"/>
      <c r="H809" s="27"/>
      <c r="I809" s="27"/>
      <c r="J809" s="27"/>
      <c r="K809" s="27"/>
      <c r="L809" s="27"/>
      <c r="M809" s="27"/>
      <c r="N809" s="27"/>
      <c r="O809" s="27"/>
      <c r="P809" s="27"/>
      <c r="Q809" s="27"/>
      <c r="R809" s="27"/>
      <c r="S809" s="27"/>
      <c r="T809" s="27"/>
      <c r="U809" s="27"/>
      <c r="V809" s="27"/>
      <c r="W809" s="27"/>
      <c r="X809" s="27"/>
      <c r="Y809" s="27"/>
      <c r="Z809" s="27"/>
      <c r="AA809" s="27"/>
      <c r="AB809" s="27"/>
      <c r="AC809" s="27"/>
      <c r="AD809" s="27"/>
      <c r="AE809" s="27"/>
      <c r="AF809" s="27"/>
      <c r="AG809" s="27"/>
      <c r="AH809" s="27"/>
      <c r="AI809" s="27"/>
      <c r="AJ809" s="27"/>
      <c r="AK809" s="27"/>
      <c r="AL809" s="27"/>
      <c r="AM809" s="27"/>
      <c r="AN809" s="27"/>
      <c r="AO809" s="27"/>
      <c r="AP809" s="27"/>
      <c r="AQ809" s="27"/>
      <c r="AR809" s="27"/>
      <c r="AS809" s="27"/>
      <c r="AT809" s="27"/>
      <c r="AU809" s="27"/>
      <c r="AV809" s="27"/>
      <c r="AW809" s="27"/>
      <c r="AX809" s="27"/>
      <c r="AY809" s="27"/>
      <c r="AZ809" s="27"/>
      <c r="BA809" s="27"/>
      <c r="BB809" s="27"/>
      <c r="BC809" s="27" t="s">
        <v>285</v>
      </c>
      <c r="BD809" s="27">
        <f>100%-BD808</f>
        <v>1</v>
      </c>
      <c r="BE809" s="27">
        <f>BE808/12</f>
        <v>0</v>
      </c>
      <c r="BF809" s="27"/>
      <c r="BG809" s="27"/>
      <c r="BH809" s="27"/>
      <c r="BI809" s="27"/>
      <c r="BJ809" s="27"/>
      <c r="BK809" s="27"/>
      <c r="BL809" s="27"/>
      <c r="BM809" s="27"/>
      <c r="BN809" s="27"/>
      <c r="BO809" s="27"/>
      <c r="BP809" s="27"/>
      <c r="BQ809" s="27"/>
      <c r="BR809" s="27"/>
      <c r="BS809" s="27"/>
      <c r="BT809" s="27"/>
      <c r="BU809" s="27"/>
      <c r="BV809" s="27"/>
      <c r="BW809" s="27"/>
      <c r="BX809" s="27"/>
      <c r="BY809" s="27"/>
      <c r="BZ809" s="27"/>
      <c r="CA809" s="27"/>
      <c r="CB809" s="27"/>
      <c r="CC809" s="27"/>
      <c r="CD809" s="27"/>
      <c r="CE809" s="27"/>
      <c r="CF809" s="27"/>
      <c r="CG809" s="27"/>
      <c r="CH809" s="27"/>
      <c r="CI809" s="27"/>
      <c r="CJ809" s="27"/>
      <c r="CK809" s="27"/>
      <c r="CL809" s="27"/>
      <c r="CM809" s="27"/>
      <c r="CN809" s="27"/>
      <c r="CO809" s="27"/>
      <c r="CP809" s="27"/>
      <c r="CQ809" s="27"/>
      <c r="CR809" s="27"/>
      <c r="CS809" s="27"/>
      <c r="CT809" s="27"/>
      <c r="CU809" s="27"/>
      <c r="CV809" s="27"/>
      <c r="CW809" s="27"/>
      <c r="CX809" s="27"/>
      <c r="CY809" s="27"/>
      <c r="CZ809" s="27"/>
      <c r="DA809" s="27"/>
      <c r="DB809" s="27"/>
      <c r="DC809" s="27"/>
      <c r="DD809" s="27"/>
      <c r="DE809" s="27"/>
      <c r="DF809" s="27"/>
      <c r="DG809" s="27"/>
      <c r="DH809" s="27"/>
      <c r="DI809" s="27"/>
      <c r="DJ809" s="27"/>
      <c r="DK809" s="27"/>
      <c r="DL809" s="27"/>
      <c r="DM809" s="27"/>
      <c r="DN809" s="27"/>
      <c r="DO809" s="27"/>
      <c r="DP809" s="27"/>
      <c r="DQ809" s="27"/>
      <c r="DR809" s="27"/>
      <c r="DS809" s="27"/>
      <c r="DT809" s="27"/>
    </row>
    <row r="810" spans="7:124" x14ac:dyDescent="0.2">
      <c r="G810" s="27"/>
      <c r="H810" s="27"/>
      <c r="I810" s="27"/>
      <c r="J810" s="27"/>
      <c r="K810" s="27"/>
      <c r="L810" s="27"/>
      <c r="M810" s="27"/>
      <c r="N810" s="27"/>
      <c r="O810" s="27"/>
      <c r="P810" s="27"/>
      <c r="Q810" s="27"/>
      <c r="R810" s="27"/>
      <c r="S810" s="27"/>
      <c r="T810" s="27"/>
      <c r="U810" s="27"/>
      <c r="V810" s="27"/>
      <c r="W810" s="27"/>
      <c r="X810" s="27" t="s">
        <v>87</v>
      </c>
      <c r="Y810" s="27" t="e">
        <f>VLOOKUP(INT($AB$746),horaa2,$AJ$711+2,FALSE)*$AB$747</f>
        <v>#N/A</v>
      </c>
      <c r="Z810" s="27" t="e">
        <f>Y810*S814</f>
        <v>#N/A</v>
      </c>
      <c r="AA810" s="27"/>
      <c r="AB810" s="27"/>
      <c r="AC810" s="27"/>
      <c r="AD810" s="27"/>
      <c r="AE810" s="27"/>
      <c r="AF810" s="27"/>
      <c r="AG810" s="27"/>
      <c r="AH810" s="27"/>
      <c r="AI810" s="27"/>
      <c r="AJ810" s="27"/>
      <c r="AK810" s="27"/>
      <c r="AL810" s="27"/>
      <c r="AM810" s="27"/>
      <c r="AN810" s="27"/>
      <c r="AO810" s="27"/>
      <c r="AP810" s="27"/>
      <c r="AQ810" s="27"/>
      <c r="AR810" s="27"/>
      <c r="AS810" s="27"/>
      <c r="AT810" s="27"/>
      <c r="AU810" s="27"/>
      <c r="AV810" s="27"/>
      <c r="AW810" s="27"/>
      <c r="AX810" s="27"/>
      <c r="AY810" s="27"/>
      <c r="AZ810" s="27"/>
      <c r="BA810" s="27"/>
      <c r="BB810" s="27"/>
      <c r="BC810" s="27"/>
      <c r="BD810" s="27"/>
      <c r="BE810" s="27" t="s">
        <v>59</v>
      </c>
      <c r="BF810" s="27"/>
      <c r="BG810" s="27"/>
      <c r="BH810" s="27"/>
      <c r="BI810" s="27"/>
      <c r="BJ810" s="27"/>
      <c r="BK810" s="27"/>
      <c r="BL810" s="27"/>
      <c r="BM810" s="27"/>
      <c r="BN810" s="27"/>
      <c r="BO810" s="27"/>
      <c r="BP810" s="27"/>
      <c r="BQ810" s="27"/>
      <c r="BR810" s="27"/>
      <c r="BS810" s="27"/>
      <c r="BT810" s="27"/>
      <c r="BU810" s="27"/>
      <c r="BV810" s="27"/>
      <c r="BW810" s="27"/>
      <c r="BX810" s="27"/>
      <c r="BY810" s="27"/>
      <c r="BZ810" s="27"/>
      <c r="CA810" s="27"/>
      <c r="CB810" s="27"/>
      <c r="CC810" s="27"/>
      <c r="CD810" s="27"/>
      <c r="CE810" s="27"/>
      <c r="CF810" s="27"/>
      <c r="CG810" s="27"/>
      <c r="CH810" s="27"/>
      <c r="CI810" s="27"/>
      <c r="CJ810" s="27"/>
      <c r="CK810" s="27"/>
      <c r="CL810" s="27"/>
      <c r="CM810" s="27"/>
      <c r="CN810" s="27"/>
      <c r="CO810" s="27"/>
      <c r="CP810" s="27"/>
      <c r="CQ810" s="27"/>
      <c r="CR810" s="27"/>
      <c r="CS810" s="27"/>
      <c r="CT810" s="27"/>
      <c r="CU810" s="27"/>
      <c r="CV810" s="27"/>
      <c r="CW810" s="27"/>
      <c r="CX810" s="27"/>
      <c r="CY810" s="27"/>
      <c r="CZ810" s="27"/>
      <c r="DA810" s="27"/>
      <c r="DB810" s="27"/>
      <c r="DC810" s="27"/>
      <c r="DD810" s="27"/>
      <c r="DE810" s="27"/>
      <c r="DF810" s="27"/>
      <c r="DG810" s="27"/>
      <c r="DH810" s="27"/>
      <c r="DI810" s="27"/>
      <c r="DJ810" s="27"/>
      <c r="DK810" s="27"/>
      <c r="DL810" s="27"/>
      <c r="DM810" s="27"/>
      <c r="DN810" s="27"/>
      <c r="DO810" s="27"/>
      <c r="DP810" s="27"/>
      <c r="DQ810" s="27"/>
      <c r="DR810" s="27"/>
      <c r="DS810" s="27"/>
      <c r="DT810" s="27"/>
    </row>
    <row r="811" spans="7:124" x14ac:dyDescent="0.2">
      <c r="G811" s="27"/>
      <c r="H811" s="27"/>
      <c r="I811" s="27"/>
      <c r="J811" s="27"/>
      <c r="K811" s="27"/>
      <c r="L811" s="27"/>
      <c r="M811" s="27"/>
      <c r="N811" s="27"/>
      <c r="O811" s="27"/>
      <c r="P811" s="27"/>
      <c r="Q811" s="27"/>
      <c r="R811" s="27"/>
      <c r="S811" s="27"/>
      <c r="T811" s="27"/>
      <c r="U811" s="27"/>
      <c r="V811" s="27"/>
      <c r="W811" s="27" t="s">
        <v>59</v>
      </c>
      <c r="X811" s="27">
        <f>AM805</f>
        <v>0</v>
      </c>
      <c r="Y811" s="27" t="e">
        <f>3%*Y810</f>
        <v>#N/A</v>
      </c>
      <c r="Z811" s="27" t="e">
        <f>Y811*S814</f>
        <v>#N/A</v>
      </c>
      <c r="AA811" s="27"/>
      <c r="AB811" s="27"/>
      <c r="AC811" s="27"/>
      <c r="AD811" s="27"/>
      <c r="AE811" s="27"/>
      <c r="AF811" s="27"/>
      <c r="AG811" s="27"/>
      <c r="AH811" s="27"/>
      <c r="AI811" s="27"/>
      <c r="AJ811" s="27"/>
      <c r="AK811" s="27"/>
      <c r="AL811" s="27"/>
      <c r="AM811" s="27"/>
      <c r="AN811" s="27"/>
      <c r="AO811" s="27"/>
      <c r="AP811" s="27"/>
      <c r="AQ811" s="27"/>
      <c r="AR811" s="27"/>
      <c r="AS811" s="27"/>
      <c r="AT811" s="27"/>
      <c r="AU811" s="27"/>
      <c r="AV811" s="27"/>
      <c r="AW811" s="27"/>
      <c r="AX811" s="27"/>
      <c r="AY811" s="27"/>
      <c r="AZ811" s="27"/>
      <c r="BA811" s="27"/>
      <c r="BB811" s="27"/>
      <c r="BC811" s="27" t="s">
        <v>465</v>
      </c>
      <c r="BD811" s="27"/>
      <c r="BE811" s="27">
        <f>'[1]נתוני מס'!C24</f>
        <v>579600</v>
      </c>
      <c r="BF811" s="27"/>
      <c r="BG811" s="27"/>
      <c r="BH811" s="27"/>
      <c r="BI811" s="27"/>
      <c r="BJ811" s="27"/>
      <c r="BK811" s="27"/>
      <c r="BL811" s="27"/>
      <c r="BM811" s="27"/>
      <c r="BN811" s="27"/>
      <c r="BO811" s="27"/>
      <c r="BP811" s="27"/>
      <c r="BQ811" s="27"/>
      <c r="BR811" s="27"/>
      <c r="BS811" s="27"/>
      <c r="BT811" s="27"/>
      <c r="BU811" s="27"/>
      <c r="BV811" s="27"/>
      <c r="BW811" s="27"/>
      <c r="BX811" s="27"/>
      <c r="BY811" s="27"/>
      <c r="BZ811" s="27"/>
      <c r="CA811" s="27"/>
      <c r="CB811" s="27"/>
      <c r="CC811" s="27"/>
      <c r="CD811" s="27"/>
      <c r="CE811" s="27"/>
      <c r="CF811" s="27"/>
      <c r="CG811" s="27"/>
      <c r="CH811" s="27"/>
      <c r="CI811" s="27"/>
      <c r="CJ811" s="27"/>
      <c r="CK811" s="27"/>
      <c r="CL811" s="27"/>
      <c r="CM811" s="27"/>
      <c r="CN811" s="27"/>
      <c r="CO811" s="27"/>
      <c r="CP811" s="27"/>
      <c r="CQ811" s="27"/>
      <c r="CR811" s="27"/>
      <c r="CS811" s="27"/>
      <c r="CT811" s="27"/>
      <c r="CU811" s="27"/>
      <c r="CV811" s="27"/>
      <c r="CW811" s="27"/>
      <c r="CX811" s="27"/>
      <c r="CY811" s="27"/>
      <c r="CZ811" s="27"/>
      <c r="DA811" s="27"/>
      <c r="DB811" s="27"/>
      <c r="DC811" s="27"/>
      <c r="DD811" s="27"/>
      <c r="DE811" s="27"/>
      <c r="DF811" s="27"/>
      <c r="DG811" s="27"/>
      <c r="DH811" s="27"/>
      <c r="DI811" s="27"/>
      <c r="DJ811" s="27"/>
      <c r="DK811" s="27"/>
      <c r="DL811" s="27"/>
      <c r="DM811" s="27"/>
      <c r="DN811" s="27"/>
      <c r="DO811" s="27"/>
      <c r="DP811" s="27"/>
      <c r="DQ811" s="27"/>
      <c r="DR811" s="27"/>
      <c r="DS811" s="27"/>
      <c r="DT811" s="27"/>
    </row>
    <row r="812" spans="7:124" x14ac:dyDescent="0.2">
      <c r="G812" s="27"/>
      <c r="H812" s="27"/>
      <c r="I812" s="27"/>
      <c r="J812" s="27"/>
      <c r="K812" s="27"/>
      <c r="L812" s="27"/>
      <c r="M812" s="27"/>
      <c r="N812" s="27"/>
      <c r="O812" s="27"/>
      <c r="P812" s="27"/>
      <c r="Q812" s="27"/>
      <c r="R812" s="27"/>
      <c r="S812" s="27"/>
      <c r="T812" s="27"/>
      <c r="U812" s="27"/>
      <c r="V812" s="27"/>
      <c r="W812" s="27"/>
      <c r="X812" s="27">
        <f>AM806</f>
        <v>0</v>
      </c>
      <c r="Y812" s="27" t="e">
        <f>AN806*(Y810+Y811)</f>
        <v>#N/A</v>
      </c>
      <c r="Z812" s="27" t="e">
        <f>Y812*S814</f>
        <v>#N/A</v>
      </c>
      <c r="AA812" s="27"/>
      <c r="AB812" s="27"/>
      <c r="AC812" s="27"/>
      <c r="AD812" s="27"/>
      <c r="AE812" s="27"/>
      <c r="AF812" s="27"/>
      <c r="AG812" s="27"/>
      <c r="AH812" s="27"/>
      <c r="AI812" s="27"/>
      <c r="AJ812" s="27"/>
      <c r="AK812" s="27"/>
      <c r="AL812" s="27"/>
      <c r="AM812" s="27"/>
      <c r="AN812" s="27"/>
      <c r="AO812" s="27"/>
      <c r="AP812" s="27"/>
      <c r="AQ812" s="27"/>
      <c r="AR812" s="27"/>
      <c r="AS812" s="27"/>
      <c r="AT812" s="27"/>
      <c r="AU812" s="27"/>
      <c r="AV812" s="27"/>
      <c r="AW812" s="27"/>
      <c r="AX812" s="27"/>
      <c r="AY812" s="27"/>
      <c r="AZ812" s="27"/>
      <c r="BA812" s="27"/>
      <c r="BB812" s="27"/>
      <c r="BC812" s="27"/>
      <c r="BD812" s="27" t="s">
        <v>204</v>
      </c>
      <c r="BE812" s="27">
        <f>IF(P706=AC754,BE811/12,0)</f>
        <v>0</v>
      </c>
      <c r="BF812" s="27"/>
      <c r="BG812" s="27"/>
      <c r="BH812" s="27"/>
      <c r="BI812" s="27"/>
      <c r="BJ812" s="27"/>
      <c r="BK812" s="27"/>
      <c r="BL812" s="27"/>
      <c r="BM812" s="27"/>
      <c r="BN812" s="27"/>
      <c r="BO812" s="27"/>
      <c r="BP812" s="27"/>
      <c r="BQ812" s="27"/>
      <c r="BR812" s="27"/>
      <c r="BS812" s="27"/>
      <c r="BT812" s="27"/>
      <c r="BU812" s="27"/>
      <c r="BV812" s="27"/>
      <c r="BW812" s="27"/>
      <c r="BX812" s="27"/>
      <c r="BY812" s="27"/>
      <c r="BZ812" s="27"/>
      <c r="CA812" s="27"/>
      <c r="CB812" s="27"/>
      <c r="CC812" s="27"/>
      <c r="CD812" s="27"/>
      <c r="CE812" s="27"/>
      <c r="CF812" s="27"/>
      <c r="CG812" s="27"/>
      <c r="CH812" s="27"/>
      <c r="CI812" s="27"/>
      <c r="CJ812" s="27"/>
      <c r="CK812" s="27"/>
      <c r="CL812" s="27"/>
      <c r="CM812" s="27"/>
      <c r="CN812" s="27"/>
      <c r="CO812" s="27"/>
      <c r="CP812" s="27"/>
      <c r="CQ812" s="27"/>
      <c r="CR812" s="27"/>
      <c r="CS812" s="27"/>
      <c r="CT812" s="27"/>
      <c r="CU812" s="27"/>
      <c r="CV812" s="27"/>
      <c r="CW812" s="27"/>
      <c r="CX812" s="27"/>
      <c r="CY812" s="27"/>
      <c r="CZ812" s="27"/>
      <c r="DA812" s="27"/>
      <c r="DB812" s="27"/>
      <c r="DC812" s="27"/>
      <c r="DD812" s="27"/>
      <c r="DE812" s="27"/>
      <c r="DF812" s="27"/>
      <c r="DG812" s="27"/>
      <c r="DH812" s="27"/>
      <c r="DI812" s="27"/>
      <c r="DJ812" s="27"/>
      <c r="DK812" s="27"/>
      <c r="DL812" s="27"/>
      <c r="DM812" s="27"/>
      <c r="DN812" s="27"/>
      <c r="DO812" s="27"/>
      <c r="DP812" s="27"/>
      <c r="DQ812" s="27"/>
      <c r="DR812" s="27"/>
      <c r="DS812" s="27"/>
      <c r="DT812" s="27"/>
    </row>
    <row r="813" spans="7:124" x14ac:dyDescent="0.2">
      <c r="G813" s="27"/>
      <c r="H813" s="27"/>
      <c r="I813" s="27"/>
      <c r="J813" s="27"/>
      <c r="K813" s="27"/>
      <c r="L813" s="27"/>
      <c r="M813" s="27"/>
      <c r="N813" s="27"/>
      <c r="O813" s="27"/>
      <c r="P813" s="27"/>
      <c r="Q813" s="27"/>
      <c r="R813" s="27"/>
      <c r="S813" s="27"/>
      <c r="T813" s="27"/>
      <c r="U813" s="27"/>
      <c r="V813" s="27" t="s">
        <v>59</v>
      </c>
      <c r="W813" s="27" t="s">
        <v>59</v>
      </c>
      <c r="X813" s="27" t="s">
        <v>112</v>
      </c>
      <c r="Y813" s="27" t="e">
        <f>(Y810+Y811+Y812)*6.35%</f>
        <v>#N/A</v>
      </c>
      <c r="Z813" s="27" t="e">
        <f>Y813*S814</f>
        <v>#N/A</v>
      </c>
      <c r="AA813" s="27"/>
      <c r="AB813" s="27"/>
      <c r="AC813" s="27"/>
      <c r="AD813" s="27"/>
      <c r="AE813" s="27"/>
      <c r="AF813" s="27"/>
      <c r="AG813" s="27"/>
      <c r="AH813" s="27"/>
      <c r="AI813" s="27"/>
      <c r="AJ813" s="27"/>
      <c r="AK813" s="27"/>
      <c r="AL813" s="27"/>
      <c r="AM813" s="27"/>
      <c r="AN813" s="27"/>
      <c r="AO813" s="27"/>
      <c r="AP813" s="27"/>
      <c r="AQ813" s="27"/>
      <c r="AR813" s="27"/>
      <c r="AS813" s="27"/>
      <c r="AT813" s="27"/>
      <c r="AU813" s="27"/>
      <c r="AV813" s="27"/>
      <c r="AW813" s="27"/>
      <c r="AX813" s="27"/>
      <c r="AY813" s="27"/>
      <c r="AZ813" s="27"/>
      <c r="BA813" s="27"/>
      <c r="BB813" s="27"/>
      <c r="BC813" s="27"/>
      <c r="BD813" s="27"/>
      <c r="BE813" s="27"/>
      <c r="BF813" s="27"/>
      <c r="BG813" s="27"/>
      <c r="BH813" s="27"/>
      <c r="BI813" s="27"/>
      <c r="BJ813" s="27"/>
      <c r="BK813" s="27"/>
      <c r="BL813" s="27"/>
      <c r="BM813" s="27"/>
      <c r="BN813" s="27"/>
      <c r="BO813" s="27"/>
      <c r="BP813" s="27"/>
      <c r="BQ813" s="27"/>
      <c r="BR813" s="27"/>
      <c r="BS813" s="27"/>
      <c r="BT813" s="27"/>
      <c r="BU813" s="27"/>
      <c r="BV813" s="27"/>
      <c r="BW813" s="27"/>
      <c r="BX813" s="27"/>
      <c r="BY813" s="27"/>
      <c r="BZ813" s="27"/>
      <c r="CA813" s="27"/>
      <c r="CB813" s="27"/>
      <c r="CC813" s="27"/>
      <c r="CD813" s="27"/>
      <c r="CE813" s="27"/>
      <c r="CF813" s="27"/>
      <c r="CG813" s="27"/>
      <c r="CH813" s="27"/>
      <c r="CI813" s="27"/>
      <c r="CJ813" s="27"/>
      <c r="CK813" s="27"/>
      <c r="CL813" s="27"/>
      <c r="CM813" s="27"/>
      <c r="CN813" s="27"/>
      <c r="CO813" s="27"/>
      <c r="CP813" s="27"/>
      <c r="CQ813" s="27"/>
      <c r="CR813" s="27"/>
      <c r="CS813" s="27"/>
      <c r="CT813" s="27"/>
      <c r="CU813" s="27"/>
      <c r="CV813" s="27"/>
      <c r="CW813" s="27"/>
      <c r="CX813" s="27"/>
      <c r="CY813" s="27"/>
      <c r="CZ813" s="27"/>
      <c r="DA813" s="27"/>
      <c r="DB813" s="27"/>
      <c r="DC813" s="27"/>
      <c r="DD813" s="27"/>
      <c r="DE813" s="27"/>
      <c r="DF813" s="27"/>
      <c r="DG813" s="27"/>
      <c r="DH813" s="27"/>
      <c r="DI813" s="27"/>
      <c r="DJ813" s="27"/>
      <c r="DK813" s="27"/>
      <c r="DL813" s="27"/>
      <c r="DM813" s="27"/>
      <c r="DN813" s="27"/>
      <c r="DO813" s="27"/>
      <c r="DP813" s="27"/>
      <c r="DQ813" s="27"/>
      <c r="DR813" s="27"/>
      <c r="DS813" s="27"/>
      <c r="DT813" s="27"/>
    </row>
    <row r="814" spans="7:124" x14ac:dyDescent="0.2">
      <c r="G814" s="27"/>
      <c r="H814" s="27"/>
      <c r="I814" s="27"/>
      <c r="J814" s="27"/>
      <c r="K814" s="27"/>
      <c r="L814" s="27"/>
      <c r="M814" s="27"/>
      <c r="N814" s="27"/>
      <c r="O814" s="27"/>
      <c r="P814" s="27"/>
      <c r="Q814" s="27"/>
      <c r="R814" s="27"/>
      <c r="S814" s="27"/>
      <c r="T814" s="27"/>
      <c r="U814" s="27"/>
      <c r="V814" s="27"/>
      <c r="W814" s="27"/>
      <c r="X814" s="27" t="s">
        <v>119</v>
      </c>
      <c r="Y814" s="27">
        <f>S844</f>
        <v>0</v>
      </c>
      <c r="Z814" s="27">
        <f>S814*Y814</f>
        <v>0</v>
      </c>
      <c r="AA814" s="27"/>
      <c r="AB814" s="27"/>
      <c r="AC814" s="27"/>
      <c r="AD814" s="27"/>
      <c r="AE814" s="27"/>
      <c r="AF814" s="27"/>
      <c r="AG814" s="27"/>
      <c r="AH814" s="27"/>
      <c r="AI814" s="27"/>
      <c r="AJ814" s="27"/>
      <c r="AK814" s="27"/>
      <c r="AL814" s="27"/>
      <c r="AM814" s="27"/>
      <c r="AN814" s="27"/>
      <c r="AO814" s="27"/>
      <c r="AP814" s="27"/>
      <c r="AQ814" s="27"/>
      <c r="AR814" s="27"/>
      <c r="AS814" s="27"/>
      <c r="AT814" s="27"/>
      <c r="AU814" s="27"/>
      <c r="AV814" s="27"/>
      <c r="AW814" s="27"/>
      <c r="AX814" s="27"/>
      <c r="AY814" s="27"/>
      <c r="AZ814" s="27"/>
      <c r="BA814" s="27"/>
      <c r="BB814" s="27"/>
      <c r="BC814" s="27" t="s">
        <v>466</v>
      </c>
      <c r="BD814" s="27">
        <f>IF(AF707=AC754,5%,0%)</f>
        <v>0</v>
      </c>
      <c r="BE814" s="27">
        <f>100%-BD814</f>
        <v>1</v>
      </c>
      <c r="BF814" s="27">
        <f>'[1]נתוני מס'!C26/12</f>
        <v>12640</v>
      </c>
      <c r="BG814" s="27"/>
      <c r="BH814" s="27"/>
      <c r="BI814" s="27"/>
      <c r="BJ814" s="27"/>
      <c r="BK814" s="27"/>
      <c r="BL814" s="27"/>
      <c r="BM814" s="27"/>
      <c r="BN814" s="27"/>
      <c r="BO814" s="27"/>
      <c r="BP814" s="27"/>
      <c r="BQ814" s="27"/>
      <c r="BR814" s="27"/>
      <c r="BS814" s="27"/>
      <c r="BT814" s="27"/>
      <c r="BU814" s="27"/>
      <c r="BV814" s="27"/>
      <c r="BW814" s="27"/>
      <c r="BX814" s="27"/>
      <c r="BY814" s="27"/>
      <c r="BZ814" s="27"/>
      <c r="CA814" s="27"/>
      <c r="CB814" s="27"/>
      <c r="CC814" s="27"/>
      <c r="CD814" s="27"/>
      <c r="CE814" s="27"/>
      <c r="CF814" s="27"/>
      <c r="CG814" s="27"/>
      <c r="CH814" s="27"/>
      <c r="CI814" s="27"/>
      <c r="CJ814" s="27"/>
      <c r="CK814" s="27"/>
      <c r="CL814" s="27"/>
      <c r="CM814" s="27"/>
      <c r="CN814" s="27"/>
      <c r="CO814" s="27"/>
      <c r="CP814" s="27"/>
      <c r="CQ814" s="27"/>
      <c r="CR814" s="27"/>
      <c r="CS814" s="27"/>
      <c r="CT814" s="27"/>
      <c r="CU814" s="27"/>
      <c r="CV814" s="27"/>
      <c r="CW814" s="27"/>
      <c r="CX814" s="27"/>
      <c r="CY814" s="27"/>
      <c r="CZ814" s="27"/>
      <c r="DA814" s="27"/>
      <c r="DB814" s="27"/>
      <c r="DC814" s="27"/>
      <c r="DD814" s="27"/>
      <c r="DE814" s="27"/>
      <c r="DF814" s="27"/>
      <c r="DG814" s="27"/>
      <c r="DH814" s="27"/>
      <c r="DI814" s="27"/>
      <c r="DJ814" s="27"/>
      <c r="DK814" s="27"/>
      <c r="DL814" s="27"/>
      <c r="DM814" s="27"/>
      <c r="DN814" s="27"/>
      <c r="DO814" s="27"/>
      <c r="DP814" s="27"/>
      <c r="DQ814" s="27"/>
      <c r="DR814" s="27"/>
      <c r="DS814" s="27"/>
      <c r="DT814" s="27"/>
    </row>
    <row r="815" spans="7:124" x14ac:dyDescent="0.2">
      <c r="G815" s="27"/>
      <c r="H815" s="27"/>
      <c r="I815" s="27"/>
      <c r="J815" s="27"/>
      <c r="K815" s="27"/>
      <c r="L815" s="27"/>
      <c r="M815" s="27"/>
      <c r="N815" s="27"/>
      <c r="O815" s="27"/>
      <c r="P815" s="27"/>
      <c r="Q815" s="27"/>
      <c r="R815" s="27"/>
      <c r="S815" s="27"/>
      <c r="T815" s="27"/>
      <c r="U815" s="27"/>
      <c r="V815" s="27"/>
      <c r="W815" s="27"/>
      <c r="X815" s="27" t="s">
        <v>452</v>
      </c>
      <c r="Y815" s="27">
        <f>S845</f>
        <v>0</v>
      </c>
      <c r="Z815" s="27">
        <f>Y815*S814</f>
        <v>0</v>
      </c>
      <c r="AA815" s="27"/>
      <c r="AB815" s="27"/>
      <c r="AC815" s="27"/>
      <c r="AD815" s="27"/>
      <c r="AE815" s="27"/>
      <c r="AF815" s="27"/>
      <c r="AG815" s="27"/>
      <c r="AH815" s="27"/>
      <c r="AI815" s="27"/>
      <c r="AJ815" s="27"/>
      <c r="AK815" s="27"/>
      <c r="AL815" s="27"/>
      <c r="AM815" s="27"/>
      <c r="AN815" s="27"/>
      <c r="AO815" s="27"/>
      <c r="AP815" s="27"/>
      <c r="AQ815" s="27"/>
      <c r="AR815" s="27"/>
      <c r="AS815" s="27"/>
      <c r="AT815" s="27"/>
      <c r="AU815" s="27"/>
      <c r="AV815" s="27"/>
      <c r="AW815" s="27"/>
      <c r="AX815" s="27"/>
      <c r="AY815" s="27"/>
      <c r="AZ815" s="27"/>
      <c r="BA815" s="27"/>
      <c r="BB815" s="27"/>
      <c r="BC815" s="27"/>
      <c r="BD815" s="27"/>
      <c r="BE815" s="27"/>
      <c r="BF815" s="27"/>
      <c r="BG815" s="27"/>
      <c r="BH815" s="27"/>
      <c r="BI815" s="27"/>
      <c r="BJ815" s="27"/>
      <c r="BK815" s="27"/>
      <c r="BL815" s="27"/>
      <c r="BM815" s="27"/>
      <c r="BN815" s="27"/>
      <c r="BO815" s="27"/>
      <c r="BP815" s="27"/>
      <c r="BQ815" s="27"/>
      <c r="BR815" s="27"/>
      <c r="BS815" s="27"/>
      <c r="BT815" s="27"/>
      <c r="BU815" s="27"/>
      <c r="BV815" s="27"/>
      <c r="BW815" s="27"/>
      <c r="BX815" s="27"/>
      <c r="BY815" s="27"/>
      <c r="BZ815" s="27"/>
      <c r="CA815" s="27"/>
      <c r="CB815" s="27"/>
      <c r="CC815" s="27"/>
      <c r="CD815" s="27"/>
      <c r="CE815" s="27"/>
      <c r="CF815" s="27"/>
      <c r="CG815" s="27"/>
      <c r="CH815" s="27"/>
      <c r="CI815" s="27"/>
      <c r="CJ815" s="27"/>
      <c r="CK815" s="27"/>
      <c r="CL815" s="27"/>
      <c r="CM815" s="27"/>
      <c r="CN815" s="27"/>
      <c r="CO815" s="27"/>
      <c r="CP815" s="27"/>
      <c r="CQ815" s="27"/>
      <c r="CR815" s="27"/>
      <c r="CS815" s="27"/>
      <c r="CT815" s="27"/>
      <c r="CU815" s="27"/>
      <c r="CV815" s="27"/>
      <c r="CW815" s="27"/>
      <c r="CX815" s="27"/>
      <c r="CY815" s="27"/>
      <c r="CZ815" s="27"/>
      <c r="DA815" s="27"/>
      <c r="DB815" s="27"/>
      <c r="DC815" s="27"/>
      <c r="DD815" s="27"/>
      <c r="DE815" s="27"/>
      <c r="DF815" s="27"/>
      <c r="DG815" s="27"/>
      <c r="DH815" s="27"/>
      <c r="DI815" s="27"/>
      <c r="DJ815" s="27"/>
      <c r="DK815" s="27"/>
      <c r="DL815" s="27"/>
      <c r="DM815" s="27"/>
      <c r="DN815" s="27"/>
      <c r="DO815" s="27"/>
      <c r="DP815" s="27"/>
      <c r="DQ815" s="27"/>
      <c r="DR815" s="27"/>
      <c r="DS815" s="27"/>
      <c r="DT815" s="27"/>
    </row>
    <row r="816" spans="7:124" x14ac:dyDescent="0.2">
      <c r="G816" s="27"/>
      <c r="H816" s="27"/>
      <c r="I816" s="27"/>
      <c r="J816" s="27"/>
      <c r="K816" s="27"/>
      <c r="L816" s="27"/>
      <c r="M816" s="27"/>
      <c r="N816" s="27"/>
      <c r="O816" s="27"/>
      <c r="P816" s="27"/>
      <c r="Q816" s="27"/>
      <c r="R816" s="27"/>
      <c r="S816" s="27"/>
      <c r="T816" s="27"/>
      <c r="U816" s="27"/>
      <c r="V816" s="27"/>
      <c r="W816" s="27"/>
      <c r="X816" s="27" t="s">
        <v>3</v>
      </c>
      <c r="Y816" s="27" t="e">
        <f>(SUM(Y810:Y814)+500)*S810</f>
        <v>#N/A</v>
      </c>
      <c r="Z816" s="27" t="e">
        <f>Y816*S814</f>
        <v>#N/A</v>
      </c>
      <c r="AA816" s="27"/>
      <c r="AB816" s="27"/>
      <c r="AC816" s="27"/>
      <c r="AD816" s="27"/>
      <c r="AE816" s="27"/>
      <c r="AF816" s="27"/>
      <c r="AG816" s="27"/>
      <c r="AH816" s="27"/>
      <c r="AI816" s="27"/>
      <c r="AJ816" s="27"/>
      <c r="AK816" s="27"/>
      <c r="AL816" s="27"/>
      <c r="AM816" s="27"/>
      <c r="AN816" s="27"/>
      <c r="AO816" s="27"/>
      <c r="AP816" s="27"/>
      <c r="AQ816" s="27"/>
      <c r="AR816" s="27"/>
      <c r="AS816" s="27"/>
      <c r="AT816" s="27"/>
      <c r="AU816" s="27"/>
      <c r="AV816" s="27"/>
      <c r="AW816" s="27"/>
      <c r="AX816" s="27"/>
      <c r="AY816" s="27"/>
      <c r="AZ816" s="27"/>
      <c r="BA816" s="27"/>
      <c r="BB816" s="27"/>
      <c r="BC816" s="27"/>
      <c r="BD816" s="27"/>
      <c r="BE816" s="27"/>
      <c r="BF816" s="27"/>
      <c r="BG816" s="27"/>
      <c r="BH816" s="27"/>
      <c r="BI816" s="27"/>
      <c r="BJ816" s="27"/>
      <c r="BK816" s="27"/>
      <c r="BL816" s="27"/>
      <c r="BM816" s="27"/>
      <c r="BN816" s="27"/>
      <c r="BO816" s="27"/>
      <c r="BP816" s="27"/>
      <c r="BQ816" s="27"/>
      <c r="BR816" s="27"/>
      <c r="BS816" s="27"/>
      <c r="BT816" s="27"/>
      <c r="BU816" s="27"/>
      <c r="BV816" s="27"/>
      <c r="BW816" s="27"/>
      <c r="BX816" s="27"/>
      <c r="BY816" s="27"/>
      <c r="BZ816" s="27"/>
      <c r="CA816" s="27"/>
      <c r="CB816" s="27"/>
      <c r="CC816" s="27"/>
      <c r="CD816" s="27"/>
      <c r="CE816" s="27"/>
      <c r="CF816" s="27"/>
      <c r="CG816" s="27"/>
      <c r="CH816" s="27"/>
      <c r="CI816" s="27"/>
      <c r="CJ816" s="27"/>
      <c r="CK816" s="27"/>
      <c r="CL816" s="27"/>
      <c r="CM816" s="27"/>
      <c r="CN816" s="27"/>
      <c r="CO816" s="27"/>
      <c r="CP816" s="27"/>
      <c r="CQ816" s="27"/>
      <c r="CR816" s="27"/>
      <c r="CS816" s="27"/>
      <c r="CT816" s="27"/>
      <c r="CU816" s="27"/>
      <c r="CV816" s="27"/>
      <c r="CW816" s="27"/>
      <c r="CX816" s="27"/>
      <c r="CY816" s="27"/>
      <c r="CZ816" s="27"/>
      <c r="DA816" s="27"/>
      <c r="DB816" s="27"/>
      <c r="DC816" s="27"/>
      <c r="DD816" s="27"/>
      <c r="DE816" s="27"/>
      <c r="DF816" s="27"/>
      <c r="DG816" s="27"/>
      <c r="DH816" s="27"/>
      <c r="DI816" s="27"/>
      <c r="DJ816" s="27"/>
      <c r="DK816" s="27"/>
      <c r="DL816" s="27"/>
      <c r="DM816" s="27"/>
      <c r="DN816" s="27"/>
      <c r="DO816" s="27"/>
      <c r="DP816" s="27"/>
      <c r="DQ816" s="27"/>
      <c r="DR816" s="27"/>
      <c r="DS816" s="27"/>
      <c r="DT816" s="27"/>
    </row>
    <row r="817" spans="7:124" x14ac:dyDescent="0.2">
      <c r="G817" s="27"/>
      <c r="H817" s="27"/>
      <c r="I817" s="27"/>
      <c r="J817" s="27"/>
      <c r="K817" s="27"/>
      <c r="L817" s="27"/>
      <c r="M817" s="27"/>
      <c r="N817" s="27"/>
      <c r="O817" s="27"/>
      <c r="P817" s="27"/>
      <c r="Q817" s="27">
        <v>2001</v>
      </c>
      <c r="R817" s="27"/>
      <c r="S817" s="27"/>
      <c r="T817" s="27"/>
      <c r="U817" s="27"/>
      <c r="V817" s="27"/>
      <c r="W817" s="27"/>
      <c r="X817" s="27" t="s">
        <v>128</v>
      </c>
      <c r="Y817" s="27">
        <f>($I$781+$I$782+$I$784+$I$785+$I$783+500)*1.2%*($C$52+$C$51)</f>
        <v>0</v>
      </c>
      <c r="Z817" s="27">
        <f>Y817*S814</f>
        <v>0</v>
      </c>
      <c r="AA817" s="27"/>
      <c r="AB817" s="27"/>
      <c r="AC817" s="27"/>
      <c r="AD817" s="27"/>
      <c r="AE817" s="27"/>
      <c r="AF817" s="27"/>
      <c r="AG817" s="27"/>
      <c r="AH817" s="27"/>
      <c r="AI817" s="27"/>
      <c r="AJ817" s="27"/>
      <c r="AK817" s="27"/>
      <c r="AL817" s="27"/>
      <c r="AM817" s="27"/>
      <c r="AN817" s="27"/>
      <c r="AO817" s="27"/>
      <c r="AP817" s="27"/>
      <c r="AQ817" s="27"/>
      <c r="AR817" s="27"/>
      <c r="AS817" s="27"/>
      <c r="AT817" s="27"/>
      <c r="AU817" s="27"/>
      <c r="AV817" s="27"/>
      <c r="AW817" s="27"/>
      <c r="AX817" s="27"/>
      <c r="AY817" s="27"/>
      <c r="AZ817" s="27"/>
      <c r="BA817" s="27"/>
      <c r="BB817" s="27"/>
      <c r="BC817" s="27"/>
      <c r="BD817" s="27"/>
      <c r="BE817" s="27"/>
      <c r="BF817" s="27"/>
      <c r="BG817" s="27"/>
      <c r="BH817" s="27"/>
      <c r="BI817" s="27"/>
      <c r="BJ817" s="27"/>
      <c r="BK817" s="27"/>
      <c r="BL817" s="27"/>
      <c r="BM817" s="27"/>
      <c r="BN817" s="27"/>
      <c r="BO817" s="27"/>
      <c r="BP817" s="27"/>
      <c r="BQ817" s="27"/>
      <c r="BR817" s="27"/>
      <c r="BS817" s="27"/>
      <c r="BT817" s="27"/>
      <c r="BU817" s="27"/>
      <c r="BV817" s="27"/>
      <c r="BW817" s="27"/>
      <c r="BX817" s="27"/>
      <c r="BY817" s="27"/>
      <c r="BZ817" s="27"/>
      <c r="CA817" s="27"/>
      <c r="CB817" s="27"/>
      <c r="CC817" s="27"/>
      <c r="CD817" s="27"/>
      <c r="CE817" s="27"/>
      <c r="CF817" s="27"/>
      <c r="CG817" s="27"/>
      <c r="CH817" s="27"/>
      <c r="CI817" s="27"/>
      <c r="CJ817" s="27"/>
      <c r="CK817" s="27"/>
      <c r="CL817" s="27"/>
      <c r="CM817" s="27"/>
      <c r="CN817" s="27"/>
      <c r="CO817" s="27"/>
      <c r="CP817" s="27"/>
      <c r="CQ817" s="27"/>
      <c r="CR817" s="27"/>
      <c r="CS817" s="27"/>
      <c r="CT817" s="27"/>
      <c r="CU817" s="27"/>
      <c r="CV817" s="27"/>
      <c r="CW817" s="27"/>
      <c r="CX817" s="27"/>
      <c r="CY817" s="27"/>
      <c r="CZ817" s="27"/>
      <c r="DA817" s="27"/>
      <c r="DB817" s="27"/>
      <c r="DC817" s="27"/>
      <c r="DD817" s="27"/>
      <c r="DE817" s="27"/>
      <c r="DF817" s="27"/>
      <c r="DG817" s="27"/>
      <c r="DH817" s="27"/>
      <c r="DI817" s="27"/>
      <c r="DJ817" s="27"/>
      <c r="DK817" s="27"/>
      <c r="DL817" s="27"/>
      <c r="DM817" s="27"/>
      <c r="DN817" s="27"/>
      <c r="DO817" s="27"/>
      <c r="DP817" s="27"/>
      <c r="DQ817" s="27"/>
      <c r="DR817" s="27"/>
      <c r="DS817" s="27"/>
      <c r="DT817" s="27"/>
    </row>
    <row r="818" spans="7:124" x14ac:dyDescent="0.2">
      <c r="G818" s="27"/>
      <c r="H818" s="27"/>
      <c r="I818" s="27"/>
      <c r="J818" s="27"/>
      <c r="K818" s="27"/>
      <c r="L818" s="27"/>
      <c r="M818" s="27"/>
      <c r="N818" s="27"/>
      <c r="O818" s="27"/>
      <c r="P818" s="27"/>
      <c r="Q818" s="27"/>
      <c r="R818" s="27"/>
      <c r="S818" s="27"/>
      <c r="T818" s="27"/>
      <c r="U818" s="27"/>
      <c r="V818" s="27"/>
      <c r="W818" s="27"/>
      <c r="X818" s="27" t="s">
        <v>150</v>
      </c>
      <c r="Y818" s="27" t="e">
        <f>S813*(SUM(Y810:Y814)+Y824)</f>
        <v>#N/A</v>
      </c>
      <c r="Z818" s="27" t="e">
        <f>Y818*S814</f>
        <v>#N/A</v>
      </c>
      <c r="AA818" s="27"/>
      <c r="AB818" s="27"/>
      <c r="AC818" s="27"/>
      <c r="AD818" s="27"/>
      <c r="AE818" s="27"/>
      <c r="AF818" s="27"/>
      <c r="AG818" s="27"/>
      <c r="AH818" s="27"/>
      <c r="AI818" s="27"/>
      <c r="AJ818" s="27"/>
      <c r="AK818" s="27"/>
      <c r="AL818" s="27"/>
      <c r="AM818" s="27"/>
      <c r="AN818" s="27"/>
      <c r="AO818" s="27"/>
      <c r="AP818" s="27"/>
      <c r="AQ818" s="27"/>
      <c r="AR818" s="27"/>
      <c r="AS818" s="27"/>
      <c r="AT818" s="27"/>
      <c r="AU818" s="27"/>
      <c r="AV818" s="27"/>
      <c r="AW818" s="27"/>
      <c r="AX818" s="27"/>
      <c r="AY818" s="27"/>
      <c r="AZ818" s="27"/>
      <c r="BA818" s="27"/>
      <c r="BB818" s="27"/>
      <c r="BC818" s="27"/>
      <c r="BD818" s="27"/>
      <c r="BE818" s="27"/>
      <c r="BF818" s="27"/>
      <c r="BG818" s="27"/>
      <c r="BH818" s="27"/>
      <c r="BI818" s="27"/>
      <c r="BJ818" s="27"/>
      <c r="BK818" s="27"/>
      <c r="BL818" s="27"/>
      <c r="BM818" s="27"/>
      <c r="BN818" s="27"/>
      <c r="BO818" s="27"/>
      <c r="BP818" s="27"/>
      <c r="BQ818" s="27"/>
      <c r="BR818" s="27"/>
      <c r="BS818" s="27"/>
      <c r="BT818" s="27"/>
      <c r="BU818" s="27"/>
      <c r="BV818" s="27"/>
      <c r="BW818" s="27"/>
      <c r="BX818" s="27"/>
      <c r="BY818" s="27"/>
      <c r="BZ818" s="27"/>
      <c r="CA818" s="27"/>
      <c r="CB818" s="27"/>
      <c r="CC818" s="27"/>
      <c r="CD818" s="27"/>
      <c r="CE818" s="27"/>
      <c r="CF818" s="27"/>
      <c r="CG818" s="27"/>
      <c r="CH818" s="27"/>
      <c r="CI818" s="27"/>
      <c r="CJ818" s="27"/>
      <c r="CK818" s="27"/>
      <c r="CL818" s="27"/>
      <c r="CM818" s="27"/>
      <c r="CN818" s="27"/>
      <c r="CO818" s="27"/>
      <c r="CP818" s="27"/>
      <c r="CQ818" s="27"/>
      <c r="CR818" s="27"/>
      <c r="CS818" s="27"/>
      <c r="CT818" s="27"/>
      <c r="CU818" s="27"/>
      <c r="CV818" s="27"/>
      <c r="CW818" s="27"/>
      <c r="CX818" s="27"/>
      <c r="CY818" s="27"/>
      <c r="CZ818" s="27"/>
      <c r="DA818" s="27"/>
      <c r="DB818" s="27"/>
      <c r="DC818" s="27"/>
      <c r="DD818" s="27"/>
      <c r="DE818" s="27"/>
      <c r="DF818" s="27"/>
      <c r="DG818" s="27"/>
      <c r="DH818" s="27"/>
      <c r="DI818" s="27"/>
      <c r="DJ818" s="27"/>
      <c r="DK818" s="27"/>
      <c r="DL818" s="27"/>
      <c r="DM818" s="27"/>
      <c r="DN818" s="27"/>
      <c r="DO818" s="27"/>
      <c r="DP818" s="27"/>
      <c r="DQ818" s="27"/>
      <c r="DR818" s="27"/>
      <c r="DS818" s="27"/>
      <c r="DT818" s="27"/>
    </row>
    <row r="819" spans="7:124" x14ac:dyDescent="0.2">
      <c r="G819" s="27"/>
      <c r="H819" s="27"/>
      <c r="I819" s="27"/>
      <c r="J819" s="27"/>
      <c r="K819" s="27"/>
      <c r="L819" s="27"/>
      <c r="M819" s="27"/>
      <c r="N819" s="27"/>
      <c r="O819" s="27"/>
      <c r="P819" s="27"/>
      <c r="Q819" s="27">
        <v>2008</v>
      </c>
      <c r="R819" s="27"/>
      <c r="S819" s="27"/>
      <c r="T819" s="27"/>
      <c r="U819" s="27"/>
      <c r="V819" s="27"/>
      <c r="W819" s="27"/>
      <c r="X819" s="27" t="str">
        <f>IF(S808=CS815,"גמול תואר","גמול תואר שלישי")</f>
        <v>גמול תואר</v>
      </c>
      <c r="Y819" s="27" t="e">
        <f>IF(S808=CS815,(SUM(Y810:Y814)+Y824)*5%,IF(S808=CR819,(5%)*(SUM(Y810:Y814)),0))</f>
        <v>#N/A</v>
      </c>
      <c r="Z819" s="27" t="e">
        <f>Y819*S814</f>
        <v>#N/A</v>
      </c>
      <c r="AA819" s="27"/>
      <c r="AB819" s="27"/>
      <c r="AC819" s="27"/>
      <c r="AD819" s="27"/>
      <c r="AE819" s="27"/>
      <c r="AF819" s="27"/>
      <c r="AG819" s="27"/>
      <c r="AH819" s="27"/>
      <c r="AI819" s="27"/>
      <c r="AJ819" s="27"/>
      <c r="AK819" s="27"/>
      <c r="AL819" s="27"/>
      <c r="AM819" s="27"/>
      <c r="AN819" s="27"/>
      <c r="AO819" s="27"/>
      <c r="AP819" s="27"/>
      <c r="AQ819" s="27"/>
      <c r="AR819" s="27"/>
      <c r="AS819" s="27"/>
      <c r="AT819" s="27"/>
      <c r="AU819" s="27"/>
      <c r="AV819" s="27"/>
      <c r="AW819" s="27"/>
      <c r="AX819" s="27"/>
      <c r="AY819" s="27"/>
      <c r="AZ819" s="27"/>
      <c r="BA819" s="27"/>
      <c r="BB819" s="27"/>
      <c r="BC819" s="27"/>
      <c r="BD819" s="27"/>
      <c r="BE819" s="27"/>
      <c r="BF819" s="27"/>
      <c r="BG819" s="27"/>
      <c r="BH819" s="27"/>
      <c r="BI819" s="27"/>
      <c r="BJ819" s="27"/>
      <c r="BK819" s="27"/>
      <c r="BL819" s="27"/>
      <c r="BM819" s="27"/>
      <c r="BN819" s="27"/>
      <c r="BO819" s="27"/>
      <c r="BP819" s="27"/>
      <c r="BQ819" s="27"/>
      <c r="BR819" s="27"/>
      <c r="BS819" s="27"/>
      <c r="BT819" s="27"/>
      <c r="BU819" s="27"/>
      <c r="BV819" s="27"/>
      <c r="BW819" s="27"/>
      <c r="BX819" s="27"/>
      <c r="BY819" s="27"/>
      <c r="BZ819" s="27"/>
      <c r="CA819" s="27"/>
      <c r="CB819" s="27"/>
      <c r="CC819" s="27"/>
      <c r="CD819" s="27"/>
      <c r="CE819" s="27"/>
      <c r="CF819" s="27"/>
      <c r="CG819" s="27"/>
      <c r="CH819" s="27"/>
      <c r="CI819" s="27"/>
      <c r="CJ819" s="27"/>
      <c r="CK819" s="27"/>
      <c r="CL819" s="27"/>
      <c r="CM819" s="27"/>
      <c r="CN819" s="27"/>
      <c r="CO819" s="27"/>
      <c r="CP819" s="27"/>
      <c r="CQ819" s="27"/>
      <c r="CR819" s="27"/>
      <c r="CS819" s="27"/>
      <c r="CT819" s="27"/>
      <c r="CU819" s="27"/>
      <c r="CV819" s="27"/>
      <c r="CW819" s="27"/>
      <c r="CX819" s="27"/>
      <c r="CY819" s="27"/>
      <c r="CZ819" s="27"/>
      <c r="DA819" s="27"/>
      <c r="DB819" s="27"/>
      <c r="DC819" s="27"/>
      <c r="DD819" s="27"/>
      <c r="DE819" s="27"/>
      <c r="DF819" s="27"/>
      <c r="DG819" s="27"/>
      <c r="DH819" s="27"/>
      <c r="DI819" s="27"/>
      <c r="DJ819" s="27"/>
      <c r="DK819" s="27"/>
      <c r="DL819" s="27"/>
      <c r="DM819" s="27"/>
      <c r="DN819" s="27"/>
      <c r="DO819" s="27"/>
      <c r="DP819" s="27"/>
      <c r="DQ819" s="27"/>
      <c r="DR819" s="27"/>
      <c r="DS819" s="27"/>
      <c r="DT819" s="27"/>
    </row>
    <row r="820" spans="7:124" x14ac:dyDescent="0.2">
      <c r="G820" s="27"/>
      <c r="H820" s="27"/>
      <c r="I820" s="27"/>
      <c r="J820" s="27"/>
      <c r="K820" s="27"/>
      <c r="L820" s="27"/>
      <c r="M820" s="27"/>
      <c r="N820" s="27"/>
      <c r="O820" s="27"/>
      <c r="P820" s="27"/>
      <c r="Q820" s="27" t="s">
        <v>450</v>
      </c>
      <c r="R820" s="27"/>
      <c r="S820" s="27"/>
      <c r="T820" s="27"/>
      <c r="U820" s="27"/>
      <c r="V820" s="27"/>
      <c r="W820" s="27"/>
      <c r="X820" s="27" t="s">
        <v>65</v>
      </c>
      <c r="Y820" s="27" t="e">
        <f>S866*(SUM(Y810:Y814)+500)</f>
        <v>#N/A</v>
      </c>
      <c r="Z820" s="27" t="e">
        <f>Y820*S814</f>
        <v>#N/A</v>
      </c>
      <c r="AA820" s="27"/>
      <c r="AB820" s="27"/>
      <c r="AC820" s="27"/>
      <c r="AD820" s="27"/>
      <c r="AE820" s="27"/>
      <c r="AF820" s="27"/>
      <c r="AG820" s="27"/>
      <c r="AH820" s="27"/>
      <c r="AI820" s="27"/>
      <c r="AJ820" s="27"/>
      <c r="AK820" s="27"/>
      <c r="AL820" s="27"/>
      <c r="AM820" s="27"/>
      <c r="AN820" s="27"/>
      <c r="AO820" s="27"/>
      <c r="AP820" s="27"/>
      <c r="AQ820" s="27"/>
      <c r="AR820" s="27"/>
      <c r="AS820" s="27"/>
      <c r="AT820" s="27"/>
      <c r="AU820" s="27"/>
      <c r="AV820" s="27"/>
      <c r="AW820" s="27"/>
      <c r="AX820" s="27"/>
      <c r="AY820" s="27"/>
      <c r="AZ820" s="27"/>
      <c r="BA820" s="27"/>
      <c r="BB820" s="27"/>
      <c r="BC820" s="27"/>
      <c r="BD820" s="27"/>
      <c r="BE820" s="27"/>
      <c r="BF820" s="27"/>
      <c r="BG820" s="27"/>
      <c r="BH820" s="27"/>
      <c r="BI820" s="27"/>
      <c r="BJ820" s="27"/>
      <c r="BK820" s="27"/>
      <c r="BL820" s="27"/>
      <c r="BM820" s="27"/>
      <c r="BN820" s="27"/>
      <c r="BO820" s="27"/>
      <c r="BP820" s="27"/>
      <c r="BQ820" s="27"/>
      <c r="BR820" s="27"/>
      <c r="BS820" s="27"/>
      <c r="BT820" s="27"/>
      <c r="BU820" s="27"/>
      <c r="BV820" s="27"/>
      <c r="BW820" s="27"/>
      <c r="BX820" s="27"/>
      <c r="BY820" s="27"/>
      <c r="BZ820" s="27"/>
      <c r="CA820" s="27"/>
      <c r="CB820" s="27"/>
      <c r="CC820" s="27"/>
      <c r="CD820" s="27"/>
      <c r="CE820" s="27"/>
      <c r="CF820" s="27"/>
      <c r="CG820" s="27"/>
      <c r="CH820" s="27"/>
      <c r="CI820" s="27"/>
      <c r="CJ820" s="27"/>
      <c r="CK820" s="27"/>
      <c r="CL820" s="27"/>
      <c r="CM820" s="27"/>
      <c r="CN820" s="27"/>
      <c r="CO820" s="27"/>
      <c r="CP820" s="27"/>
      <c r="CQ820" s="27"/>
      <c r="CR820" s="27"/>
      <c r="CS820" s="27"/>
      <c r="CT820" s="27"/>
      <c r="CU820" s="27"/>
      <c r="CV820" s="27"/>
      <c r="CW820" s="27"/>
      <c r="CX820" s="27"/>
      <c r="CY820" s="27"/>
      <c r="CZ820" s="27"/>
      <c r="DA820" s="27"/>
      <c r="DB820" s="27"/>
      <c r="DC820" s="27"/>
      <c r="DD820" s="27"/>
      <c r="DE820" s="27"/>
      <c r="DF820" s="27"/>
      <c r="DG820" s="27"/>
      <c r="DH820" s="27"/>
      <c r="DI820" s="27"/>
      <c r="DJ820" s="27"/>
      <c r="DK820" s="27"/>
      <c r="DL820" s="27"/>
      <c r="DM820" s="27"/>
      <c r="DN820" s="27"/>
      <c r="DO820" s="27"/>
      <c r="DP820" s="27"/>
      <c r="DQ820" s="27"/>
      <c r="DR820" s="27"/>
      <c r="DS820" s="27"/>
      <c r="DT820" s="27"/>
    </row>
    <row r="821" spans="7:124" x14ac:dyDescent="0.2">
      <c r="G821" s="27"/>
      <c r="H821" s="27"/>
      <c r="I821" s="27"/>
      <c r="J821" s="27"/>
      <c r="K821" s="27"/>
      <c r="L821" s="27"/>
      <c r="M821" s="27"/>
      <c r="N821" s="27"/>
      <c r="O821" s="27"/>
      <c r="P821" s="27"/>
      <c r="Q821" s="27"/>
      <c r="R821" s="27"/>
      <c r="S821" s="27"/>
      <c r="T821" s="27"/>
      <c r="U821" s="27"/>
      <c r="V821" s="27"/>
      <c r="W821" s="27"/>
      <c r="X821" s="27" t="s">
        <v>6</v>
      </c>
      <c r="Y821" s="27" t="e">
        <f>($I$781+Y811+ד3+Y813+Y814+Y824)*$C$55</f>
        <v>#N/A</v>
      </c>
      <c r="Z821" s="27" t="e">
        <f>Y821</f>
        <v>#N/A</v>
      </c>
      <c r="AA821" s="27"/>
      <c r="AB821" s="27"/>
      <c r="AC821" s="27"/>
      <c r="AD821" s="27"/>
      <c r="AE821" s="27"/>
      <c r="AF821" s="27"/>
      <c r="AG821" s="27"/>
      <c r="AH821" s="27"/>
      <c r="AI821" s="27"/>
      <c r="AJ821" s="27"/>
      <c r="AK821" s="27"/>
      <c r="AL821" s="27"/>
      <c r="AM821" s="27"/>
      <c r="AN821" s="27"/>
      <c r="AO821" s="27"/>
      <c r="AP821" s="27"/>
      <c r="AQ821" s="27"/>
      <c r="AR821" s="27"/>
      <c r="AS821" s="27"/>
      <c r="AT821" s="27"/>
      <c r="AU821" s="27"/>
      <c r="AV821" s="27"/>
      <c r="AW821" s="27"/>
      <c r="AX821" s="27"/>
      <c r="AY821" s="27"/>
      <c r="AZ821" s="27"/>
      <c r="BA821" s="27"/>
      <c r="BB821" s="27"/>
      <c r="BC821" s="27"/>
      <c r="BD821" s="27"/>
      <c r="BE821" s="27"/>
      <c r="BF821" s="27"/>
      <c r="BG821" s="27"/>
      <c r="BH821" s="27"/>
      <c r="BI821" s="27"/>
      <c r="BJ821" s="27"/>
      <c r="BK821" s="27"/>
      <c r="BL821" s="27"/>
      <c r="BM821" s="27"/>
      <c r="BN821" s="27"/>
      <c r="BO821" s="27"/>
      <c r="BP821" s="27"/>
      <c r="BQ821" s="27"/>
      <c r="BR821" s="27"/>
      <c r="BS821" s="27"/>
      <c r="BT821" s="27"/>
      <c r="BU821" s="27"/>
      <c r="BV821" s="27"/>
      <c r="BW821" s="27"/>
      <c r="BX821" s="27"/>
      <c r="BY821" s="27"/>
      <c r="BZ821" s="27"/>
      <c r="CA821" s="27"/>
      <c r="CB821" s="27"/>
      <c r="CC821" s="27"/>
      <c r="CD821" s="27"/>
      <c r="CE821" s="27"/>
      <c r="CF821" s="27"/>
      <c r="CG821" s="27"/>
      <c r="CH821" s="27"/>
      <c r="CI821" s="27"/>
      <c r="CJ821" s="27"/>
      <c r="CK821" s="27"/>
      <c r="CL821" s="27"/>
      <c r="CM821" s="27"/>
      <c r="CN821" s="27"/>
      <c r="CO821" s="27"/>
      <c r="CP821" s="27"/>
      <c r="CQ821" s="27"/>
      <c r="CR821" s="27"/>
      <c r="CS821" s="27"/>
      <c r="CT821" s="27"/>
      <c r="CU821" s="27"/>
      <c r="CV821" s="27"/>
      <c r="CW821" s="27"/>
      <c r="CX821" s="27"/>
      <c r="CY821" s="27"/>
      <c r="CZ821" s="27"/>
      <c r="DA821" s="27"/>
      <c r="DB821" s="27"/>
      <c r="DC821" s="27"/>
      <c r="DD821" s="27"/>
      <c r="DE821" s="27"/>
      <c r="DF821" s="27"/>
      <c r="DG821" s="27"/>
      <c r="DH821" s="27"/>
      <c r="DI821" s="27"/>
      <c r="DJ821" s="27"/>
      <c r="DK821" s="27"/>
      <c r="DL821" s="27"/>
      <c r="DM821" s="27"/>
      <c r="DN821" s="27"/>
      <c r="DO821" s="27"/>
      <c r="DP821" s="27"/>
      <c r="DQ821" s="27"/>
      <c r="DR821" s="27"/>
      <c r="DS821" s="27"/>
      <c r="DT821" s="27"/>
    </row>
    <row r="822" spans="7:124" x14ac:dyDescent="0.2">
      <c r="G822" s="27"/>
      <c r="H822" s="27"/>
      <c r="I822" s="27"/>
      <c r="J822" s="27"/>
      <c r="K822" s="27"/>
      <c r="L822" s="27"/>
      <c r="M822" s="27"/>
      <c r="N822" s="27"/>
      <c r="O822" s="27"/>
      <c r="P822" s="27"/>
      <c r="Q822" s="27"/>
      <c r="R822" s="27"/>
      <c r="S822" s="27"/>
      <c r="T822" s="27"/>
      <c r="U822" s="27"/>
      <c r="V822" s="27"/>
      <c r="W822" s="27"/>
      <c r="X822" s="27">
        <f>R826</f>
        <v>0</v>
      </c>
      <c r="Y822" s="27" t="e">
        <f>(Y810+Y811+ד3+Y813+Y814+Y824)*$C$78</f>
        <v>#N/A</v>
      </c>
      <c r="Z822" s="27" t="e">
        <f>Y822*S814</f>
        <v>#N/A</v>
      </c>
      <c r="AA822" s="27"/>
      <c r="AB822" s="27"/>
      <c r="AC822" s="27"/>
      <c r="AD822" s="27"/>
      <c r="AE822" s="27"/>
      <c r="AF822" s="27"/>
      <c r="AG822" s="27"/>
      <c r="AH822" s="27"/>
      <c r="AI822" s="27"/>
      <c r="AJ822" s="27"/>
      <c r="AK822" s="27"/>
      <c r="AL822" s="27"/>
      <c r="AM822" s="27"/>
      <c r="AN822" s="27"/>
      <c r="AO822" s="27"/>
      <c r="AP822" s="27"/>
      <c r="AQ822" s="27"/>
      <c r="AR822" s="27"/>
      <c r="AS822" s="27"/>
      <c r="AT822" s="27"/>
      <c r="AU822" s="27"/>
      <c r="AV822" s="27"/>
      <c r="AW822" s="27"/>
      <c r="AX822" s="27"/>
      <c r="AY822" s="27"/>
      <c r="AZ822" s="27"/>
      <c r="BA822" s="27"/>
      <c r="BB822" s="27"/>
      <c r="BC822" s="27"/>
      <c r="BD822" s="27"/>
      <c r="BE822" s="27"/>
      <c r="BF822" s="27"/>
      <c r="BG822" s="27"/>
      <c r="BH822" s="27"/>
      <c r="BI822" s="27"/>
      <c r="BJ822" s="27"/>
      <c r="BK822" s="27"/>
      <c r="BL822" s="27"/>
      <c r="BM822" s="27"/>
      <c r="BN822" s="27"/>
      <c r="BO822" s="27"/>
      <c r="BP822" s="27"/>
      <c r="BQ822" s="27"/>
      <c r="BR822" s="27"/>
      <c r="BS822" s="27"/>
      <c r="BT822" s="27"/>
      <c r="BU822" s="27"/>
      <c r="BV822" s="27"/>
      <c r="BW822" s="27"/>
      <c r="BX822" s="27"/>
      <c r="BY822" s="27"/>
      <c r="BZ822" s="27"/>
      <c r="CA822" s="27"/>
      <c r="CB822" s="27"/>
      <c r="CC822" s="27"/>
      <c r="CD822" s="27"/>
      <c r="CE822" s="27"/>
      <c r="CF822" s="27"/>
      <c r="CG822" s="27"/>
      <c r="CH822" s="27"/>
      <c r="CI822" s="27"/>
      <c r="CJ822" s="27"/>
      <c r="CK822" s="27"/>
      <c r="CL822" s="27"/>
      <c r="CM822" s="27"/>
      <c r="CN822" s="27"/>
      <c r="CO822" s="27"/>
      <c r="CP822" s="27"/>
      <c r="CQ822" s="27"/>
      <c r="CR822" s="27"/>
      <c r="CS822" s="27"/>
      <c r="CT822" s="27"/>
      <c r="CU822" s="27"/>
      <c r="CV822" s="27"/>
      <c r="CW822" s="27"/>
      <c r="CX822" s="27"/>
      <c r="CY822" s="27"/>
      <c r="CZ822" s="27"/>
      <c r="DA822" s="27"/>
      <c r="DB822" s="27"/>
      <c r="DC822" s="27"/>
      <c r="DD822" s="27"/>
      <c r="DE822" s="27"/>
      <c r="DF822" s="27"/>
      <c r="DG822" s="27"/>
      <c r="DH822" s="27"/>
      <c r="DI822" s="27"/>
      <c r="DJ822" s="27"/>
      <c r="DK822" s="27"/>
      <c r="DL822" s="27"/>
      <c r="DM822" s="27"/>
      <c r="DN822" s="27"/>
      <c r="DO822" s="27"/>
      <c r="DP822" s="27"/>
      <c r="DQ822" s="27"/>
      <c r="DR822" s="27"/>
      <c r="DS822" s="27"/>
      <c r="DT822" s="27"/>
    </row>
    <row r="823" spans="7:124" x14ac:dyDescent="0.2">
      <c r="G823" s="27"/>
      <c r="H823" s="27"/>
      <c r="I823" s="27"/>
      <c r="J823" s="27"/>
      <c r="K823" s="27"/>
      <c r="L823" s="27"/>
      <c r="M823" s="27" t="s">
        <v>59</v>
      </c>
      <c r="N823" s="27" t="s">
        <v>59</v>
      </c>
      <c r="O823" s="27"/>
      <c r="P823" s="27"/>
      <c r="Q823" s="27"/>
      <c r="R823" s="27"/>
      <c r="S823" s="27"/>
      <c r="T823" s="27"/>
      <c r="U823" s="27"/>
      <c r="V823" s="27"/>
      <c r="W823" s="27"/>
      <c r="X823" s="27" t="s">
        <v>101</v>
      </c>
      <c r="Y823" s="27">
        <v>593.47</v>
      </c>
      <c r="Z823" s="27">
        <f>Y823*$C$54</f>
        <v>0</v>
      </c>
      <c r="AA823" s="27"/>
      <c r="AB823" s="27"/>
      <c r="AC823" s="27"/>
      <c r="AD823" s="27"/>
      <c r="AE823" s="27"/>
      <c r="AF823" s="27"/>
      <c r="AG823" s="27"/>
      <c r="AH823" s="27"/>
      <c r="AI823" s="27"/>
      <c r="AJ823" s="27"/>
      <c r="AK823" s="27"/>
      <c r="AL823" s="27"/>
      <c r="AM823" s="27"/>
      <c r="AN823" s="27"/>
      <c r="AO823" s="27"/>
      <c r="AP823" s="27"/>
      <c r="AQ823" s="27"/>
      <c r="AR823" s="27"/>
      <c r="AS823" s="27"/>
      <c r="AT823" s="27"/>
      <c r="AU823" s="27"/>
      <c r="AV823" s="27"/>
      <c r="AW823" s="27"/>
      <c r="AX823" s="27"/>
      <c r="AY823" s="27"/>
      <c r="AZ823" s="27"/>
      <c r="BA823" s="27"/>
      <c r="BB823" s="27"/>
      <c r="BC823" s="27"/>
      <c r="BD823" s="27"/>
      <c r="BE823" s="27"/>
      <c r="BF823" s="27"/>
      <c r="BG823" s="27"/>
      <c r="BH823" s="27"/>
      <c r="BI823" s="27"/>
      <c r="BJ823" s="27"/>
      <c r="BK823" s="27"/>
      <c r="BL823" s="27"/>
      <c r="BM823" s="27"/>
      <c r="BN823" s="27"/>
      <c r="BO823" s="27"/>
      <c r="BP823" s="27"/>
      <c r="BQ823" s="27"/>
      <c r="BR823" s="27"/>
      <c r="BS823" s="27"/>
      <c r="BT823" s="27"/>
      <c r="BU823" s="27"/>
      <c r="BV823" s="27"/>
      <c r="BW823" s="27"/>
      <c r="BX823" s="27"/>
      <c r="BY823" s="27"/>
      <c r="BZ823" s="27"/>
      <c r="CA823" s="27"/>
      <c r="CB823" s="27"/>
      <c r="CC823" s="27"/>
      <c r="CD823" s="27"/>
      <c r="CE823" s="27"/>
      <c r="CF823" s="27"/>
      <c r="CG823" s="27"/>
      <c r="CH823" s="27"/>
      <c r="CI823" s="27"/>
      <c r="CJ823" s="27"/>
      <c r="CK823" s="27"/>
      <c r="CL823" s="27"/>
      <c r="CM823" s="27"/>
      <c r="CN823" s="27"/>
      <c r="CO823" s="27"/>
      <c r="CP823" s="27"/>
      <c r="CQ823" s="27"/>
      <c r="CR823" s="27"/>
      <c r="CS823" s="27"/>
      <c r="CT823" s="27"/>
      <c r="CU823" s="27"/>
      <c r="CV823" s="27"/>
      <c r="CW823" s="27"/>
      <c r="CX823" s="27"/>
      <c r="CY823" s="27"/>
      <c r="CZ823" s="27"/>
      <c r="DA823" s="27"/>
      <c r="DB823" s="27"/>
      <c r="DC823" s="27"/>
      <c r="DD823" s="27"/>
      <c r="DE823" s="27"/>
      <c r="DF823" s="27"/>
      <c r="DG823" s="27"/>
      <c r="DH823" s="27"/>
      <c r="DI823" s="27"/>
      <c r="DJ823" s="27"/>
      <c r="DK823" s="27"/>
      <c r="DL823" s="27"/>
      <c r="DM823" s="27"/>
      <c r="DN823" s="27"/>
      <c r="DO823" s="27"/>
      <c r="DP823" s="27"/>
      <c r="DQ823" s="27"/>
      <c r="DR823" s="27"/>
      <c r="DS823" s="27"/>
      <c r="DT823" s="27"/>
    </row>
    <row r="824" spans="7:124" x14ac:dyDescent="0.2">
      <c r="G824" s="27"/>
      <c r="H824" s="27"/>
      <c r="I824" s="27"/>
      <c r="J824" s="27"/>
      <c r="K824" s="27" t="s">
        <v>59</v>
      </c>
      <c r="L824" s="27"/>
      <c r="M824" s="27" t="s">
        <v>59</v>
      </c>
      <c r="N824" s="27" t="s">
        <v>59</v>
      </c>
      <c r="O824" s="27"/>
      <c r="P824" s="27"/>
      <c r="Q824" s="27"/>
      <c r="R824" s="27"/>
      <c r="S824" s="27"/>
      <c r="T824" s="27"/>
      <c r="U824" s="27"/>
      <c r="V824" s="27"/>
      <c r="W824" s="27"/>
      <c r="X824" s="27" t="s">
        <v>210</v>
      </c>
      <c r="Y824" s="27">
        <v>500</v>
      </c>
      <c r="Z824" s="27">
        <f>Y824*$C$54</f>
        <v>0</v>
      </c>
      <c r="AA824" s="27"/>
      <c r="AB824" s="27"/>
      <c r="AC824" s="27"/>
      <c r="AD824" s="27"/>
      <c r="AE824" s="27"/>
      <c r="AF824" s="27"/>
      <c r="AG824" s="27"/>
      <c r="AH824" s="27"/>
      <c r="AI824" s="27"/>
      <c r="AJ824" s="27"/>
      <c r="AK824" s="27"/>
      <c r="AL824" s="27"/>
      <c r="AM824" s="27"/>
      <c r="AN824" s="27"/>
      <c r="AO824" s="27"/>
      <c r="AP824" s="27"/>
      <c r="AQ824" s="27"/>
      <c r="AR824" s="27"/>
      <c r="AS824" s="27"/>
      <c r="AT824" s="27"/>
      <c r="AU824" s="27"/>
      <c r="AV824" s="27"/>
      <c r="AW824" s="27"/>
      <c r="AX824" s="27"/>
      <c r="AY824" s="27"/>
      <c r="AZ824" s="27"/>
      <c r="BA824" s="27"/>
      <c r="BB824" s="27"/>
      <c r="BC824" s="27"/>
      <c r="BD824" s="27"/>
      <c r="BE824" s="27"/>
      <c r="BF824" s="27"/>
      <c r="BG824" s="27"/>
      <c r="BH824" s="27"/>
      <c r="BI824" s="27"/>
      <c r="BJ824" s="27"/>
      <c r="BK824" s="27"/>
      <c r="BL824" s="27"/>
      <c r="BM824" s="27"/>
      <c r="BN824" s="27"/>
      <c r="BO824" s="27"/>
      <c r="BP824" s="27"/>
      <c r="BQ824" s="27"/>
      <c r="BR824" s="27"/>
      <c r="BS824" s="27"/>
      <c r="BT824" s="27"/>
      <c r="BU824" s="27"/>
      <c r="BV824" s="27"/>
      <c r="BW824" s="27"/>
      <c r="BX824" s="27"/>
      <c r="BY824" s="27"/>
      <c r="BZ824" s="27"/>
      <c r="CA824" s="27"/>
      <c r="CB824" s="27"/>
      <c r="CC824" s="27"/>
      <c r="CD824" s="27"/>
      <c r="CE824" s="27"/>
      <c r="CF824" s="27"/>
      <c r="CG824" s="27"/>
      <c r="CH824" s="27"/>
      <c r="CI824" s="27"/>
      <c r="CJ824" s="27"/>
      <c r="CK824" s="27"/>
      <c r="CL824" s="27"/>
      <c r="CM824" s="27"/>
      <c r="CN824" s="27"/>
      <c r="CO824" s="27"/>
      <c r="CP824" s="27"/>
      <c r="CQ824" s="27"/>
      <c r="CR824" s="27"/>
      <c r="CS824" s="27"/>
      <c r="CT824" s="27"/>
      <c r="CU824" s="27"/>
      <c r="CV824" s="27"/>
      <c r="CW824" s="27"/>
      <c r="CX824" s="27"/>
      <c r="CY824" s="27"/>
      <c r="CZ824" s="27"/>
      <c r="DA824" s="27"/>
      <c r="DB824" s="27"/>
      <c r="DC824" s="27"/>
      <c r="DD824" s="27"/>
      <c r="DE824" s="27"/>
      <c r="DF824" s="27"/>
      <c r="DG824" s="27"/>
      <c r="DH824" s="27"/>
      <c r="DI824" s="27"/>
      <c r="DJ824" s="27"/>
      <c r="DK824" s="27"/>
      <c r="DL824" s="27"/>
      <c r="DM824" s="27"/>
      <c r="DN824" s="27"/>
      <c r="DO824" s="27"/>
      <c r="DP824" s="27"/>
      <c r="DQ824" s="27"/>
      <c r="DR824" s="27"/>
      <c r="DS824" s="27"/>
      <c r="DT824" s="27"/>
    </row>
    <row r="825" spans="7:124" x14ac:dyDescent="0.2">
      <c r="G825" s="27"/>
      <c r="H825" s="27"/>
      <c r="I825" s="27"/>
      <c r="J825" s="27"/>
      <c r="K825" s="27"/>
      <c r="L825" s="27"/>
      <c r="M825" s="27" t="s">
        <v>59</v>
      </c>
      <c r="N825" s="27" t="s">
        <v>59</v>
      </c>
      <c r="O825" s="27"/>
      <c r="P825" s="27"/>
      <c r="Q825" s="27"/>
      <c r="R825" s="27"/>
      <c r="S825" s="27"/>
      <c r="T825" s="27"/>
      <c r="U825" s="27"/>
      <c r="V825" s="27"/>
      <c r="W825" s="27"/>
      <c r="X825" s="27" t="s">
        <v>228</v>
      </c>
      <c r="Y825" s="27">
        <v>48.8</v>
      </c>
      <c r="Z825" s="27">
        <f>Y825*S814</f>
        <v>0</v>
      </c>
      <c r="AA825" s="27"/>
      <c r="AB825" s="27"/>
      <c r="AC825" s="27"/>
      <c r="AD825" s="27"/>
      <c r="AE825" s="27"/>
      <c r="AF825" s="27"/>
      <c r="AG825" s="27"/>
      <c r="AH825" s="27"/>
      <c r="AI825" s="27"/>
      <c r="AJ825" s="27"/>
      <c r="AK825" s="27"/>
      <c r="AL825" s="27"/>
      <c r="AM825" s="27"/>
      <c r="AN825" s="27"/>
      <c r="AO825" s="27"/>
      <c r="AP825" s="27"/>
      <c r="AQ825" s="27"/>
      <c r="AR825" s="27"/>
      <c r="AS825" s="27"/>
      <c r="AT825" s="27"/>
      <c r="AU825" s="27"/>
      <c r="AV825" s="27"/>
      <c r="AW825" s="27"/>
      <c r="AX825" s="27"/>
      <c r="AY825" s="27"/>
      <c r="AZ825" s="27"/>
      <c r="BA825" s="27"/>
      <c r="BB825" s="27"/>
      <c r="BC825" s="27"/>
      <c r="BD825" s="27"/>
      <c r="BE825" s="27"/>
      <c r="BF825" s="27"/>
      <c r="BG825" s="27"/>
      <c r="BH825" s="27"/>
      <c r="BI825" s="27"/>
      <c r="BJ825" s="27"/>
      <c r="BK825" s="27"/>
      <c r="BL825" s="27"/>
      <c r="BM825" s="27"/>
      <c r="BN825" s="27"/>
      <c r="BO825" s="27"/>
      <c r="BP825" s="27"/>
      <c r="BQ825" s="27"/>
      <c r="BR825" s="27"/>
      <c r="BS825" s="27"/>
      <c r="BT825" s="27"/>
      <c r="BU825" s="27"/>
      <c r="BV825" s="27"/>
      <c r="BW825" s="27"/>
      <c r="BX825" s="27"/>
      <c r="BY825" s="27"/>
      <c r="BZ825" s="27"/>
      <c r="CA825" s="27"/>
      <c r="CB825" s="27"/>
      <c r="CC825" s="27"/>
      <c r="CD825" s="27"/>
      <c r="CE825" s="27"/>
      <c r="CF825" s="27"/>
      <c r="CG825" s="27"/>
      <c r="CH825" s="27"/>
      <c r="CI825" s="27"/>
      <c r="CJ825" s="27"/>
      <c r="CK825" s="27"/>
      <c r="CL825" s="27"/>
      <c r="CM825" s="27"/>
      <c r="CN825" s="27"/>
      <c r="CO825" s="27"/>
      <c r="CP825" s="27"/>
      <c r="CQ825" s="27"/>
      <c r="CR825" s="27"/>
      <c r="CS825" s="27"/>
      <c r="CT825" s="27"/>
      <c r="CU825" s="27"/>
      <c r="CV825" s="27"/>
      <c r="CW825" s="27"/>
      <c r="CX825" s="27"/>
      <c r="CY825" s="27"/>
      <c r="CZ825" s="27"/>
      <c r="DA825" s="27"/>
      <c r="DB825" s="27"/>
      <c r="DC825" s="27"/>
      <c r="DD825" s="27"/>
      <c r="DE825" s="27"/>
      <c r="DF825" s="27"/>
      <c r="DG825" s="27"/>
      <c r="DH825" s="27"/>
      <c r="DI825" s="27"/>
      <c r="DJ825" s="27"/>
      <c r="DK825" s="27"/>
      <c r="DL825" s="27"/>
      <c r="DM825" s="27"/>
      <c r="DN825" s="27"/>
      <c r="DO825" s="27"/>
      <c r="DP825" s="27"/>
      <c r="DQ825" s="27"/>
      <c r="DR825" s="27"/>
      <c r="DS825" s="27"/>
      <c r="DT825" s="27"/>
    </row>
    <row r="826" spans="7:124" x14ac:dyDescent="0.2">
      <c r="G826" s="27"/>
      <c r="H826" s="27"/>
      <c r="I826" s="27"/>
      <c r="J826" s="27"/>
      <c r="K826" s="27"/>
      <c r="L826" s="27"/>
      <c r="M826" s="27" t="s">
        <v>59</v>
      </c>
      <c r="N826" s="27" t="s">
        <v>59</v>
      </c>
      <c r="O826" s="27"/>
      <c r="P826" s="27"/>
      <c r="Q826" s="27"/>
      <c r="R826" s="27"/>
      <c r="S826" s="27"/>
      <c r="T826" s="27"/>
      <c r="U826" s="27"/>
      <c r="V826" s="27"/>
      <c r="W826" s="27"/>
      <c r="X826" s="27" t="s">
        <v>238</v>
      </c>
      <c r="Y826" s="27" t="e">
        <f>IF((T848-Y814-Y817-Y816-Y818-AF807-Y821-Y822-Y819)&gt;0,(T848-Y814-Y817-Y816-Y818-AF807-Y821-Y822-Y819),0)</f>
        <v>#N/A</v>
      </c>
      <c r="Z826" s="27" t="e">
        <f>IF((T848*S814-Z814-Z817-Z816-Z818-AF809-Z821-Z822-Z819)&gt;0,(T848*S814-Z814-Z817-Z816-Z818-AF809-Z821-Z822-Z819),0)</f>
        <v>#N/A</v>
      </c>
      <c r="AA826" s="27"/>
      <c r="AB826" s="27"/>
      <c r="AC826" s="27"/>
      <c r="AD826" s="27"/>
      <c r="AE826" s="27"/>
      <c r="AF826" s="27"/>
      <c r="AG826" s="27"/>
      <c r="AH826" s="27"/>
      <c r="AI826" s="27"/>
      <c r="AJ826" s="27"/>
      <c r="AK826" s="27"/>
      <c r="AL826" s="27"/>
      <c r="AM826" s="27"/>
      <c r="AN826" s="27"/>
      <c r="AO826" s="27"/>
      <c r="AP826" s="27"/>
      <c r="AQ826" s="27"/>
      <c r="AR826" s="27"/>
      <c r="AS826" s="27"/>
      <c r="AT826" s="27"/>
      <c r="AU826" s="27"/>
      <c r="AV826" s="27"/>
      <c r="AW826" s="27"/>
      <c r="AX826" s="27"/>
      <c r="AY826" s="27"/>
      <c r="AZ826" s="27"/>
      <c r="BA826" s="27"/>
      <c r="BB826" s="27"/>
      <c r="BC826" s="27"/>
      <c r="BD826" s="27"/>
      <c r="BE826" s="27"/>
      <c r="BF826" s="27"/>
      <c r="BG826" s="27"/>
      <c r="BH826" s="27"/>
      <c r="BI826" s="27"/>
      <c r="BJ826" s="27"/>
      <c r="BK826" s="27"/>
      <c r="BL826" s="27"/>
      <c r="BM826" s="27"/>
      <c r="BN826" s="27"/>
      <c r="BO826" s="27"/>
      <c r="BP826" s="27"/>
      <c r="BQ826" s="27"/>
      <c r="BR826" s="27"/>
      <c r="BS826" s="27"/>
      <c r="BT826" s="27"/>
      <c r="BU826" s="27"/>
      <c r="BV826" s="27"/>
      <c r="BW826" s="27"/>
      <c r="BX826" s="27"/>
      <c r="BY826" s="27"/>
      <c r="BZ826" s="27"/>
      <c r="CA826" s="27"/>
      <c r="CB826" s="27"/>
      <c r="CC826" s="27"/>
      <c r="CD826" s="27"/>
      <c r="CE826" s="27"/>
      <c r="CF826" s="27"/>
      <c r="CG826" s="27"/>
      <c r="CH826" s="27"/>
      <c r="CI826" s="27"/>
      <c r="CJ826" s="27"/>
      <c r="CK826" s="27"/>
      <c r="CL826" s="27"/>
      <c r="CM826" s="27"/>
      <c r="CN826" s="27"/>
      <c r="CO826" s="27"/>
      <c r="CP826" s="27"/>
      <c r="CQ826" s="27"/>
      <c r="CR826" s="27"/>
      <c r="CS826" s="27"/>
      <c r="CT826" s="27"/>
      <c r="CU826" s="27"/>
      <c r="CV826" s="27"/>
      <c r="CW826" s="27"/>
      <c r="CX826" s="27"/>
      <c r="CY826" s="27"/>
      <c r="CZ826" s="27"/>
      <c r="DA826" s="27"/>
      <c r="DB826" s="27"/>
      <c r="DC826" s="27"/>
      <c r="DD826" s="27"/>
      <c r="DE826" s="27"/>
      <c r="DF826" s="27"/>
      <c r="DG826" s="27"/>
      <c r="DH826" s="27"/>
      <c r="DI826" s="27"/>
      <c r="DJ826" s="27"/>
      <c r="DK826" s="27"/>
      <c r="DL826" s="27"/>
      <c r="DM826" s="27"/>
      <c r="DN826" s="27"/>
      <c r="DO826" s="27"/>
      <c r="DP826" s="27"/>
      <c r="DQ826" s="27"/>
      <c r="DR826" s="27"/>
      <c r="DS826" s="27"/>
      <c r="DT826" s="27"/>
    </row>
    <row r="827" spans="7:124" x14ac:dyDescent="0.2">
      <c r="G827" s="27"/>
      <c r="H827" s="27"/>
      <c r="I827" s="27"/>
      <c r="J827" s="27"/>
      <c r="K827" s="27"/>
      <c r="L827" s="27"/>
      <c r="M827" s="27" t="s">
        <v>59</v>
      </c>
      <c r="N827" s="27" t="s">
        <v>59</v>
      </c>
      <c r="O827" s="27"/>
      <c r="P827" s="27"/>
      <c r="Q827" s="27"/>
      <c r="R827" s="27"/>
      <c r="S827" s="27"/>
      <c r="T827" s="27"/>
      <c r="U827" s="27"/>
      <c r="V827" s="27"/>
      <c r="W827" s="27"/>
      <c r="X827" s="27" t="s">
        <v>250</v>
      </c>
      <c r="Y827" s="27">
        <f>IF(S825=2,W841+W842,IF(S825=1,W841,0))</f>
        <v>0</v>
      </c>
      <c r="Z827" s="27">
        <f>IF((Y827*$C$54)&gt;Y827,Y827,Y827*$C$54)</f>
        <v>0</v>
      </c>
      <c r="AA827" s="27"/>
      <c r="AB827" s="27"/>
      <c r="AC827" s="27"/>
      <c r="AD827" s="27"/>
      <c r="AE827" s="27"/>
      <c r="AF827" s="27"/>
      <c r="AG827" s="27"/>
      <c r="AH827" s="27"/>
      <c r="AI827" s="27"/>
      <c r="AJ827" s="27"/>
      <c r="AK827" s="27"/>
      <c r="AL827" s="27"/>
      <c r="AM827" s="27"/>
      <c r="AN827" s="27"/>
      <c r="AO827" s="27"/>
      <c r="AP827" s="27"/>
      <c r="AQ827" s="27"/>
      <c r="AR827" s="27"/>
      <c r="AS827" s="27"/>
      <c r="AT827" s="27"/>
      <c r="AU827" s="27"/>
      <c r="AV827" s="27"/>
      <c r="AW827" s="27"/>
      <c r="AX827" s="27"/>
      <c r="AY827" s="27"/>
      <c r="AZ827" s="27"/>
      <c r="BA827" s="27"/>
      <c r="BB827" s="27"/>
      <c r="BC827" s="27"/>
      <c r="BD827" s="27"/>
      <c r="BE827" s="27"/>
      <c r="BF827" s="27"/>
      <c r="BG827" s="27"/>
      <c r="BH827" s="27"/>
      <c r="BI827" s="27"/>
      <c r="BJ827" s="27"/>
      <c r="BK827" s="27"/>
      <c r="BL827" s="27"/>
      <c r="BM827" s="27"/>
      <c r="BN827" s="27"/>
      <c r="BO827" s="27"/>
      <c r="BP827" s="27"/>
      <c r="BQ827" s="27"/>
      <c r="BR827" s="27"/>
      <c r="BS827" s="27"/>
      <c r="BT827" s="27"/>
      <c r="BU827" s="27"/>
      <c r="BV827" s="27"/>
      <c r="BW827" s="27"/>
      <c r="BX827" s="27"/>
      <c r="BY827" s="27"/>
      <c r="BZ827" s="27"/>
      <c r="CA827" s="27"/>
      <c r="CB827" s="27"/>
      <c r="CC827" s="27"/>
      <c r="CD827" s="27"/>
      <c r="CE827" s="27"/>
      <c r="CF827" s="27"/>
      <c r="CG827" s="27"/>
      <c r="CH827" s="27"/>
      <c r="CI827" s="27"/>
      <c r="CJ827" s="27"/>
      <c r="CK827" s="27"/>
      <c r="CL827" s="27"/>
      <c r="CM827" s="27"/>
      <c r="CN827" s="27"/>
      <c r="CO827" s="27"/>
      <c r="CP827" s="27"/>
      <c r="CQ827" s="27"/>
      <c r="CR827" s="27"/>
      <c r="CS827" s="27"/>
      <c r="CT827" s="27"/>
      <c r="CU827" s="27"/>
      <c r="CV827" s="27"/>
      <c r="CW827" s="27"/>
      <c r="CX827" s="27"/>
      <c r="CY827" s="27"/>
      <c r="CZ827" s="27"/>
      <c r="DA827" s="27"/>
      <c r="DB827" s="27"/>
      <c r="DC827" s="27"/>
      <c r="DD827" s="27"/>
      <c r="DE827" s="27"/>
      <c r="DF827" s="27"/>
      <c r="DG827" s="27"/>
      <c r="DH827" s="27"/>
      <c r="DI827" s="27"/>
      <c r="DJ827" s="27"/>
      <c r="DK827" s="27"/>
      <c r="DL827" s="27"/>
      <c r="DM827" s="27"/>
      <c r="DN827" s="27"/>
      <c r="DO827" s="27"/>
      <c r="DP827" s="27"/>
      <c r="DQ827" s="27"/>
      <c r="DR827" s="27"/>
      <c r="DS827" s="27"/>
      <c r="DT827" s="27"/>
    </row>
    <row r="828" spans="7:124" x14ac:dyDescent="0.2">
      <c r="G828" s="27"/>
      <c r="H828" s="27"/>
      <c r="I828" s="27"/>
      <c r="J828" s="27"/>
      <c r="K828" s="27"/>
      <c r="L828" s="27"/>
      <c r="M828" s="27" t="s">
        <v>59</v>
      </c>
      <c r="N828" s="27" t="s">
        <v>59</v>
      </c>
      <c r="O828" s="27"/>
      <c r="P828" s="27"/>
      <c r="Q828" s="27"/>
      <c r="R828" s="27"/>
      <c r="S828" s="27"/>
      <c r="T828" s="27"/>
      <c r="U828" s="27"/>
      <c r="V828" s="27"/>
      <c r="W828" s="27"/>
      <c r="X828" s="27"/>
      <c r="Y828" s="27"/>
      <c r="Z828" s="27"/>
      <c r="AA828" s="27"/>
      <c r="AB828" s="27"/>
      <c r="AC828" s="27"/>
      <c r="AD828" s="27"/>
      <c r="AE828" s="27"/>
      <c r="AF828" s="27"/>
      <c r="AG828" s="27"/>
      <c r="AH828" s="27"/>
      <c r="AI828" s="27"/>
      <c r="AJ828" s="27"/>
      <c r="AK828" s="27"/>
      <c r="AL828" s="27"/>
      <c r="AM828" s="27"/>
      <c r="AN828" s="27"/>
      <c r="AO828" s="27"/>
      <c r="AP828" s="27"/>
      <c r="AQ828" s="27"/>
      <c r="AR828" s="27"/>
      <c r="AS828" s="27"/>
      <c r="AT828" s="27"/>
      <c r="AU828" s="27"/>
      <c r="AV828" s="27"/>
      <c r="AW828" s="27"/>
      <c r="AX828" s="27"/>
      <c r="AY828" s="27"/>
      <c r="AZ828" s="27"/>
      <c r="BA828" s="27"/>
      <c r="BB828" s="27"/>
      <c r="BC828" s="27"/>
      <c r="BD828" s="27"/>
      <c r="BE828" s="27"/>
      <c r="BF828" s="27"/>
      <c r="BG828" s="27"/>
      <c r="BH828" s="27"/>
      <c r="BI828" s="27"/>
      <c r="BJ828" s="27"/>
      <c r="BK828" s="27"/>
      <c r="BL828" s="27"/>
      <c r="BM828" s="27"/>
      <c r="BN828" s="27"/>
      <c r="BO828" s="27"/>
      <c r="BP828" s="27"/>
      <c r="BQ828" s="27"/>
      <c r="BR828" s="27"/>
      <c r="BS828" s="27"/>
      <c r="BT828" s="27"/>
      <c r="BU828" s="27"/>
      <c r="BV828" s="27"/>
      <c r="BW828" s="27"/>
      <c r="BX828" s="27"/>
      <c r="BY828" s="27"/>
      <c r="BZ828" s="27"/>
      <c r="CA828" s="27"/>
      <c r="CB828" s="27"/>
      <c r="CC828" s="27"/>
      <c r="CD828" s="27"/>
      <c r="CE828" s="27"/>
      <c r="CF828" s="27"/>
      <c r="CG828" s="27"/>
      <c r="CH828" s="27"/>
      <c r="CI828" s="27"/>
      <c r="CJ828" s="27"/>
      <c r="CK828" s="27"/>
      <c r="CL828" s="27"/>
      <c r="CM828" s="27"/>
      <c r="CN828" s="27"/>
      <c r="CO828" s="27"/>
      <c r="CP828" s="27"/>
      <c r="CQ828" s="27"/>
      <c r="CR828" s="27"/>
      <c r="CS828" s="27"/>
      <c r="CT828" s="27"/>
      <c r="CU828" s="27"/>
      <c r="CV828" s="27"/>
      <c r="CW828" s="27"/>
      <c r="CX828" s="27"/>
      <c r="CY828" s="27"/>
      <c r="CZ828" s="27"/>
      <c r="DA828" s="27"/>
      <c r="DB828" s="27"/>
      <c r="DC828" s="27"/>
      <c r="DD828" s="27"/>
      <c r="DE828" s="27"/>
      <c r="DF828" s="27"/>
      <c r="DG828" s="27"/>
      <c r="DH828" s="27"/>
      <c r="DI828" s="27"/>
      <c r="DJ828" s="27"/>
      <c r="DK828" s="27"/>
      <c r="DL828" s="27"/>
      <c r="DM828" s="27"/>
      <c r="DN828" s="27"/>
      <c r="DO828" s="27"/>
      <c r="DP828" s="27"/>
      <c r="DQ828" s="27"/>
      <c r="DR828" s="27"/>
      <c r="DS828" s="27"/>
      <c r="DT828" s="27"/>
    </row>
    <row r="829" spans="7:124" x14ac:dyDescent="0.2">
      <c r="G829" s="27"/>
      <c r="H829" s="27"/>
      <c r="I829" s="27"/>
      <c r="J829" s="27"/>
      <c r="K829" s="27"/>
      <c r="L829" s="27"/>
      <c r="M829" s="27" t="s">
        <v>59</v>
      </c>
      <c r="N829" s="27" t="s">
        <v>59</v>
      </c>
      <c r="O829" s="27"/>
      <c r="P829" s="27"/>
      <c r="Q829" s="27"/>
      <c r="R829" s="27"/>
      <c r="S829" s="27"/>
      <c r="T829" s="27"/>
      <c r="U829" s="27"/>
      <c r="V829" s="27"/>
      <c r="W829" s="27"/>
      <c r="X829" s="27"/>
      <c r="Y829" s="27"/>
      <c r="Z829" s="27"/>
      <c r="AA829" s="27"/>
      <c r="AB829" s="27"/>
      <c r="AC829" s="27"/>
      <c r="AD829" s="27"/>
      <c r="AE829" s="27"/>
      <c r="AF829" s="27"/>
      <c r="AG829" s="27"/>
      <c r="AH829" s="27"/>
      <c r="AI829" s="27"/>
      <c r="AJ829" s="27"/>
      <c r="AK829" s="27"/>
      <c r="AL829" s="27"/>
      <c r="AM829" s="27"/>
      <c r="AN829" s="27"/>
      <c r="AO829" s="27"/>
      <c r="AP829" s="27"/>
      <c r="AQ829" s="27"/>
      <c r="AR829" s="27"/>
      <c r="AS829" s="27"/>
      <c r="AT829" s="27"/>
      <c r="AU829" s="27"/>
      <c r="AV829" s="27"/>
      <c r="AW829" s="27"/>
      <c r="AX829" s="27"/>
      <c r="AY829" s="27"/>
      <c r="AZ829" s="27"/>
      <c r="BA829" s="27"/>
      <c r="BB829" s="27"/>
      <c r="BC829" s="27"/>
      <c r="BD829" s="27"/>
      <c r="BE829" s="27"/>
      <c r="BF829" s="27"/>
      <c r="BG829" s="27"/>
      <c r="BH829" s="27"/>
      <c r="BI829" s="27"/>
      <c r="BJ829" s="27"/>
      <c r="BK829" s="27"/>
      <c r="BL829" s="27"/>
      <c r="BM829" s="27"/>
      <c r="BN829" s="27"/>
      <c r="BO829" s="27"/>
      <c r="BP829" s="27"/>
      <c r="BQ829" s="27"/>
      <c r="BR829" s="27"/>
      <c r="BS829" s="27"/>
      <c r="BT829" s="27"/>
      <c r="BU829" s="27"/>
      <c r="BV829" s="27"/>
      <c r="BW829" s="27"/>
      <c r="BX829" s="27"/>
      <c r="BY829" s="27"/>
      <c r="BZ829" s="27"/>
      <c r="CA829" s="27"/>
      <c r="CB829" s="27"/>
      <c r="CC829" s="27"/>
      <c r="CD829" s="27"/>
      <c r="CE829" s="27"/>
      <c r="CF829" s="27"/>
      <c r="CG829" s="27"/>
      <c r="CH829" s="27"/>
      <c r="CI829" s="27"/>
      <c r="CJ829" s="27"/>
      <c r="CK829" s="27"/>
      <c r="CL829" s="27"/>
      <c r="CM829" s="27"/>
      <c r="CN829" s="27"/>
      <c r="CO829" s="27"/>
      <c r="CP829" s="27"/>
      <c r="CQ829" s="27"/>
      <c r="CR829" s="27"/>
      <c r="CS829" s="27"/>
      <c r="CT829" s="27"/>
      <c r="CU829" s="27"/>
      <c r="CV829" s="27"/>
      <c r="CW829" s="27"/>
      <c r="CX829" s="27"/>
      <c r="CY829" s="27"/>
      <c r="CZ829" s="27"/>
      <c r="DA829" s="27"/>
      <c r="DB829" s="27"/>
      <c r="DC829" s="27"/>
      <c r="DD829" s="27"/>
      <c r="DE829" s="27"/>
      <c r="DF829" s="27"/>
      <c r="DG829" s="27"/>
      <c r="DH829" s="27"/>
      <c r="DI829" s="27"/>
      <c r="DJ829" s="27"/>
      <c r="DK829" s="27"/>
      <c r="DL829" s="27"/>
      <c r="DM829" s="27"/>
      <c r="DN829" s="27"/>
      <c r="DO829" s="27"/>
      <c r="DP829" s="27"/>
      <c r="DQ829" s="27"/>
      <c r="DR829" s="27"/>
      <c r="DS829" s="27"/>
      <c r="DT829" s="27"/>
    </row>
    <row r="830" spans="7:124" x14ac:dyDescent="0.2">
      <c r="G830" s="27"/>
      <c r="H830" s="27"/>
      <c r="I830" s="27"/>
      <c r="J830" s="27"/>
      <c r="K830" s="27" t="s">
        <v>59</v>
      </c>
      <c r="L830" s="27"/>
      <c r="M830" s="27" t="s">
        <v>59</v>
      </c>
      <c r="N830" s="27" t="s">
        <v>59</v>
      </c>
      <c r="O830" s="27"/>
      <c r="P830" s="27"/>
      <c r="Q830" s="27"/>
      <c r="R830" s="27"/>
      <c r="S830" s="27"/>
      <c r="T830" s="27"/>
      <c r="U830" s="27"/>
      <c r="V830" s="27"/>
      <c r="W830" s="27"/>
      <c r="X830" s="27"/>
      <c r="Y830" s="27"/>
      <c r="Z830" s="27"/>
      <c r="AA830" s="27"/>
      <c r="AB830" s="27"/>
      <c r="AC830" s="27"/>
      <c r="AD830" s="27"/>
      <c r="AE830" s="27"/>
      <c r="AF830" s="27"/>
      <c r="AG830" s="27"/>
      <c r="AH830" s="27"/>
      <c r="AI830" s="27"/>
      <c r="AJ830" s="27"/>
      <c r="AK830" s="27"/>
      <c r="AL830" s="27"/>
      <c r="AM830" s="27"/>
      <c r="AN830" s="27"/>
      <c r="AO830" s="27"/>
      <c r="AP830" s="27"/>
      <c r="AQ830" s="27"/>
      <c r="AR830" s="27"/>
      <c r="AS830" s="27"/>
      <c r="AT830" s="27"/>
      <c r="AU830" s="27"/>
      <c r="AV830" s="27"/>
      <c r="AW830" s="27"/>
      <c r="AX830" s="27"/>
      <c r="AY830" s="27"/>
      <c r="AZ830" s="27"/>
      <c r="BA830" s="27"/>
      <c r="BB830" s="27"/>
      <c r="BC830" s="27"/>
      <c r="BD830" s="27"/>
      <c r="BE830" s="27"/>
      <c r="BF830" s="27"/>
      <c r="BG830" s="27"/>
      <c r="BH830" s="27"/>
      <c r="BI830" s="27"/>
      <c r="BJ830" s="27"/>
      <c r="BK830" s="27"/>
      <c r="BL830" s="27"/>
      <c r="BM830" s="27"/>
      <c r="BN830" s="27"/>
      <c r="BO830" s="27"/>
      <c r="BP830" s="27"/>
      <c r="BQ830" s="27"/>
      <c r="BR830" s="27"/>
      <c r="BS830" s="27"/>
      <c r="BT830" s="27"/>
      <c r="BU830" s="27"/>
      <c r="BV830" s="27"/>
      <c r="BW830" s="27"/>
      <c r="BX830" s="27"/>
      <c r="BY830" s="27"/>
      <c r="BZ830" s="27"/>
      <c r="CA830" s="27"/>
      <c r="CB830" s="27"/>
      <c r="CC830" s="27"/>
      <c r="CD830" s="27"/>
      <c r="CE830" s="27"/>
      <c r="CF830" s="27"/>
      <c r="CG830" s="27"/>
      <c r="CH830" s="27"/>
      <c r="CI830" s="27"/>
      <c r="CJ830" s="27"/>
      <c r="CK830" s="27"/>
      <c r="CL830" s="27"/>
      <c r="CM830" s="27"/>
      <c r="CN830" s="27"/>
      <c r="CO830" s="27"/>
      <c r="CP830" s="27"/>
      <c r="CQ830" s="27"/>
      <c r="CR830" s="27"/>
      <c r="CS830" s="27"/>
      <c r="CT830" s="27"/>
      <c r="CU830" s="27"/>
      <c r="CV830" s="27"/>
      <c r="CW830" s="27"/>
      <c r="CX830" s="27"/>
      <c r="CY830" s="27"/>
      <c r="CZ830" s="27"/>
      <c r="DA830" s="27"/>
      <c r="DB830" s="27"/>
      <c r="DC830" s="27"/>
      <c r="DD830" s="27"/>
      <c r="DE830" s="27"/>
      <c r="DF830" s="27"/>
      <c r="DG830" s="27"/>
      <c r="DH830" s="27"/>
      <c r="DI830" s="27"/>
      <c r="DJ830" s="27"/>
      <c r="DK830" s="27"/>
      <c r="DL830" s="27"/>
      <c r="DM830" s="27"/>
      <c r="DN830" s="27"/>
      <c r="DO830" s="27"/>
      <c r="DP830" s="27"/>
      <c r="DQ830" s="27"/>
      <c r="DR830" s="27"/>
      <c r="DS830" s="27"/>
      <c r="DT830" s="27"/>
    </row>
    <row r="831" spans="7:124" x14ac:dyDescent="0.2">
      <c r="G831" s="27"/>
      <c r="H831" s="27"/>
      <c r="I831" s="27"/>
      <c r="J831" s="27"/>
      <c r="K831" s="27"/>
      <c r="L831" s="27"/>
      <c r="M831" s="27" t="s">
        <v>59</v>
      </c>
      <c r="N831" s="27" t="s">
        <v>59</v>
      </c>
      <c r="O831" s="27"/>
      <c r="P831" s="27"/>
      <c r="Q831" s="27"/>
      <c r="R831" s="27"/>
      <c r="S831" s="27"/>
      <c r="T831" s="27"/>
      <c r="U831" s="27"/>
      <c r="V831" s="27"/>
      <c r="W831" s="27"/>
      <c r="X831" s="27"/>
      <c r="Y831" s="27"/>
      <c r="Z831" s="27"/>
      <c r="AA831" s="27"/>
      <c r="AB831" s="27"/>
      <c r="AC831" s="27"/>
      <c r="AD831" s="27"/>
      <c r="AE831" s="27"/>
      <c r="AF831" s="27"/>
      <c r="AG831" s="27"/>
      <c r="AH831" s="27"/>
      <c r="AI831" s="27"/>
      <c r="AJ831" s="27"/>
      <c r="AK831" s="27"/>
      <c r="AL831" s="27"/>
      <c r="AM831" s="27"/>
      <c r="AN831" s="27"/>
      <c r="AO831" s="27"/>
      <c r="AP831" s="27"/>
      <c r="AQ831" s="27"/>
      <c r="AR831" s="27"/>
      <c r="AS831" s="27"/>
      <c r="AT831" s="27"/>
      <c r="AU831" s="27"/>
      <c r="AV831" s="27"/>
      <c r="AW831" s="27"/>
      <c r="AX831" s="27"/>
      <c r="AY831" s="27"/>
      <c r="AZ831" s="27"/>
      <c r="BA831" s="27"/>
      <c r="BB831" s="27"/>
      <c r="BC831" s="27"/>
      <c r="BD831" s="27"/>
      <c r="BE831" s="27"/>
      <c r="BF831" s="27"/>
      <c r="BG831" s="27"/>
      <c r="BH831" s="27"/>
      <c r="BI831" s="27"/>
      <c r="BJ831" s="27"/>
      <c r="BK831" s="27"/>
      <c r="BL831" s="27"/>
      <c r="BM831" s="27"/>
      <c r="BN831" s="27"/>
      <c r="BO831" s="27"/>
      <c r="BP831" s="27"/>
      <c r="BQ831" s="27"/>
      <c r="BR831" s="27"/>
      <c r="BS831" s="27"/>
      <c r="BT831" s="27"/>
      <c r="BU831" s="27"/>
      <c r="BV831" s="27"/>
      <c r="BW831" s="27"/>
      <c r="BX831" s="27"/>
      <c r="BY831" s="27"/>
      <c r="BZ831" s="27"/>
      <c r="CA831" s="27"/>
      <c r="CB831" s="27"/>
      <c r="CC831" s="27"/>
      <c r="CD831" s="27"/>
      <c r="CE831" s="27"/>
      <c r="CF831" s="27"/>
      <c r="CG831" s="27"/>
      <c r="CH831" s="27"/>
      <c r="CI831" s="27"/>
      <c r="CJ831" s="27"/>
      <c r="CK831" s="27"/>
      <c r="CL831" s="27"/>
      <c r="CM831" s="27"/>
      <c r="CN831" s="27"/>
      <c r="CO831" s="27"/>
      <c r="CP831" s="27"/>
      <c r="CQ831" s="27"/>
      <c r="CR831" s="27"/>
      <c r="CS831" s="27"/>
      <c r="CT831" s="27"/>
      <c r="CU831" s="27"/>
      <c r="CV831" s="27"/>
      <c r="CW831" s="27"/>
      <c r="CX831" s="27"/>
      <c r="CY831" s="27"/>
      <c r="CZ831" s="27"/>
      <c r="DA831" s="27"/>
      <c r="DB831" s="27"/>
      <c r="DC831" s="27"/>
      <c r="DD831" s="27"/>
      <c r="DE831" s="27"/>
      <c r="DF831" s="27"/>
      <c r="DG831" s="27"/>
      <c r="DH831" s="27"/>
      <c r="DI831" s="27"/>
      <c r="DJ831" s="27"/>
      <c r="DK831" s="27"/>
      <c r="DL831" s="27"/>
      <c r="DM831" s="27"/>
      <c r="DN831" s="27"/>
      <c r="DO831" s="27"/>
      <c r="DP831" s="27"/>
      <c r="DQ831" s="27"/>
      <c r="DR831" s="27"/>
      <c r="DS831" s="27"/>
      <c r="DT831" s="27"/>
    </row>
    <row r="832" spans="7:124" x14ac:dyDescent="0.2">
      <c r="G832" s="27"/>
      <c r="H832" s="27"/>
      <c r="I832" s="27"/>
      <c r="J832" s="27"/>
      <c r="K832" s="27"/>
      <c r="L832" s="27"/>
      <c r="M832" s="27" t="s">
        <v>59</v>
      </c>
      <c r="N832" s="27" t="s">
        <v>59</v>
      </c>
      <c r="O832" s="27"/>
      <c r="P832" s="27"/>
      <c r="Q832" s="27"/>
      <c r="R832" s="27"/>
      <c r="S832" s="27"/>
      <c r="T832" s="27"/>
      <c r="U832" s="27"/>
      <c r="V832" s="27"/>
      <c r="W832" s="27"/>
      <c r="X832" s="27"/>
      <c r="Y832" s="27"/>
      <c r="Z832" s="27"/>
      <c r="AA832" s="27"/>
      <c r="AB832" s="27"/>
      <c r="AC832" s="27"/>
      <c r="AD832" s="27"/>
      <c r="AE832" s="27"/>
      <c r="AF832" s="27"/>
      <c r="AG832" s="27"/>
      <c r="AH832" s="27"/>
      <c r="AI832" s="27"/>
      <c r="AJ832" s="27"/>
      <c r="AK832" s="27"/>
      <c r="AL832" s="27"/>
      <c r="AM832" s="27"/>
      <c r="AN832" s="27"/>
      <c r="AO832" s="27"/>
      <c r="AP832" s="27"/>
      <c r="AQ832" s="27"/>
      <c r="AR832" s="27"/>
      <c r="AS832" s="27"/>
      <c r="AT832" s="27"/>
      <c r="AU832" s="27"/>
      <c r="AV832" s="27"/>
      <c r="AW832" s="27"/>
      <c r="AX832" s="27"/>
      <c r="AY832" s="27"/>
      <c r="AZ832" s="27"/>
      <c r="BA832" s="27"/>
      <c r="BB832" s="27"/>
      <c r="BC832" s="27"/>
      <c r="BD832" s="27"/>
      <c r="BE832" s="27"/>
      <c r="BF832" s="27"/>
      <c r="BG832" s="27"/>
      <c r="BH832" s="27"/>
      <c r="BI832" s="27"/>
      <c r="BJ832" s="27"/>
      <c r="BK832" s="27"/>
      <c r="BL832" s="27"/>
      <c r="BM832" s="27"/>
      <c r="BN832" s="27"/>
      <c r="BO832" s="27"/>
      <c r="BP832" s="27"/>
      <c r="BQ832" s="27"/>
      <c r="BR832" s="27"/>
      <c r="BS832" s="27"/>
      <c r="BT832" s="27"/>
      <c r="BU832" s="27"/>
      <c r="BV832" s="27"/>
      <c r="BW832" s="27"/>
      <c r="BX832" s="27"/>
      <c r="BY832" s="27"/>
      <c r="BZ832" s="27"/>
      <c r="CA832" s="27"/>
      <c r="CB832" s="27"/>
      <c r="CC832" s="27"/>
      <c r="CD832" s="27"/>
      <c r="CE832" s="27"/>
      <c r="CF832" s="27"/>
      <c r="CG832" s="27"/>
      <c r="CH832" s="27"/>
      <c r="CI832" s="27"/>
      <c r="CJ832" s="27"/>
      <c r="CK832" s="27"/>
      <c r="CL832" s="27"/>
      <c r="CM832" s="27"/>
      <c r="CN832" s="27"/>
      <c r="CO832" s="27"/>
      <c r="CP832" s="27"/>
      <c r="CQ832" s="27"/>
      <c r="CR832" s="27"/>
      <c r="CS832" s="27"/>
      <c r="CT832" s="27"/>
      <c r="CU832" s="27"/>
      <c r="CV832" s="27"/>
      <c r="CW832" s="27"/>
      <c r="CX832" s="27"/>
      <c r="CY832" s="27"/>
      <c r="CZ832" s="27"/>
      <c r="DA832" s="27"/>
      <c r="DB832" s="27"/>
      <c r="DC832" s="27"/>
      <c r="DD832" s="27"/>
      <c r="DE832" s="27"/>
      <c r="DF832" s="27"/>
      <c r="DG832" s="27"/>
      <c r="DH832" s="27"/>
      <c r="DI832" s="27"/>
      <c r="DJ832" s="27"/>
      <c r="DK832" s="27"/>
      <c r="DL832" s="27"/>
      <c r="DM832" s="27"/>
      <c r="DN832" s="27"/>
      <c r="DO832" s="27"/>
      <c r="DP832" s="27"/>
      <c r="DQ832" s="27"/>
      <c r="DR832" s="27"/>
      <c r="DS832" s="27"/>
      <c r="DT832" s="27"/>
    </row>
    <row r="833" spans="7:124" x14ac:dyDescent="0.2">
      <c r="G833" s="27"/>
      <c r="H833" s="27"/>
      <c r="I833" s="27"/>
      <c r="J833" s="27"/>
      <c r="K833" s="27"/>
      <c r="L833" s="27"/>
      <c r="M833" s="27"/>
      <c r="N833" s="27"/>
      <c r="O833" s="27"/>
      <c r="P833" s="27"/>
      <c r="Q833" s="27"/>
      <c r="R833" s="27"/>
      <c r="S833" s="27"/>
      <c r="T833" s="27"/>
      <c r="U833" s="27"/>
      <c r="V833" s="27"/>
      <c r="W833" s="27"/>
      <c r="X833" s="27"/>
      <c r="Y833" s="27"/>
      <c r="Z833" s="27"/>
      <c r="AA833" s="27"/>
      <c r="AB833" s="27"/>
      <c r="AC833" s="27"/>
      <c r="AD833" s="27"/>
      <c r="AE833" s="27"/>
      <c r="AF833" s="27"/>
      <c r="AG833" s="27"/>
      <c r="AH833" s="27"/>
      <c r="AI833" s="27"/>
      <c r="AJ833" s="27"/>
      <c r="AK833" s="27"/>
      <c r="AL833" s="27"/>
      <c r="AM833" s="27"/>
      <c r="AN833" s="27"/>
      <c r="AO833" s="27"/>
      <c r="AP833" s="27"/>
      <c r="AQ833" s="27"/>
      <c r="AR833" s="27"/>
      <c r="AS833" s="27"/>
      <c r="AT833" s="27"/>
      <c r="AU833" s="27"/>
      <c r="AV833" s="27"/>
      <c r="AW833" s="27"/>
      <c r="AX833" s="27"/>
      <c r="AY833" s="27"/>
      <c r="AZ833" s="27"/>
      <c r="BA833" s="27"/>
      <c r="BB833" s="27"/>
      <c r="BC833" s="27"/>
      <c r="BD833" s="27"/>
      <c r="BE833" s="27"/>
      <c r="BF833" s="27"/>
      <c r="BG833" s="27"/>
      <c r="BH833" s="27"/>
      <c r="BI833" s="27"/>
      <c r="BJ833" s="27"/>
      <c r="BK833" s="27"/>
      <c r="BL833" s="27"/>
      <c r="BM833" s="27"/>
      <c r="BN833" s="27"/>
      <c r="BO833" s="27"/>
      <c r="BP833" s="27"/>
      <c r="BQ833" s="27"/>
      <c r="BR833" s="27"/>
      <c r="BS833" s="27"/>
      <c r="BT833" s="27"/>
      <c r="BU833" s="27"/>
      <c r="BV833" s="27"/>
      <c r="BW833" s="27"/>
      <c r="BX833" s="27"/>
      <c r="BY833" s="27"/>
      <c r="BZ833" s="27"/>
      <c r="CA833" s="27"/>
      <c r="CB833" s="27"/>
      <c r="CC833" s="27"/>
      <c r="CD833" s="27"/>
      <c r="CE833" s="27"/>
      <c r="CF833" s="27"/>
      <c r="CG833" s="27"/>
      <c r="CH833" s="27"/>
      <c r="CI833" s="27"/>
      <c r="CJ833" s="27"/>
      <c r="CK833" s="27"/>
      <c r="CL833" s="27"/>
      <c r="CM833" s="27"/>
      <c r="CN833" s="27"/>
      <c r="CO833" s="27"/>
      <c r="CP833" s="27"/>
      <c r="CQ833" s="27"/>
      <c r="CR833" s="27"/>
      <c r="CS833" s="27"/>
      <c r="CT833" s="27"/>
      <c r="CU833" s="27"/>
      <c r="CV833" s="27"/>
      <c r="CW833" s="27"/>
      <c r="CX833" s="27"/>
      <c r="CY833" s="27"/>
      <c r="CZ833" s="27"/>
      <c r="DA833" s="27"/>
      <c r="DB833" s="27"/>
      <c r="DC833" s="27"/>
      <c r="DD833" s="27"/>
      <c r="DE833" s="27"/>
      <c r="DF833" s="27"/>
      <c r="DG833" s="27"/>
      <c r="DH833" s="27"/>
      <c r="DI833" s="27"/>
      <c r="DJ833" s="27"/>
      <c r="DK833" s="27"/>
      <c r="DL833" s="27"/>
      <c r="DM833" s="27"/>
      <c r="DN833" s="27"/>
      <c r="DO833" s="27"/>
      <c r="DP833" s="27"/>
      <c r="DQ833" s="27"/>
      <c r="DR833" s="27"/>
      <c r="DS833" s="27"/>
      <c r="DT833" s="27"/>
    </row>
    <row r="834" spans="7:124" x14ac:dyDescent="0.2">
      <c r="G834" s="27"/>
      <c r="H834" s="27"/>
      <c r="I834" s="27"/>
      <c r="J834" s="27"/>
      <c r="K834" s="27"/>
      <c r="L834" s="27"/>
      <c r="M834" s="27"/>
      <c r="N834" s="27"/>
      <c r="O834" s="27"/>
      <c r="P834" s="27"/>
      <c r="Q834" s="27"/>
      <c r="R834" s="27"/>
      <c r="S834" s="27"/>
      <c r="T834" s="27"/>
      <c r="U834" s="27"/>
      <c r="V834" s="27"/>
      <c r="W834" s="27"/>
      <c r="X834" s="27"/>
      <c r="Y834" s="27"/>
      <c r="Z834" s="27"/>
      <c r="AA834" s="27"/>
      <c r="AB834" s="27"/>
      <c r="AC834" s="27"/>
      <c r="AD834" s="27"/>
      <c r="AE834" s="27"/>
      <c r="AF834" s="27"/>
      <c r="AG834" s="27"/>
      <c r="AH834" s="27"/>
      <c r="AI834" s="27"/>
      <c r="AJ834" s="27"/>
      <c r="AK834" s="27"/>
      <c r="AL834" s="27"/>
      <c r="AM834" s="27"/>
      <c r="AN834" s="27"/>
      <c r="AO834" s="27"/>
      <c r="AP834" s="27"/>
      <c r="AQ834" s="27"/>
      <c r="AR834" s="27"/>
      <c r="AS834" s="27"/>
      <c r="AT834" s="27"/>
      <c r="AU834" s="27"/>
      <c r="AV834" s="27"/>
      <c r="AW834" s="27"/>
      <c r="AX834" s="27"/>
      <c r="AY834" s="27"/>
      <c r="AZ834" s="27"/>
      <c r="BA834" s="27"/>
      <c r="BB834" s="27"/>
      <c r="BC834" s="27"/>
      <c r="BD834" s="27"/>
      <c r="BE834" s="27"/>
      <c r="BF834" s="27"/>
      <c r="BG834" s="27"/>
      <c r="BH834" s="27"/>
      <c r="BI834" s="27"/>
      <c r="BJ834" s="27"/>
      <c r="BK834" s="27"/>
      <c r="BL834" s="27"/>
      <c r="BM834" s="27"/>
      <c r="BN834" s="27"/>
      <c r="BO834" s="27"/>
      <c r="BP834" s="27"/>
      <c r="BQ834" s="27"/>
      <c r="BR834" s="27"/>
      <c r="BS834" s="27"/>
      <c r="BT834" s="27"/>
      <c r="BU834" s="27"/>
      <c r="BV834" s="27"/>
      <c r="BW834" s="27"/>
      <c r="BX834" s="27"/>
      <c r="BY834" s="27"/>
      <c r="BZ834" s="27"/>
      <c r="CA834" s="27"/>
      <c r="CB834" s="27"/>
      <c r="CC834" s="27"/>
      <c r="CD834" s="27"/>
      <c r="CE834" s="27"/>
      <c r="CF834" s="27"/>
      <c r="CG834" s="27"/>
      <c r="CH834" s="27"/>
      <c r="CI834" s="27"/>
      <c r="CJ834" s="27"/>
      <c r="CK834" s="27"/>
      <c r="CL834" s="27"/>
      <c r="CM834" s="27"/>
      <c r="CN834" s="27"/>
      <c r="CO834" s="27"/>
      <c r="CP834" s="27"/>
      <c r="CQ834" s="27"/>
      <c r="CR834" s="27"/>
      <c r="CS834" s="27"/>
      <c r="CT834" s="27"/>
      <c r="CU834" s="27"/>
      <c r="CV834" s="27"/>
      <c r="CW834" s="27"/>
      <c r="CX834" s="27"/>
      <c r="CY834" s="27"/>
      <c r="CZ834" s="27"/>
      <c r="DA834" s="27"/>
      <c r="DB834" s="27"/>
      <c r="DC834" s="27"/>
      <c r="DD834" s="27"/>
      <c r="DE834" s="27"/>
      <c r="DF834" s="27"/>
      <c r="DG834" s="27"/>
      <c r="DH834" s="27"/>
      <c r="DI834" s="27"/>
      <c r="DJ834" s="27"/>
      <c r="DK834" s="27"/>
      <c r="DL834" s="27"/>
      <c r="DM834" s="27"/>
      <c r="DN834" s="27"/>
      <c r="DO834" s="27"/>
      <c r="DP834" s="27"/>
      <c r="DQ834" s="27"/>
      <c r="DR834" s="27"/>
      <c r="DS834" s="27"/>
      <c r="DT834" s="27"/>
    </row>
    <row r="835" spans="7:124" x14ac:dyDescent="0.2">
      <c r="G835" s="27"/>
      <c r="H835" s="27"/>
      <c r="I835" s="27"/>
      <c r="J835" s="27"/>
      <c r="K835" s="27"/>
      <c r="L835" s="27"/>
      <c r="M835" s="27"/>
      <c r="N835" s="27"/>
      <c r="O835" s="27"/>
      <c r="P835" s="27"/>
      <c r="Q835" s="27"/>
      <c r="R835" s="27"/>
      <c r="S835" s="27"/>
      <c r="T835" s="27"/>
      <c r="U835" s="27"/>
      <c r="V835" s="27"/>
      <c r="W835" s="27"/>
      <c r="X835" s="27"/>
      <c r="Y835" s="27"/>
      <c r="Z835" s="27"/>
      <c r="AA835" s="27"/>
      <c r="AB835" s="27"/>
      <c r="AC835" s="27"/>
      <c r="AD835" s="27"/>
      <c r="AE835" s="27"/>
      <c r="AF835" s="27"/>
      <c r="AG835" s="27"/>
      <c r="AH835" s="27"/>
      <c r="AI835" s="27"/>
      <c r="AJ835" s="27"/>
      <c r="AK835" s="27"/>
      <c r="AL835" s="27"/>
      <c r="AM835" s="27"/>
      <c r="AN835" s="27"/>
      <c r="AO835" s="27"/>
      <c r="AP835" s="27"/>
      <c r="AQ835" s="27"/>
      <c r="AR835" s="27"/>
      <c r="AS835" s="27"/>
      <c r="AT835" s="27"/>
      <c r="AU835" s="27"/>
      <c r="AV835" s="27"/>
      <c r="AW835" s="27"/>
      <c r="AX835" s="27"/>
      <c r="AY835" s="27"/>
      <c r="AZ835" s="27"/>
      <c r="BA835" s="27"/>
      <c r="BB835" s="27"/>
      <c r="BC835" s="27"/>
      <c r="BD835" s="27"/>
      <c r="BE835" s="27"/>
      <c r="BF835" s="27"/>
      <c r="BG835" s="27"/>
      <c r="BH835" s="27"/>
      <c r="BI835" s="27"/>
      <c r="BJ835" s="27"/>
      <c r="BK835" s="27"/>
      <c r="BL835" s="27"/>
      <c r="BM835" s="27"/>
      <c r="BN835" s="27"/>
      <c r="BO835" s="27"/>
      <c r="BP835" s="27"/>
      <c r="BQ835" s="27"/>
      <c r="BR835" s="27"/>
      <c r="BS835" s="27"/>
      <c r="BT835" s="27"/>
      <c r="BU835" s="27"/>
      <c r="BV835" s="27"/>
      <c r="BW835" s="27"/>
      <c r="BX835" s="27"/>
      <c r="BY835" s="27"/>
      <c r="BZ835" s="27"/>
      <c r="CA835" s="27"/>
      <c r="CB835" s="27"/>
      <c r="CC835" s="27"/>
      <c r="CD835" s="27"/>
      <c r="CE835" s="27"/>
      <c r="CF835" s="27"/>
      <c r="CG835" s="27"/>
      <c r="CH835" s="27"/>
      <c r="CI835" s="27"/>
      <c r="CJ835" s="27"/>
      <c r="CK835" s="27"/>
      <c r="CL835" s="27"/>
      <c r="CM835" s="27"/>
      <c r="CN835" s="27"/>
      <c r="CO835" s="27"/>
      <c r="CP835" s="27"/>
      <c r="CQ835" s="27"/>
      <c r="CR835" s="27"/>
      <c r="CS835" s="27"/>
      <c r="CT835" s="27"/>
      <c r="CU835" s="27"/>
      <c r="CV835" s="27"/>
      <c r="CW835" s="27"/>
      <c r="CX835" s="27"/>
      <c r="CY835" s="27"/>
      <c r="CZ835" s="27"/>
      <c r="DA835" s="27"/>
      <c r="DB835" s="27"/>
      <c r="DC835" s="27"/>
      <c r="DD835" s="27"/>
      <c r="DE835" s="27"/>
      <c r="DF835" s="27"/>
      <c r="DG835" s="27"/>
      <c r="DH835" s="27"/>
      <c r="DI835" s="27"/>
      <c r="DJ835" s="27"/>
      <c r="DK835" s="27"/>
      <c r="DL835" s="27"/>
      <c r="DM835" s="27"/>
      <c r="DN835" s="27"/>
      <c r="DO835" s="27"/>
      <c r="DP835" s="27"/>
      <c r="DQ835" s="27"/>
      <c r="DR835" s="27"/>
      <c r="DS835" s="27"/>
      <c r="DT835" s="27"/>
    </row>
    <row r="836" spans="7:124" x14ac:dyDescent="0.2">
      <c r="G836" s="27"/>
      <c r="H836" s="27"/>
      <c r="I836" s="27"/>
      <c r="J836" s="27"/>
      <c r="K836" s="27"/>
      <c r="L836" s="27"/>
      <c r="M836" s="27"/>
      <c r="N836" s="27"/>
      <c r="O836" s="27"/>
      <c r="P836" s="27"/>
      <c r="Q836" s="27"/>
      <c r="R836" s="27"/>
      <c r="S836" s="27"/>
      <c r="T836" s="27"/>
      <c r="U836" s="27"/>
      <c r="V836" s="27"/>
      <c r="W836" s="27"/>
      <c r="X836" s="27"/>
      <c r="Y836" s="27"/>
      <c r="Z836" s="27"/>
      <c r="AA836" s="27"/>
      <c r="AB836" s="27"/>
      <c r="AC836" s="27"/>
      <c r="AD836" s="27"/>
      <c r="AE836" s="27"/>
      <c r="AF836" s="27"/>
      <c r="AG836" s="27"/>
      <c r="AH836" s="27"/>
      <c r="AI836" s="27"/>
      <c r="AJ836" s="27"/>
      <c r="AK836" s="27"/>
      <c r="AL836" s="27"/>
      <c r="AM836" s="27"/>
      <c r="AN836" s="27"/>
      <c r="AO836" s="27"/>
      <c r="AP836" s="27"/>
      <c r="AQ836" s="27"/>
      <c r="AR836" s="27"/>
      <c r="AS836" s="27"/>
      <c r="AT836" s="27"/>
      <c r="AU836" s="27"/>
      <c r="AV836" s="27"/>
      <c r="AW836" s="27"/>
      <c r="AX836" s="27"/>
      <c r="AY836" s="27"/>
      <c r="AZ836" s="27"/>
      <c r="BA836" s="27"/>
      <c r="BB836" s="27"/>
      <c r="BC836" s="27"/>
      <c r="BD836" s="27"/>
      <c r="BE836" s="27"/>
      <c r="BF836" s="27"/>
      <c r="BG836" s="27"/>
      <c r="BH836" s="27"/>
      <c r="BI836" s="27"/>
      <c r="BJ836" s="27"/>
      <c r="BK836" s="27"/>
      <c r="BL836" s="27"/>
      <c r="BM836" s="27"/>
      <c r="BN836" s="27"/>
      <c r="BO836" s="27"/>
      <c r="BP836" s="27"/>
      <c r="BQ836" s="27"/>
      <c r="BR836" s="27"/>
      <c r="BS836" s="27"/>
      <c r="BT836" s="27"/>
      <c r="BU836" s="27"/>
      <c r="BV836" s="27"/>
      <c r="BW836" s="27"/>
      <c r="BX836" s="27"/>
      <c r="BY836" s="27"/>
      <c r="BZ836" s="27"/>
      <c r="CA836" s="27"/>
      <c r="CB836" s="27"/>
      <c r="CC836" s="27"/>
      <c r="CD836" s="27"/>
      <c r="CE836" s="27"/>
      <c r="CF836" s="27"/>
      <c r="CG836" s="27"/>
      <c r="CH836" s="27"/>
      <c r="CI836" s="27"/>
      <c r="CJ836" s="27"/>
      <c r="CK836" s="27"/>
      <c r="CL836" s="27"/>
      <c r="CM836" s="27"/>
      <c r="CN836" s="27"/>
      <c r="CO836" s="27"/>
      <c r="CP836" s="27"/>
      <c r="CQ836" s="27"/>
      <c r="CR836" s="27"/>
      <c r="CS836" s="27"/>
      <c r="CT836" s="27"/>
      <c r="CU836" s="27"/>
      <c r="CV836" s="27"/>
      <c r="CW836" s="27"/>
      <c r="CX836" s="27"/>
      <c r="CY836" s="27"/>
      <c r="CZ836" s="27"/>
      <c r="DA836" s="27"/>
      <c r="DB836" s="27"/>
      <c r="DC836" s="27"/>
      <c r="DD836" s="27"/>
      <c r="DE836" s="27"/>
      <c r="DF836" s="27"/>
      <c r="DG836" s="27"/>
      <c r="DH836" s="27"/>
      <c r="DI836" s="27"/>
      <c r="DJ836" s="27"/>
      <c r="DK836" s="27"/>
      <c r="DL836" s="27"/>
      <c r="DM836" s="27"/>
      <c r="DN836" s="27"/>
      <c r="DO836" s="27"/>
      <c r="DP836" s="27"/>
      <c r="DQ836" s="27"/>
      <c r="DR836" s="27"/>
      <c r="DS836" s="27"/>
      <c r="DT836" s="27"/>
    </row>
    <row r="837" spans="7:124" x14ac:dyDescent="0.2">
      <c r="G837" s="27"/>
      <c r="H837" s="27"/>
      <c r="I837" s="27"/>
      <c r="J837" s="27"/>
      <c r="K837" s="27"/>
      <c r="L837" s="27"/>
      <c r="M837" s="27"/>
      <c r="N837" s="27"/>
      <c r="O837" s="27"/>
      <c r="P837" s="27"/>
      <c r="Q837" s="27"/>
      <c r="R837" s="27"/>
      <c r="S837" s="27"/>
      <c r="T837" s="27"/>
      <c r="U837" s="27"/>
      <c r="V837" s="27"/>
      <c r="W837" s="27"/>
      <c r="X837" s="27"/>
      <c r="Y837" s="27"/>
      <c r="Z837" s="27"/>
      <c r="AA837" s="27"/>
      <c r="AB837" s="27"/>
      <c r="AC837" s="27"/>
      <c r="AD837" s="27"/>
      <c r="AE837" s="27"/>
      <c r="AF837" s="27"/>
      <c r="AG837" s="27"/>
      <c r="AH837" s="27"/>
      <c r="AI837" s="27"/>
      <c r="AJ837" s="27"/>
      <c r="AK837" s="27"/>
      <c r="AL837" s="27"/>
      <c r="AM837" s="27"/>
      <c r="AN837" s="27"/>
      <c r="AO837" s="27"/>
      <c r="AP837" s="27"/>
      <c r="AQ837" s="27"/>
      <c r="AR837" s="27"/>
      <c r="AS837" s="27"/>
      <c r="AT837" s="27"/>
      <c r="AU837" s="27"/>
      <c r="AV837" s="27"/>
      <c r="AW837" s="27"/>
      <c r="AX837" s="27"/>
      <c r="AY837" s="27"/>
      <c r="AZ837" s="27"/>
      <c r="BA837" s="27"/>
      <c r="BB837" s="27"/>
      <c r="BC837" s="27"/>
      <c r="BD837" s="27"/>
      <c r="BE837" s="27"/>
      <c r="BF837" s="27"/>
      <c r="BG837" s="27"/>
      <c r="BH837" s="27"/>
      <c r="BI837" s="27"/>
      <c r="BJ837" s="27"/>
      <c r="BK837" s="27"/>
      <c r="BL837" s="27"/>
      <c r="BM837" s="27"/>
      <c r="BN837" s="27"/>
      <c r="BO837" s="27"/>
      <c r="BP837" s="27"/>
      <c r="BQ837" s="27"/>
      <c r="BR837" s="27"/>
      <c r="BS837" s="27"/>
      <c r="BT837" s="27"/>
      <c r="BU837" s="27"/>
      <c r="BV837" s="27"/>
      <c r="BW837" s="27"/>
      <c r="BX837" s="27"/>
      <c r="BY837" s="27"/>
      <c r="BZ837" s="27"/>
      <c r="CA837" s="27"/>
      <c r="CB837" s="27"/>
      <c r="CC837" s="27"/>
      <c r="CD837" s="27"/>
      <c r="CE837" s="27"/>
      <c r="CF837" s="27"/>
      <c r="CG837" s="27"/>
      <c r="CH837" s="27"/>
      <c r="CI837" s="27"/>
      <c r="CJ837" s="27"/>
      <c r="CK837" s="27"/>
      <c r="CL837" s="27"/>
      <c r="CM837" s="27"/>
      <c r="CN837" s="27"/>
      <c r="CO837" s="27"/>
      <c r="CP837" s="27"/>
      <c r="CQ837" s="27"/>
      <c r="CR837" s="27"/>
      <c r="CS837" s="27"/>
      <c r="CT837" s="27"/>
      <c r="CU837" s="27"/>
      <c r="CV837" s="27"/>
      <c r="CW837" s="27"/>
      <c r="CX837" s="27"/>
      <c r="CY837" s="27"/>
      <c r="CZ837" s="27"/>
      <c r="DA837" s="27"/>
      <c r="DB837" s="27"/>
      <c r="DC837" s="27"/>
      <c r="DD837" s="27"/>
      <c r="DE837" s="27"/>
      <c r="DF837" s="27"/>
      <c r="DG837" s="27"/>
      <c r="DH837" s="27"/>
      <c r="DI837" s="27"/>
      <c r="DJ837" s="27"/>
      <c r="DK837" s="27"/>
      <c r="DL837" s="27"/>
      <c r="DM837" s="27"/>
      <c r="DN837" s="27"/>
      <c r="DO837" s="27"/>
      <c r="DP837" s="27"/>
      <c r="DQ837" s="27"/>
      <c r="DR837" s="27"/>
      <c r="DS837" s="27"/>
      <c r="DT837" s="27"/>
    </row>
    <row r="838" spans="7:124" x14ac:dyDescent="0.2">
      <c r="G838" s="27"/>
      <c r="H838" s="27"/>
      <c r="I838" s="27"/>
      <c r="J838" s="27"/>
      <c r="K838" s="27"/>
      <c r="L838" s="27"/>
      <c r="M838" s="27"/>
      <c r="N838" s="27"/>
      <c r="O838" s="27"/>
      <c r="P838" s="27"/>
      <c r="Q838" s="27"/>
      <c r="R838" s="27"/>
      <c r="S838" s="27"/>
      <c r="T838" s="27"/>
      <c r="U838" s="27"/>
      <c r="V838" s="27"/>
      <c r="W838" s="27"/>
      <c r="X838" s="27"/>
      <c r="Y838" s="27"/>
      <c r="Z838" s="27"/>
      <c r="AA838" s="27"/>
      <c r="AB838" s="27"/>
      <c r="AC838" s="27"/>
      <c r="AD838" s="27"/>
      <c r="AE838" s="27"/>
      <c r="AF838" s="27"/>
      <c r="AG838" s="27"/>
      <c r="AH838" s="27"/>
      <c r="AI838" s="27"/>
      <c r="AJ838" s="27"/>
      <c r="AK838" s="27"/>
      <c r="AL838" s="27"/>
      <c r="AM838" s="27"/>
      <c r="AN838" s="27"/>
      <c r="AO838" s="27"/>
      <c r="AP838" s="27"/>
      <c r="AQ838" s="27"/>
      <c r="AR838" s="27"/>
      <c r="AS838" s="27"/>
      <c r="AT838" s="27"/>
      <c r="AU838" s="27"/>
      <c r="AV838" s="27"/>
      <c r="AW838" s="27"/>
      <c r="AX838" s="27"/>
      <c r="AY838" s="27"/>
      <c r="AZ838" s="27"/>
      <c r="BA838" s="27"/>
      <c r="BB838" s="27"/>
      <c r="BC838" s="27"/>
      <c r="BD838" s="27"/>
      <c r="BE838" s="27"/>
      <c r="BF838" s="27"/>
      <c r="BG838" s="27"/>
      <c r="BH838" s="27"/>
      <c r="BI838" s="27"/>
      <c r="BJ838" s="27"/>
      <c r="BK838" s="27"/>
      <c r="BL838" s="27"/>
      <c r="BM838" s="27"/>
      <c r="BN838" s="27"/>
      <c r="BO838" s="27"/>
      <c r="BP838" s="27"/>
      <c r="BQ838" s="27"/>
      <c r="BR838" s="27"/>
      <c r="BS838" s="27"/>
      <c r="BT838" s="27"/>
      <c r="BU838" s="27"/>
      <c r="BV838" s="27"/>
      <c r="BW838" s="27"/>
      <c r="BX838" s="27"/>
      <c r="BY838" s="27"/>
      <c r="BZ838" s="27"/>
      <c r="CA838" s="27"/>
      <c r="CB838" s="27"/>
      <c r="CC838" s="27"/>
      <c r="CD838" s="27"/>
      <c r="CE838" s="27"/>
      <c r="CF838" s="27"/>
      <c r="CG838" s="27"/>
      <c r="CH838" s="27"/>
      <c r="CI838" s="27"/>
      <c r="CJ838" s="27"/>
      <c r="CK838" s="27"/>
      <c r="CL838" s="27"/>
      <c r="CM838" s="27"/>
      <c r="CN838" s="27"/>
      <c r="CO838" s="27"/>
      <c r="CP838" s="27"/>
      <c r="CQ838" s="27"/>
      <c r="CR838" s="27"/>
      <c r="CS838" s="27"/>
      <c r="CT838" s="27"/>
      <c r="CU838" s="27"/>
      <c r="CV838" s="27"/>
      <c r="CW838" s="27"/>
      <c r="CX838" s="27"/>
      <c r="CY838" s="27"/>
      <c r="CZ838" s="27"/>
      <c r="DA838" s="27"/>
      <c r="DB838" s="27"/>
      <c r="DC838" s="27"/>
      <c r="DD838" s="27"/>
      <c r="DE838" s="27"/>
      <c r="DF838" s="27"/>
      <c r="DG838" s="27"/>
      <c r="DH838" s="27"/>
      <c r="DI838" s="27"/>
      <c r="DJ838" s="27"/>
      <c r="DK838" s="27"/>
      <c r="DL838" s="27"/>
      <c r="DM838" s="27"/>
      <c r="DN838" s="27"/>
      <c r="DO838" s="27"/>
      <c r="DP838" s="27"/>
      <c r="DQ838" s="27"/>
      <c r="DR838" s="27"/>
      <c r="DS838" s="27"/>
      <c r="DT838" s="27"/>
    </row>
    <row r="839" spans="7:124" x14ac:dyDescent="0.2">
      <c r="G839" s="27"/>
      <c r="H839" s="27"/>
      <c r="I839" s="27"/>
      <c r="J839" s="27"/>
      <c r="K839" s="27"/>
      <c r="L839" s="27"/>
      <c r="M839" s="27"/>
      <c r="N839" s="27"/>
      <c r="O839" s="27"/>
      <c r="P839" s="27"/>
      <c r="Q839" s="27"/>
      <c r="R839" s="27"/>
      <c r="S839" s="27"/>
      <c r="T839" s="27"/>
      <c r="U839" s="27"/>
      <c r="V839" s="27"/>
      <c r="W839" s="27"/>
      <c r="X839" s="27"/>
      <c r="Y839" s="27"/>
      <c r="Z839" s="27"/>
      <c r="AA839" s="27"/>
      <c r="AB839" s="27"/>
      <c r="AC839" s="27"/>
      <c r="AD839" s="27"/>
      <c r="AE839" s="27"/>
      <c r="AF839" s="27"/>
      <c r="AG839" s="27"/>
      <c r="AH839" s="27"/>
      <c r="AI839" s="27"/>
      <c r="AJ839" s="27"/>
      <c r="AK839" s="27"/>
      <c r="AL839" s="27"/>
      <c r="AM839" s="27"/>
      <c r="AN839" s="27"/>
      <c r="AO839" s="27"/>
      <c r="AP839" s="27"/>
      <c r="AQ839" s="27"/>
      <c r="AR839" s="27"/>
      <c r="AS839" s="27"/>
      <c r="AT839" s="27"/>
      <c r="AU839" s="27"/>
      <c r="AV839" s="27"/>
      <c r="AW839" s="27"/>
      <c r="AX839" s="27"/>
      <c r="AY839" s="27"/>
      <c r="AZ839" s="27"/>
      <c r="BA839" s="27"/>
      <c r="BB839" s="27"/>
      <c r="BC839" s="27"/>
      <c r="BD839" s="27"/>
      <c r="BE839" s="27"/>
      <c r="BF839" s="27"/>
      <c r="BG839" s="27"/>
      <c r="BH839" s="27"/>
      <c r="BI839" s="27"/>
      <c r="BJ839" s="27"/>
      <c r="BK839" s="27"/>
      <c r="BL839" s="27"/>
      <c r="BM839" s="27"/>
      <c r="BN839" s="27"/>
      <c r="BO839" s="27"/>
      <c r="BP839" s="27"/>
      <c r="BQ839" s="27"/>
      <c r="BR839" s="27"/>
      <c r="BS839" s="27"/>
      <c r="BT839" s="27"/>
      <c r="BU839" s="27"/>
      <c r="BV839" s="27"/>
      <c r="BW839" s="27"/>
      <c r="BX839" s="27"/>
      <c r="BY839" s="27"/>
      <c r="BZ839" s="27"/>
      <c r="CA839" s="27"/>
      <c r="CB839" s="27"/>
      <c r="CC839" s="27"/>
      <c r="CD839" s="27"/>
      <c r="CE839" s="27"/>
      <c r="CF839" s="27"/>
      <c r="CG839" s="27"/>
      <c r="CH839" s="27"/>
      <c r="CI839" s="27"/>
      <c r="CJ839" s="27"/>
      <c r="CK839" s="27"/>
      <c r="CL839" s="27"/>
      <c r="CM839" s="27"/>
      <c r="CN839" s="27"/>
      <c r="CO839" s="27"/>
      <c r="CP839" s="27"/>
      <c r="CQ839" s="27"/>
      <c r="CR839" s="27"/>
      <c r="CS839" s="27"/>
      <c r="CT839" s="27"/>
      <c r="CU839" s="27"/>
      <c r="CV839" s="27"/>
      <c r="CW839" s="27"/>
      <c r="CX839" s="27"/>
      <c r="CY839" s="27"/>
      <c r="CZ839" s="27"/>
      <c r="DA839" s="27"/>
      <c r="DB839" s="27"/>
      <c r="DC839" s="27"/>
      <c r="DD839" s="27"/>
      <c r="DE839" s="27"/>
      <c r="DF839" s="27"/>
      <c r="DG839" s="27"/>
      <c r="DH839" s="27"/>
      <c r="DI839" s="27"/>
      <c r="DJ839" s="27"/>
      <c r="DK839" s="27"/>
      <c r="DL839" s="27"/>
      <c r="DM839" s="27"/>
      <c r="DN839" s="27"/>
      <c r="DO839" s="27"/>
      <c r="DP839" s="27"/>
      <c r="DQ839" s="27"/>
      <c r="DR839" s="27"/>
      <c r="DS839" s="27"/>
      <c r="DT839" s="27"/>
    </row>
    <row r="840" spans="7:124" x14ac:dyDescent="0.2">
      <c r="G840" s="27"/>
      <c r="H840" s="27"/>
      <c r="I840" s="27"/>
      <c r="J840" s="27"/>
      <c r="K840" s="27"/>
      <c r="L840" s="27"/>
      <c r="M840" s="27"/>
      <c r="N840" s="27"/>
      <c r="O840" s="27"/>
      <c r="P840" s="27"/>
      <c r="Q840" s="27"/>
      <c r="R840" s="27"/>
      <c r="S840" s="27"/>
      <c r="T840" s="27"/>
      <c r="U840" s="27"/>
      <c r="V840" s="27"/>
      <c r="W840" s="27"/>
      <c r="X840" s="27"/>
      <c r="Y840" s="27"/>
      <c r="Z840" s="27"/>
      <c r="AA840" s="27"/>
      <c r="AB840" s="27"/>
      <c r="AC840" s="27"/>
      <c r="AD840" s="27"/>
      <c r="AE840" s="27"/>
      <c r="AF840" s="27"/>
      <c r="AG840" s="27"/>
      <c r="AH840" s="27"/>
      <c r="AI840" s="27"/>
      <c r="AJ840" s="27"/>
      <c r="AK840" s="27"/>
      <c r="AL840" s="27"/>
      <c r="AM840" s="27"/>
      <c r="AN840" s="27"/>
      <c r="AO840" s="27"/>
      <c r="AP840" s="27"/>
      <c r="AQ840" s="27"/>
      <c r="AR840" s="27"/>
      <c r="AS840" s="27"/>
      <c r="AT840" s="27"/>
      <c r="AU840" s="27"/>
      <c r="AV840" s="27"/>
      <c r="AW840" s="27"/>
      <c r="AX840" s="27"/>
      <c r="AY840" s="27"/>
      <c r="AZ840" s="27"/>
      <c r="BA840" s="27"/>
      <c r="BB840" s="27"/>
      <c r="BC840" s="27"/>
      <c r="BD840" s="27"/>
      <c r="BE840" s="27"/>
      <c r="BF840" s="27"/>
      <c r="BG840" s="27"/>
      <c r="BH840" s="27"/>
      <c r="BI840" s="27"/>
      <c r="BJ840" s="27"/>
      <c r="BK840" s="27"/>
      <c r="BL840" s="27"/>
      <c r="BM840" s="27"/>
      <c r="BN840" s="27"/>
      <c r="BO840" s="27"/>
      <c r="BP840" s="27"/>
      <c r="BQ840" s="27"/>
      <c r="BR840" s="27"/>
      <c r="BS840" s="27"/>
      <c r="BT840" s="27"/>
      <c r="BU840" s="27"/>
      <c r="BV840" s="27"/>
      <c r="BW840" s="27"/>
      <c r="BX840" s="27"/>
      <c r="BY840" s="27"/>
      <c r="BZ840" s="27"/>
      <c r="CA840" s="27"/>
      <c r="CB840" s="27"/>
      <c r="CC840" s="27"/>
      <c r="CD840" s="27"/>
      <c r="CE840" s="27"/>
      <c r="CF840" s="27"/>
      <c r="CG840" s="27"/>
      <c r="CH840" s="27"/>
      <c r="CI840" s="27"/>
      <c r="CJ840" s="27"/>
      <c r="CK840" s="27"/>
      <c r="CL840" s="27"/>
      <c r="CM840" s="27"/>
      <c r="CN840" s="27"/>
      <c r="CO840" s="27"/>
      <c r="CP840" s="27"/>
      <c r="CQ840" s="27"/>
      <c r="CR840" s="27"/>
      <c r="CS840" s="27"/>
      <c r="CT840" s="27"/>
      <c r="CU840" s="27"/>
      <c r="CV840" s="27"/>
      <c r="CW840" s="27"/>
      <c r="CX840" s="27"/>
      <c r="CY840" s="27"/>
      <c r="CZ840" s="27"/>
      <c r="DA840" s="27"/>
      <c r="DB840" s="27"/>
      <c r="DC840" s="27"/>
      <c r="DD840" s="27"/>
      <c r="DE840" s="27"/>
      <c r="DF840" s="27"/>
      <c r="DG840" s="27"/>
      <c r="DH840" s="27"/>
      <c r="DI840" s="27"/>
      <c r="DJ840" s="27"/>
      <c r="DK840" s="27"/>
      <c r="DL840" s="27"/>
      <c r="DM840" s="27"/>
      <c r="DN840" s="27"/>
      <c r="DO840" s="27"/>
      <c r="DP840" s="27"/>
      <c r="DQ840" s="27"/>
      <c r="DR840" s="27"/>
      <c r="DS840" s="27"/>
      <c r="DT840" s="27"/>
    </row>
    <row r="841" spans="7:124" x14ac:dyDescent="0.2">
      <c r="G841" s="27"/>
      <c r="H841" s="27"/>
      <c r="I841" s="27"/>
      <c r="J841" s="27"/>
      <c r="K841" s="27"/>
      <c r="L841" s="27"/>
      <c r="M841" s="27"/>
      <c r="N841" s="27"/>
      <c r="O841" s="27"/>
      <c r="P841" s="27"/>
      <c r="Q841" s="27"/>
      <c r="R841" s="27"/>
      <c r="S841" s="27"/>
      <c r="T841" s="27"/>
      <c r="U841" s="27"/>
      <c r="V841" s="27"/>
      <c r="W841" s="27"/>
      <c r="X841" s="27"/>
      <c r="Y841" s="27"/>
      <c r="Z841" s="27"/>
      <c r="AA841" s="27"/>
      <c r="AB841" s="27"/>
      <c r="AC841" s="27"/>
      <c r="AD841" s="27"/>
      <c r="AE841" s="27"/>
      <c r="AF841" s="27"/>
      <c r="AG841" s="27"/>
      <c r="AH841" s="27"/>
      <c r="AI841" s="27"/>
      <c r="AJ841" s="27"/>
      <c r="AK841" s="27"/>
      <c r="AL841" s="27"/>
      <c r="AM841" s="27"/>
      <c r="AN841" s="27"/>
      <c r="AO841" s="27"/>
      <c r="AP841" s="27"/>
      <c r="AQ841" s="27"/>
      <c r="AR841" s="27"/>
      <c r="AS841" s="27"/>
      <c r="AT841" s="27"/>
      <c r="AU841" s="27"/>
      <c r="AV841" s="27"/>
      <c r="AW841" s="27"/>
      <c r="AX841" s="27"/>
      <c r="AY841" s="27"/>
      <c r="AZ841" s="27"/>
      <c r="BA841" s="27"/>
      <c r="BB841" s="27"/>
      <c r="BC841" s="27"/>
      <c r="BD841" s="27"/>
      <c r="BE841" s="27"/>
      <c r="BF841" s="27"/>
      <c r="BG841" s="27"/>
      <c r="BH841" s="27"/>
      <c r="BI841" s="27"/>
      <c r="BJ841" s="27"/>
      <c r="BK841" s="27"/>
      <c r="BL841" s="27"/>
      <c r="BM841" s="27"/>
      <c r="BN841" s="27"/>
      <c r="BO841" s="27"/>
      <c r="BP841" s="27"/>
      <c r="BQ841" s="27"/>
      <c r="BR841" s="27"/>
      <c r="BS841" s="27"/>
      <c r="BT841" s="27"/>
      <c r="BU841" s="27"/>
      <c r="BV841" s="27"/>
      <c r="BW841" s="27"/>
      <c r="BX841" s="27"/>
      <c r="BY841" s="27"/>
      <c r="BZ841" s="27"/>
      <c r="CA841" s="27"/>
      <c r="CB841" s="27"/>
      <c r="CC841" s="27"/>
      <c r="CD841" s="27"/>
      <c r="CE841" s="27"/>
      <c r="CF841" s="27"/>
      <c r="CG841" s="27"/>
      <c r="CH841" s="27"/>
      <c r="CI841" s="27"/>
      <c r="CJ841" s="27"/>
      <c r="CK841" s="27"/>
      <c r="CL841" s="27"/>
      <c r="CM841" s="27"/>
      <c r="CN841" s="27"/>
      <c r="CO841" s="27"/>
      <c r="CP841" s="27"/>
      <c r="CQ841" s="27"/>
      <c r="CR841" s="27"/>
      <c r="CS841" s="27"/>
      <c r="CT841" s="27"/>
      <c r="CU841" s="27"/>
      <c r="CV841" s="27"/>
      <c r="CW841" s="27"/>
      <c r="CX841" s="27"/>
      <c r="CY841" s="27"/>
      <c r="CZ841" s="27"/>
      <c r="DA841" s="27"/>
      <c r="DB841" s="27"/>
      <c r="DC841" s="27"/>
      <c r="DD841" s="27"/>
      <c r="DE841" s="27"/>
      <c r="DF841" s="27"/>
      <c r="DG841" s="27"/>
      <c r="DH841" s="27"/>
      <c r="DI841" s="27"/>
      <c r="DJ841" s="27"/>
      <c r="DK841" s="27"/>
      <c r="DL841" s="27"/>
      <c r="DM841" s="27"/>
      <c r="DN841" s="27"/>
      <c r="DO841" s="27"/>
      <c r="DP841" s="27"/>
      <c r="DQ841" s="27"/>
      <c r="DR841" s="27"/>
      <c r="DS841" s="27"/>
      <c r="DT841" s="27"/>
    </row>
    <row r="842" spans="7:124" x14ac:dyDescent="0.2">
      <c r="G842" s="27"/>
      <c r="H842" s="27"/>
      <c r="I842" s="27"/>
      <c r="J842" s="27"/>
      <c r="K842" s="27"/>
      <c r="L842" s="27"/>
      <c r="M842" s="27"/>
      <c r="N842" s="27"/>
      <c r="O842" s="27"/>
      <c r="P842" s="27"/>
      <c r="Q842" s="27"/>
      <c r="R842" s="27"/>
      <c r="S842" s="27"/>
      <c r="T842" s="27"/>
      <c r="U842" s="27"/>
      <c r="V842" s="27"/>
      <c r="W842" s="27"/>
      <c r="X842" s="27"/>
      <c r="Y842" s="27"/>
      <c r="Z842" s="27"/>
      <c r="AA842" s="27"/>
      <c r="AB842" s="27"/>
      <c r="AC842" s="27"/>
      <c r="AD842" s="27"/>
      <c r="AE842" s="27"/>
      <c r="AF842" s="27"/>
      <c r="AG842" s="27"/>
      <c r="AH842" s="27"/>
      <c r="AI842" s="27"/>
      <c r="AJ842" s="27"/>
      <c r="AK842" s="27"/>
      <c r="AL842" s="27"/>
      <c r="AM842" s="27"/>
      <c r="AN842" s="27"/>
      <c r="AO842" s="27"/>
      <c r="AP842" s="27"/>
      <c r="AQ842" s="27"/>
      <c r="AR842" s="27"/>
      <c r="AS842" s="27"/>
      <c r="AT842" s="27"/>
      <c r="AU842" s="27"/>
      <c r="AV842" s="27"/>
      <c r="AW842" s="27"/>
      <c r="AX842" s="27"/>
      <c r="AY842" s="27"/>
      <c r="AZ842" s="27"/>
      <c r="BA842" s="27"/>
      <c r="BB842" s="27"/>
      <c r="BC842" s="27"/>
      <c r="BD842" s="27"/>
      <c r="BE842" s="27"/>
      <c r="BF842" s="27"/>
      <c r="BG842" s="27"/>
      <c r="BH842" s="27"/>
      <c r="BI842" s="27"/>
      <c r="BJ842" s="27"/>
      <c r="BK842" s="27"/>
      <c r="BL842" s="27"/>
      <c r="BM842" s="27"/>
      <c r="BN842" s="27"/>
      <c r="BO842" s="27"/>
      <c r="BP842" s="27"/>
      <c r="BQ842" s="27"/>
      <c r="BR842" s="27"/>
      <c r="BS842" s="27"/>
      <c r="BT842" s="27"/>
      <c r="BU842" s="27"/>
      <c r="BV842" s="27"/>
      <c r="BW842" s="27"/>
      <c r="BX842" s="27"/>
      <c r="BY842" s="27"/>
      <c r="BZ842" s="27"/>
      <c r="CA842" s="27"/>
      <c r="CB842" s="27"/>
      <c r="CC842" s="27"/>
      <c r="CD842" s="27"/>
      <c r="CE842" s="27"/>
      <c r="CF842" s="27"/>
      <c r="CG842" s="27"/>
      <c r="CH842" s="27"/>
      <c r="CI842" s="27"/>
      <c r="CJ842" s="27"/>
      <c r="CK842" s="27"/>
      <c r="CL842" s="27"/>
      <c r="CM842" s="27"/>
      <c r="CN842" s="27"/>
      <c r="CO842" s="27"/>
      <c r="CP842" s="27"/>
      <c r="CQ842" s="27"/>
      <c r="CR842" s="27"/>
      <c r="CS842" s="27"/>
      <c r="CT842" s="27"/>
      <c r="CU842" s="27"/>
      <c r="CV842" s="27"/>
      <c r="CW842" s="27"/>
      <c r="CX842" s="27"/>
      <c r="CY842" s="27"/>
      <c r="CZ842" s="27"/>
      <c r="DA842" s="27"/>
      <c r="DB842" s="27"/>
      <c r="DC842" s="27"/>
      <c r="DD842" s="27"/>
      <c r="DE842" s="27"/>
      <c r="DF842" s="27"/>
      <c r="DG842" s="27"/>
      <c r="DH842" s="27"/>
      <c r="DI842" s="27"/>
      <c r="DJ842" s="27"/>
      <c r="DK842" s="27"/>
      <c r="DL842" s="27"/>
      <c r="DM842" s="27"/>
      <c r="DN842" s="27"/>
      <c r="DO842" s="27"/>
      <c r="DP842" s="27"/>
      <c r="DQ842" s="27"/>
      <c r="DR842" s="27"/>
      <c r="DS842" s="27"/>
      <c r="DT842" s="27"/>
    </row>
    <row r="843" spans="7:124" x14ac:dyDescent="0.2">
      <c r="G843" s="27"/>
      <c r="H843" s="27"/>
      <c r="I843" s="27"/>
      <c r="J843" s="27"/>
      <c r="K843" s="27"/>
      <c r="L843" s="27"/>
      <c r="M843" s="27"/>
      <c r="N843" s="27"/>
      <c r="O843" s="27"/>
      <c r="P843" s="27"/>
      <c r="Q843" s="27"/>
      <c r="R843" s="27"/>
      <c r="S843" s="27"/>
      <c r="T843" s="27"/>
      <c r="U843" s="27"/>
      <c r="V843" s="27"/>
      <c r="W843" s="27"/>
      <c r="X843" s="27"/>
      <c r="Y843" s="27"/>
      <c r="Z843" s="27"/>
      <c r="AA843" s="27"/>
      <c r="AB843" s="27"/>
      <c r="AC843" s="27"/>
      <c r="AD843" s="27"/>
      <c r="AE843" s="27"/>
      <c r="AF843" s="27"/>
      <c r="AG843" s="27"/>
      <c r="AH843" s="27"/>
      <c r="AI843" s="27"/>
      <c r="AJ843" s="27"/>
      <c r="AK843" s="27"/>
      <c r="AL843" s="27"/>
      <c r="AM843" s="27"/>
      <c r="AN843" s="27"/>
      <c r="AO843" s="27"/>
      <c r="AP843" s="27"/>
      <c r="AQ843" s="27"/>
      <c r="AR843" s="27"/>
      <c r="AS843" s="27"/>
      <c r="AT843" s="27"/>
      <c r="AU843" s="27"/>
      <c r="AV843" s="27"/>
      <c r="AW843" s="27"/>
      <c r="AX843" s="27"/>
      <c r="AY843" s="27"/>
      <c r="AZ843" s="27"/>
      <c r="BA843" s="27"/>
      <c r="BB843" s="27"/>
      <c r="BC843" s="27"/>
      <c r="BD843" s="27"/>
      <c r="BE843" s="27"/>
      <c r="BF843" s="27"/>
      <c r="BG843" s="27"/>
      <c r="BH843" s="27"/>
      <c r="BI843" s="27"/>
      <c r="BJ843" s="27"/>
      <c r="BK843" s="27"/>
      <c r="BL843" s="27"/>
      <c r="BM843" s="27"/>
      <c r="BN843" s="27"/>
      <c r="BO843" s="27"/>
      <c r="BP843" s="27"/>
      <c r="BQ843" s="27"/>
      <c r="BR843" s="27"/>
      <c r="BS843" s="27"/>
      <c r="BT843" s="27"/>
      <c r="BU843" s="27"/>
      <c r="BV843" s="27"/>
      <c r="BW843" s="27"/>
      <c r="BX843" s="27"/>
      <c r="BY843" s="27"/>
      <c r="BZ843" s="27"/>
      <c r="CA843" s="27"/>
      <c r="CB843" s="27"/>
      <c r="CC843" s="27"/>
      <c r="CD843" s="27"/>
      <c r="CE843" s="27"/>
      <c r="CF843" s="27"/>
      <c r="CG843" s="27"/>
      <c r="CH843" s="27"/>
      <c r="CI843" s="27"/>
      <c r="CJ843" s="27"/>
      <c r="CK843" s="27"/>
      <c r="CL843" s="27"/>
      <c r="CM843" s="27"/>
      <c r="CN843" s="27"/>
      <c r="CO843" s="27"/>
      <c r="CP843" s="27"/>
      <c r="CQ843" s="27"/>
      <c r="CR843" s="27"/>
      <c r="CS843" s="27"/>
      <c r="CT843" s="27"/>
      <c r="CU843" s="27"/>
      <c r="CV843" s="27"/>
      <c r="CW843" s="27"/>
      <c r="CX843" s="27"/>
      <c r="CY843" s="27"/>
      <c r="CZ843" s="27"/>
      <c r="DA843" s="27"/>
      <c r="DB843" s="27"/>
      <c r="DC843" s="27"/>
      <c r="DD843" s="27"/>
      <c r="DE843" s="27"/>
      <c r="DF843" s="27"/>
      <c r="DG843" s="27"/>
      <c r="DH843" s="27"/>
      <c r="DI843" s="27"/>
      <c r="DJ843" s="27"/>
      <c r="DK843" s="27"/>
      <c r="DL843" s="27"/>
      <c r="DM843" s="27"/>
      <c r="DN843" s="27"/>
      <c r="DO843" s="27"/>
      <c r="DP843" s="27"/>
      <c r="DQ843" s="27"/>
      <c r="DR843" s="27"/>
      <c r="DS843" s="27"/>
      <c r="DT843" s="27"/>
    </row>
    <row r="844" spans="7:124" x14ac:dyDescent="0.2">
      <c r="G844" s="27"/>
      <c r="H844" s="27"/>
      <c r="I844" s="27"/>
      <c r="J844" s="27"/>
      <c r="K844" s="27"/>
      <c r="L844" s="27"/>
      <c r="M844" s="27"/>
      <c r="N844" s="27"/>
      <c r="O844" s="27"/>
      <c r="P844" s="27"/>
      <c r="Q844" s="27"/>
      <c r="R844" s="27"/>
      <c r="S844" s="27"/>
      <c r="T844" s="27"/>
      <c r="U844" s="27"/>
      <c r="V844" s="27"/>
      <c r="W844" s="27"/>
      <c r="X844" s="27"/>
      <c r="Y844" s="27"/>
      <c r="Z844" s="27"/>
      <c r="AA844" s="27"/>
      <c r="AB844" s="27"/>
      <c r="AC844" s="27"/>
      <c r="AD844" s="27"/>
      <c r="AE844" s="27"/>
      <c r="AF844" s="27"/>
      <c r="AG844" s="27"/>
      <c r="AH844" s="27"/>
      <c r="AI844" s="27"/>
      <c r="AJ844" s="27"/>
      <c r="AK844" s="27"/>
      <c r="AL844" s="27"/>
      <c r="AM844" s="27"/>
      <c r="AN844" s="27"/>
      <c r="AO844" s="27"/>
      <c r="AP844" s="27"/>
      <c r="AQ844" s="27"/>
      <c r="AR844" s="27"/>
      <c r="AS844" s="27"/>
      <c r="AT844" s="27"/>
      <c r="AU844" s="27"/>
      <c r="AV844" s="27"/>
      <c r="AW844" s="27"/>
      <c r="AX844" s="27"/>
      <c r="AY844" s="27"/>
      <c r="AZ844" s="27"/>
      <c r="BA844" s="27"/>
      <c r="BB844" s="27"/>
      <c r="BC844" s="27"/>
      <c r="BD844" s="27"/>
      <c r="BE844" s="27"/>
      <c r="BF844" s="27"/>
      <c r="BG844" s="27"/>
      <c r="BH844" s="27"/>
      <c r="BI844" s="27"/>
      <c r="BJ844" s="27"/>
      <c r="BK844" s="27"/>
      <c r="BL844" s="27"/>
      <c r="BM844" s="27"/>
      <c r="BN844" s="27"/>
      <c r="BO844" s="27"/>
      <c r="BP844" s="27"/>
      <c r="BQ844" s="27"/>
      <c r="BR844" s="27"/>
      <c r="BS844" s="27"/>
      <c r="BT844" s="27"/>
      <c r="BU844" s="27"/>
      <c r="BV844" s="27"/>
      <c r="BW844" s="27"/>
      <c r="BX844" s="27"/>
      <c r="BY844" s="27"/>
      <c r="BZ844" s="27"/>
      <c r="CA844" s="27"/>
      <c r="CB844" s="27"/>
      <c r="CC844" s="27"/>
      <c r="CD844" s="27"/>
      <c r="CE844" s="27"/>
      <c r="CF844" s="27"/>
      <c r="CG844" s="27"/>
      <c r="CH844" s="27"/>
      <c r="CI844" s="27"/>
      <c r="CJ844" s="27"/>
      <c r="CK844" s="27"/>
      <c r="CL844" s="27"/>
      <c r="CM844" s="27"/>
      <c r="CN844" s="27"/>
      <c r="CO844" s="27"/>
      <c r="CP844" s="27"/>
      <c r="CQ844" s="27"/>
      <c r="CR844" s="27"/>
      <c r="CS844" s="27"/>
      <c r="CT844" s="27"/>
      <c r="CU844" s="27"/>
      <c r="CV844" s="27"/>
      <c r="CW844" s="27"/>
      <c r="CX844" s="27"/>
      <c r="CY844" s="27"/>
      <c r="CZ844" s="27"/>
      <c r="DA844" s="27"/>
      <c r="DB844" s="27"/>
      <c r="DC844" s="27"/>
      <c r="DD844" s="27"/>
      <c r="DE844" s="27"/>
      <c r="DF844" s="27"/>
      <c r="DG844" s="27"/>
      <c r="DH844" s="27"/>
      <c r="DI844" s="27"/>
      <c r="DJ844" s="27"/>
      <c r="DK844" s="27"/>
      <c r="DL844" s="27"/>
      <c r="DM844" s="27"/>
      <c r="DN844" s="27"/>
      <c r="DO844" s="27"/>
      <c r="DP844" s="27"/>
      <c r="DQ844" s="27"/>
      <c r="DR844" s="27"/>
      <c r="DS844" s="27"/>
      <c r="DT844" s="27"/>
    </row>
    <row r="845" spans="7:124" x14ac:dyDescent="0.2">
      <c r="G845" s="27"/>
      <c r="H845" s="27"/>
      <c r="I845" s="27"/>
      <c r="J845" s="27"/>
      <c r="K845" s="27"/>
      <c r="L845" s="27"/>
      <c r="M845" s="27"/>
      <c r="N845" s="27"/>
      <c r="O845" s="27"/>
      <c r="P845" s="27"/>
      <c r="Q845" s="27"/>
      <c r="R845" s="27"/>
      <c r="S845" s="27"/>
      <c r="T845" s="27"/>
      <c r="U845" s="27"/>
      <c r="V845" s="27"/>
      <c r="W845" s="27"/>
      <c r="X845" s="27"/>
      <c r="Y845" s="27"/>
      <c r="Z845" s="27"/>
      <c r="AA845" s="27"/>
      <c r="AB845" s="27"/>
      <c r="AC845" s="27"/>
      <c r="AD845" s="27"/>
      <c r="AE845" s="27"/>
      <c r="AF845" s="27"/>
      <c r="AG845" s="27"/>
      <c r="AH845" s="27"/>
      <c r="AI845" s="27"/>
      <c r="AJ845" s="27"/>
      <c r="AK845" s="27"/>
      <c r="AL845" s="27"/>
      <c r="AM845" s="27"/>
      <c r="AN845" s="27"/>
      <c r="AO845" s="27"/>
      <c r="AP845" s="27"/>
      <c r="AQ845" s="27"/>
      <c r="AR845" s="27"/>
      <c r="AS845" s="27"/>
      <c r="AT845" s="27"/>
      <c r="AU845" s="27"/>
      <c r="AV845" s="27"/>
      <c r="AW845" s="27"/>
      <c r="AX845" s="27"/>
      <c r="AY845" s="27"/>
      <c r="AZ845" s="27"/>
      <c r="BA845" s="27"/>
      <c r="BB845" s="27"/>
      <c r="BC845" s="27"/>
      <c r="BD845" s="27"/>
      <c r="BE845" s="27"/>
      <c r="BF845" s="27"/>
      <c r="BG845" s="27"/>
      <c r="BH845" s="27"/>
      <c r="BI845" s="27"/>
      <c r="BJ845" s="27"/>
      <c r="BK845" s="27"/>
      <c r="BL845" s="27"/>
      <c r="BM845" s="27"/>
      <c r="BN845" s="27"/>
      <c r="BO845" s="27"/>
      <c r="BP845" s="27"/>
      <c r="BQ845" s="27"/>
      <c r="BR845" s="27"/>
      <c r="BS845" s="27"/>
      <c r="BT845" s="27"/>
      <c r="BU845" s="27"/>
      <c r="BV845" s="27"/>
      <c r="BW845" s="27"/>
      <c r="BX845" s="27"/>
      <c r="BY845" s="27"/>
      <c r="BZ845" s="27"/>
      <c r="CA845" s="27"/>
      <c r="CB845" s="27"/>
      <c r="CC845" s="27"/>
      <c r="CD845" s="27"/>
      <c r="CE845" s="27"/>
      <c r="CF845" s="27"/>
      <c r="CG845" s="27"/>
      <c r="CH845" s="27"/>
      <c r="CI845" s="27"/>
      <c r="CJ845" s="27"/>
      <c r="CK845" s="27"/>
      <c r="CL845" s="27"/>
      <c r="CM845" s="27"/>
      <c r="CN845" s="27"/>
      <c r="CO845" s="27"/>
      <c r="CP845" s="27"/>
      <c r="CQ845" s="27"/>
      <c r="CR845" s="27"/>
      <c r="CS845" s="27"/>
      <c r="CT845" s="27"/>
      <c r="CU845" s="27"/>
      <c r="CV845" s="27"/>
      <c r="CW845" s="27"/>
      <c r="CX845" s="27"/>
      <c r="CY845" s="27"/>
      <c r="CZ845" s="27"/>
      <c r="DA845" s="27"/>
      <c r="DB845" s="27"/>
      <c r="DC845" s="27"/>
      <c r="DD845" s="27"/>
      <c r="DE845" s="27"/>
      <c r="DF845" s="27"/>
      <c r="DG845" s="27"/>
      <c r="DH845" s="27"/>
      <c r="DI845" s="27"/>
      <c r="DJ845" s="27"/>
      <c r="DK845" s="27"/>
      <c r="DL845" s="27"/>
      <c r="DM845" s="27"/>
      <c r="DN845" s="27"/>
      <c r="DO845" s="27"/>
      <c r="DP845" s="27"/>
      <c r="DQ845" s="27"/>
      <c r="DR845" s="27"/>
      <c r="DS845" s="27"/>
      <c r="DT845" s="27"/>
    </row>
    <row r="846" spans="7:124" x14ac:dyDescent="0.2">
      <c r="G846" s="27"/>
      <c r="H846" s="27"/>
      <c r="I846" s="27" t="s">
        <v>59</v>
      </c>
      <c r="J846" s="27"/>
      <c r="K846" s="27"/>
      <c r="L846" s="27"/>
      <c r="M846" s="27"/>
      <c r="N846" s="27"/>
      <c r="O846" s="27"/>
      <c r="P846" s="27"/>
      <c r="Q846" s="27"/>
      <c r="R846" s="27"/>
      <c r="S846" s="27"/>
      <c r="T846" s="27"/>
      <c r="U846" s="27"/>
      <c r="V846" s="27"/>
      <c r="W846" s="27"/>
      <c r="X846" s="27"/>
      <c r="Y846" s="27"/>
      <c r="Z846" s="27"/>
      <c r="AA846" s="27"/>
      <c r="AB846" s="27"/>
      <c r="AC846" s="27"/>
      <c r="AD846" s="27"/>
      <c r="AE846" s="27"/>
      <c r="AF846" s="27"/>
      <c r="AG846" s="27"/>
      <c r="AH846" s="27"/>
      <c r="AI846" s="27"/>
      <c r="AJ846" s="27"/>
      <c r="AK846" s="27"/>
      <c r="AL846" s="27"/>
      <c r="AM846" s="27"/>
      <c r="AN846" s="27"/>
      <c r="AO846" s="27"/>
      <c r="AP846" s="27"/>
      <c r="AQ846" s="27"/>
      <c r="AR846" s="27"/>
      <c r="AS846" s="27"/>
      <c r="AT846" s="27"/>
      <c r="AU846" s="27"/>
      <c r="AV846" s="27"/>
      <c r="AW846" s="27"/>
      <c r="AX846" s="27"/>
      <c r="AY846" s="27"/>
      <c r="AZ846" s="27"/>
      <c r="BA846" s="27"/>
      <c r="BB846" s="27"/>
      <c r="BC846" s="27"/>
      <c r="BD846" s="27"/>
      <c r="BE846" s="27"/>
      <c r="BF846" s="27"/>
      <c r="BG846" s="27"/>
      <c r="BH846" s="27"/>
      <c r="BI846" s="27"/>
      <c r="BJ846" s="27"/>
      <c r="BK846" s="27"/>
      <c r="BL846" s="27"/>
      <c r="BM846" s="27"/>
      <c r="BN846" s="27"/>
      <c r="BO846" s="27"/>
      <c r="BP846" s="27"/>
      <c r="BQ846" s="27"/>
      <c r="BR846" s="27"/>
      <c r="BS846" s="27"/>
      <c r="BT846" s="27"/>
      <c r="BU846" s="27"/>
      <c r="BV846" s="27"/>
      <c r="BW846" s="27"/>
      <c r="BX846" s="27"/>
      <c r="BY846" s="27"/>
      <c r="BZ846" s="27"/>
      <c r="CA846" s="27"/>
      <c r="CB846" s="27"/>
      <c r="CC846" s="27"/>
      <c r="CD846" s="27"/>
      <c r="CE846" s="27"/>
      <c r="CF846" s="27"/>
      <c r="CG846" s="27"/>
      <c r="CH846" s="27"/>
      <c r="CI846" s="27"/>
      <c r="CJ846" s="27"/>
      <c r="CK846" s="27"/>
      <c r="CL846" s="27"/>
      <c r="CM846" s="27"/>
      <c r="CN846" s="27"/>
      <c r="CO846" s="27"/>
      <c r="CP846" s="27"/>
      <c r="CQ846" s="27"/>
      <c r="CR846" s="27"/>
      <c r="CS846" s="27"/>
      <c r="CT846" s="27"/>
      <c r="CU846" s="27"/>
      <c r="CV846" s="27"/>
      <c r="CW846" s="27"/>
      <c r="CX846" s="27"/>
      <c r="CY846" s="27"/>
      <c r="CZ846" s="27"/>
      <c r="DA846" s="27"/>
      <c r="DB846" s="27"/>
      <c r="DC846" s="27"/>
      <c r="DD846" s="27"/>
      <c r="DE846" s="27"/>
      <c r="DF846" s="27"/>
      <c r="DG846" s="27"/>
      <c r="DH846" s="27"/>
      <c r="DI846" s="27"/>
      <c r="DJ846" s="27"/>
      <c r="DK846" s="27"/>
      <c r="DL846" s="27"/>
      <c r="DM846" s="27"/>
      <c r="DN846" s="27"/>
      <c r="DO846" s="27"/>
      <c r="DP846" s="27"/>
      <c r="DQ846" s="27"/>
      <c r="DR846" s="27"/>
      <c r="DS846" s="27"/>
      <c r="DT846" s="27"/>
    </row>
    <row r="847" spans="7:124" x14ac:dyDescent="0.2">
      <c r="G847" s="27"/>
      <c r="H847" s="27"/>
      <c r="I847" s="27"/>
      <c r="J847" s="27"/>
      <c r="K847" s="27"/>
      <c r="L847" s="27"/>
      <c r="M847" s="27"/>
      <c r="N847" s="27"/>
      <c r="O847" s="27"/>
      <c r="P847" s="27"/>
      <c r="Q847" s="27"/>
      <c r="R847" s="27"/>
      <c r="S847" s="27"/>
      <c r="T847" s="27"/>
      <c r="U847" s="27"/>
      <c r="V847" s="27"/>
      <c r="W847" s="27"/>
      <c r="X847" s="27"/>
      <c r="Y847" s="27"/>
      <c r="Z847" s="27"/>
      <c r="AA847" s="27"/>
      <c r="AB847" s="27"/>
      <c r="AC847" s="27"/>
      <c r="AD847" s="27"/>
      <c r="AE847" s="27"/>
      <c r="AF847" s="27"/>
      <c r="AG847" s="27"/>
      <c r="AH847" s="27"/>
      <c r="AI847" s="27"/>
      <c r="AJ847" s="27"/>
      <c r="AK847" s="27"/>
      <c r="AL847" s="27"/>
      <c r="AM847" s="27"/>
      <c r="AN847" s="27"/>
      <c r="AO847" s="27"/>
      <c r="AP847" s="27"/>
      <c r="AQ847" s="27"/>
      <c r="AR847" s="27"/>
      <c r="AS847" s="27"/>
      <c r="AT847" s="27"/>
      <c r="AU847" s="27"/>
      <c r="AV847" s="27"/>
      <c r="AW847" s="27"/>
      <c r="AX847" s="27"/>
      <c r="AY847" s="27"/>
      <c r="AZ847" s="27"/>
      <c r="BA847" s="27"/>
      <c r="BB847" s="27"/>
      <c r="BC847" s="27"/>
      <c r="BD847" s="27"/>
      <c r="BE847" s="27"/>
      <c r="BF847" s="27"/>
      <c r="BG847" s="27"/>
      <c r="BH847" s="27"/>
      <c r="BI847" s="27"/>
      <c r="BJ847" s="27"/>
      <c r="BK847" s="27"/>
      <c r="BL847" s="27"/>
      <c r="BM847" s="27"/>
      <c r="BN847" s="27"/>
      <c r="BO847" s="27"/>
      <c r="BP847" s="27"/>
      <c r="BQ847" s="27"/>
      <c r="BR847" s="27"/>
      <c r="BS847" s="27"/>
      <c r="BT847" s="27"/>
      <c r="BU847" s="27"/>
      <c r="BV847" s="27"/>
      <c r="BW847" s="27"/>
      <c r="BX847" s="27"/>
      <c r="BY847" s="27"/>
      <c r="BZ847" s="27"/>
      <c r="CA847" s="27"/>
      <c r="CB847" s="27"/>
      <c r="CC847" s="27"/>
      <c r="CD847" s="27"/>
      <c r="CE847" s="27"/>
      <c r="CF847" s="27"/>
      <c r="CG847" s="27"/>
      <c r="CH847" s="27"/>
      <c r="CI847" s="27"/>
      <c r="CJ847" s="27"/>
      <c r="CK847" s="27"/>
      <c r="CL847" s="27"/>
      <c r="CM847" s="27"/>
      <c r="CN847" s="27"/>
      <c r="CO847" s="27"/>
      <c r="CP847" s="27"/>
      <c r="CQ847" s="27"/>
      <c r="CR847" s="27"/>
      <c r="CS847" s="27"/>
      <c r="CT847" s="27"/>
      <c r="CU847" s="27"/>
      <c r="CV847" s="27"/>
      <c r="CW847" s="27"/>
      <c r="CX847" s="27"/>
      <c r="CY847" s="27"/>
      <c r="CZ847" s="27"/>
      <c r="DA847" s="27"/>
      <c r="DB847" s="27"/>
      <c r="DC847" s="27"/>
      <c r="DD847" s="27"/>
      <c r="DE847" s="27"/>
      <c r="DF847" s="27"/>
      <c r="DG847" s="27"/>
      <c r="DH847" s="27"/>
      <c r="DI847" s="27"/>
      <c r="DJ847" s="27"/>
      <c r="DK847" s="27"/>
      <c r="DL847" s="27"/>
      <c r="DM847" s="27"/>
      <c r="DN847" s="27"/>
      <c r="DO847" s="27"/>
      <c r="DP847" s="27"/>
      <c r="DQ847" s="27"/>
      <c r="DR847" s="27"/>
      <c r="DS847" s="27"/>
      <c r="DT847" s="27"/>
    </row>
    <row r="848" spans="7:124" x14ac:dyDescent="0.2">
      <c r="G848" s="27"/>
      <c r="H848" s="27"/>
      <c r="I848" s="27"/>
      <c r="J848" s="27"/>
      <c r="K848" s="27"/>
      <c r="L848" s="27"/>
      <c r="M848" s="27"/>
      <c r="N848" s="27"/>
      <c r="O848" s="27"/>
      <c r="P848" s="27"/>
      <c r="Q848" s="27"/>
      <c r="R848" s="27"/>
      <c r="S848" s="27"/>
      <c r="T848" s="27"/>
      <c r="U848" s="27"/>
      <c r="V848" s="27"/>
      <c r="W848" s="27"/>
      <c r="X848" s="27"/>
      <c r="Y848" s="27"/>
      <c r="Z848" s="27"/>
      <c r="AA848" s="27"/>
      <c r="AB848" s="27"/>
      <c r="AC848" s="27"/>
      <c r="AD848" s="27"/>
      <c r="AE848" s="27"/>
      <c r="AF848" s="27"/>
      <c r="AG848" s="27"/>
      <c r="AH848" s="27"/>
      <c r="AI848" s="27"/>
      <c r="AJ848" s="27"/>
      <c r="AK848" s="27"/>
      <c r="AL848" s="27"/>
      <c r="AM848" s="27"/>
      <c r="AN848" s="27"/>
      <c r="AO848" s="27"/>
      <c r="AP848" s="27"/>
      <c r="AQ848" s="27"/>
      <c r="AR848" s="27"/>
      <c r="AS848" s="27"/>
      <c r="AT848" s="27"/>
      <c r="AU848" s="27"/>
      <c r="AV848" s="27"/>
      <c r="AW848" s="27"/>
      <c r="AX848" s="27"/>
      <c r="AY848" s="27"/>
      <c r="AZ848" s="27"/>
      <c r="BA848" s="27"/>
      <c r="BB848" s="27"/>
      <c r="BC848" s="27"/>
      <c r="BD848" s="27"/>
      <c r="BE848" s="27"/>
      <c r="BF848" s="27"/>
      <c r="BG848" s="27"/>
      <c r="BH848" s="27"/>
      <c r="BI848" s="27"/>
      <c r="BJ848" s="27"/>
      <c r="BK848" s="27"/>
      <c r="BL848" s="27"/>
      <c r="BM848" s="27"/>
      <c r="BN848" s="27"/>
      <c r="BO848" s="27"/>
      <c r="BP848" s="27"/>
      <c r="BQ848" s="27"/>
      <c r="BR848" s="27"/>
      <c r="BS848" s="27"/>
      <c r="BT848" s="27"/>
      <c r="BU848" s="27"/>
      <c r="BV848" s="27"/>
      <c r="BW848" s="27"/>
      <c r="BX848" s="27"/>
      <c r="BY848" s="27"/>
      <c r="BZ848" s="27"/>
      <c r="CA848" s="27"/>
      <c r="CB848" s="27"/>
      <c r="CC848" s="27"/>
      <c r="CD848" s="27"/>
      <c r="CE848" s="27"/>
      <c r="CF848" s="27"/>
      <c r="CG848" s="27"/>
      <c r="CH848" s="27"/>
      <c r="CI848" s="27"/>
      <c r="CJ848" s="27"/>
      <c r="CK848" s="27"/>
      <c r="CL848" s="27"/>
      <c r="CM848" s="27"/>
      <c r="CN848" s="27"/>
      <c r="CO848" s="27"/>
      <c r="CP848" s="27"/>
      <c r="CQ848" s="27"/>
      <c r="CR848" s="27"/>
      <c r="CS848" s="27"/>
      <c r="CT848" s="27"/>
      <c r="CU848" s="27"/>
      <c r="CV848" s="27"/>
      <c r="CW848" s="27"/>
      <c r="CX848" s="27"/>
      <c r="CY848" s="27"/>
      <c r="CZ848" s="27"/>
      <c r="DA848" s="27"/>
      <c r="DB848" s="27"/>
      <c r="DC848" s="27"/>
      <c r="DD848" s="27"/>
      <c r="DE848" s="27"/>
      <c r="DF848" s="27"/>
      <c r="DG848" s="27"/>
      <c r="DH848" s="27"/>
      <c r="DI848" s="27"/>
      <c r="DJ848" s="27"/>
      <c r="DK848" s="27"/>
      <c r="DL848" s="27"/>
      <c r="DM848" s="27"/>
      <c r="DN848" s="27"/>
      <c r="DO848" s="27"/>
      <c r="DP848" s="27"/>
      <c r="DQ848" s="27"/>
      <c r="DR848" s="27"/>
      <c r="DS848" s="27"/>
      <c r="DT848" s="27"/>
    </row>
    <row r="849" spans="7:124" x14ac:dyDescent="0.2">
      <c r="G849" s="27"/>
      <c r="H849" s="27"/>
      <c r="I849" s="27"/>
      <c r="J849" s="27"/>
      <c r="K849" s="27"/>
      <c r="L849" s="27"/>
      <c r="M849" s="27"/>
      <c r="N849" s="27"/>
      <c r="O849" s="27"/>
      <c r="P849" s="27"/>
      <c r="Q849" s="27"/>
      <c r="R849" s="27"/>
      <c r="S849" s="27"/>
      <c r="T849" s="27"/>
      <c r="U849" s="27"/>
      <c r="V849" s="27"/>
      <c r="W849" s="27"/>
      <c r="X849" s="27"/>
      <c r="Y849" s="27"/>
      <c r="Z849" s="27"/>
      <c r="AA849" s="27"/>
      <c r="AB849" s="27"/>
      <c r="AC849" s="27"/>
      <c r="AD849" s="27"/>
      <c r="AE849" s="27"/>
      <c r="AF849" s="27"/>
      <c r="AG849" s="27"/>
      <c r="AH849" s="27"/>
      <c r="AI849" s="27"/>
      <c r="AJ849" s="27"/>
      <c r="AK849" s="27"/>
      <c r="AL849" s="27"/>
      <c r="AM849" s="27"/>
      <c r="AN849" s="27"/>
      <c r="AO849" s="27"/>
      <c r="AP849" s="27"/>
      <c r="AQ849" s="27"/>
      <c r="AR849" s="27"/>
      <c r="AS849" s="27"/>
      <c r="AT849" s="27"/>
      <c r="AU849" s="27"/>
      <c r="AV849" s="27"/>
      <c r="AW849" s="27"/>
      <c r="AX849" s="27"/>
      <c r="AY849" s="27"/>
      <c r="AZ849" s="27"/>
      <c r="BA849" s="27"/>
      <c r="BB849" s="27"/>
      <c r="BC849" s="27"/>
      <c r="BD849" s="27"/>
      <c r="BE849" s="27"/>
      <c r="BF849" s="27"/>
      <c r="BG849" s="27"/>
      <c r="BH849" s="27"/>
      <c r="BI849" s="27"/>
      <c r="BJ849" s="27"/>
      <c r="BK849" s="27"/>
      <c r="BL849" s="27"/>
      <c r="BM849" s="27"/>
      <c r="BN849" s="27"/>
      <c r="BO849" s="27"/>
      <c r="BP849" s="27"/>
      <c r="BQ849" s="27"/>
      <c r="BR849" s="27"/>
      <c r="BS849" s="27"/>
      <c r="BT849" s="27"/>
      <c r="BU849" s="27"/>
      <c r="BV849" s="27"/>
      <c r="BW849" s="27"/>
      <c r="BX849" s="27"/>
      <c r="BY849" s="27"/>
      <c r="BZ849" s="27"/>
      <c r="CA849" s="27"/>
      <c r="CB849" s="27"/>
      <c r="CC849" s="27"/>
      <c r="CD849" s="27"/>
      <c r="CE849" s="27"/>
      <c r="CF849" s="27"/>
      <c r="CG849" s="27"/>
      <c r="CH849" s="27"/>
      <c r="CI849" s="27"/>
      <c r="CJ849" s="27"/>
      <c r="CK849" s="27"/>
      <c r="CL849" s="27"/>
      <c r="CM849" s="27"/>
      <c r="CN849" s="27"/>
      <c r="CO849" s="27"/>
      <c r="CP849" s="27"/>
      <c r="CQ849" s="27"/>
      <c r="CR849" s="27"/>
      <c r="CS849" s="27"/>
      <c r="CT849" s="27"/>
      <c r="CU849" s="27"/>
      <c r="CV849" s="27"/>
      <c r="CW849" s="27"/>
      <c r="CX849" s="27"/>
      <c r="CY849" s="27"/>
      <c r="CZ849" s="27"/>
      <c r="DA849" s="27"/>
      <c r="DB849" s="27"/>
      <c r="DC849" s="27"/>
      <c r="DD849" s="27"/>
      <c r="DE849" s="27"/>
      <c r="DF849" s="27"/>
      <c r="DG849" s="27"/>
      <c r="DH849" s="27"/>
      <c r="DI849" s="27"/>
      <c r="DJ849" s="27"/>
      <c r="DK849" s="27"/>
      <c r="DL849" s="27"/>
      <c r="DM849" s="27"/>
      <c r="DN849" s="27"/>
      <c r="DO849" s="27"/>
      <c r="DP849" s="27"/>
      <c r="DQ849" s="27"/>
      <c r="DR849" s="27"/>
      <c r="DS849" s="27"/>
      <c r="DT849" s="27"/>
    </row>
    <row r="850" spans="7:124" x14ac:dyDescent="0.2">
      <c r="G850" s="27"/>
      <c r="H850" s="27"/>
      <c r="I850" s="27"/>
      <c r="J850" s="27"/>
      <c r="K850" s="27"/>
      <c r="L850" s="27"/>
      <c r="M850" s="27" t="str">
        <f>IF(L886&gt;=60,"עד גיל 60 בלבד ","" )</f>
        <v/>
      </c>
      <c r="N850" s="27" t="e">
        <f>#REF!</f>
        <v>#REF!</v>
      </c>
      <c r="O850" s="27"/>
      <c r="P850" s="27"/>
      <c r="Q850" s="27"/>
      <c r="R850" s="27"/>
      <c r="S850" s="27"/>
      <c r="T850" s="27"/>
      <c r="U850" s="27"/>
      <c r="V850" s="27"/>
      <c r="W850" s="27"/>
      <c r="X850" s="27"/>
      <c r="Y850" s="27"/>
      <c r="Z850" s="27"/>
      <c r="AA850" s="27"/>
      <c r="AB850" s="27"/>
      <c r="AC850" s="27"/>
      <c r="AD850" s="27"/>
      <c r="AE850" s="27"/>
      <c r="AF850" s="27"/>
      <c r="AG850" s="27"/>
      <c r="AH850" s="27"/>
      <c r="AI850" s="27"/>
      <c r="AJ850" s="27"/>
      <c r="AK850" s="27"/>
      <c r="AL850" s="27"/>
      <c r="AM850" s="27"/>
      <c r="AN850" s="27"/>
      <c r="AO850" s="27"/>
      <c r="AP850" s="27"/>
      <c r="AQ850" s="27"/>
      <c r="AR850" s="27"/>
      <c r="AS850" s="27"/>
      <c r="AT850" s="27"/>
      <c r="AU850" s="27"/>
      <c r="AV850" s="27"/>
      <c r="AW850" s="27"/>
      <c r="AX850" s="27"/>
      <c r="AY850" s="27"/>
      <c r="AZ850" s="27"/>
      <c r="BA850" s="27"/>
      <c r="BB850" s="27"/>
      <c r="BC850" s="27"/>
      <c r="BD850" s="27"/>
      <c r="BE850" s="27"/>
      <c r="BF850" s="27"/>
      <c r="BG850" s="27"/>
      <c r="BH850" s="27"/>
      <c r="BI850" s="27"/>
      <c r="BJ850" s="27"/>
      <c r="BK850" s="27"/>
      <c r="BL850" s="27"/>
      <c r="BM850" s="27"/>
      <c r="BN850" s="27"/>
      <c r="BO850" s="27"/>
      <c r="BP850" s="27"/>
      <c r="BQ850" s="27"/>
      <c r="BR850" s="27"/>
      <c r="BS850" s="27"/>
      <c r="BT850" s="27"/>
      <c r="BU850" s="27"/>
      <c r="BV850" s="27"/>
      <c r="BW850" s="27"/>
      <c r="BX850" s="27"/>
      <c r="BY850" s="27"/>
      <c r="BZ850" s="27"/>
      <c r="CA850" s="27"/>
      <c r="CB850" s="27"/>
      <c r="CC850" s="27"/>
      <c r="CD850" s="27"/>
      <c r="CE850" s="27"/>
      <c r="CF850" s="27"/>
      <c r="CG850" s="27"/>
      <c r="CH850" s="27"/>
      <c r="CI850" s="27"/>
      <c r="CJ850" s="27"/>
      <c r="CK850" s="27"/>
      <c r="CL850" s="27"/>
      <c r="CM850" s="27"/>
      <c r="CN850" s="27"/>
      <c r="CO850" s="27"/>
      <c r="CP850" s="27"/>
      <c r="CQ850" s="27"/>
      <c r="CR850" s="27"/>
      <c r="CS850" s="27"/>
      <c r="CT850" s="27"/>
      <c r="CU850" s="27"/>
      <c r="CV850" s="27"/>
      <c r="CW850" s="27"/>
      <c r="CX850" s="27"/>
      <c r="CY850" s="27"/>
      <c r="CZ850" s="27"/>
      <c r="DA850" s="27"/>
      <c r="DB850" s="27"/>
      <c r="DC850" s="27"/>
      <c r="DD850" s="27"/>
      <c r="DE850" s="27"/>
      <c r="DF850" s="27"/>
      <c r="DG850" s="27"/>
      <c r="DH850" s="27"/>
      <c r="DI850" s="27"/>
      <c r="DJ850" s="27"/>
      <c r="DK850" s="27"/>
      <c r="DL850" s="27"/>
      <c r="DM850" s="27"/>
      <c r="DN850" s="27"/>
      <c r="DO850" s="27"/>
      <c r="DP850" s="27"/>
      <c r="DQ850" s="27"/>
      <c r="DR850" s="27"/>
      <c r="DS850" s="27"/>
      <c r="DT850" s="27"/>
    </row>
    <row r="851" spans="7:124" x14ac:dyDescent="0.2">
      <c r="G851" s="27"/>
      <c r="H851" s="27"/>
      <c r="I851" s="27"/>
      <c r="J851" s="27"/>
      <c r="K851" s="27"/>
      <c r="L851" s="27"/>
      <c r="M851" s="27" t="s">
        <v>469</v>
      </c>
      <c r="N851" s="27">
        <f>E106</f>
        <v>0</v>
      </c>
      <c r="O851" s="27"/>
      <c r="P851" s="27"/>
      <c r="Q851" s="27"/>
      <c r="R851" s="27"/>
      <c r="S851" s="27"/>
      <c r="T851" s="27"/>
      <c r="U851" s="27"/>
      <c r="V851" s="27"/>
      <c r="W851" s="27"/>
      <c r="X851" s="27"/>
      <c r="Y851" s="27"/>
      <c r="Z851" s="27"/>
      <c r="AA851" s="27"/>
      <c r="AB851" s="27"/>
      <c r="AC851" s="27"/>
      <c r="AD851" s="27"/>
      <c r="AE851" s="27"/>
      <c r="AF851" s="27"/>
      <c r="AG851" s="27"/>
      <c r="AH851" s="27"/>
      <c r="AI851" s="27"/>
      <c r="AJ851" s="27"/>
      <c r="AK851" s="27"/>
      <c r="AL851" s="27"/>
      <c r="AM851" s="27"/>
      <c r="AN851" s="27"/>
      <c r="AO851" s="27"/>
      <c r="AP851" s="27"/>
      <c r="AQ851" s="27"/>
      <c r="AR851" s="27"/>
      <c r="AS851" s="27"/>
      <c r="AT851" s="27"/>
      <c r="AU851" s="27"/>
      <c r="AV851" s="27"/>
      <c r="AW851" s="27"/>
      <c r="AX851" s="27"/>
      <c r="AY851" s="27"/>
      <c r="AZ851" s="27"/>
      <c r="BA851" s="27"/>
      <c r="BB851" s="27"/>
      <c r="BC851" s="27"/>
      <c r="BD851" s="27"/>
      <c r="BE851" s="27"/>
      <c r="BF851" s="27"/>
      <c r="BG851" s="27"/>
      <c r="BH851" s="27"/>
      <c r="BI851" s="27"/>
      <c r="BJ851" s="27"/>
      <c r="BK851" s="27"/>
      <c r="BL851" s="27"/>
      <c r="BM851" s="27"/>
      <c r="BN851" s="27"/>
      <c r="BO851" s="27"/>
      <c r="BP851" s="27"/>
      <c r="BQ851" s="27"/>
      <c r="BR851" s="27"/>
      <c r="BS851" s="27"/>
      <c r="BT851" s="27"/>
      <c r="BU851" s="27"/>
      <c r="BV851" s="27"/>
      <c r="BW851" s="27"/>
      <c r="BX851" s="27"/>
      <c r="BY851" s="27"/>
      <c r="BZ851" s="27"/>
      <c r="CA851" s="27"/>
      <c r="CB851" s="27"/>
      <c r="CC851" s="27"/>
      <c r="CD851" s="27"/>
      <c r="CE851" s="27"/>
      <c r="CF851" s="27"/>
      <c r="CG851" s="27"/>
      <c r="CH851" s="27"/>
      <c r="CI851" s="27"/>
      <c r="CJ851" s="27"/>
      <c r="CK851" s="27"/>
      <c r="CL851" s="27"/>
      <c r="CM851" s="27"/>
      <c r="CN851" s="27"/>
      <c r="CO851" s="27"/>
      <c r="CP851" s="27"/>
      <c r="CQ851" s="27"/>
      <c r="CR851" s="27"/>
      <c r="CS851" s="27"/>
      <c r="CT851" s="27"/>
      <c r="CU851" s="27"/>
      <c r="CV851" s="27"/>
      <c r="CW851" s="27"/>
      <c r="CX851" s="27"/>
      <c r="CY851" s="27"/>
      <c r="CZ851" s="27"/>
      <c r="DA851" s="27"/>
      <c r="DB851" s="27"/>
      <c r="DC851" s="27"/>
      <c r="DD851" s="27"/>
      <c r="DE851" s="27"/>
      <c r="DF851" s="27"/>
      <c r="DG851" s="27"/>
      <c r="DH851" s="27"/>
      <c r="DI851" s="27"/>
      <c r="DJ851" s="27"/>
      <c r="DK851" s="27"/>
      <c r="DL851" s="27"/>
      <c r="DM851" s="27"/>
      <c r="DN851" s="27"/>
      <c r="DO851" s="27"/>
      <c r="DP851" s="27"/>
      <c r="DQ851" s="27"/>
      <c r="DR851" s="27"/>
      <c r="DS851" s="27"/>
      <c r="DT851" s="27"/>
    </row>
    <row r="852" spans="7:124" x14ac:dyDescent="0.2">
      <c r="G852" s="27"/>
      <c r="H852" s="27"/>
      <c r="I852" s="27"/>
      <c r="J852" s="27"/>
      <c r="K852" s="27"/>
      <c r="L852" s="27" t="s">
        <v>59</v>
      </c>
      <c r="M852" s="27" t="e">
        <f>#REF!</f>
        <v>#REF!</v>
      </c>
      <c r="N852" s="27" t="e">
        <f>IF(X763=V758,E107*W758,IF(X763=V759,E107*W759,IF(X763=V760,E107*W760)))</f>
        <v>#REF!</v>
      </c>
      <c r="O852" s="27"/>
      <c r="P852" s="27"/>
      <c r="Q852" s="27"/>
      <c r="R852" s="27"/>
      <c r="S852" s="27"/>
      <c r="T852" s="27"/>
      <c r="U852" s="27"/>
      <c r="V852" s="27"/>
      <c r="W852" s="27"/>
      <c r="X852" s="27"/>
      <c r="Y852" s="27"/>
      <c r="Z852" s="27"/>
      <c r="AA852" s="27"/>
      <c r="AB852" s="27"/>
      <c r="AC852" s="27"/>
      <c r="AD852" s="27"/>
      <c r="AE852" s="27"/>
      <c r="AF852" s="27"/>
      <c r="AG852" s="27"/>
      <c r="AH852" s="27"/>
      <c r="AI852" s="27"/>
      <c r="AJ852" s="27"/>
      <c r="AK852" s="27"/>
      <c r="AL852" s="27"/>
      <c r="AM852" s="27"/>
      <c r="AN852" s="27"/>
      <c r="AO852" s="27"/>
      <c r="AP852" s="27"/>
      <c r="AQ852" s="27"/>
      <c r="AR852" s="27"/>
      <c r="AS852" s="27"/>
      <c r="AT852" s="27"/>
      <c r="AU852" s="27"/>
      <c r="AV852" s="27"/>
      <c r="AW852" s="27"/>
      <c r="AX852" s="27"/>
      <c r="AY852" s="27"/>
      <c r="AZ852" s="27"/>
      <c r="BA852" s="27"/>
      <c r="BB852" s="27"/>
      <c r="BC852" s="27"/>
      <c r="BD852" s="27"/>
      <c r="BE852" s="27"/>
      <c r="BF852" s="27"/>
      <c r="BG852" s="27"/>
      <c r="BH852" s="27"/>
      <c r="BI852" s="27"/>
      <c r="BJ852" s="27"/>
      <c r="BK852" s="27"/>
      <c r="BL852" s="27"/>
      <c r="BM852" s="27"/>
      <c r="BN852" s="27"/>
      <c r="BO852" s="27"/>
      <c r="BP852" s="27"/>
      <c r="BQ852" s="27"/>
      <c r="BR852" s="27"/>
      <c r="BS852" s="27"/>
      <c r="BT852" s="27"/>
      <c r="BU852" s="27"/>
      <c r="BV852" s="27"/>
      <c r="BW852" s="27"/>
      <c r="BX852" s="27"/>
      <c r="BY852" s="27"/>
      <c r="BZ852" s="27"/>
      <c r="CA852" s="27"/>
      <c r="CB852" s="27"/>
      <c r="CC852" s="27"/>
      <c r="CD852" s="27"/>
      <c r="CE852" s="27"/>
      <c r="CF852" s="27"/>
      <c r="CG852" s="27"/>
      <c r="CH852" s="27"/>
      <c r="CI852" s="27"/>
      <c r="CJ852" s="27"/>
      <c r="CK852" s="27"/>
      <c r="CL852" s="27"/>
      <c r="CM852" s="27"/>
      <c r="CN852" s="27"/>
      <c r="CO852" s="27"/>
      <c r="CP852" s="27"/>
      <c r="CQ852" s="27"/>
      <c r="CR852" s="27"/>
      <c r="CS852" s="27"/>
      <c r="CT852" s="27"/>
      <c r="CU852" s="27"/>
      <c r="CV852" s="27"/>
      <c r="CW852" s="27"/>
      <c r="CX852" s="27"/>
      <c r="CY852" s="27"/>
      <c r="CZ852" s="27"/>
      <c r="DA852" s="27"/>
      <c r="DB852" s="27"/>
      <c r="DC852" s="27"/>
      <c r="DD852" s="27"/>
      <c r="DE852" s="27"/>
      <c r="DF852" s="27"/>
      <c r="DG852" s="27"/>
      <c r="DH852" s="27"/>
      <c r="DI852" s="27"/>
      <c r="DJ852" s="27"/>
      <c r="DK852" s="27"/>
      <c r="DL852" s="27"/>
      <c r="DM852" s="27"/>
      <c r="DN852" s="27"/>
      <c r="DO852" s="27"/>
      <c r="DP852" s="27"/>
      <c r="DQ852" s="27"/>
      <c r="DR852" s="27"/>
      <c r="DS852" s="27"/>
      <c r="DT852" s="27"/>
    </row>
    <row r="853" spans="7:124" x14ac:dyDescent="0.2">
      <c r="G853" s="27"/>
      <c r="H853" s="27"/>
      <c r="I853" s="27"/>
      <c r="J853" s="27"/>
      <c r="K853" s="27"/>
      <c r="L853" s="27">
        <f>IF(C64=Y723,0.95,1)</f>
        <v>1</v>
      </c>
      <c r="M853" s="27" t="e">
        <f>#REF!</f>
        <v>#REF!</v>
      </c>
      <c r="N853" s="27" t="e">
        <f>#REF!</f>
        <v>#REF!</v>
      </c>
      <c r="O853" s="27"/>
      <c r="P853" s="27"/>
      <c r="Q853" s="27"/>
      <c r="R853" s="27"/>
      <c r="S853" s="27"/>
      <c r="T853" s="27"/>
      <c r="U853" s="27"/>
      <c r="V853" s="27"/>
      <c r="W853" s="27"/>
      <c r="X853" s="27"/>
      <c r="Y853" s="27"/>
      <c r="Z853" s="27"/>
      <c r="AA853" s="27"/>
      <c r="AB853" s="27"/>
      <c r="AC853" s="27"/>
      <c r="AD853" s="27"/>
      <c r="AE853" s="27"/>
      <c r="AF853" s="27"/>
      <c r="AG853" s="27"/>
      <c r="AH853" s="27"/>
      <c r="AI853" s="27"/>
      <c r="AJ853" s="27"/>
      <c r="AK853" s="27"/>
      <c r="AL853" s="27"/>
      <c r="AM853" s="27"/>
      <c r="AN853" s="27"/>
      <c r="AO853" s="27"/>
      <c r="AP853" s="27"/>
      <c r="AQ853" s="27"/>
      <c r="AR853" s="27"/>
      <c r="AS853" s="27"/>
      <c r="AT853" s="27"/>
      <c r="AU853" s="27"/>
      <c r="AV853" s="27"/>
      <c r="AW853" s="27"/>
      <c r="AX853" s="27"/>
      <c r="AY853" s="27"/>
      <c r="AZ853" s="27"/>
      <c r="BA853" s="27"/>
      <c r="BB853" s="27"/>
      <c r="BC853" s="27"/>
      <c r="BD853" s="27"/>
      <c r="BE853" s="27"/>
      <c r="BF853" s="27"/>
      <c r="BG853" s="27"/>
      <c r="BH853" s="27"/>
      <c r="BI853" s="27"/>
      <c r="BJ853" s="27"/>
      <c r="BK853" s="27"/>
      <c r="BL853" s="27"/>
      <c r="BM853" s="27"/>
      <c r="BN853" s="27"/>
      <c r="BO853" s="27"/>
      <c r="BP853" s="27"/>
      <c r="BQ853" s="27"/>
      <c r="BR853" s="27"/>
      <c r="BS853" s="27"/>
      <c r="BT853" s="27"/>
      <c r="BU853" s="27"/>
      <c r="BV853" s="27"/>
      <c r="BW853" s="27"/>
      <c r="BX853" s="27"/>
      <c r="BY853" s="27"/>
      <c r="BZ853" s="27"/>
      <c r="CA853" s="27"/>
      <c r="CB853" s="27"/>
      <c r="CC853" s="27"/>
      <c r="CD853" s="27"/>
      <c r="CE853" s="27"/>
      <c r="CF853" s="27"/>
      <c r="CG853" s="27"/>
      <c r="CH853" s="27"/>
      <c r="CI853" s="27"/>
      <c r="CJ853" s="27"/>
      <c r="CK853" s="27"/>
      <c r="CL853" s="27"/>
      <c r="CM853" s="27"/>
      <c r="CN853" s="27"/>
      <c r="CO853" s="27"/>
      <c r="CP853" s="27"/>
      <c r="CQ853" s="27"/>
      <c r="CR853" s="27"/>
      <c r="CS853" s="27"/>
      <c r="CT853" s="27"/>
      <c r="CU853" s="27"/>
      <c r="CV853" s="27"/>
      <c r="CW853" s="27"/>
      <c r="CX853" s="27"/>
      <c r="CY853" s="27"/>
      <c r="CZ853" s="27"/>
      <c r="DA853" s="27"/>
      <c r="DB853" s="27"/>
      <c r="DC853" s="27"/>
      <c r="DD853" s="27"/>
      <c r="DE853" s="27"/>
      <c r="DF853" s="27"/>
      <c r="DG853" s="27"/>
      <c r="DH853" s="27"/>
      <c r="DI853" s="27"/>
      <c r="DJ853" s="27"/>
      <c r="DK853" s="27"/>
      <c r="DL853" s="27"/>
      <c r="DM853" s="27"/>
      <c r="DN853" s="27"/>
      <c r="DO853" s="27"/>
      <c r="DP853" s="27"/>
      <c r="DQ853" s="27"/>
      <c r="DR853" s="27"/>
      <c r="DS853" s="27"/>
      <c r="DT853" s="27"/>
    </row>
    <row r="854" spans="7:124" x14ac:dyDescent="0.2">
      <c r="G854" s="27"/>
      <c r="H854" s="27"/>
      <c r="I854" s="27"/>
      <c r="J854" s="27"/>
      <c r="K854" s="27"/>
      <c r="L854" s="27"/>
      <c r="M854" s="27" t="e">
        <f>#REF!</f>
        <v>#REF!</v>
      </c>
      <c r="N854" s="27" t="e">
        <f>#REF!</f>
        <v>#REF!</v>
      </c>
      <c r="O854" s="27"/>
      <c r="P854" s="27"/>
      <c r="Q854" s="27"/>
      <c r="R854" s="27"/>
      <c r="S854" s="27"/>
      <c r="T854" s="27"/>
      <c r="U854" s="27"/>
      <c r="V854" s="27"/>
      <c r="W854" s="27"/>
      <c r="X854" s="27"/>
      <c r="Y854" s="27"/>
      <c r="Z854" s="27"/>
      <c r="AA854" s="27"/>
      <c r="AB854" s="27"/>
      <c r="AC854" s="27"/>
      <c r="AD854" s="27"/>
      <c r="AE854" s="27"/>
      <c r="AF854" s="27"/>
      <c r="AG854" s="27"/>
      <c r="AH854" s="27"/>
      <c r="AI854" s="27"/>
      <c r="AJ854" s="27"/>
      <c r="AK854" s="27"/>
      <c r="AL854" s="27"/>
      <c r="AM854" s="27"/>
      <c r="AN854" s="27"/>
      <c r="AO854" s="27"/>
      <c r="AP854" s="27"/>
      <c r="AQ854" s="27"/>
      <c r="AR854" s="27"/>
      <c r="AS854" s="27"/>
      <c r="AT854" s="27"/>
      <c r="AU854" s="27"/>
      <c r="AV854" s="27"/>
      <c r="AW854" s="27"/>
      <c r="AX854" s="27"/>
      <c r="AY854" s="27"/>
      <c r="AZ854" s="27"/>
      <c r="BA854" s="27"/>
      <c r="BB854" s="27"/>
      <c r="BC854" s="27"/>
      <c r="BD854" s="27"/>
      <c r="BE854" s="27"/>
      <c r="BF854" s="27"/>
      <c r="BG854" s="27"/>
      <c r="BH854" s="27"/>
      <c r="BI854" s="27"/>
      <c r="BJ854" s="27"/>
      <c r="BK854" s="27"/>
      <c r="BL854" s="27"/>
      <c r="BM854" s="27"/>
      <c r="BN854" s="27"/>
      <c r="BO854" s="27"/>
      <c r="BP854" s="27"/>
      <c r="BQ854" s="27"/>
      <c r="BR854" s="27"/>
      <c r="BS854" s="27"/>
      <c r="BT854" s="27"/>
      <c r="BU854" s="27"/>
      <c r="BV854" s="27"/>
      <c r="BW854" s="27"/>
      <c r="BX854" s="27"/>
      <c r="BY854" s="27"/>
      <c r="BZ854" s="27"/>
      <c r="CA854" s="27"/>
      <c r="CB854" s="27"/>
      <c r="CC854" s="27"/>
      <c r="CD854" s="27"/>
      <c r="CE854" s="27"/>
      <c r="CF854" s="27"/>
      <c r="CG854" s="27"/>
      <c r="CH854" s="27"/>
      <c r="CI854" s="27"/>
      <c r="CJ854" s="27"/>
      <c r="CK854" s="27"/>
      <c r="CL854" s="27"/>
      <c r="CM854" s="27"/>
      <c r="CN854" s="27"/>
      <c r="CO854" s="27"/>
      <c r="CP854" s="27"/>
      <c r="CQ854" s="27"/>
      <c r="CR854" s="27"/>
      <c r="CS854" s="27"/>
      <c r="CT854" s="27"/>
      <c r="CU854" s="27"/>
      <c r="CV854" s="27"/>
      <c r="CW854" s="27"/>
      <c r="CX854" s="27"/>
      <c r="CY854" s="27"/>
      <c r="CZ854" s="27"/>
      <c r="DA854" s="27"/>
      <c r="DB854" s="27"/>
      <c r="DC854" s="27"/>
      <c r="DD854" s="27"/>
      <c r="DE854" s="27"/>
      <c r="DF854" s="27"/>
      <c r="DG854" s="27"/>
      <c r="DH854" s="27"/>
      <c r="DI854" s="27"/>
      <c r="DJ854" s="27"/>
      <c r="DK854" s="27"/>
      <c r="DL854" s="27"/>
      <c r="DM854" s="27"/>
      <c r="DN854" s="27"/>
      <c r="DO854" s="27"/>
      <c r="DP854" s="27"/>
      <c r="DQ854" s="27"/>
      <c r="DR854" s="27"/>
      <c r="DS854" s="27"/>
      <c r="DT854" s="27"/>
    </row>
    <row r="855" spans="7:124" x14ac:dyDescent="0.2">
      <c r="G855" s="27"/>
      <c r="H855" s="27"/>
      <c r="I855" s="27"/>
      <c r="J855" s="27"/>
      <c r="K855" s="27"/>
      <c r="L855" s="27"/>
      <c r="M855" s="27">
        <f>IF(Y807=0,W807,X807)</f>
        <v>0</v>
      </c>
      <c r="N855" s="27" t="e">
        <f>#REF!</f>
        <v>#REF!</v>
      </c>
      <c r="O855" s="27"/>
      <c r="P855" s="27"/>
      <c r="Q855" s="27"/>
      <c r="R855" s="27"/>
      <c r="S855" s="27"/>
      <c r="T855" s="27"/>
      <c r="U855" s="27"/>
      <c r="V855" s="27"/>
      <c r="W855" s="27"/>
      <c r="X855" s="27"/>
      <c r="Y855" s="27"/>
      <c r="Z855" s="27"/>
      <c r="AA855" s="27"/>
      <c r="AB855" s="27"/>
      <c r="AC855" s="27"/>
      <c r="AD855" s="27"/>
      <c r="AE855" s="27"/>
      <c r="AF855" s="27"/>
      <c r="AG855" s="27"/>
      <c r="AH855" s="27"/>
      <c r="AI855" s="27"/>
      <c r="AJ855" s="27"/>
      <c r="AK855" s="27"/>
      <c r="AL855" s="27"/>
      <c r="AM855" s="27"/>
      <c r="AN855" s="27"/>
      <c r="AO855" s="27"/>
      <c r="AP855" s="27"/>
      <c r="AQ855" s="27"/>
      <c r="AR855" s="27"/>
      <c r="AS855" s="27"/>
      <c r="AT855" s="27"/>
      <c r="AU855" s="27"/>
      <c r="AV855" s="27"/>
      <c r="AW855" s="27"/>
      <c r="AX855" s="27"/>
      <c r="AY855" s="27"/>
      <c r="AZ855" s="27"/>
      <c r="BA855" s="27"/>
      <c r="BB855" s="27"/>
      <c r="BC855" s="27"/>
      <c r="BD855" s="27"/>
      <c r="BE855" s="27"/>
      <c r="BF855" s="27"/>
      <c r="BG855" s="27"/>
      <c r="BH855" s="27"/>
      <c r="BI855" s="27"/>
      <c r="BJ855" s="27"/>
      <c r="BK855" s="27"/>
      <c r="BL855" s="27"/>
      <c r="BM855" s="27"/>
      <c r="BN855" s="27"/>
      <c r="BO855" s="27"/>
      <c r="BP855" s="27"/>
      <c r="BQ855" s="27"/>
      <c r="BR855" s="27"/>
      <c r="BS855" s="27"/>
      <c r="BT855" s="27"/>
      <c r="BU855" s="27"/>
      <c r="BV855" s="27"/>
      <c r="BW855" s="27"/>
      <c r="BX855" s="27"/>
      <c r="BY855" s="27"/>
      <c r="BZ855" s="27"/>
      <c r="CA855" s="27"/>
      <c r="CB855" s="27"/>
      <c r="CC855" s="27"/>
      <c r="CD855" s="27"/>
      <c r="CE855" s="27"/>
      <c r="CF855" s="27"/>
      <c r="CG855" s="27"/>
      <c r="CH855" s="27"/>
      <c r="CI855" s="27"/>
      <c r="CJ855" s="27"/>
      <c r="CK855" s="27"/>
      <c r="CL855" s="27"/>
      <c r="CM855" s="27"/>
      <c r="CN855" s="27"/>
      <c r="CO855" s="27"/>
      <c r="CP855" s="27"/>
      <c r="CQ855" s="27"/>
      <c r="CR855" s="27"/>
      <c r="CS855" s="27"/>
      <c r="CT855" s="27"/>
      <c r="CU855" s="27"/>
      <c r="CV855" s="27"/>
      <c r="CW855" s="27"/>
      <c r="CX855" s="27"/>
      <c r="CY855" s="27"/>
      <c r="CZ855" s="27"/>
      <c r="DA855" s="27"/>
      <c r="DB855" s="27"/>
      <c r="DC855" s="27"/>
      <c r="DD855" s="27"/>
      <c r="DE855" s="27"/>
      <c r="DF855" s="27"/>
      <c r="DG855" s="27"/>
      <c r="DH855" s="27"/>
      <c r="DI855" s="27"/>
      <c r="DJ855" s="27"/>
      <c r="DK855" s="27"/>
      <c r="DL855" s="27"/>
      <c r="DM855" s="27"/>
      <c r="DN855" s="27"/>
      <c r="DO855" s="27"/>
      <c r="DP855" s="27"/>
      <c r="DQ855" s="27"/>
      <c r="DR855" s="27"/>
      <c r="DS855" s="27"/>
      <c r="DT855" s="27"/>
    </row>
    <row r="856" spans="7:124" x14ac:dyDescent="0.2">
      <c r="G856" s="27"/>
      <c r="H856" s="27"/>
      <c r="I856" s="27"/>
      <c r="J856" s="27"/>
      <c r="K856" s="27"/>
      <c r="L856" s="27"/>
      <c r="M856" s="27"/>
      <c r="N856" s="27" t="e">
        <f>SUM(N850:N855)</f>
        <v>#REF!</v>
      </c>
      <c r="O856" s="27"/>
      <c r="P856" s="27"/>
      <c r="Q856" s="27"/>
      <c r="R856" s="27"/>
      <c r="S856" s="27"/>
      <c r="T856" s="27"/>
      <c r="U856" s="27"/>
      <c r="V856" s="27"/>
      <c r="W856" s="27"/>
      <c r="X856" s="27"/>
      <c r="Y856" s="27"/>
      <c r="Z856" s="27"/>
      <c r="AA856" s="27"/>
      <c r="AB856" s="27"/>
      <c r="AC856" s="27"/>
      <c r="AD856" s="27"/>
      <c r="AE856" s="27"/>
      <c r="AF856" s="27"/>
      <c r="AG856" s="27"/>
      <c r="AH856" s="27"/>
      <c r="AI856" s="27"/>
      <c r="AJ856" s="27"/>
      <c r="AK856" s="27"/>
      <c r="AL856" s="27"/>
      <c r="AM856" s="27"/>
      <c r="AN856" s="27"/>
      <c r="AO856" s="27"/>
      <c r="AP856" s="27"/>
      <c r="AQ856" s="27"/>
      <c r="AR856" s="27"/>
      <c r="AS856" s="27"/>
      <c r="AT856" s="27"/>
      <c r="AU856" s="27"/>
      <c r="AV856" s="27"/>
      <c r="AW856" s="27"/>
      <c r="AX856" s="27"/>
      <c r="AY856" s="27"/>
      <c r="AZ856" s="27"/>
      <c r="BA856" s="27"/>
      <c r="BB856" s="27"/>
      <c r="BC856" s="27"/>
      <c r="BD856" s="27"/>
      <c r="BE856" s="27"/>
      <c r="BF856" s="27"/>
      <c r="BG856" s="27"/>
      <c r="BH856" s="27"/>
      <c r="BI856" s="27"/>
      <c r="BJ856" s="27"/>
      <c r="BK856" s="27"/>
      <c r="BL856" s="27"/>
      <c r="BM856" s="27"/>
      <c r="BN856" s="27"/>
      <c r="BO856" s="27"/>
      <c r="BP856" s="27"/>
      <c r="BQ856" s="27"/>
      <c r="BR856" s="27"/>
      <c r="BS856" s="27"/>
      <c r="BT856" s="27"/>
      <c r="BU856" s="27"/>
      <c r="BV856" s="27"/>
      <c r="BW856" s="27"/>
      <c r="BX856" s="27"/>
      <c r="BY856" s="27"/>
      <c r="BZ856" s="27"/>
      <c r="CA856" s="27"/>
      <c r="CB856" s="27"/>
      <c r="CC856" s="27"/>
      <c r="CD856" s="27"/>
      <c r="CE856" s="27"/>
      <c r="CF856" s="27"/>
      <c r="CG856" s="27"/>
      <c r="CH856" s="27"/>
      <c r="CI856" s="27"/>
      <c r="CJ856" s="27"/>
      <c r="CK856" s="27"/>
      <c r="CL856" s="27"/>
      <c r="CM856" s="27"/>
      <c r="CN856" s="27"/>
      <c r="CO856" s="27"/>
      <c r="CP856" s="27"/>
      <c r="CQ856" s="27"/>
      <c r="CR856" s="27"/>
      <c r="CS856" s="27"/>
      <c r="CT856" s="27"/>
      <c r="CU856" s="27"/>
      <c r="CV856" s="27"/>
      <c r="CW856" s="27"/>
      <c r="CX856" s="27"/>
      <c r="CY856" s="27"/>
      <c r="CZ856" s="27"/>
      <c r="DA856" s="27"/>
      <c r="DB856" s="27"/>
      <c r="DC856" s="27"/>
      <c r="DD856" s="27"/>
      <c r="DE856" s="27"/>
      <c r="DF856" s="27"/>
      <c r="DG856" s="27"/>
      <c r="DH856" s="27"/>
      <c r="DI856" s="27"/>
      <c r="DJ856" s="27"/>
      <c r="DK856" s="27"/>
      <c r="DL856" s="27"/>
      <c r="DM856" s="27"/>
      <c r="DN856" s="27"/>
      <c r="DO856" s="27"/>
      <c r="DP856" s="27"/>
      <c r="DQ856" s="27"/>
      <c r="DR856" s="27"/>
      <c r="DS856" s="27"/>
      <c r="DT856" s="27"/>
    </row>
    <row r="857" spans="7:124" x14ac:dyDescent="0.2">
      <c r="G857" s="27"/>
      <c r="H857" s="27"/>
      <c r="I857" s="27"/>
      <c r="J857" s="27"/>
      <c r="K857" s="27"/>
      <c r="L857" s="27"/>
      <c r="M857" s="27"/>
      <c r="N857" s="27"/>
      <c r="O857" s="27"/>
      <c r="P857" s="27"/>
      <c r="Q857" s="27"/>
      <c r="R857" s="27"/>
      <c r="S857" s="27"/>
      <c r="T857" s="27"/>
      <c r="U857" s="27"/>
      <c r="V857" s="27"/>
      <c r="W857" s="27"/>
      <c r="X857" s="27"/>
      <c r="Y857" s="27"/>
      <c r="Z857" s="27"/>
      <c r="AA857" s="27"/>
      <c r="AB857" s="27"/>
      <c r="AC857" s="27"/>
      <c r="AD857" s="27"/>
      <c r="AE857" s="27"/>
      <c r="AF857" s="27"/>
      <c r="AG857" s="27"/>
      <c r="AH857" s="27"/>
      <c r="AI857" s="27"/>
      <c r="AJ857" s="27"/>
      <c r="AK857" s="27"/>
      <c r="AL857" s="27"/>
      <c r="AM857" s="27"/>
      <c r="AN857" s="27"/>
      <c r="AO857" s="27"/>
      <c r="AP857" s="27"/>
      <c r="AQ857" s="27"/>
      <c r="AR857" s="27"/>
      <c r="AS857" s="27"/>
      <c r="AT857" s="27"/>
      <c r="AU857" s="27"/>
      <c r="AV857" s="27"/>
      <c r="AW857" s="27"/>
      <c r="AX857" s="27"/>
      <c r="AY857" s="27"/>
      <c r="AZ857" s="27"/>
      <c r="BA857" s="27"/>
      <c r="BB857" s="27"/>
      <c r="BC857" s="27"/>
      <c r="BD857" s="27"/>
      <c r="BE857" s="27"/>
      <c r="BF857" s="27"/>
      <c r="BG857" s="27"/>
      <c r="BH857" s="27"/>
      <c r="BI857" s="27"/>
      <c r="BJ857" s="27"/>
      <c r="BK857" s="27"/>
      <c r="BL857" s="27"/>
      <c r="BM857" s="27"/>
      <c r="BN857" s="27"/>
      <c r="BO857" s="27"/>
      <c r="BP857" s="27"/>
      <c r="BQ857" s="27"/>
      <c r="BR857" s="27"/>
      <c r="BS857" s="27"/>
      <c r="BT857" s="27"/>
      <c r="BU857" s="27"/>
      <c r="BV857" s="27"/>
      <c r="BW857" s="27"/>
      <c r="BX857" s="27"/>
      <c r="BY857" s="27"/>
      <c r="BZ857" s="27"/>
      <c r="CA857" s="27"/>
      <c r="CB857" s="27"/>
      <c r="CC857" s="27"/>
      <c r="CD857" s="27"/>
      <c r="CE857" s="27"/>
      <c r="CF857" s="27"/>
      <c r="CG857" s="27"/>
      <c r="CH857" s="27"/>
      <c r="CI857" s="27"/>
      <c r="CJ857" s="27"/>
      <c r="CK857" s="27"/>
      <c r="CL857" s="27"/>
      <c r="CM857" s="27"/>
      <c r="CN857" s="27"/>
      <c r="CO857" s="27"/>
      <c r="CP857" s="27"/>
      <c r="CQ857" s="27"/>
      <c r="CR857" s="27"/>
      <c r="CS857" s="27"/>
      <c r="CT857" s="27"/>
      <c r="CU857" s="27"/>
      <c r="CV857" s="27"/>
      <c r="CW857" s="27"/>
      <c r="CX857" s="27"/>
      <c r="CY857" s="27"/>
      <c r="CZ857" s="27"/>
      <c r="DA857" s="27"/>
      <c r="DB857" s="27"/>
      <c r="DC857" s="27"/>
      <c r="DD857" s="27"/>
      <c r="DE857" s="27"/>
      <c r="DF857" s="27"/>
      <c r="DG857" s="27"/>
      <c r="DH857" s="27"/>
      <c r="DI857" s="27"/>
      <c r="DJ857" s="27"/>
      <c r="DK857" s="27"/>
      <c r="DL857" s="27"/>
      <c r="DM857" s="27"/>
      <c r="DN857" s="27"/>
      <c r="DO857" s="27"/>
      <c r="DP857" s="27"/>
      <c r="DQ857" s="27"/>
      <c r="DR857" s="27"/>
      <c r="DS857" s="27"/>
      <c r="DT857" s="27"/>
    </row>
    <row r="858" spans="7:124" x14ac:dyDescent="0.2">
      <c r="G858" s="27"/>
      <c r="H858" s="27"/>
      <c r="I858" s="27"/>
      <c r="J858" s="27"/>
      <c r="K858" s="27"/>
      <c r="L858" s="27"/>
      <c r="M858" s="27"/>
      <c r="N858" s="27"/>
      <c r="O858" s="27"/>
      <c r="P858" s="27"/>
      <c r="Q858" s="27"/>
      <c r="R858" s="27"/>
      <c r="S858" s="27"/>
      <c r="T858" s="27"/>
      <c r="U858" s="27"/>
      <c r="V858" s="27"/>
      <c r="W858" s="27"/>
      <c r="X858" s="27"/>
      <c r="Y858" s="27"/>
      <c r="Z858" s="27"/>
      <c r="AA858" s="27"/>
      <c r="AB858" s="27"/>
      <c r="AC858" s="27"/>
      <c r="AD858" s="27"/>
      <c r="AE858" s="27"/>
      <c r="AF858" s="27"/>
      <c r="AG858" s="27"/>
      <c r="AH858" s="27"/>
      <c r="AI858" s="27"/>
      <c r="AJ858" s="27"/>
      <c r="AK858" s="27"/>
      <c r="AL858" s="27"/>
      <c r="AM858" s="27"/>
      <c r="AN858" s="27"/>
      <c r="AO858" s="27"/>
      <c r="AP858" s="27"/>
      <c r="AQ858" s="27"/>
      <c r="AR858" s="27"/>
      <c r="AS858" s="27"/>
      <c r="AT858" s="27"/>
      <c r="AU858" s="27"/>
      <c r="AV858" s="27"/>
      <c r="AW858" s="27"/>
      <c r="AX858" s="27"/>
      <c r="AY858" s="27"/>
      <c r="AZ858" s="27"/>
      <c r="BA858" s="27"/>
      <c r="BB858" s="27"/>
      <c r="BC858" s="27"/>
      <c r="BD858" s="27"/>
      <c r="BE858" s="27"/>
      <c r="BF858" s="27"/>
      <c r="BG858" s="27"/>
      <c r="BH858" s="27"/>
      <c r="BI858" s="27"/>
      <c r="BJ858" s="27"/>
      <c r="BK858" s="27"/>
      <c r="BL858" s="27"/>
      <c r="BM858" s="27"/>
      <c r="BN858" s="27"/>
      <c r="BO858" s="27"/>
      <c r="BP858" s="27"/>
      <c r="BQ858" s="27"/>
      <c r="BR858" s="27"/>
      <c r="BS858" s="27"/>
      <c r="BT858" s="27"/>
      <c r="BU858" s="27"/>
      <c r="BV858" s="27"/>
      <c r="BW858" s="27"/>
      <c r="BX858" s="27"/>
      <c r="BY858" s="27"/>
      <c r="BZ858" s="27"/>
      <c r="CA858" s="27"/>
      <c r="CB858" s="27"/>
      <c r="CC858" s="27"/>
      <c r="CD858" s="27"/>
      <c r="CE858" s="27"/>
      <c r="CF858" s="27"/>
      <c r="CG858" s="27"/>
      <c r="CH858" s="27"/>
      <c r="CI858" s="27"/>
      <c r="CJ858" s="27"/>
      <c r="CK858" s="27"/>
      <c r="CL858" s="27"/>
      <c r="CM858" s="27"/>
      <c r="CN858" s="27"/>
      <c r="CO858" s="27"/>
      <c r="CP858" s="27"/>
      <c r="CQ858" s="27"/>
      <c r="CR858" s="27"/>
      <c r="CS858" s="27"/>
      <c r="CT858" s="27"/>
      <c r="CU858" s="27"/>
      <c r="CV858" s="27"/>
      <c r="CW858" s="27"/>
      <c r="CX858" s="27"/>
      <c r="CY858" s="27"/>
      <c r="CZ858" s="27"/>
      <c r="DA858" s="27"/>
      <c r="DB858" s="27"/>
      <c r="DC858" s="27"/>
      <c r="DD858" s="27"/>
      <c r="DE858" s="27"/>
      <c r="DF858" s="27"/>
      <c r="DG858" s="27"/>
      <c r="DH858" s="27"/>
      <c r="DI858" s="27"/>
      <c r="DJ858" s="27"/>
      <c r="DK858" s="27"/>
      <c r="DL858" s="27"/>
      <c r="DM858" s="27"/>
      <c r="DN858" s="27"/>
      <c r="DO858" s="27"/>
      <c r="DP858" s="27"/>
      <c r="DQ858" s="27"/>
      <c r="DR858" s="27"/>
      <c r="DS858" s="27"/>
      <c r="DT858" s="27"/>
    </row>
    <row r="859" spans="7:124" x14ac:dyDescent="0.2">
      <c r="G859" s="27"/>
      <c r="H859" s="27"/>
      <c r="I859" s="27"/>
      <c r="J859" s="27"/>
      <c r="K859" s="27"/>
      <c r="L859" s="27"/>
      <c r="M859" s="27"/>
      <c r="N859" s="27"/>
      <c r="O859" s="27"/>
      <c r="P859" s="27"/>
      <c r="Q859" s="27"/>
      <c r="R859" s="27"/>
      <c r="S859" s="27"/>
      <c r="T859" s="27"/>
      <c r="U859" s="27"/>
      <c r="V859" s="27"/>
      <c r="W859" s="27"/>
      <c r="X859" s="27"/>
      <c r="Y859" s="27"/>
      <c r="Z859" s="27"/>
      <c r="AA859" s="27"/>
      <c r="AB859" s="27"/>
      <c r="AC859" s="27"/>
      <c r="AD859" s="27"/>
      <c r="AE859" s="27"/>
      <c r="AF859" s="27"/>
      <c r="AG859" s="27"/>
      <c r="AH859" s="27"/>
      <c r="AI859" s="27"/>
      <c r="AJ859" s="27"/>
      <c r="AK859" s="27"/>
      <c r="AL859" s="27"/>
      <c r="AM859" s="27"/>
      <c r="AN859" s="27"/>
      <c r="AO859" s="27"/>
      <c r="AP859" s="27"/>
      <c r="AQ859" s="27"/>
      <c r="AR859" s="27"/>
      <c r="AS859" s="27"/>
      <c r="AT859" s="27"/>
      <c r="AU859" s="27"/>
      <c r="AV859" s="27"/>
      <c r="AW859" s="27"/>
      <c r="AX859" s="27"/>
      <c r="AY859" s="27"/>
      <c r="AZ859" s="27"/>
      <c r="BA859" s="27"/>
      <c r="BB859" s="27"/>
      <c r="BC859" s="27"/>
      <c r="BD859" s="27"/>
      <c r="BE859" s="27"/>
      <c r="BF859" s="27"/>
      <c r="BG859" s="27"/>
      <c r="BH859" s="27"/>
      <c r="BI859" s="27"/>
      <c r="BJ859" s="27"/>
      <c r="BK859" s="27"/>
      <c r="BL859" s="27"/>
      <c r="BM859" s="27"/>
      <c r="BN859" s="27"/>
      <c r="BO859" s="27"/>
      <c r="BP859" s="27"/>
      <c r="BQ859" s="27"/>
      <c r="BR859" s="27"/>
      <c r="BS859" s="27"/>
      <c r="BT859" s="27"/>
      <c r="BU859" s="27"/>
      <c r="BV859" s="27"/>
      <c r="BW859" s="27"/>
      <c r="BX859" s="27"/>
      <c r="BY859" s="27"/>
      <c r="BZ859" s="27"/>
      <c r="CA859" s="27"/>
      <c r="CB859" s="27"/>
      <c r="CC859" s="27"/>
      <c r="CD859" s="27"/>
      <c r="CE859" s="27"/>
      <c r="CF859" s="27"/>
      <c r="CG859" s="27"/>
      <c r="CH859" s="27"/>
      <c r="CI859" s="27"/>
      <c r="CJ859" s="27"/>
      <c r="CK859" s="27"/>
      <c r="CL859" s="27"/>
      <c r="CM859" s="27"/>
      <c r="CN859" s="27"/>
      <c r="CO859" s="27"/>
      <c r="CP859" s="27"/>
      <c r="CQ859" s="27"/>
      <c r="CR859" s="27"/>
      <c r="CS859" s="27"/>
      <c r="CT859" s="27"/>
      <c r="CU859" s="27"/>
      <c r="CV859" s="27"/>
      <c r="CW859" s="27"/>
      <c r="CX859" s="27"/>
      <c r="CY859" s="27"/>
      <c r="CZ859" s="27"/>
      <c r="DA859" s="27"/>
      <c r="DB859" s="27"/>
      <c r="DC859" s="27"/>
      <c r="DD859" s="27"/>
      <c r="DE859" s="27"/>
      <c r="DF859" s="27"/>
      <c r="DG859" s="27"/>
      <c r="DH859" s="27"/>
      <c r="DI859" s="27"/>
      <c r="DJ859" s="27"/>
      <c r="DK859" s="27"/>
      <c r="DL859" s="27"/>
      <c r="DM859" s="27"/>
      <c r="DN859" s="27"/>
      <c r="DO859" s="27"/>
      <c r="DP859" s="27"/>
      <c r="DQ859" s="27"/>
      <c r="DR859" s="27"/>
      <c r="DS859" s="27"/>
      <c r="DT859" s="27"/>
    </row>
    <row r="860" spans="7:124" x14ac:dyDescent="0.2">
      <c r="G860" s="27"/>
      <c r="H860" s="27"/>
      <c r="I860" s="27"/>
      <c r="J860" s="27"/>
      <c r="K860" s="27"/>
      <c r="L860" s="27"/>
      <c r="M860" s="27"/>
      <c r="N860" s="27"/>
      <c r="O860" s="27"/>
      <c r="P860" s="27"/>
      <c r="Q860" s="27"/>
      <c r="R860" s="27"/>
      <c r="S860" s="27"/>
      <c r="T860" s="27"/>
      <c r="U860" s="27"/>
      <c r="V860" s="27"/>
      <c r="W860" s="27"/>
      <c r="X860" s="27"/>
      <c r="Y860" s="27"/>
      <c r="Z860" s="27"/>
      <c r="AA860" s="27"/>
      <c r="AB860" s="27"/>
      <c r="AC860" s="27"/>
      <c r="AD860" s="27"/>
      <c r="AE860" s="27"/>
      <c r="AF860" s="27"/>
      <c r="AG860" s="27"/>
      <c r="AH860" s="27"/>
      <c r="AI860" s="27"/>
      <c r="AJ860" s="27"/>
      <c r="AK860" s="27"/>
      <c r="AL860" s="27"/>
      <c r="AM860" s="27"/>
      <c r="AN860" s="27"/>
      <c r="AO860" s="27"/>
      <c r="AP860" s="27"/>
      <c r="AQ860" s="27"/>
      <c r="AR860" s="27"/>
      <c r="AS860" s="27"/>
      <c r="AT860" s="27"/>
      <c r="AU860" s="27"/>
      <c r="AV860" s="27"/>
      <c r="AW860" s="27"/>
      <c r="AX860" s="27"/>
      <c r="AY860" s="27"/>
      <c r="AZ860" s="27"/>
      <c r="BA860" s="27"/>
      <c r="BB860" s="27"/>
      <c r="BC860" s="27"/>
      <c r="BD860" s="27"/>
      <c r="BE860" s="27"/>
      <c r="BF860" s="27"/>
      <c r="BG860" s="27"/>
      <c r="BH860" s="27"/>
      <c r="BI860" s="27"/>
      <c r="BJ860" s="27"/>
      <c r="BK860" s="27"/>
      <c r="BL860" s="27"/>
      <c r="BM860" s="27"/>
      <c r="BN860" s="27"/>
      <c r="BO860" s="27"/>
      <c r="BP860" s="27"/>
      <c r="BQ860" s="27"/>
      <c r="BR860" s="27"/>
      <c r="BS860" s="27"/>
      <c r="BT860" s="27"/>
      <c r="BU860" s="27"/>
      <c r="BV860" s="27"/>
      <c r="BW860" s="27"/>
      <c r="BX860" s="27"/>
      <c r="BY860" s="27"/>
      <c r="BZ860" s="27"/>
      <c r="CA860" s="27"/>
      <c r="CB860" s="27"/>
      <c r="CC860" s="27"/>
      <c r="CD860" s="27"/>
      <c r="CE860" s="27"/>
      <c r="CF860" s="27"/>
      <c r="CG860" s="27"/>
      <c r="CH860" s="27"/>
      <c r="CI860" s="27"/>
      <c r="CJ860" s="27"/>
      <c r="CK860" s="27"/>
      <c r="CL860" s="27"/>
      <c r="CM860" s="27"/>
      <c r="CN860" s="27"/>
      <c r="CO860" s="27"/>
      <c r="CP860" s="27"/>
      <c r="CQ860" s="27"/>
      <c r="CR860" s="27"/>
      <c r="CS860" s="27"/>
      <c r="CT860" s="27"/>
      <c r="CU860" s="27"/>
      <c r="CV860" s="27"/>
      <c r="CW860" s="27"/>
      <c r="CX860" s="27"/>
      <c r="CY860" s="27"/>
      <c r="CZ860" s="27"/>
      <c r="DA860" s="27"/>
      <c r="DB860" s="27"/>
      <c r="DC860" s="27"/>
      <c r="DD860" s="27"/>
      <c r="DE860" s="27"/>
      <c r="DF860" s="27"/>
      <c r="DG860" s="27"/>
      <c r="DH860" s="27"/>
      <c r="DI860" s="27"/>
      <c r="DJ860" s="27"/>
      <c r="DK860" s="27"/>
      <c r="DL860" s="27"/>
      <c r="DM860" s="27"/>
      <c r="DN860" s="27"/>
      <c r="DO860" s="27"/>
      <c r="DP860" s="27"/>
      <c r="DQ860" s="27"/>
      <c r="DR860" s="27"/>
      <c r="DS860" s="27"/>
      <c r="DT860" s="27"/>
    </row>
    <row r="861" spans="7:124" x14ac:dyDescent="0.2">
      <c r="G861" s="27"/>
      <c r="H861" s="27"/>
      <c r="I861" s="27"/>
      <c r="J861" s="27"/>
      <c r="K861" s="27"/>
      <c r="L861" s="27"/>
      <c r="M861" s="27"/>
      <c r="N861" s="27"/>
      <c r="O861" s="27"/>
      <c r="P861" s="27"/>
      <c r="Q861" s="27"/>
      <c r="R861" s="27"/>
      <c r="S861" s="27"/>
      <c r="T861" s="27"/>
      <c r="U861" s="27"/>
      <c r="V861" s="27"/>
      <c r="W861" s="27"/>
      <c r="X861" s="27"/>
      <c r="Y861" s="27"/>
      <c r="Z861" s="27"/>
      <c r="AA861" s="27"/>
      <c r="AB861" s="27"/>
      <c r="AC861" s="27"/>
      <c r="AD861" s="27"/>
      <c r="AE861" s="27"/>
      <c r="AF861" s="27"/>
      <c r="AG861" s="27"/>
      <c r="AH861" s="27"/>
      <c r="AI861" s="27"/>
      <c r="AJ861" s="27"/>
      <c r="AK861" s="27"/>
      <c r="AL861" s="27"/>
      <c r="AM861" s="27"/>
      <c r="AN861" s="27"/>
      <c r="AO861" s="27"/>
      <c r="AP861" s="27"/>
      <c r="AQ861" s="27"/>
      <c r="AR861" s="27"/>
      <c r="AS861" s="27"/>
      <c r="AT861" s="27"/>
      <c r="AU861" s="27"/>
      <c r="AV861" s="27"/>
      <c r="AW861" s="27"/>
      <c r="AX861" s="27"/>
      <c r="AY861" s="27"/>
      <c r="AZ861" s="27"/>
      <c r="BA861" s="27"/>
      <c r="BB861" s="27"/>
      <c r="BC861" s="27"/>
      <c r="BD861" s="27"/>
      <c r="BE861" s="27"/>
      <c r="BF861" s="27"/>
      <c r="BG861" s="27"/>
      <c r="BH861" s="27"/>
      <c r="BI861" s="27"/>
      <c r="BJ861" s="27"/>
      <c r="BK861" s="27"/>
      <c r="BL861" s="27"/>
      <c r="BM861" s="27"/>
      <c r="BN861" s="27"/>
      <c r="BO861" s="27"/>
      <c r="BP861" s="27"/>
      <c r="BQ861" s="27"/>
      <c r="BR861" s="27"/>
      <c r="BS861" s="27"/>
      <c r="BT861" s="27"/>
      <c r="BU861" s="27"/>
      <c r="BV861" s="27"/>
      <c r="BW861" s="27"/>
      <c r="BX861" s="27"/>
      <c r="BY861" s="27"/>
      <c r="BZ861" s="27"/>
      <c r="CA861" s="27"/>
      <c r="CB861" s="27"/>
      <c r="CC861" s="27"/>
      <c r="CD861" s="27"/>
      <c r="CE861" s="27"/>
      <c r="CF861" s="27"/>
      <c r="CG861" s="27"/>
      <c r="CH861" s="27"/>
      <c r="CI861" s="27"/>
      <c r="CJ861" s="27"/>
      <c r="CK861" s="27"/>
      <c r="CL861" s="27"/>
      <c r="CM861" s="27"/>
      <c r="CN861" s="27"/>
      <c r="CO861" s="27"/>
      <c r="CP861" s="27"/>
      <c r="CQ861" s="27"/>
      <c r="CR861" s="27"/>
      <c r="CS861" s="27"/>
      <c r="CT861" s="27"/>
      <c r="CU861" s="27"/>
      <c r="CV861" s="27"/>
      <c r="CW861" s="27"/>
      <c r="CX861" s="27"/>
      <c r="CY861" s="27"/>
      <c r="CZ861" s="27"/>
      <c r="DA861" s="27"/>
      <c r="DB861" s="27"/>
      <c r="DC861" s="27"/>
      <c r="DD861" s="27"/>
      <c r="DE861" s="27"/>
      <c r="DF861" s="27"/>
      <c r="DG861" s="27"/>
      <c r="DH861" s="27"/>
      <c r="DI861" s="27"/>
      <c r="DJ861" s="27"/>
      <c r="DK861" s="27"/>
      <c r="DL861" s="27"/>
      <c r="DM861" s="27"/>
      <c r="DN861" s="27"/>
      <c r="DO861" s="27"/>
      <c r="DP861" s="27"/>
      <c r="DQ861" s="27"/>
      <c r="DR861" s="27"/>
      <c r="DS861" s="27"/>
      <c r="DT861" s="27"/>
    </row>
    <row r="862" spans="7:124" x14ac:dyDescent="0.2">
      <c r="G862" s="27"/>
      <c r="H862" s="27"/>
      <c r="I862" s="27"/>
      <c r="J862" s="27"/>
      <c r="K862" s="27"/>
      <c r="L862" s="27"/>
      <c r="M862" s="27" t="s">
        <v>59</v>
      </c>
      <c r="N862" s="27"/>
      <c r="O862" s="27"/>
      <c r="P862" s="27"/>
      <c r="Q862" s="27"/>
      <c r="R862" s="27"/>
      <c r="S862" s="27"/>
      <c r="T862" s="27"/>
      <c r="U862" s="27"/>
      <c r="V862" s="27"/>
      <c r="W862" s="27"/>
      <c r="X862" s="27"/>
      <c r="Y862" s="27"/>
      <c r="Z862" s="27"/>
      <c r="AA862" s="27"/>
      <c r="AB862" s="27"/>
      <c r="AC862" s="27"/>
      <c r="AD862" s="27"/>
      <c r="AE862" s="27"/>
      <c r="AF862" s="27"/>
      <c r="AG862" s="27"/>
      <c r="AH862" s="27"/>
      <c r="AI862" s="27"/>
      <c r="AJ862" s="27"/>
      <c r="AK862" s="27"/>
      <c r="AL862" s="27"/>
      <c r="AM862" s="27"/>
      <c r="AN862" s="27"/>
      <c r="AO862" s="27"/>
      <c r="AP862" s="27"/>
      <c r="AQ862" s="27"/>
      <c r="AR862" s="27"/>
      <c r="AS862" s="27"/>
      <c r="AT862" s="27"/>
      <c r="AU862" s="27"/>
      <c r="AV862" s="27"/>
      <c r="AW862" s="27"/>
      <c r="AX862" s="27"/>
      <c r="AY862" s="27"/>
      <c r="AZ862" s="27"/>
      <c r="BA862" s="27"/>
      <c r="BB862" s="27"/>
      <c r="BC862" s="27"/>
      <c r="BD862" s="27"/>
      <c r="BE862" s="27"/>
      <c r="BF862" s="27"/>
      <c r="BG862" s="27"/>
      <c r="BH862" s="27"/>
      <c r="BI862" s="27"/>
      <c r="BJ862" s="27"/>
      <c r="BK862" s="27"/>
      <c r="BL862" s="27"/>
      <c r="BM862" s="27"/>
      <c r="BN862" s="27"/>
      <c r="BO862" s="27"/>
      <c r="BP862" s="27"/>
      <c r="BQ862" s="27"/>
      <c r="BR862" s="27"/>
      <c r="BS862" s="27"/>
      <c r="BT862" s="27"/>
      <c r="BU862" s="27"/>
      <c r="BV862" s="27"/>
      <c r="BW862" s="27"/>
      <c r="BX862" s="27"/>
      <c r="BY862" s="27"/>
      <c r="BZ862" s="27"/>
      <c r="CA862" s="27"/>
      <c r="CB862" s="27"/>
      <c r="CC862" s="27"/>
      <c r="CD862" s="27"/>
      <c r="CE862" s="27"/>
      <c r="CF862" s="27"/>
      <c r="CG862" s="27"/>
      <c r="CH862" s="27"/>
      <c r="CI862" s="27"/>
      <c r="CJ862" s="27"/>
      <c r="CK862" s="27"/>
      <c r="CL862" s="27"/>
      <c r="CM862" s="27"/>
      <c r="CN862" s="27"/>
      <c r="CO862" s="27"/>
      <c r="CP862" s="27"/>
      <c r="CQ862" s="27"/>
      <c r="CR862" s="27"/>
      <c r="CS862" s="27"/>
      <c r="CT862" s="27"/>
      <c r="CU862" s="27"/>
      <c r="CV862" s="27"/>
      <c r="CW862" s="27"/>
      <c r="CX862" s="27"/>
      <c r="CY862" s="27"/>
      <c r="CZ862" s="27"/>
      <c r="DA862" s="27"/>
      <c r="DB862" s="27"/>
      <c r="DC862" s="27"/>
      <c r="DD862" s="27"/>
      <c r="DE862" s="27"/>
      <c r="DF862" s="27"/>
      <c r="DG862" s="27"/>
      <c r="DH862" s="27"/>
      <c r="DI862" s="27"/>
      <c r="DJ862" s="27"/>
      <c r="DK862" s="27"/>
      <c r="DL862" s="27"/>
      <c r="DM862" s="27"/>
      <c r="DN862" s="27"/>
      <c r="DO862" s="27"/>
      <c r="DP862" s="27"/>
      <c r="DQ862" s="27"/>
      <c r="DR862" s="27"/>
      <c r="DS862" s="27"/>
      <c r="DT862" s="27"/>
    </row>
    <row r="863" spans="7:124" x14ac:dyDescent="0.2">
      <c r="G863" s="27"/>
      <c r="H863" s="27"/>
      <c r="I863" s="27"/>
      <c r="J863" s="27"/>
      <c r="K863" s="27"/>
      <c r="L863" s="27"/>
      <c r="M863" s="27"/>
      <c r="N863" s="27"/>
      <c r="O863" s="27"/>
      <c r="P863" s="27"/>
      <c r="Q863" s="27"/>
      <c r="R863" s="27"/>
      <c r="S863" s="27"/>
      <c r="T863" s="27"/>
      <c r="U863" s="27"/>
      <c r="V863" s="27"/>
      <c r="W863" s="27"/>
      <c r="X863" s="27"/>
      <c r="Y863" s="27"/>
      <c r="Z863" s="27"/>
      <c r="AA863" s="27"/>
      <c r="AB863" s="27"/>
      <c r="AC863" s="27"/>
      <c r="AD863" s="27"/>
      <c r="AE863" s="27"/>
      <c r="AF863" s="27"/>
      <c r="AG863" s="27"/>
      <c r="AH863" s="27"/>
      <c r="AI863" s="27"/>
      <c r="AJ863" s="27"/>
      <c r="AK863" s="27"/>
      <c r="AL863" s="27"/>
      <c r="AM863" s="27"/>
      <c r="AN863" s="27"/>
      <c r="AO863" s="27"/>
      <c r="AP863" s="27"/>
      <c r="AQ863" s="27"/>
      <c r="AR863" s="27"/>
      <c r="AS863" s="27"/>
      <c r="AT863" s="27"/>
      <c r="AU863" s="27"/>
      <c r="AV863" s="27"/>
      <c r="AW863" s="27"/>
      <c r="AX863" s="27"/>
      <c r="AY863" s="27"/>
      <c r="AZ863" s="27"/>
      <c r="BA863" s="27"/>
      <c r="BB863" s="27"/>
      <c r="BC863" s="27"/>
      <c r="BD863" s="27"/>
      <c r="BE863" s="27"/>
      <c r="BF863" s="27"/>
      <c r="BG863" s="27"/>
      <c r="BH863" s="27"/>
      <c r="BI863" s="27"/>
      <c r="BJ863" s="27"/>
      <c r="BK863" s="27"/>
      <c r="BL863" s="27"/>
      <c r="BM863" s="27"/>
      <c r="BN863" s="27"/>
      <c r="BO863" s="27"/>
      <c r="BP863" s="27"/>
      <c r="BQ863" s="27"/>
      <c r="BR863" s="27"/>
      <c r="BS863" s="27"/>
      <c r="BT863" s="27"/>
      <c r="BU863" s="27"/>
      <c r="BV863" s="27"/>
      <c r="BW863" s="27"/>
      <c r="BX863" s="27"/>
      <c r="BY863" s="27"/>
      <c r="BZ863" s="27"/>
      <c r="CA863" s="27"/>
      <c r="CB863" s="27"/>
      <c r="CC863" s="27"/>
      <c r="CD863" s="27"/>
      <c r="CE863" s="27"/>
      <c r="CF863" s="27"/>
      <c r="CG863" s="27"/>
      <c r="CH863" s="27"/>
      <c r="CI863" s="27"/>
      <c r="CJ863" s="27"/>
      <c r="CK863" s="27"/>
      <c r="CL863" s="27"/>
      <c r="CM863" s="27"/>
      <c r="CN863" s="27"/>
      <c r="CO863" s="27"/>
      <c r="CP863" s="27"/>
      <c r="CQ863" s="27"/>
      <c r="CR863" s="27"/>
      <c r="CS863" s="27"/>
      <c r="CT863" s="27"/>
      <c r="CU863" s="27"/>
      <c r="CV863" s="27"/>
      <c r="CW863" s="27"/>
      <c r="CX863" s="27"/>
      <c r="CY863" s="27"/>
      <c r="CZ863" s="27"/>
      <c r="DA863" s="27"/>
      <c r="DB863" s="27"/>
      <c r="DC863" s="27"/>
      <c r="DD863" s="27"/>
      <c r="DE863" s="27"/>
      <c r="DF863" s="27"/>
      <c r="DG863" s="27"/>
      <c r="DH863" s="27"/>
      <c r="DI863" s="27"/>
      <c r="DJ863" s="27"/>
      <c r="DK863" s="27"/>
      <c r="DL863" s="27"/>
      <c r="DM863" s="27"/>
      <c r="DN863" s="27"/>
      <c r="DO863" s="27"/>
      <c r="DP863" s="27"/>
      <c r="DQ863" s="27"/>
      <c r="DR863" s="27"/>
      <c r="DS863" s="27"/>
      <c r="DT863" s="27"/>
    </row>
    <row r="864" spans="7:124" x14ac:dyDescent="0.2">
      <c r="G864" s="27"/>
      <c r="H864" s="27"/>
      <c r="I864" s="27"/>
      <c r="J864" s="27"/>
      <c r="K864" s="27"/>
      <c r="L864" s="27"/>
      <c r="M864" s="27"/>
      <c r="N864" s="27"/>
      <c r="O864" s="27"/>
      <c r="P864" s="27"/>
      <c r="Q864" s="27"/>
      <c r="R864" s="27"/>
      <c r="S864" s="27"/>
      <c r="T864" s="27"/>
      <c r="U864" s="27"/>
      <c r="V864" s="27"/>
      <c r="W864" s="27"/>
      <c r="X864" s="27"/>
      <c r="Y864" s="27"/>
      <c r="Z864" s="27"/>
      <c r="AA864" s="27"/>
      <c r="AB864" s="27"/>
      <c r="AC864" s="27"/>
      <c r="AD864" s="27"/>
      <c r="AE864" s="27"/>
      <c r="AF864" s="27"/>
      <c r="AG864" s="27"/>
      <c r="AH864" s="27"/>
      <c r="AI864" s="27"/>
      <c r="AJ864" s="27"/>
      <c r="AK864" s="27"/>
      <c r="AL864" s="27"/>
      <c r="AM864" s="27"/>
      <c r="AN864" s="27"/>
      <c r="AO864" s="27"/>
      <c r="AP864" s="27"/>
      <c r="AQ864" s="27"/>
      <c r="AR864" s="27"/>
      <c r="AS864" s="27"/>
      <c r="AT864" s="27"/>
      <c r="AU864" s="27"/>
      <c r="AV864" s="27"/>
      <c r="AW864" s="27"/>
      <c r="AX864" s="27"/>
      <c r="AY864" s="27"/>
      <c r="AZ864" s="27"/>
      <c r="BA864" s="27"/>
      <c r="BB864" s="27"/>
      <c r="BC864" s="27"/>
      <c r="BD864" s="27"/>
      <c r="BE864" s="27"/>
      <c r="BF864" s="27"/>
      <c r="BG864" s="27"/>
      <c r="BH864" s="27"/>
      <c r="BI864" s="27"/>
      <c r="BJ864" s="27"/>
      <c r="BK864" s="27"/>
      <c r="BL864" s="27"/>
      <c r="BM864" s="27"/>
      <c r="BN864" s="27"/>
      <c r="BO864" s="27"/>
      <c r="BP864" s="27"/>
      <c r="BQ864" s="27"/>
      <c r="BR864" s="27"/>
      <c r="BS864" s="27"/>
      <c r="BT864" s="27"/>
      <c r="BU864" s="27"/>
      <c r="BV864" s="27"/>
      <c r="BW864" s="27"/>
      <c r="BX864" s="27"/>
      <c r="BY864" s="27"/>
      <c r="BZ864" s="27"/>
      <c r="CA864" s="27"/>
      <c r="CB864" s="27"/>
      <c r="CC864" s="27"/>
      <c r="CD864" s="27"/>
      <c r="CE864" s="27"/>
      <c r="CF864" s="27"/>
      <c r="CG864" s="27"/>
      <c r="CH864" s="27"/>
      <c r="CI864" s="27"/>
      <c r="CJ864" s="27"/>
      <c r="CK864" s="27"/>
      <c r="CL864" s="27"/>
      <c r="CM864" s="27"/>
      <c r="CN864" s="27"/>
      <c r="CO864" s="27"/>
      <c r="CP864" s="27"/>
      <c r="CQ864" s="27"/>
      <c r="CR864" s="27"/>
      <c r="CS864" s="27"/>
      <c r="CT864" s="27"/>
      <c r="CU864" s="27"/>
      <c r="CV864" s="27"/>
      <c r="CW864" s="27"/>
      <c r="CX864" s="27"/>
      <c r="CY864" s="27"/>
      <c r="CZ864" s="27"/>
      <c r="DA864" s="27"/>
      <c r="DB864" s="27"/>
      <c r="DC864" s="27"/>
      <c r="DD864" s="27"/>
      <c r="DE864" s="27"/>
      <c r="DF864" s="27"/>
      <c r="DG864" s="27"/>
      <c r="DH864" s="27"/>
      <c r="DI864" s="27"/>
      <c r="DJ864" s="27"/>
      <c r="DK864" s="27"/>
      <c r="DL864" s="27"/>
      <c r="DM864" s="27"/>
      <c r="DN864" s="27"/>
      <c r="DO864" s="27"/>
      <c r="DP864" s="27"/>
      <c r="DQ864" s="27"/>
      <c r="DR864" s="27"/>
      <c r="DS864" s="27"/>
      <c r="DT864" s="27"/>
    </row>
    <row r="865" spans="7:124" x14ac:dyDescent="0.2">
      <c r="G865" s="27"/>
      <c r="H865" s="27"/>
      <c r="I865" s="27"/>
      <c r="J865" s="27"/>
      <c r="K865" s="27"/>
      <c r="L865" s="27"/>
      <c r="M865" s="27"/>
      <c r="N865" s="27"/>
      <c r="O865" s="27"/>
      <c r="P865" s="27"/>
      <c r="Q865" s="27"/>
      <c r="R865" s="27"/>
      <c r="S865" s="27"/>
      <c r="T865" s="27"/>
      <c r="U865" s="27"/>
      <c r="V865" s="27"/>
      <c r="W865" s="27"/>
      <c r="X865" s="27"/>
      <c r="Y865" s="27"/>
      <c r="Z865" s="27"/>
      <c r="AA865" s="27"/>
      <c r="AB865" s="27"/>
      <c r="AC865" s="27"/>
      <c r="AD865" s="27"/>
      <c r="AE865" s="27"/>
      <c r="AF865" s="27"/>
      <c r="AG865" s="27"/>
      <c r="AH865" s="27"/>
      <c r="AI865" s="27"/>
      <c r="AJ865" s="27"/>
      <c r="AK865" s="27"/>
      <c r="AL865" s="27"/>
      <c r="AM865" s="27"/>
      <c r="AN865" s="27"/>
      <c r="AO865" s="27"/>
      <c r="AP865" s="27"/>
      <c r="AQ865" s="27"/>
      <c r="AR865" s="27"/>
      <c r="AS865" s="27"/>
      <c r="AT865" s="27"/>
      <c r="AU865" s="27"/>
      <c r="AV865" s="27"/>
      <c r="AW865" s="27"/>
      <c r="AX865" s="27"/>
      <c r="AY865" s="27"/>
      <c r="AZ865" s="27"/>
      <c r="BA865" s="27"/>
      <c r="BB865" s="27"/>
      <c r="BC865" s="27"/>
      <c r="BD865" s="27"/>
      <c r="BE865" s="27"/>
      <c r="BF865" s="27"/>
      <c r="BG865" s="27"/>
      <c r="BH865" s="27"/>
      <c r="BI865" s="27"/>
      <c r="BJ865" s="27"/>
      <c r="BK865" s="27"/>
      <c r="BL865" s="27"/>
      <c r="BM865" s="27"/>
      <c r="BN865" s="27"/>
      <c r="BO865" s="27"/>
      <c r="BP865" s="27"/>
      <c r="BQ865" s="27"/>
      <c r="BR865" s="27"/>
      <c r="BS865" s="27"/>
      <c r="BT865" s="27"/>
      <c r="BU865" s="27"/>
      <c r="BV865" s="27"/>
      <c r="BW865" s="27"/>
      <c r="BX865" s="27"/>
      <c r="BY865" s="27"/>
      <c r="BZ865" s="27"/>
      <c r="CA865" s="27"/>
      <c r="CB865" s="27"/>
      <c r="CC865" s="27"/>
      <c r="CD865" s="27"/>
      <c r="CE865" s="27"/>
      <c r="CF865" s="27"/>
      <c r="CG865" s="27"/>
      <c r="CH865" s="27"/>
      <c r="CI865" s="27"/>
      <c r="CJ865" s="27"/>
      <c r="CK865" s="27"/>
      <c r="CL865" s="27"/>
      <c r="CM865" s="27"/>
      <c r="CN865" s="27"/>
      <c r="CO865" s="27"/>
      <c r="CP865" s="27"/>
      <c r="CQ865" s="27"/>
      <c r="CR865" s="27"/>
      <c r="CS865" s="27"/>
      <c r="CT865" s="27"/>
      <c r="CU865" s="27"/>
      <c r="CV865" s="27"/>
      <c r="CW865" s="27"/>
      <c r="CX865" s="27"/>
      <c r="CY865" s="27"/>
      <c r="CZ865" s="27"/>
      <c r="DA865" s="27"/>
      <c r="DB865" s="27"/>
      <c r="DC865" s="27"/>
      <c r="DD865" s="27"/>
      <c r="DE865" s="27"/>
      <c r="DF865" s="27"/>
      <c r="DG865" s="27"/>
      <c r="DH865" s="27"/>
      <c r="DI865" s="27"/>
      <c r="DJ865" s="27"/>
      <c r="DK865" s="27"/>
      <c r="DL865" s="27"/>
      <c r="DM865" s="27"/>
      <c r="DN865" s="27"/>
      <c r="DO865" s="27"/>
      <c r="DP865" s="27"/>
      <c r="DQ865" s="27"/>
      <c r="DR865" s="27"/>
      <c r="DS865" s="27"/>
      <c r="DT865" s="27"/>
    </row>
    <row r="866" spans="7:124" x14ac:dyDescent="0.2">
      <c r="G866" s="27"/>
      <c r="H866" s="27"/>
      <c r="I866" s="27"/>
      <c r="J866" s="27"/>
      <c r="K866" s="27"/>
      <c r="L866" s="27"/>
      <c r="M866" s="27"/>
      <c r="N866" s="27"/>
      <c r="O866" s="27"/>
      <c r="P866" s="27"/>
      <c r="Q866" s="27"/>
      <c r="R866" s="27"/>
      <c r="S866" s="27"/>
      <c r="T866" s="27"/>
      <c r="U866" s="27"/>
      <c r="V866" s="27"/>
      <c r="W866" s="27"/>
      <c r="X866" s="27"/>
      <c r="Y866" s="27"/>
      <c r="Z866" s="27"/>
      <c r="AA866" s="27"/>
      <c r="AB866" s="27"/>
      <c r="AC866" s="27"/>
      <c r="AD866" s="27"/>
      <c r="AE866" s="27"/>
      <c r="AF866" s="27"/>
      <c r="AG866" s="27"/>
      <c r="AH866" s="27"/>
      <c r="AI866" s="27"/>
      <c r="AJ866" s="27"/>
      <c r="AK866" s="27"/>
      <c r="AL866" s="27"/>
      <c r="AM866" s="27"/>
      <c r="AN866" s="27"/>
      <c r="AO866" s="27"/>
      <c r="AP866" s="27"/>
      <c r="AQ866" s="27"/>
      <c r="AR866" s="27"/>
      <c r="AS866" s="27"/>
      <c r="AT866" s="27"/>
      <c r="AU866" s="27"/>
      <c r="AV866" s="27"/>
      <c r="AW866" s="27"/>
      <c r="AX866" s="27"/>
      <c r="AY866" s="27"/>
      <c r="AZ866" s="27"/>
      <c r="BA866" s="27"/>
      <c r="BB866" s="27"/>
      <c r="BC866" s="27"/>
      <c r="BD866" s="27"/>
      <c r="BE866" s="27"/>
      <c r="BF866" s="27"/>
      <c r="BG866" s="27"/>
      <c r="BH866" s="27"/>
      <c r="BI866" s="27"/>
      <c r="BJ866" s="27"/>
      <c r="BK866" s="27"/>
      <c r="BL866" s="27"/>
      <c r="BM866" s="27"/>
      <c r="BN866" s="27"/>
      <c r="BO866" s="27"/>
      <c r="BP866" s="27"/>
      <c r="BQ866" s="27"/>
      <c r="BR866" s="27"/>
      <c r="BS866" s="27"/>
      <c r="BT866" s="27"/>
      <c r="BU866" s="27"/>
      <c r="BV866" s="27"/>
      <c r="BW866" s="27"/>
      <c r="BX866" s="27"/>
      <c r="BY866" s="27"/>
      <c r="BZ866" s="27"/>
      <c r="CA866" s="27"/>
      <c r="CB866" s="27"/>
      <c r="CC866" s="27"/>
      <c r="CD866" s="27"/>
      <c r="CE866" s="27"/>
      <c r="CF866" s="27"/>
      <c r="CG866" s="27"/>
      <c r="CH866" s="27"/>
      <c r="CI866" s="27"/>
      <c r="CJ866" s="27"/>
      <c r="CK866" s="27"/>
      <c r="CL866" s="27"/>
      <c r="CM866" s="27"/>
      <c r="CN866" s="27"/>
      <c r="CO866" s="27"/>
      <c r="CP866" s="27"/>
      <c r="CQ866" s="27"/>
      <c r="CR866" s="27"/>
      <c r="CS866" s="27"/>
      <c r="CT866" s="27"/>
      <c r="CU866" s="27"/>
      <c r="CV866" s="27"/>
      <c r="CW866" s="27"/>
      <c r="CX866" s="27"/>
      <c r="CY866" s="27"/>
      <c r="CZ866" s="27"/>
      <c r="DA866" s="27"/>
      <c r="DB866" s="27"/>
      <c r="DC866" s="27"/>
      <c r="DD866" s="27"/>
      <c r="DE866" s="27"/>
      <c r="DF866" s="27"/>
      <c r="DG866" s="27"/>
      <c r="DH866" s="27"/>
      <c r="DI866" s="27"/>
      <c r="DJ866" s="27"/>
      <c r="DK866" s="27"/>
      <c r="DL866" s="27"/>
      <c r="DM866" s="27"/>
      <c r="DN866" s="27"/>
      <c r="DO866" s="27"/>
      <c r="DP866" s="27"/>
      <c r="DQ866" s="27"/>
      <c r="DR866" s="27"/>
      <c r="DS866" s="27"/>
      <c r="DT866" s="27"/>
    </row>
    <row r="867" spans="7:124" x14ac:dyDescent="0.2">
      <c r="G867" s="27"/>
      <c r="H867" s="27" t="str">
        <f>BB769</f>
        <v>ד"ר</v>
      </c>
      <c r="I867" s="27"/>
      <c r="J867" s="27"/>
      <c r="K867" s="27"/>
      <c r="L867" s="27"/>
      <c r="M867" s="27"/>
      <c r="N867" s="27"/>
      <c r="O867" s="27"/>
      <c r="P867" s="27"/>
      <c r="Q867" s="27"/>
      <c r="R867" s="27"/>
      <c r="S867" s="27"/>
      <c r="T867" s="27"/>
      <c r="U867" s="27"/>
      <c r="V867" s="27"/>
      <c r="W867" s="27"/>
      <c r="X867" s="27"/>
      <c r="Y867" s="27"/>
      <c r="Z867" s="27"/>
      <c r="AA867" s="27"/>
      <c r="AB867" s="27"/>
      <c r="AC867" s="27"/>
      <c r="AD867" s="27"/>
      <c r="AE867" s="27"/>
      <c r="AF867" s="27"/>
      <c r="AG867" s="27"/>
      <c r="AH867" s="27"/>
      <c r="AI867" s="27"/>
      <c r="AJ867" s="27"/>
      <c r="AK867" s="27"/>
      <c r="AL867" s="27"/>
      <c r="AM867" s="27"/>
      <c r="AN867" s="27"/>
      <c r="AO867" s="27"/>
      <c r="AP867" s="27"/>
      <c r="AQ867" s="27"/>
      <c r="AR867" s="27"/>
      <c r="AS867" s="27"/>
      <c r="AT867" s="27"/>
      <c r="AU867" s="27"/>
      <c r="AV867" s="27"/>
      <c r="AW867" s="27"/>
      <c r="AX867" s="27"/>
      <c r="AY867" s="27"/>
      <c r="AZ867" s="27"/>
      <c r="BA867" s="27"/>
      <c r="BB867" s="27"/>
      <c r="BC867" s="27"/>
      <c r="BD867" s="27"/>
      <c r="BE867" s="27"/>
      <c r="BF867" s="27"/>
      <c r="BG867" s="27"/>
      <c r="BH867" s="27"/>
      <c r="BI867" s="27"/>
      <c r="BJ867" s="27"/>
      <c r="BK867" s="27"/>
      <c r="BL867" s="27"/>
      <c r="BM867" s="27"/>
      <c r="BN867" s="27"/>
      <c r="BO867" s="27"/>
      <c r="BP867" s="27"/>
      <c r="BQ867" s="27"/>
      <c r="BR867" s="27"/>
      <c r="BS867" s="27"/>
      <c r="BT867" s="27"/>
      <c r="BU867" s="27"/>
      <c r="BV867" s="27"/>
      <c r="BW867" s="27"/>
      <c r="BX867" s="27"/>
      <c r="BY867" s="27"/>
      <c r="BZ867" s="27"/>
      <c r="CA867" s="27"/>
      <c r="CB867" s="27"/>
      <c r="CC867" s="27"/>
      <c r="CD867" s="27"/>
      <c r="CE867" s="27"/>
      <c r="CF867" s="27"/>
      <c r="CG867" s="27"/>
      <c r="CH867" s="27"/>
      <c r="CI867" s="27"/>
      <c r="CJ867" s="27"/>
      <c r="CK867" s="27"/>
      <c r="CL867" s="27"/>
      <c r="CM867" s="27"/>
      <c r="CN867" s="27"/>
      <c r="CO867" s="27"/>
      <c r="CP867" s="27"/>
      <c r="CQ867" s="27"/>
      <c r="CR867" s="27"/>
      <c r="CS867" s="27"/>
      <c r="CT867" s="27"/>
      <c r="CU867" s="27"/>
      <c r="CV867" s="27"/>
      <c r="CW867" s="27"/>
      <c r="CX867" s="27"/>
      <c r="CY867" s="27"/>
      <c r="CZ867" s="27"/>
      <c r="DA867" s="27"/>
      <c r="DB867" s="27"/>
      <c r="DC867" s="27"/>
      <c r="DD867" s="27"/>
      <c r="DE867" s="27"/>
      <c r="DF867" s="27"/>
      <c r="DG867" s="27"/>
      <c r="DH867" s="27"/>
      <c r="DI867" s="27"/>
      <c r="DJ867" s="27"/>
      <c r="DK867" s="27"/>
      <c r="DL867" s="27"/>
      <c r="DM867" s="27"/>
      <c r="DN867" s="27"/>
      <c r="DO867" s="27"/>
      <c r="DP867" s="27"/>
      <c r="DQ867" s="27"/>
      <c r="DR867" s="27"/>
      <c r="DS867" s="27"/>
      <c r="DT867" s="27"/>
    </row>
    <row r="868" spans="7:124" x14ac:dyDescent="0.2">
      <c r="G868" s="27"/>
      <c r="H868" s="27" t="s">
        <v>496</v>
      </c>
      <c r="I868" s="27"/>
      <c r="J868" s="27"/>
      <c r="K868" s="27"/>
      <c r="L868" s="27"/>
      <c r="M868" s="27"/>
      <c r="N868" s="27"/>
      <c r="O868" s="27"/>
      <c r="P868" s="27"/>
      <c r="Q868" s="27"/>
      <c r="R868" s="27"/>
      <c r="S868" s="27"/>
      <c r="T868" s="27"/>
      <c r="U868" s="27"/>
      <c r="V868" s="27"/>
      <c r="W868" s="27"/>
      <c r="X868" s="27"/>
      <c r="Y868" s="27"/>
      <c r="Z868" s="27"/>
      <c r="AA868" s="27"/>
      <c r="AB868" s="27"/>
      <c r="AC868" s="27"/>
      <c r="AD868" s="27"/>
      <c r="AE868" s="27"/>
      <c r="AF868" s="27"/>
      <c r="AG868" s="27"/>
      <c r="AH868" s="27"/>
      <c r="AI868" s="27"/>
      <c r="AJ868" s="27"/>
      <c r="AK868" s="27"/>
      <c r="AL868" s="27"/>
      <c r="AM868" s="27"/>
      <c r="AN868" s="27"/>
      <c r="AO868" s="27"/>
      <c r="AP868" s="27"/>
      <c r="AQ868" s="27"/>
      <c r="AR868" s="27"/>
      <c r="AS868" s="27"/>
      <c r="AT868" s="27"/>
      <c r="AU868" s="27"/>
      <c r="AV868" s="27"/>
      <c r="AW868" s="27"/>
      <c r="AX868" s="27"/>
      <c r="AY868" s="27"/>
      <c r="AZ868" s="27"/>
      <c r="BA868" s="27"/>
      <c r="BB868" s="27"/>
      <c r="BC868" s="27"/>
      <c r="BD868" s="27"/>
      <c r="BE868" s="27"/>
      <c r="BF868" s="27"/>
      <c r="BG868" s="27"/>
      <c r="BH868" s="27"/>
      <c r="BI868" s="27"/>
      <c r="BJ868" s="27"/>
      <c r="BK868" s="27"/>
      <c r="BL868" s="27"/>
      <c r="BM868" s="27"/>
      <c r="BN868" s="27"/>
      <c r="BO868" s="27"/>
      <c r="BP868" s="27"/>
      <c r="BQ868" s="27"/>
      <c r="BR868" s="27"/>
      <c r="BS868" s="27"/>
      <c r="BT868" s="27"/>
      <c r="BU868" s="27"/>
      <c r="BV868" s="27"/>
      <c r="BW868" s="27"/>
      <c r="BX868" s="27"/>
      <c r="BY868" s="27"/>
      <c r="BZ868" s="27"/>
      <c r="CA868" s="27"/>
      <c r="CB868" s="27"/>
      <c r="CC868" s="27"/>
      <c r="CD868" s="27"/>
      <c r="CE868" s="27"/>
      <c r="CF868" s="27"/>
      <c r="CG868" s="27"/>
      <c r="CH868" s="27"/>
      <c r="CI868" s="27"/>
      <c r="CJ868" s="27"/>
      <c r="CK868" s="27"/>
      <c r="CL868" s="27"/>
      <c r="CM868" s="27"/>
      <c r="CN868" s="27"/>
      <c r="CO868" s="27"/>
      <c r="CP868" s="27"/>
      <c r="CQ868" s="27"/>
      <c r="CR868" s="27"/>
      <c r="CS868" s="27"/>
      <c r="CT868" s="27"/>
      <c r="CU868" s="27"/>
      <c r="CV868" s="27"/>
      <c r="CW868" s="27"/>
      <c r="CX868" s="27"/>
      <c r="CY868" s="27"/>
      <c r="CZ868" s="27"/>
      <c r="DA868" s="27"/>
      <c r="DB868" s="27"/>
      <c r="DC868" s="27"/>
      <c r="DD868" s="27"/>
      <c r="DE868" s="27"/>
      <c r="DF868" s="27"/>
      <c r="DG868" s="27"/>
      <c r="DH868" s="27"/>
      <c r="DI868" s="27"/>
      <c r="DJ868" s="27"/>
      <c r="DK868" s="27"/>
      <c r="DL868" s="27"/>
      <c r="DM868" s="27"/>
      <c r="DN868" s="27"/>
      <c r="DO868" s="27"/>
      <c r="DP868" s="27"/>
      <c r="DQ868" s="27"/>
      <c r="DR868" s="27"/>
      <c r="DS868" s="27"/>
      <c r="DT868" s="27"/>
    </row>
    <row r="869" spans="7:124" x14ac:dyDescent="0.2">
      <c r="G869" s="27"/>
      <c r="H869" s="27" t="s">
        <v>59</v>
      </c>
      <c r="I869" s="27"/>
      <c r="J869" s="27"/>
      <c r="K869" s="27" t="s">
        <v>59</v>
      </c>
      <c r="L869" s="27"/>
      <c r="M869" s="27"/>
      <c r="N869" s="27"/>
      <c r="O869" s="27"/>
      <c r="P869" s="27"/>
      <c r="Q869" s="27"/>
      <c r="R869" s="27"/>
      <c r="S869" s="27"/>
      <c r="T869" s="27"/>
      <c r="U869" s="27"/>
      <c r="V869" s="27"/>
      <c r="W869" s="27"/>
      <c r="X869" s="27"/>
      <c r="Y869" s="27"/>
      <c r="Z869" s="27"/>
      <c r="AA869" s="27"/>
      <c r="AB869" s="27"/>
      <c r="AC869" s="27"/>
      <c r="AD869" s="27"/>
      <c r="AE869" s="27"/>
      <c r="AF869" s="27"/>
      <c r="AG869" s="27"/>
      <c r="AH869" s="27"/>
      <c r="AI869" s="27"/>
      <c r="AJ869" s="27"/>
      <c r="AK869" s="27"/>
      <c r="AL869" s="27"/>
      <c r="AM869" s="27"/>
      <c r="AN869" s="27"/>
      <c r="AO869" s="27"/>
      <c r="AP869" s="27"/>
      <c r="AQ869" s="27"/>
      <c r="AR869" s="27"/>
      <c r="AS869" s="27"/>
      <c r="AT869" s="27"/>
      <c r="AU869" s="27"/>
      <c r="AV869" s="27"/>
      <c r="AW869" s="27"/>
      <c r="AX869" s="27"/>
      <c r="AY869" s="27"/>
      <c r="AZ869" s="27"/>
      <c r="BA869" s="27"/>
      <c r="BB869" s="27"/>
      <c r="BC869" s="27"/>
      <c r="BD869" s="27"/>
      <c r="BE869" s="27"/>
      <c r="BF869" s="27"/>
      <c r="BG869" s="27"/>
      <c r="BH869" s="27"/>
      <c r="BI869" s="27"/>
      <c r="BJ869" s="27"/>
      <c r="BK869" s="27"/>
      <c r="BL869" s="27"/>
      <c r="BM869" s="27"/>
      <c r="BN869" s="27"/>
      <c r="BO869" s="27"/>
      <c r="BP869" s="27"/>
      <c r="BQ869" s="27"/>
      <c r="BR869" s="27"/>
      <c r="BS869" s="27"/>
      <c r="BT869" s="27"/>
      <c r="BU869" s="27"/>
      <c r="BV869" s="27"/>
      <c r="BW869" s="27"/>
      <c r="BX869" s="27"/>
      <c r="BY869" s="27"/>
      <c r="BZ869" s="27"/>
      <c r="CA869" s="27"/>
      <c r="CB869" s="27"/>
      <c r="CC869" s="27"/>
      <c r="CD869" s="27"/>
      <c r="CE869" s="27"/>
      <c r="CF869" s="27"/>
      <c r="CG869" s="27"/>
      <c r="CH869" s="27"/>
      <c r="CI869" s="27"/>
      <c r="CJ869" s="27"/>
      <c r="CK869" s="27"/>
      <c r="CL869" s="27"/>
      <c r="CM869" s="27"/>
      <c r="CN869" s="27"/>
      <c r="CO869" s="27"/>
      <c r="CP869" s="27"/>
      <c r="CQ869" s="27"/>
      <c r="CR869" s="27"/>
      <c r="CS869" s="27"/>
      <c r="CT869" s="27"/>
      <c r="CU869" s="27"/>
      <c r="CV869" s="27"/>
      <c r="CW869" s="27"/>
      <c r="CX869" s="27"/>
      <c r="CY869" s="27"/>
      <c r="CZ869" s="27"/>
      <c r="DA869" s="27"/>
      <c r="DB869" s="27"/>
      <c r="DC869" s="27"/>
      <c r="DD869" s="27"/>
      <c r="DE869" s="27"/>
      <c r="DF869" s="27"/>
      <c r="DG869" s="27"/>
      <c r="DH869" s="27"/>
      <c r="DI869" s="27"/>
      <c r="DJ869" s="27"/>
      <c r="DK869" s="27"/>
      <c r="DL869" s="27"/>
      <c r="DM869" s="27"/>
      <c r="DN869" s="27"/>
      <c r="DO869" s="27"/>
      <c r="DP869" s="27"/>
      <c r="DQ869" s="27"/>
      <c r="DR869" s="27"/>
      <c r="DS869" s="27"/>
      <c r="DT869" s="27"/>
    </row>
    <row r="870" spans="7:124" x14ac:dyDescent="0.2">
      <c r="G870" s="27"/>
      <c r="H870" s="27" t="s">
        <v>59</v>
      </c>
      <c r="I870" s="27"/>
      <c r="J870" s="27"/>
      <c r="K870" s="27"/>
      <c r="L870" s="27"/>
      <c r="M870" s="27"/>
      <c r="N870" s="27"/>
      <c r="O870" s="27"/>
      <c r="P870" s="27"/>
      <c r="Q870" s="27"/>
      <c r="R870" s="27"/>
      <c r="S870" s="27"/>
      <c r="T870" s="27"/>
      <c r="U870" s="27"/>
      <c r="V870" s="27"/>
      <c r="W870" s="27"/>
      <c r="X870" s="27"/>
      <c r="Y870" s="27"/>
      <c r="Z870" s="27"/>
      <c r="AA870" s="27"/>
      <c r="AB870" s="27"/>
      <c r="AC870" s="27"/>
      <c r="AD870" s="27"/>
      <c r="AE870" s="27"/>
      <c r="AF870" s="27"/>
      <c r="AG870" s="27"/>
      <c r="AH870" s="27"/>
      <c r="AI870" s="27"/>
      <c r="AJ870" s="27"/>
      <c r="AK870" s="27"/>
      <c r="AL870" s="27"/>
      <c r="AM870" s="27"/>
      <c r="AN870" s="27"/>
      <c r="AO870" s="27"/>
      <c r="AP870" s="27"/>
      <c r="AQ870" s="27"/>
      <c r="AR870" s="27"/>
      <c r="AS870" s="27"/>
      <c r="AT870" s="27"/>
      <c r="AU870" s="27"/>
      <c r="AV870" s="27"/>
      <c r="AW870" s="27"/>
      <c r="AX870" s="27"/>
      <c r="AY870" s="27"/>
      <c r="AZ870" s="27"/>
      <c r="BA870" s="27"/>
      <c r="BB870" s="27"/>
      <c r="BC870" s="27"/>
      <c r="BD870" s="27"/>
      <c r="BE870" s="27"/>
      <c r="BF870" s="27"/>
      <c r="BG870" s="27"/>
      <c r="BH870" s="27"/>
      <c r="BI870" s="27"/>
      <c r="BJ870" s="27"/>
      <c r="BK870" s="27"/>
      <c r="BL870" s="27"/>
      <c r="BM870" s="27"/>
      <c r="BN870" s="27"/>
      <c r="BO870" s="27"/>
      <c r="BP870" s="27"/>
      <c r="BQ870" s="27"/>
      <c r="BR870" s="27"/>
      <c r="BS870" s="27"/>
      <c r="BT870" s="27"/>
      <c r="BU870" s="27"/>
      <c r="BV870" s="27"/>
      <c r="BW870" s="27"/>
      <c r="BX870" s="27"/>
      <c r="BY870" s="27"/>
      <c r="BZ870" s="27"/>
      <c r="CA870" s="27"/>
      <c r="CB870" s="27"/>
      <c r="CC870" s="27"/>
      <c r="CD870" s="27"/>
      <c r="CE870" s="27"/>
      <c r="CF870" s="27"/>
      <c r="CG870" s="27"/>
      <c r="CH870" s="27"/>
      <c r="CI870" s="27"/>
      <c r="CJ870" s="27"/>
      <c r="CK870" s="27"/>
      <c r="CL870" s="27"/>
      <c r="CM870" s="27"/>
      <c r="CN870" s="27"/>
      <c r="CO870" s="27"/>
      <c r="CP870" s="27"/>
      <c r="CQ870" s="27"/>
      <c r="CR870" s="27"/>
      <c r="CS870" s="27"/>
      <c r="CT870" s="27"/>
      <c r="CU870" s="27"/>
      <c r="CV870" s="27"/>
      <c r="CW870" s="27"/>
      <c r="CX870" s="27"/>
      <c r="CY870" s="27"/>
      <c r="CZ870" s="27"/>
      <c r="DA870" s="27"/>
      <c r="DB870" s="27"/>
      <c r="DC870" s="27"/>
      <c r="DD870" s="27"/>
      <c r="DE870" s="27"/>
      <c r="DF870" s="27"/>
      <c r="DG870" s="27"/>
      <c r="DH870" s="27"/>
      <c r="DI870" s="27"/>
      <c r="DJ870" s="27"/>
      <c r="DK870" s="27"/>
      <c r="DL870" s="27"/>
      <c r="DM870" s="27"/>
      <c r="DN870" s="27"/>
      <c r="DO870" s="27"/>
      <c r="DP870" s="27"/>
      <c r="DQ870" s="27"/>
      <c r="DR870" s="27"/>
      <c r="DS870" s="27"/>
      <c r="DT870" s="27"/>
    </row>
    <row r="871" spans="7:124" x14ac:dyDescent="0.2">
      <c r="G871" s="27"/>
      <c r="H871" s="27" t="s">
        <v>59</v>
      </c>
      <c r="I871" s="27"/>
      <c r="J871" s="27"/>
      <c r="K871" s="27"/>
      <c r="L871" s="27"/>
      <c r="M871" s="27"/>
      <c r="N871" s="27"/>
      <c r="O871" s="27"/>
      <c r="P871" s="27"/>
      <c r="Q871" s="27"/>
      <c r="R871" s="27"/>
      <c r="S871" s="27"/>
      <c r="T871" s="27"/>
      <c r="U871" s="27"/>
      <c r="V871" s="27"/>
      <c r="W871" s="27"/>
      <c r="X871" s="27"/>
      <c r="Y871" s="27"/>
      <c r="Z871" s="27"/>
      <c r="AA871" s="27"/>
      <c r="AB871" s="27"/>
      <c r="AC871" s="27"/>
      <c r="AD871" s="27"/>
      <c r="AE871" s="27"/>
      <c r="AF871" s="27"/>
      <c r="AG871" s="27"/>
      <c r="AH871" s="27"/>
      <c r="AI871" s="27"/>
      <c r="AJ871" s="27"/>
      <c r="AK871" s="27"/>
      <c r="AL871" s="27"/>
      <c r="AM871" s="27"/>
      <c r="AN871" s="27"/>
      <c r="AO871" s="27"/>
      <c r="AP871" s="27"/>
      <c r="AQ871" s="27"/>
      <c r="AR871" s="27"/>
      <c r="AS871" s="27"/>
      <c r="AT871" s="27"/>
      <c r="AU871" s="27"/>
      <c r="AV871" s="27"/>
      <c r="AW871" s="27"/>
      <c r="AX871" s="27"/>
      <c r="AY871" s="27"/>
      <c r="AZ871" s="27"/>
      <c r="BA871" s="27"/>
      <c r="BB871" s="27"/>
      <c r="BC871" s="27"/>
      <c r="BD871" s="27"/>
      <c r="BE871" s="27"/>
      <c r="BF871" s="27"/>
      <c r="BG871" s="27"/>
      <c r="BH871" s="27"/>
      <c r="BI871" s="27"/>
      <c r="BJ871" s="27"/>
      <c r="BK871" s="27"/>
      <c r="BL871" s="27"/>
      <c r="BM871" s="27"/>
      <c r="BN871" s="27"/>
      <c r="BO871" s="27"/>
      <c r="BP871" s="27"/>
      <c r="BQ871" s="27"/>
      <c r="BR871" s="27"/>
      <c r="BS871" s="27"/>
      <c r="BT871" s="27"/>
      <c r="BU871" s="27"/>
      <c r="BV871" s="27"/>
      <c r="BW871" s="27"/>
      <c r="BX871" s="27"/>
      <c r="BY871" s="27"/>
      <c r="BZ871" s="27"/>
      <c r="CA871" s="27"/>
      <c r="CB871" s="27"/>
      <c r="CC871" s="27"/>
      <c r="CD871" s="27"/>
      <c r="CE871" s="27"/>
      <c r="CF871" s="27"/>
      <c r="CG871" s="27"/>
      <c r="CH871" s="27"/>
      <c r="CI871" s="27"/>
      <c r="CJ871" s="27"/>
      <c r="CK871" s="27"/>
      <c r="CL871" s="27"/>
      <c r="CM871" s="27"/>
      <c r="CN871" s="27"/>
      <c r="CO871" s="27"/>
      <c r="CP871" s="27"/>
      <c r="CQ871" s="27"/>
      <c r="CR871" s="27"/>
      <c r="CS871" s="27"/>
      <c r="CT871" s="27"/>
      <c r="CU871" s="27"/>
      <c r="CV871" s="27"/>
      <c r="CW871" s="27"/>
      <c r="CX871" s="27"/>
      <c r="CY871" s="27"/>
      <c r="CZ871" s="27"/>
      <c r="DA871" s="27"/>
      <c r="DB871" s="27"/>
      <c r="DC871" s="27"/>
      <c r="DD871" s="27"/>
      <c r="DE871" s="27"/>
      <c r="DF871" s="27"/>
      <c r="DG871" s="27"/>
      <c r="DH871" s="27"/>
      <c r="DI871" s="27"/>
      <c r="DJ871" s="27"/>
      <c r="DK871" s="27"/>
      <c r="DL871" s="27"/>
      <c r="DM871" s="27"/>
      <c r="DN871" s="27"/>
      <c r="DO871" s="27"/>
      <c r="DP871" s="27"/>
      <c r="DQ871" s="27"/>
      <c r="DR871" s="27"/>
      <c r="DS871" s="27"/>
      <c r="DT871" s="27"/>
    </row>
    <row r="872" spans="7:124" x14ac:dyDescent="0.2">
      <c r="G872" s="27"/>
      <c r="H872" s="27" t="s">
        <v>59</v>
      </c>
      <c r="I872" s="27"/>
      <c r="J872" s="27"/>
      <c r="K872" s="27"/>
      <c r="L872" s="27"/>
      <c r="M872" s="27"/>
      <c r="N872" s="27"/>
      <c r="O872" s="27"/>
      <c r="P872" s="27"/>
      <c r="Q872" s="27"/>
      <c r="R872" s="27"/>
      <c r="S872" s="27"/>
      <c r="T872" s="27"/>
      <c r="U872" s="27"/>
      <c r="V872" s="27"/>
      <c r="W872" s="27"/>
      <c r="X872" s="27"/>
      <c r="Y872" s="27"/>
      <c r="Z872" s="27"/>
      <c r="AA872" s="27"/>
      <c r="AB872" s="27"/>
      <c r="AC872" s="27"/>
      <c r="AD872" s="27"/>
      <c r="AE872" s="27"/>
      <c r="AF872" s="27"/>
      <c r="AG872" s="27"/>
      <c r="AH872" s="27"/>
      <c r="AI872" s="27"/>
      <c r="AJ872" s="27"/>
      <c r="AK872" s="27"/>
      <c r="AL872" s="27"/>
      <c r="AM872" s="27"/>
      <c r="AN872" s="27"/>
      <c r="AO872" s="27"/>
      <c r="AP872" s="27"/>
      <c r="AQ872" s="27"/>
      <c r="AR872" s="27"/>
      <c r="AS872" s="27"/>
      <c r="AT872" s="27"/>
      <c r="AU872" s="27"/>
      <c r="AV872" s="27"/>
      <c r="AW872" s="27"/>
      <c r="AX872" s="27"/>
      <c r="AY872" s="27"/>
      <c r="AZ872" s="27"/>
      <c r="BA872" s="27"/>
      <c r="BB872" s="27"/>
      <c r="BC872" s="27"/>
      <c r="BD872" s="27"/>
      <c r="BE872" s="27"/>
      <c r="BF872" s="27"/>
      <c r="BG872" s="27"/>
      <c r="BH872" s="27"/>
      <c r="BI872" s="27"/>
      <c r="BJ872" s="27"/>
      <c r="BK872" s="27"/>
      <c r="BL872" s="27"/>
      <c r="BM872" s="27"/>
      <c r="BN872" s="27"/>
      <c r="BO872" s="27"/>
      <c r="BP872" s="27"/>
      <c r="BQ872" s="27"/>
      <c r="BR872" s="27"/>
      <c r="BS872" s="27"/>
      <c r="BT872" s="27"/>
      <c r="BU872" s="27"/>
      <c r="BV872" s="27"/>
      <c r="BW872" s="27"/>
      <c r="BX872" s="27"/>
      <c r="BY872" s="27"/>
      <c r="BZ872" s="27"/>
      <c r="CA872" s="27"/>
      <c r="CB872" s="27"/>
      <c r="CC872" s="27"/>
      <c r="CD872" s="27"/>
      <c r="CE872" s="27"/>
      <c r="CF872" s="27"/>
      <c r="CG872" s="27"/>
      <c r="CH872" s="27"/>
      <c r="CI872" s="27"/>
      <c r="CJ872" s="27"/>
      <c r="CK872" s="27"/>
      <c r="CL872" s="27"/>
      <c r="CM872" s="27"/>
      <c r="CN872" s="27"/>
      <c r="CO872" s="27"/>
      <c r="CP872" s="27"/>
      <c r="CQ872" s="27"/>
      <c r="CR872" s="27"/>
      <c r="CS872" s="27"/>
      <c r="CT872" s="27"/>
      <c r="CU872" s="27"/>
      <c r="CV872" s="27"/>
      <c r="CW872" s="27"/>
      <c r="CX872" s="27"/>
      <c r="CY872" s="27"/>
      <c r="CZ872" s="27"/>
      <c r="DA872" s="27"/>
      <c r="DB872" s="27"/>
      <c r="DC872" s="27"/>
      <c r="DD872" s="27"/>
      <c r="DE872" s="27"/>
      <c r="DF872" s="27"/>
      <c r="DG872" s="27"/>
      <c r="DH872" s="27"/>
      <c r="DI872" s="27"/>
      <c r="DJ872" s="27"/>
      <c r="DK872" s="27"/>
      <c r="DL872" s="27"/>
      <c r="DM872" s="27"/>
      <c r="DN872" s="27"/>
      <c r="DO872" s="27"/>
      <c r="DP872" s="27"/>
      <c r="DQ872" s="27"/>
      <c r="DR872" s="27"/>
      <c r="DS872" s="27"/>
      <c r="DT872" s="27"/>
    </row>
    <row r="873" spans="7:124" x14ac:dyDescent="0.2">
      <c r="G873" s="27"/>
      <c r="H873" s="27" t="s">
        <v>499</v>
      </c>
      <c r="I873" s="27"/>
      <c r="J873" s="27"/>
      <c r="K873" s="27"/>
      <c r="L873" s="27"/>
      <c r="M873" s="27"/>
      <c r="N873" s="27"/>
      <c r="O873" s="27"/>
      <c r="P873" s="27"/>
      <c r="Q873" s="27"/>
      <c r="R873" s="27"/>
      <c r="S873" s="27"/>
      <c r="T873" s="27"/>
      <c r="U873" s="27"/>
      <c r="V873" s="27"/>
      <c r="W873" s="27"/>
      <c r="X873" s="27"/>
      <c r="Y873" s="27"/>
      <c r="Z873" s="27"/>
      <c r="AA873" s="27"/>
      <c r="AB873" s="27"/>
      <c r="AC873" s="27"/>
      <c r="AD873" s="27"/>
      <c r="AE873" s="27"/>
      <c r="AF873" s="27"/>
      <c r="AG873" s="27"/>
      <c r="AH873" s="27"/>
      <c r="AI873" s="27"/>
      <c r="AJ873" s="27"/>
      <c r="AK873" s="27"/>
      <c r="AL873" s="27"/>
      <c r="AM873" s="27"/>
      <c r="AN873" s="27"/>
      <c r="AO873" s="27"/>
      <c r="AP873" s="27"/>
      <c r="AQ873" s="27"/>
      <c r="AR873" s="27"/>
      <c r="AS873" s="27"/>
      <c r="AT873" s="27"/>
      <c r="AU873" s="27"/>
      <c r="AV873" s="27"/>
      <c r="AW873" s="27"/>
      <c r="AX873" s="27"/>
      <c r="AY873" s="27"/>
      <c r="AZ873" s="27"/>
      <c r="BA873" s="27"/>
      <c r="BB873" s="27"/>
      <c r="BC873" s="27"/>
      <c r="BD873" s="27"/>
      <c r="BE873" s="27"/>
      <c r="BF873" s="27"/>
      <c r="BG873" s="27"/>
      <c r="BH873" s="27"/>
      <c r="BI873" s="27"/>
      <c r="BJ873" s="27"/>
      <c r="BK873" s="27"/>
      <c r="BL873" s="27"/>
      <c r="BM873" s="27"/>
      <c r="BN873" s="27"/>
      <c r="BO873" s="27"/>
      <c r="BP873" s="27"/>
      <c r="BQ873" s="27"/>
      <c r="BR873" s="27"/>
      <c r="BS873" s="27"/>
      <c r="BT873" s="27"/>
      <c r="BU873" s="27"/>
      <c r="BV873" s="27"/>
      <c r="BW873" s="27"/>
      <c r="BX873" s="27"/>
      <c r="BY873" s="27"/>
      <c r="BZ873" s="27"/>
      <c r="CA873" s="27"/>
      <c r="CB873" s="27"/>
      <c r="CC873" s="27"/>
      <c r="CD873" s="27"/>
      <c r="CE873" s="27"/>
      <c r="CF873" s="27"/>
      <c r="CG873" s="27"/>
      <c r="CH873" s="27"/>
      <c r="CI873" s="27"/>
      <c r="CJ873" s="27"/>
      <c r="CK873" s="27"/>
      <c r="CL873" s="27"/>
      <c r="CM873" s="27"/>
      <c r="CN873" s="27"/>
      <c r="CO873" s="27"/>
      <c r="CP873" s="27"/>
      <c r="CQ873" s="27"/>
      <c r="CR873" s="27"/>
      <c r="CS873" s="27"/>
      <c r="CT873" s="27"/>
      <c r="CU873" s="27"/>
      <c r="CV873" s="27"/>
      <c r="CW873" s="27"/>
      <c r="CX873" s="27"/>
      <c r="CY873" s="27"/>
      <c r="CZ873" s="27"/>
      <c r="DA873" s="27"/>
      <c r="DB873" s="27"/>
      <c r="DC873" s="27"/>
      <c r="DD873" s="27"/>
      <c r="DE873" s="27"/>
      <c r="DF873" s="27"/>
      <c r="DG873" s="27"/>
      <c r="DH873" s="27"/>
      <c r="DI873" s="27"/>
      <c r="DJ873" s="27"/>
      <c r="DK873" s="27"/>
      <c r="DL873" s="27"/>
      <c r="DM873" s="27"/>
      <c r="DN873" s="27"/>
      <c r="DO873" s="27"/>
      <c r="DP873" s="27"/>
      <c r="DQ873" s="27"/>
      <c r="DR873" s="27"/>
      <c r="DS873" s="27"/>
      <c r="DT873" s="27"/>
    </row>
    <row r="874" spans="7:124" x14ac:dyDescent="0.2">
      <c r="G874" s="27"/>
      <c r="H874" s="27"/>
      <c r="I874" s="27"/>
      <c r="J874" s="27"/>
      <c r="K874" s="27"/>
      <c r="L874" s="27"/>
      <c r="M874" s="27"/>
      <c r="N874" s="27"/>
      <c r="O874" s="27"/>
      <c r="P874" s="27"/>
      <c r="Q874" s="27"/>
      <c r="R874" s="27"/>
      <c r="S874" s="27"/>
      <c r="T874" s="27"/>
      <c r="U874" s="27"/>
      <c r="V874" s="27"/>
      <c r="W874" s="27"/>
      <c r="X874" s="27"/>
      <c r="Y874" s="27"/>
      <c r="Z874" s="27"/>
      <c r="AA874" s="27"/>
      <c r="AB874" s="27"/>
      <c r="AC874" s="27"/>
      <c r="AD874" s="27"/>
      <c r="AE874" s="27"/>
      <c r="AF874" s="27"/>
      <c r="AG874" s="27"/>
      <c r="AH874" s="27"/>
      <c r="AI874" s="27"/>
      <c r="AJ874" s="27"/>
      <c r="AK874" s="27"/>
      <c r="AL874" s="27"/>
      <c r="AM874" s="27"/>
      <c r="AN874" s="27"/>
      <c r="AO874" s="27"/>
      <c r="AP874" s="27"/>
      <c r="AQ874" s="27"/>
      <c r="AR874" s="27"/>
      <c r="AS874" s="27"/>
      <c r="AT874" s="27"/>
      <c r="AU874" s="27"/>
      <c r="AV874" s="27"/>
      <c r="AW874" s="27"/>
      <c r="AX874" s="27"/>
      <c r="AY874" s="27"/>
      <c r="AZ874" s="27"/>
      <c r="BA874" s="27"/>
      <c r="BB874" s="27"/>
      <c r="BC874" s="27"/>
      <c r="BD874" s="27"/>
      <c r="BE874" s="27"/>
      <c r="BF874" s="27"/>
      <c r="BG874" s="27"/>
      <c r="BH874" s="27"/>
      <c r="BI874" s="27"/>
      <c r="BJ874" s="27"/>
      <c r="BK874" s="27"/>
      <c r="BL874" s="27"/>
      <c r="BM874" s="27"/>
      <c r="BN874" s="27"/>
      <c r="BO874" s="27"/>
      <c r="BP874" s="27"/>
      <c r="BQ874" s="27"/>
      <c r="BR874" s="27"/>
      <c r="BS874" s="27"/>
      <c r="BT874" s="27"/>
      <c r="BU874" s="27"/>
      <c r="BV874" s="27"/>
      <c r="BW874" s="27"/>
      <c r="BX874" s="27"/>
      <c r="BY874" s="27"/>
      <c r="BZ874" s="27"/>
      <c r="CA874" s="27"/>
      <c r="CB874" s="27"/>
      <c r="CC874" s="27"/>
      <c r="CD874" s="27"/>
      <c r="CE874" s="27"/>
      <c r="CF874" s="27"/>
      <c r="CG874" s="27"/>
      <c r="CH874" s="27"/>
      <c r="CI874" s="27"/>
      <c r="CJ874" s="27"/>
      <c r="CK874" s="27"/>
      <c r="CL874" s="27"/>
      <c r="CM874" s="27"/>
      <c r="CN874" s="27"/>
      <c r="CO874" s="27"/>
      <c r="CP874" s="27"/>
      <c r="CQ874" s="27"/>
      <c r="CR874" s="27"/>
      <c r="CS874" s="27"/>
      <c r="CT874" s="27"/>
      <c r="CU874" s="27"/>
      <c r="CV874" s="27"/>
      <c r="CW874" s="27"/>
      <c r="CX874" s="27"/>
      <c r="CY874" s="27"/>
      <c r="CZ874" s="27"/>
      <c r="DA874" s="27"/>
      <c r="DB874" s="27"/>
      <c r="DC874" s="27"/>
      <c r="DD874" s="27"/>
      <c r="DE874" s="27"/>
      <c r="DF874" s="27"/>
      <c r="DG874" s="27"/>
      <c r="DH874" s="27"/>
      <c r="DI874" s="27"/>
      <c r="DJ874" s="27"/>
      <c r="DK874" s="27"/>
      <c r="DL874" s="27"/>
      <c r="DM874" s="27"/>
      <c r="DN874" s="27"/>
      <c r="DO874" s="27"/>
      <c r="DP874" s="27"/>
      <c r="DQ874" s="27"/>
      <c r="DR874" s="27"/>
      <c r="DS874" s="27"/>
      <c r="DT874" s="27"/>
    </row>
    <row r="875" spans="7:124" x14ac:dyDescent="0.2">
      <c r="G875" s="27"/>
      <c r="H875" s="27"/>
      <c r="I875" s="27"/>
      <c r="J875" s="27"/>
      <c r="K875" s="27" t="s">
        <v>580</v>
      </c>
      <c r="L875" s="27"/>
      <c r="M875" s="27"/>
      <c r="N875" s="27"/>
      <c r="O875" s="27"/>
      <c r="P875" s="27"/>
      <c r="Q875" s="27"/>
      <c r="R875" s="27"/>
      <c r="S875" s="27"/>
      <c r="T875" s="27"/>
      <c r="U875" s="27"/>
      <c r="V875" s="27"/>
      <c r="W875" s="27"/>
      <c r="X875" s="27"/>
      <c r="Y875" s="27"/>
      <c r="Z875" s="27"/>
      <c r="AA875" s="27"/>
      <c r="AB875" s="27"/>
      <c r="AC875" s="27"/>
      <c r="AD875" s="27"/>
      <c r="AE875" s="27"/>
      <c r="AF875" s="27"/>
      <c r="AG875" s="27"/>
      <c r="AH875" s="27"/>
      <c r="AI875" s="27"/>
      <c r="AJ875" s="27"/>
      <c r="AK875" s="27"/>
      <c r="AL875" s="27"/>
      <c r="AM875" s="27"/>
      <c r="AN875" s="27"/>
      <c r="AO875" s="27"/>
      <c r="AP875" s="27"/>
      <c r="AQ875" s="27"/>
      <c r="AR875" s="27"/>
      <c r="AS875" s="27"/>
      <c r="AT875" s="27"/>
      <c r="AU875" s="27"/>
      <c r="AV875" s="27"/>
      <c r="AW875" s="27"/>
      <c r="AX875" s="27"/>
      <c r="AY875" s="27"/>
      <c r="AZ875" s="27"/>
      <c r="BA875" s="27"/>
      <c r="BB875" s="27"/>
      <c r="BC875" s="27"/>
      <c r="BD875" s="27"/>
      <c r="BE875" s="27"/>
      <c r="BF875" s="27"/>
      <c r="BG875" s="27"/>
      <c r="BH875" s="27"/>
      <c r="BI875" s="27"/>
      <c r="BJ875" s="27"/>
      <c r="BK875" s="27"/>
      <c r="BL875" s="27"/>
      <c r="BM875" s="27"/>
      <c r="BN875" s="27"/>
      <c r="BO875" s="27"/>
      <c r="BP875" s="27"/>
      <c r="BQ875" s="27"/>
      <c r="BR875" s="27"/>
      <c r="BS875" s="27"/>
      <c r="BT875" s="27"/>
      <c r="BU875" s="27"/>
      <c r="BV875" s="27"/>
      <c r="BW875" s="27"/>
      <c r="BX875" s="27"/>
      <c r="BY875" s="27"/>
      <c r="BZ875" s="27"/>
      <c r="CA875" s="27"/>
      <c r="CB875" s="27"/>
      <c r="CC875" s="27"/>
      <c r="CD875" s="27"/>
      <c r="CE875" s="27"/>
      <c r="CF875" s="27"/>
      <c r="CG875" s="27"/>
      <c r="CH875" s="27"/>
      <c r="CI875" s="27"/>
      <c r="CJ875" s="27"/>
      <c r="CK875" s="27"/>
      <c r="CL875" s="27"/>
      <c r="CM875" s="27"/>
      <c r="CN875" s="27"/>
      <c r="CO875" s="27"/>
      <c r="CP875" s="27"/>
      <c r="CQ875" s="27"/>
      <c r="CR875" s="27"/>
      <c r="CS875" s="27"/>
      <c r="CT875" s="27"/>
      <c r="CU875" s="27"/>
      <c r="CV875" s="27"/>
      <c r="CW875" s="27"/>
      <c r="CX875" s="27"/>
      <c r="CY875" s="27"/>
      <c r="CZ875" s="27"/>
      <c r="DA875" s="27"/>
      <c r="DB875" s="27"/>
      <c r="DC875" s="27"/>
      <c r="DD875" s="27"/>
      <c r="DE875" s="27"/>
      <c r="DF875" s="27"/>
      <c r="DG875" s="27"/>
      <c r="DH875" s="27"/>
      <c r="DI875" s="27"/>
      <c r="DJ875" s="27"/>
      <c r="DK875" s="27"/>
      <c r="DL875" s="27"/>
      <c r="DM875" s="27"/>
      <c r="DN875" s="27"/>
      <c r="DO875" s="27"/>
      <c r="DP875" s="27"/>
      <c r="DQ875" s="27"/>
      <c r="DR875" s="27"/>
      <c r="DS875" s="27"/>
      <c r="DT875" s="27"/>
    </row>
    <row r="876" spans="7:124" x14ac:dyDescent="0.2">
      <c r="G876" s="27"/>
      <c r="H876" s="27" t="e">
        <f>G974</f>
        <v>#REF!</v>
      </c>
      <c r="I876" s="27"/>
      <c r="J876" s="27"/>
      <c r="K876" s="27" t="e">
        <f>VLOOKUP(INT(W753),horaa2,AE711+2,FALSE)*((1+AE738/100)^(AB746+AD746))</f>
        <v>#REF!</v>
      </c>
      <c r="L876" s="27"/>
      <c r="M876" s="27"/>
      <c r="N876" s="27"/>
      <c r="O876" s="27"/>
      <c r="P876" s="27"/>
      <c r="Q876" s="27"/>
      <c r="R876" s="27"/>
      <c r="S876" s="27"/>
      <c r="T876" s="27"/>
      <c r="U876" s="27"/>
      <c r="V876" s="27"/>
      <c r="W876" s="27"/>
      <c r="X876" s="27"/>
      <c r="Y876" s="27"/>
      <c r="Z876" s="27"/>
      <c r="AA876" s="27"/>
      <c r="AB876" s="27"/>
      <c r="AC876" s="27"/>
      <c r="AD876" s="27"/>
      <c r="AE876" s="27"/>
      <c r="AF876" s="27"/>
      <c r="AG876" s="27"/>
      <c r="AH876" s="27"/>
      <c r="AI876" s="27"/>
      <c r="AJ876" s="27"/>
      <c r="AK876" s="27"/>
      <c r="AL876" s="27"/>
      <c r="AM876" s="27"/>
      <c r="AN876" s="27"/>
      <c r="AO876" s="27"/>
      <c r="AP876" s="27"/>
      <c r="AQ876" s="27"/>
      <c r="AR876" s="27"/>
      <c r="AS876" s="27"/>
      <c r="AT876" s="27"/>
      <c r="AU876" s="27"/>
      <c r="AV876" s="27"/>
      <c r="AW876" s="27"/>
      <c r="AX876" s="27"/>
      <c r="AY876" s="27"/>
      <c r="AZ876" s="27"/>
      <c r="BA876" s="27"/>
      <c r="BB876" s="27"/>
      <c r="BC876" s="27"/>
      <c r="BD876" s="27"/>
      <c r="BE876" s="27"/>
      <c r="BF876" s="27"/>
      <c r="BG876" s="27"/>
      <c r="BH876" s="27"/>
      <c r="BI876" s="27"/>
      <c r="BJ876" s="27"/>
      <c r="BK876" s="27"/>
      <c r="BL876" s="27"/>
      <c r="BM876" s="27"/>
      <c r="BN876" s="27"/>
      <c r="BO876" s="27"/>
      <c r="BP876" s="27"/>
      <c r="BQ876" s="27"/>
      <c r="BR876" s="27"/>
      <c r="BS876" s="27"/>
      <c r="BT876" s="27"/>
      <c r="BU876" s="27"/>
      <c r="BV876" s="27"/>
      <c r="BW876" s="27"/>
      <c r="BX876" s="27"/>
      <c r="BY876" s="27"/>
      <c r="BZ876" s="27"/>
      <c r="CA876" s="27"/>
      <c r="CB876" s="27"/>
      <c r="CC876" s="27"/>
      <c r="CD876" s="27"/>
      <c r="CE876" s="27"/>
      <c r="CF876" s="27"/>
      <c r="CG876" s="27"/>
      <c r="CH876" s="27"/>
      <c r="CI876" s="27"/>
      <c r="CJ876" s="27"/>
      <c r="CK876" s="27"/>
      <c r="CL876" s="27"/>
      <c r="CM876" s="27"/>
      <c r="CN876" s="27"/>
      <c r="CO876" s="27"/>
      <c r="CP876" s="27"/>
      <c r="CQ876" s="27"/>
      <c r="CR876" s="27"/>
      <c r="CS876" s="27"/>
      <c r="CT876" s="27"/>
      <c r="CU876" s="27"/>
      <c r="CV876" s="27"/>
      <c r="CW876" s="27"/>
      <c r="CX876" s="27"/>
      <c r="CY876" s="27"/>
      <c r="CZ876" s="27"/>
      <c r="DA876" s="27"/>
      <c r="DB876" s="27"/>
      <c r="DC876" s="27"/>
      <c r="DD876" s="27"/>
      <c r="DE876" s="27"/>
      <c r="DF876" s="27"/>
      <c r="DG876" s="27"/>
      <c r="DH876" s="27"/>
      <c r="DI876" s="27"/>
      <c r="DJ876" s="27"/>
      <c r="DK876" s="27"/>
      <c r="DL876" s="27"/>
      <c r="DM876" s="27"/>
      <c r="DN876" s="27"/>
      <c r="DO876" s="27"/>
      <c r="DP876" s="27"/>
      <c r="DQ876" s="27"/>
      <c r="DR876" s="27"/>
      <c r="DS876" s="27"/>
      <c r="DT876" s="27"/>
    </row>
    <row r="877" spans="7:124" x14ac:dyDescent="0.2">
      <c r="G877" s="27"/>
      <c r="H877" s="27" t="e">
        <f>#REF!</f>
        <v>#REF!</v>
      </c>
      <c r="I877" s="27"/>
      <c r="J877" s="27"/>
      <c r="K877" s="27" t="e">
        <f>VLOOKUP(INT(G946),ofek4,E928+2,FALSE)*((1+AE738/100)^(AB746+AD746))*T719</f>
        <v>#REF!</v>
      </c>
      <c r="L877" s="27"/>
      <c r="M877" s="27"/>
      <c r="N877" s="27"/>
      <c r="O877" s="27"/>
      <c r="P877" s="27"/>
      <c r="Q877" s="27"/>
      <c r="R877" s="27"/>
      <c r="S877" s="27"/>
      <c r="T877" s="27"/>
      <c r="U877" s="27"/>
      <c r="V877" s="27"/>
      <c r="W877" s="27"/>
      <c r="X877" s="27"/>
      <c r="Y877" s="27"/>
      <c r="Z877" s="27"/>
      <c r="AA877" s="27"/>
      <c r="AB877" s="27"/>
      <c r="AC877" s="27"/>
      <c r="AD877" s="27"/>
      <c r="AE877" s="27"/>
      <c r="AF877" s="27"/>
      <c r="AG877" s="27"/>
      <c r="AH877" s="27"/>
      <c r="AI877" s="27"/>
      <c r="AJ877" s="27"/>
      <c r="AK877" s="27"/>
      <c r="AL877" s="27"/>
      <c r="AM877" s="27"/>
      <c r="AN877" s="27"/>
      <c r="AO877" s="27"/>
      <c r="AP877" s="27"/>
      <c r="AQ877" s="27"/>
      <c r="AR877" s="27"/>
      <c r="AS877" s="27"/>
      <c r="AT877" s="27"/>
      <c r="AU877" s="27"/>
      <c r="AV877" s="27"/>
      <c r="AW877" s="27"/>
      <c r="AX877" s="27"/>
      <c r="AY877" s="27"/>
      <c r="AZ877" s="27"/>
      <c r="BA877" s="27"/>
      <c r="BB877" s="27"/>
      <c r="BC877" s="27"/>
      <c r="BD877" s="27"/>
      <c r="BE877" s="27"/>
      <c r="BF877" s="27"/>
      <c r="BG877" s="27"/>
      <c r="BH877" s="27"/>
      <c r="BI877" s="27"/>
      <c r="BJ877" s="27"/>
      <c r="BK877" s="27"/>
      <c r="BL877" s="27"/>
      <c r="BM877" s="27"/>
      <c r="BN877" s="27"/>
      <c r="BO877" s="27"/>
      <c r="BP877" s="27"/>
      <c r="BQ877" s="27"/>
      <c r="BR877" s="27"/>
      <c r="BS877" s="27"/>
      <c r="BT877" s="27"/>
      <c r="BU877" s="27"/>
      <c r="BV877" s="27"/>
      <c r="BW877" s="27"/>
      <c r="BX877" s="27"/>
      <c r="BY877" s="27"/>
      <c r="BZ877" s="27"/>
      <c r="CA877" s="27"/>
      <c r="CB877" s="27"/>
      <c r="CC877" s="27"/>
      <c r="CD877" s="27"/>
      <c r="CE877" s="27"/>
      <c r="CF877" s="27"/>
      <c r="CG877" s="27"/>
      <c r="CH877" s="27"/>
      <c r="CI877" s="27"/>
      <c r="CJ877" s="27"/>
      <c r="CK877" s="27"/>
      <c r="CL877" s="27"/>
      <c r="CM877" s="27"/>
      <c r="CN877" s="27"/>
      <c r="CO877" s="27"/>
      <c r="CP877" s="27"/>
      <c r="CQ877" s="27"/>
      <c r="CR877" s="27"/>
      <c r="CS877" s="27"/>
      <c r="CT877" s="27"/>
      <c r="CU877" s="27"/>
      <c r="CV877" s="27"/>
      <c r="CW877" s="27"/>
      <c r="CX877" s="27"/>
      <c r="CY877" s="27"/>
      <c r="CZ877" s="27"/>
      <c r="DA877" s="27"/>
      <c r="DB877" s="27"/>
      <c r="DC877" s="27"/>
      <c r="DD877" s="27"/>
      <c r="DE877" s="27"/>
      <c r="DF877" s="27"/>
      <c r="DG877" s="27"/>
      <c r="DH877" s="27"/>
      <c r="DI877" s="27"/>
      <c r="DJ877" s="27"/>
      <c r="DK877" s="27"/>
      <c r="DL877" s="27"/>
      <c r="DM877" s="27"/>
      <c r="DN877" s="27"/>
      <c r="DO877" s="27"/>
      <c r="DP877" s="27"/>
      <c r="DQ877" s="27"/>
      <c r="DR877" s="27"/>
      <c r="DS877" s="27"/>
      <c r="DT877" s="27"/>
    </row>
    <row r="878" spans="7:124" x14ac:dyDescent="0.2">
      <c r="G878" s="27"/>
      <c r="H878" s="27">
        <f>V745</f>
        <v>0</v>
      </c>
      <c r="I878" s="27"/>
      <c r="J878" s="27"/>
      <c r="K878" s="27" t="e">
        <f>VLOOKUP(INT(W753),horaa2,AE711+2,FALSE)</f>
        <v>#REF!</v>
      </c>
      <c r="L878" s="27"/>
      <c r="M878" s="27"/>
      <c r="N878" s="27"/>
      <c r="O878" s="27"/>
      <c r="P878" s="27"/>
      <c r="Q878" s="27"/>
      <c r="R878" s="27"/>
      <c r="S878" s="27"/>
      <c r="T878" s="27"/>
      <c r="U878" s="27"/>
      <c r="V878" s="27"/>
      <c r="W878" s="27"/>
      <c r="X878" s="27"/>
      <c r="Y878" s="27"/>
      <c r="Z878" s="27"/>
      <c r="AA878" s="27"/>
      <c r="AB878" s="27"/>
      <c r="AC878" s="27"/>
      <c r="AD878" s="27"/>
      <c r="AE878" s="27"/>
      <c r="AF878" s="27"/>
      <c r="AG878" s="27"/>
      <c r="AH878" s="27"/>
      <c r="AI878" s="27"/>
      <c r="AJ878" s="27"/>
      <c r="AK878" s="27"/>
      <c r="AL878" s="27"/>
      <c r="AM878" s="27"/>
      <c r="AN878" s="27"/>
      <c r="AO878" s="27"/>
      <c r="AP878" s="27"/>
      <c r="AQ878" s="27"/>
      <c r="AR878" s="27"/>
      <c r="AS878" s="27"/>
      <c r="AT878" s="27"/>
      <c r="AU878" s="27"/>
      <c r="AV878" s="27"/>
      <c r="AW878" s="27"/>
      <c r="AX878" s="27"/>
      <c r="AY878" s="27"/>
      <c r="AZ878" s="27"/>
      <c r="BA878" s="27"/>
      <c r="BB878" s="27"/>
      <c r="BC878" s="27"/>
      <c r="BD878" s="27"/>
      <c r="BE878" s="27"/>
      <c r="BF878" s="27"/>
      <c r="BG878" s="27"/>
      <c r="BH878" s="27"/>
      <c r="BI878" s="27"/>
      <c r="BJ878" s="27"/>
      <c r="BK878" s="27"/>
      <c r="BL878" s="27"/>
      <c r="BM878" s="27"/>
      <c r="BN878" s="27"/>
      <c r="BO878" s="27"/>
      <c r="BP878" s="27"/>
      <c r="BQ878" s="27"/>
      <c r="BR878" s="27"/>
      <c r="BS878" s="27"/>
      <c r="BT878" s="27"/>
      <c r="BU878" s="27"/>
      <c r="BV878" s="27"/>
      <c r="BW878" s="27"/>
      <c r="BX878" s="27"/>
      <c r="BY878" s="27"/>
      <c r="BZ878" s="27"/>
      <c r="CA878" s="27"/>
      <c r="CB878" s="27"/>
      <c r="CC878" s="27"/>
      <c r="CD878" s="27"/>
      <c r="CE878" s="27"/>
      <c r="CF878" s="27"/>
      <c r="CG878" s="27"/>
      <c r="CH878" s="27"/>
      <c r="CI878" s="27"/>
      <c r="CJ878" s="27"/>
      <c r="CK878" s="27"/>
      <c r="CL878" s="27"/>
      <c r="CM878" s="27"/>
      <c r="CN878" s="27"/>
      <c r="CO878" s="27"/>
      <c r="CP878" s="27"/>
      <c r="CQ878" s="27"/>
      <c r="CR878" s="27"/>
      <c r="CS878" s="27"/>
      <c r="CT878" s="27"/>
      <c r="CU878" s="27"/>
      <c r="CV878" s="27"/>
      <c r="CW878" s="27"/>
      <c r="CX878" s="27"/>
      <c r="CY878" s="27"/>
      <c r="CZ878" s="27"/>
      <c r="DA878" s="27"/>
      <c r="DB878" s="27"/>
      <c r="DC878" s="27"/>
      <c r="DD878" s="27"/>
      <c r="DE878" s="27"/>
      <c r="DF878" s="27"/>
      <c r="DG878" s="27"/>
      <c r="DH878" s="27"/>
      <c r="DI878" s="27"/>
      <c r="DJ878" s="27"/>
      <c r="DK878" s="27"/>
      <c r="DL878" s="27"/>
      <c r="DM878" s="27"/>
      <c r="DN878" s="27"/>
      <c r="DO878" s="27"/>
      <c r="DP878" s="27"/>
      <c r="DQ878" s="27"/>
      <c r="DR878" s="27"/>
      <c r="DS878" s="27"/>
      <c r="DT878" s="27"/>
    </row>
    <row r="879" spans="7:124" x14ac:dyDescent="0.2">
      <c r="G879" s="27"/>
      <c r="H879" s="27">
        <f>Z717</f>
        <v>1</v>
      </c>
      <c r="I879" s="27"/>
      <c r="J879" s="27"/>
      <c r="K879" s="27"/>
      <c r="L879" s="27"/>
      <c r="M879" s="27"/>
      <c r="N879" s="27"/>
      <c r="O879" s="27"/>
      <c r="P879" s="27"/>
      <c r="Q879" s="27"/>
      <c r="R879" s="27"/>
      <c r="S879" s="27"/>
      <c r="T879" s="27"/>
      <c r="U879" s="27"/>
      <c r="V879" s="27"/>
      <c r="W879" s="27"/>
      <c r="X879" s="27"/>
      <c r="Y879" s="27"/>
      <c r="Z879" s="27"/>
      <c r="AA879" s="27"/>
      <c r="AB879" s="27"/>
      <c r="AC879" s="27"/>
      <c r="AD879" s="27"/>
      <c r="AE879" s="27"/>
      <c r="AF879" s="27"/>
      <c r="AG879" s="27"/>
      <c r="AH879" s="27"/>
      <c r="AI879" s="27"/>
      <c r="AJ879" s="27"/>
      <c r="AK879" s="27"/>
      <c r="AL879" s="27"/>
      <c r="AM879" s="27"/>
      <c r="AN879" s="27"/>
      <c r="AO879" s="27"/>
      <c r="AP879" s="27"/>
      <c r="AQ879" s="27"/>
      <c r="AR879" s="27"/>
      <c r="AS879" s="27"/>
      <c r="AT879" s="27"/>
      <c r="AU879" s="27"/>
      <c r="AV879" s="27"/>
      <c r="AW879" s="27"/>
      <c r="AX879" s="27"/>
      <c r="AY879" s="27"/>
      <c r="AZ879" s="27"/>
      <c r="BA879" s="27"/>
      <c r="BB879" s="27"/>
      <c r="BC879" s="27"/>
      <c r="BD879" s="27"/>
      <c r="BE879" s="27"/>
      <c r="BF879" s="27"/>
      <c r="BG879" s="27"/>
      <c r="BH879" s="27"/>
      <c r="BI879" s="27"/>
      <c r="BJ879" s="27"/>
      <c r="BK879" s="27"/>
      <c r="BL879" s="27"/>
      <c r="BM879" s="27"/>
      <c r="BN879" s="27"/>
      <c r="BO879" s="27"/>
      <c r="BP879" s="27"/>
      <c r="BQ879" s="27"/>
      <c r="BR879" s="27"/>
      <c r="BS879" s="27"/>
      <c r="BT879" s="27"/>
      <c r="BU879" s="27"/>
      <c r="BV879" s="27"/>
      <c r="BW879" s="27"/>
      <c r="BX879" s="27"/>
      <c r="BY879" s="27"/>
      <c r="BZ879" s="27"/>
      <c r="CA879" s="27"/>
      <c r="CB879" s="27"/>
      <c r="CC879" s="27"/>
      <c r="CD879" s="27"/>
      <c r="CE879" s="27"/>
      <c r="CF879" s="27"/>
      <c r="CG879" s="27"/>
      <c r="CH879" s="27"/>
      <c r="CI879" s="27"/>
      <c r="CJ879" s="27"/>
      <c r="CK879" s="27"/>
      <c r="CL879" s="27"/>
      <c r="CM879" s="27"/>
      <c r="CN879" s="27"/>
      <c r="CO879" s="27"/>
      <c r="CP879" s="27"/>
      <c r="CQ879" s="27"/>
      <c r="CR879" s="27"/>
      <c r="CS879" s="27"/>
      <c r="CT879" s="27"/>
      <c r="CU879" s="27"/>
      <c r="CV879" s="27"/>
      <c r="CW879" s="27"/>
      <c r="CX879" s="27"/>
      <c r="CY879" s="27"/>
      <c r="CZ879" s="27"/>
      <c r="DA879" s="27"/>
      <c r="DB879" s="27"/>
      <c r="DC879" s="27"/>
      <c r="DD879" s="27"/>
      <c r="DE879" s="27"/>
      <c r="DF879" s="27"/>
      <c r="DG879" s="27"/>
      <c r="DH879" s="27"/>
      <c r="DI879" s="27"/>
      <c r="DJ879" s="27"/>
      <c r="DK879" s="27"/>
      <c r="DL879" s="27"/>
      <c r="DM879" s="27"/>
      <c r="DN879" s="27"/>
      <c r="DO879" s="27"/>
      <c r="DP879" s="27"/>
      <c r="DQ879" s="27"/>
      <c r="DR879" s="27"/>
      <c r="DS879" s="27"/>
      <c r="DT879" s="27"/>
    </row>
    <row r="880" spans="7:124" x14ac:dyDescent="0.2">
      <c r="G880" s="27"/>
      <c r="H880" s="27"/>
      <c r="I880" s="27"/>
      <c r="J880" s="27"/>
      <c r="K880" s="27">
        <f>(E928-D102)/2</f>
        <v>0</v>
      </c>
      <c r="L880" s="27"/>
      <c r="M880" s="27"/>
      <c r="N880" s="27"/>
      <c r="O880" s="27"/>
      <c r="P880" s="27"/>
      <c r="Q880" s="27"/>
      <c r="R880" s="27"/>
      <c r="S880" s="27"/>
      <c r="T880" s="27"/>
      <c r="U880" s="27"/>
      <c r="V880" s="27"/>
      <c r="W880" s="27"/>
      <c r="X880" s="27"/>
      <c r="Y880" s="27"/>
      <c r="Z880" s="27"/>
      <c r="AA880" s="27"/>
      <c r="AB880" s="27"/>
      <c r="AC880" s="27"/>
      <c r="AD880" s="27"/>
      <c r="AE880" s="27"/>
      <c r="AF880" s="27"/>
      <c r="AG880" s="27"/>
      <c r="AH880" s="27"/>
      <c r="AI880" s="27"/>
      <c r="AJ880" s="27"/>
      <c r="AK880" s="27"/>
      <c r="AL880" s="27"/>
      <c r="AM880" s="27"/>
      <c r="AN880" s="27"/>
      <c r="AO880" s="27"/>
      <c r="AP880" s="27"/>
      <c r="AQ880" s="27"/>
      <c r="AR880" s="27"/>
      <c r="AS880" s="27"/>
      <c r="AT880" s="27"/>
      <c r="AU880" s="27"/>
      <c r="AV880" s="27"/>
      <c r="AW880" s="27"/>
      <c r="AX880" s="27"/>
      <c r="AY880" s="27"/>
      <c r="AZ880" s="27"/>
      <c r="BA880" s="27"/>
      <c r="BB880" s="27"/>
      <c r="BC880" s="27"/>
      <c r="BD880" s="27"/>
      <c r="BE880" s="27"/>
      <c r="BF880" s="27"/>
      <c r="BG880" s="27"/>
      <c r="BH880" s="27"/>
      <c r="BI880" s="27"/>
      <c r="BJ880" s="27"/>
      <c r="BK880" s="27"/>
      <c r="BL880" s="27"/>
      <c r="BM880" s="27"/>
      <c r="BN880" s="27"/>
      <c r="BO880" s="27"/>
      <c r="BP880" s="27"/>
      <c r="BQ880" s="27"/>
      <c r="BR880" s="27"/>
      <c r="BS880" s="27"/>
      <c r="BT880" s="27"/>
      <c r="BU880" s="27"/>
      <c r="BV880" s="27"/>
      <c r="BW880" s="27"/>
      <c r="BX880" s="27"/>
      <c r="BY880" s="27"/>
      <c r="BZ880" s="27"/>
      <c r="CA880" s="27"/>
      <c r="CB880" s="27"/>
      <c r="CC880" s="27"/>
      <c r="CD880" s="27"/>
      <c r="CE880" s="27"/>
      <c r="CF880" s="27"/>
      <c r="CG880" s="27"/>
      <c r="CH880" s="27"/>
      <c r="CI880" s="27"/>
      <c r="CJ880" s="27"/>
      <c r="CK880" s="27"/>
      <c r="CL880" s="27"/>
      <c r="CM880" s="27"/>
      <c r="CN880" s="27"/>
      <c r="CO880" s="27"/>
      <c r="CP880" s="27"/>
      <c r="CQ880" s="27"/>
      <c r="CR880" s="27"/>
      <c r="CS880" s="27"/>
      <c r="CT880" s="27"/>
      <c r="CU880" s="27"/>
      <c r="CV880" s="27"/>
      <c r="CW880" s="27"/>
      <c r="CX880" s="27"/>
      <c r="CY880" s="27"/>
      <c r="CZ880" s="27"/>
      <c r="DA880" s="27"/>
      <c r="DB880" s="27"/>
      <c r="DC880" s="27"/>
      <c r="DD880" s="27"/>
      <c r="DE880" s="27"/>
      <c r="DF880" s="27"/>
      <c r="DG880" s="27"/>
      <c r="DH880" s="27"/>
      <c r="DI880" s="27"/>
      <c r="DJ880" s="27"/>
      <c r="DK880" s="27"/>
      <c r="DL880" s="27"/>
      <c r="DM880" s="27"/>
      <c r="DN880" s="27"/>
      <c r="DO880" s="27"/>
      <c r="DP880" s="27"/>
      <c r="DQ880" s="27"/>
      <c r="DR880" s="27"/>
      <c r="DS880" s="27"/>
      <c r="DT880" s="27"/>
    </row>
    <row r="881" spans="7:124" x14ac:dyDescent="0.2">
      <c r="G881" s="27"/>
      <c r="H881" s="27"/>
      <c r="I881" s="27"/>
      <c r="J881" s="27"/>
      <c r="K881" s="27"/>
      <c r="L881" s="27"/>
      <c r="M881" s="27"/>
      <c r="N881" s="27"/>
      <c r="O881" s="27"/>
      <c r="P881" s="27"/>
      <c r="Q881" s="27"/>
      <c r="R881" s="27"/>
      <c r="S881" s="27"/>
      <c r="T881" s="27"/>
      <c r="U881" s="27"/>
      <c r="V881" s="27"/>
      <c r="W881" s="27"/>
      <c r="X881" s="27"/>
      <c r="Y881" s="27"/>
      <c r="Z881" s="27"/>
      <c r="AA881" s="27"/>
      <c r="AB881" s="27"/>
      <c r="AC881" s="27"/>
      <c r="AD881" s="27"/>
      <c r="AE881" s="27"/>
      <c r="AF881" s="27"/>
      <c r="AG881" s="27"/>
      <c r="AH881" s="27"/>
      <c r="AI881" s="27"/>
      <c r="AJ881" s="27"/>
      <c r="AK881" s="27"/>
      <c r="AL881" s="27"/>
      <c r="AM881" s="27"/>
      <c r="AN881" s="27"/>
      <c r="AO881" s="27"/>
      <c r="AP881" s="27"/>
      <c r="AQ881" s="27"/>
      <c r="AR881" s="27"/>
      <c r="AS881" s="27"/>
      <c r="AT881" s="27"/>
      <c r="AU881" s="27"/>
      <c r="AV881" s="27"/>
      <c r="AW881" s="27"/>
      <c r="AX881" s="27"/>
      <c r="AY881" s="27"/>
      <c r="AZ881" s="27"/>
      <c r="BA881" s="27"/>
      <c r="BB881" s="27"/>
      <c r="BC881" s="27"/>
      <c r="BD881" s="27"/>
      <c r="BE881" s="27"/>
      <c r="BF881" s="27"/>
      <c r="BG881" s="27"/>
      <c r="BH881" s="27"/>
      <c r="BI881" s="27"/>
      <c r="BJ881" s="27"/>
      <c r="BK881" s="27"/>
      <c r="BL881" s="27"/>
      <c r="BM881" s="27"/>
      <c r="BN881" s="27"/>
      <c r="BO881" s="27"/>
      <c r="BP881" s="27"/>
      <c r="BQ881" s="27"/>
      <c r="BR881" s="27"/>
      <c r="BS881" s="27"/>
      <c r="BT881" s="27"/>
      <c r="BU881" s="27"/>
      <c r="BV881" s="27"/>
      <c r="BW881" s="27"/>
      <c r="BX881" s="27"/>
      <c r="BY881" s="27"/>
      <c r="BZ881" s="27"/>
      <c r="CA881" s="27"/>
      <c r="CB881" s="27"/>
      <c r="CC881" s="27"/>
      <c r="CD881" s="27"/>
      <c r="CE881" s="27"/>
      <c r="CF881" s="27"/>
      <c r="CG881" s="27"/>
      <c r="CH881" s="27"/>
      <c r="CI881" s="27"/>
      <c r="CJ881" s="27"/>
      <c r="CK881" s="27"/>
      <c r="CL881" s="27"/>
      <c r="CM881" s="27"/>
      <c r="CN881" s="27"/>
      <c r="CO881" s="27"/>
      <c r="CP881" s="27"/>
      <c r="CQ881" s="27"/>
      <c r="CR881" s="27"/>
      <c r="CS881" s="27"/>
      <c r="CT881" s="27"/>
      <c r="CU881" s="27"/>
      <c r="CV881" s="27"/>
      <c r="CW881" s="27"/>
      <c r="CX881" s="27"/>
      <c r="CY881" s="27"/>
      <c r="CZ881" s="27"/>
      <c r="DA881" s="27"/>
      <c r="DB881" s="27"/>
      <c r="DC881" s="27"/>
      <c r="DD881" s="27"/>
      <c r="DE881" s="27"/>
      <c r="DF881" s="27"/>
      <c r="DG881" s="27"/>
      <c r="DH881" s="27"/>
      <c r="DI881" s="27"/>
      <c r="DJ881" s="27"/>
      <c r="DK881" s="27"/>
      <c r="DL881" s="27"/>
      <c r="DM881" s="27"/>
      <c r="DN881" s="27"/>
      <c r="DO881" s="27"/>
      <c r="DP881" s="27"/>
      <c r="DQ881" s="27"/>
      <c r="DR881" s="27"/>
      <c r="DS881" s="27"/>
      <c r="DT881" s="27"/>
    </row>
    <row r="882" spans="7:124" x14ac:dyDescent="0.2">
      <c r="G882" s="27"/>
      <c r="H882" s="27">
        <f>D102</f>
        <v>0</v>
      </c>
      <c r="I882" s="27"/>
      <c r="J882" s="27"/>
      <c r="K882" s="27"/>
      <c r="L882" s="27"/>
      <c r="M882" s="27"/>
      <c r="N882" s="27"/>
      <c r="O882" s="27"/>
      <c r="P882" s="27"/>
      <c r="Q882" s="27"/>
      <c r="R882" s="27"/>
      <c r="S882" s="27"/>
      <c r="T882" s="27"/>
      <c r="U882" s="27"/>
      <c r="V882" s="27"/>
      <c r="W882" s="27"/>
      <c r="X882" s="27"/>
      <c r="Y882" s="27"/>
      <c r="Z882" s="27"/>
      <c r="AA882" s="27"/>
      <c r="AB882" s="27"/>
      <c r="AC882" s="27"/>
      <c r="AD882" s="27"/>
      <c r="AE882" s="27"/>
      <c r="AF882" s="27"/>
      <c r="AG882" s="27"/>
      <c r="AH882" s="27"/>
      <c r="AI882" s="27"/>
      <c r="AJ882" s="27"/>
      <c r="AK882" s="27"/>
      <c r="AL882" s="27"/>
      <c r="AM882" s="27"/>
      <c r="AN882" s="27"/>
      <c r="AO882" s="27"/>
      <c r="AP882" s="27"/>
      <c r="AQ882" s="27"/>
      <c r="AR882" s="27"/>
      <c r="AS882" s="27"/>
      <c r="AT882" s="27"/>
      <c r="AU882" s="27"/>
      <c r="AV882" s="27"/>
      <c r="AW882" s="27"/>
      <c r="AX882" s="27"/>
      <c r="AY882" s="27"/>
      <c r="AZ882" s="27"/>
      <c r="BA882" s="27"/>
      <c r="BB882" s="27"/>
      <c r="BC882" s="27"/>
      <c r="BD882" s="27"/>
      <c r="BE882" s="27"/>
      <c r="BF882" s="27"/>
      <c r="BG882" s="27"/>
      <c r="BH882" s="27"/>
      <c r="BI882" s="27"/>
      <c r="BJ882" s="27"/>
      <c r="BK882" s="27"/>
      <c r="BL882" s="27"/>
      <c r="BM882" s="27"/>
      <c r="BN882" s="27"/>
      <c r="BO882" s="27"/>
      <c r="BP882" s="27"/>
      <c r="BQ882" s="27"/>
      <c r="BR882" s="27"/>
      <c r="BS882" s="27"/>
      <c r="BT882" s="27"/>
      <c r="BU882" s="27"/>
      <c r="BV882" s="27"/>
      <c r="BW882" s="27"/>
      <c r="BX882" s="27"/>
      <c r="BY882" s="27"/>
      <c r="BZ882" s="27"/>
      <c r="CA882" s="27"/>
      <c r="CB882" s="27"/>
      <c r="CC882" s="27"/>
      <c r="CD882" s="27"/>
      <c r="CE882" s="27"/>
      <c r="CF882" s="27"/>
      <c r="CG882" s="27"/>
      <c r="CH882" s="27"/>
      <c r="CI882" s="27"/>
      <c r="CJ882" s="27"/>
      <c r="CK882" s="27"/>
      <c r="CL882" s="27"/>
      <c r="CM882" s="27"/>
      <c r="CN882" s="27"/>
      <c r="CO882" s="27"/>
      <c r="CP882" s="27"/>
      <c r="CQ882" s="27"/>
      <c r="CR882" s="27"/>
      <c r="CS882" s="27"/>
      <c r="CT882" s="27"/>
      <c r="CU882" s="27"/>
      <c r="CV882" s="27"/>
      <c r="CW882" s="27"/>
      <c r="CX882" s="27"/>
      <c r="CY882" s="27"/>
      <c r="CZ882" s="27"/>
      <c r="DA882" s="27"/>
      <c r="DB882" s="27"/>
      <c r="DC882" s="27"/>
      <c r="DD882" s="27"/>
      <c r="DE882" s="27"/>
      <c r="DF882" s="27"/>
      <c r="DG882" s="27"/>
      <c r="DH882" s="27"/>
      <c r="DI882" s="27"/>
      <c r="DJ882" s="27"/>
      <c r="DK882" s="27"/>
      <c r="DL882" s="27"/>
      <c r="DM882" s="27"/>
      <c r="DN882" s="27"/>
      <c r="DO882" s="27"/>
      <c r="DP882" s="27"/>
      <c r="DQ882" s="27"/>
      <c r="DR882" s="27"/>
      <c r="DS882" s="27"/>
      <c r="DT882" s="27"/>
    </row>
    <row r="883" spans="7:124" x14ac:dyDescent="0.2">
      <c r="G883" s="27"/>
      <c r="H883" s="27"/>
      <c r="I883" s="27"/>
      <c r="J883" s="27"/>
      <c r="K883" s="27"/>
      <c r="L883" s="27" t="s">
        <v>59</v>
      </c>
      <c r="M883" s="27"/>
      <c r="N883" s="27"/>
      <c r="O883" s="27"/>
      <c r="P883" s="27"/>
      <c r="Q883" s="27"/>
      <c r="R883" s="27"/>
      <c r="S883" s="27"/>
      <c r="T883" s="27"/>
      <c r="U883" s="27"/>
      <c r="V883" s="27"/>
      <c r="W883" s="27"/>
      <c r="X883" s="27"/>
      <c r="Y883" s="27"/>
      <c r="Z883" s="27"/>
      <c r="AA883" s="27"/>
      <c r="AB883" s="27"/>
      <c r="AC883" s="27"/>
      <c r="AD883" s="27"/>
      <c r="AE883" s="27"/>
      <c r="AF883" s="27"/>
      <c r="AG883" s="27"/>
      <c r="AH883" s="27"/>
      <c r="AI883" s="27"/>
      <c r="AJ883" s="27"/>
      <c r="AK883" s="27"/>
      <c r="AL883" s="27"/>
      <c r="AM883" s="27"/>
      <c r="AN883" s="27"/>
      <c r="AO883" s="27"/>
      <c r="AP883" s="27"/>
      <c r="AQ883" s="27"/>
      <c r="AR883" s="27"/>
      <c r="AS883" s="27"/>
      <c r="AT883" s="27"/>
      <c r="AU883" s="27"/>
      <c r="AV883" s="27"/>
      <c r="AW883" s="27"/>
      <c r="AX883" s="27"/>
      <c r="AY883" s="27"/>
      <c r="AZ883" s="27"/>
      <c r="BA883" s="27"/>
      <c r="BB883" s="27"/>
      <c r="BC883" s="27"/>
      <c r="BD883" s="27"/>
      <c r="BE883" s="27"/>
      <c r="BF883" s="27"/>
      <c r="BG883" s="27"/>
      <c r="BH883" s="27"/>
      <c r="BI883" s="27"/>
      <c r="BJ883" s="27"/>
      <c r="BK883" s="27"/>
      <c r="BL883" s="27"/>
      <c r="BM883" s="27"/>
      <c r="BN883" s="27"/>
      <c r="BO883" s="27"/>
      <c r="BP883" s="27"/>
      <c r="BQ883" s="27"/>
      <c r="BR883" s="27"/>
      <c r="BS883" s="27"/>
      <c r="BT883" s="27"/>
      <c r="BU883" s="27"/>
      <c r="BV883" s="27"/>
      <c r="BW883" s="27"/>
      <c r="BX883" s="27"/>
      <c r="BY883" s="27"/>
      <c r="BZ883" s="27"/>
      <c r="CA883" s="27"/>
      <c r="CB883" s="27"/>
      <c r="CC883" s="27"/>
      <c r="CD883" s="27"/>
      <c r="CE883" s="27"/>
      <c r="CF883" s="27"/>
      <c r="CG883" s="27"/>
      <c r="CH883" s="27"/>
      <c r="CI883" s="27"/>
      <c r="CJ883" s="27"/>
      <c r="CK883" s="27"/>
      <c r="CL883" s="27"/>
      <c r="CM883" s="27"/>
      <c r="CN883" s="27"/>
      <c r="CO883" s="27"/>
      <c r="CP883" s="27"/>
      <c r="CQ883" s="27"/>
      <c r="CR883" s="27"/>
      <c r="CS883" s="27"/>
      <c r="CT883" s="27"/>
      <c r="CU883" s="27"/>
      <c r="CV883" s="27"/>
      <c r="CW883" s="27"/>
      <c r="CX883" s="27"/>
      <c r="CY883" s="27"/>
      <c r="CZ883" s="27"/>
      <c r="DA883" s="27"/>
      <c r="DB883" s="27"/>
      <c r="DC883" s="27"/>
      <c r="DD883" s="27"/>
      <c r="DE883" s="27"/>
      <c r="DF883" s="27"/>
      <c r="DG883" s="27"/>
      <c r="DH883" s="27"/>
      <c r="DI883" s="27"/>
      <c r="DJ883" s="27"/>
      <c r="DK883" s="27"/>
      <c r="DL883" s="27"/>
      <c r="DM883" s="27"/>
      <c r="DN883" s="27"/>
      <c r="DO883" s="27"/>
      <c r="DP883" s="27"/>
      <c r="DQ883" s="27"/>
      <c r="DR883" s="27"/>
      <c r="DS883" s="27"/>
      <c r="DT883" s="27"/>
    </row>
    <row r="884" spans="7:124" x14ac:dyDescent="0.2">
      <c r="G884" s="27"/>
      <c r="H884" s="27"/>
      <c r="I884" s="27"/>
      <c r="J884" s="27"/>
      <c r="K884" s="27"/>
      <c r="L884" s="27"/>
      <c r="M884" s="27"/>
      <c r="N884" s="27"/>
      <c r="O884" s="27"/>
      <c r="P884" s="27"/>
      <c r="Q884" s="27"/>
      <c r="R884" s="27"/>
      <c r="S884" s="27"/>
      <c r="T884" s="27"/>
      <c r="U884" s="27"/>
      <c r="V884" s="27"/>
      <c r="W884" s="27"/>
      <c r="X884" s="27"/>
      <c r="Y884" s="27"/>
      <c r="Z884" s="27"/>
      <c r="AA884" s="27"/>
      <c r="AB884" s="27"/>
      <c r="AC884" s="27"/>
      <c r="AD884" s="27"/>
      <c r="AE884" s="27"/>
      <c r="AF884" s="27"/>
      <c r="AG884" s="27"/>
      <c r="AH884" s="27"/>
      <c r="AI884" s="27"/>
      <c r="AJ884" s="27"/>
      <c r="AK884" s="27"/>
      <c r="AL884" s="27"/>
      <c r="AM884" s="27"/>
      <c r="AN884" s="27"/>
      <c r="AO884" s="27"/>
      <c r="AP884" s="27"/>
      <c r="AQ884" s="27"/>
      <c r="AR884" s="27"/>
      <c r="AS884" s="27"/>
      <c r="AT884" s="27"/>
      <c r="AU884" s="27"/>
      <c r="AV884" s="27"/>
      <c r="AW884" s="27"/>
      <c r="AX884" s="27"/>
      <c r="AY884" s="27"/>
      <c r="AZ884" s="27"/>
      <c r="BA884" s="27"/>
      <c r="BB884" s="27"/>
      <c r="BC884" s="27"/>
      <c r="BD884" s="27"/>
      <c r="BE884" s="27"/>
      <c r="BF884" s="27"/>
      <c r="BG884" s="27"/>
      <c r="BH884" s="27"/>
      <c r="BI884" s="27"/>
      <c r="BJ884" s="27"/>
      <c r="BK884" s="27"/>
      <c r="BL884" s="27"/>
      <c r="BM884" s="27"/>
      <c r="BN884" s="27"/>
      <c r="BO884" s="27"/>
      <c r="BP884" s="27"/>
      <c r="BQ884" s="27"/>
      <c r="BR884" s="27"/>
      <c r="BS884" s="27"/>
      <c r="BT884" s="27"/>
      <c r="BU884" s="27"/>
      <c r="BV884" s="27"/>
      <c r="BW884" s="27"/>
      <c r="BX884" s="27"/>
      <c r="BY884" s="27"/>
      <c r="BZ884" s="27"/>
      <c r="CA884" s="27"/>
      <c r="CB884" s="27"/>
      <c r="CC884" s="27"/>
      <c r="CD884" s="27"/>
      <c r="CE884" s="27"/>
      <c r="CF884" s="27"/>
      <c r="CG884" s="27"/>
      <c r="CH884" s="27"/>
      <c r="CI884" s="27"/>
      <c r="CJ884" s="27"/>
      <c r="CK884" s="27"/>
      <c r="CL884" s="27"/>
      <c r="CM884" s="27"/>
      <c r="CN884" s="27"/>
      <c r="CO884" s="27"/>
      <c r="CP884" s="27"/>
      <c r="CQ884" s="27"/>
      <c r="CR884" s="27"/>
      <c r="CS884" s="27"/>
      <c r="CT884" s="27"/>
      <c r="CU884" s="27"/>
      <c r="CV884" s="27"/>
      <c r="CW884" s="27"/>
      <c r="CX884" s="27"/>
      <c r="CY884" s="27"/>
      <c r="CZ884" s="27"/>
      <c r="DA884" s="27"/>
      <c r="DB884" s="27"/>
      <c r="DC884" s="27"/>
      <c r="DD884" s="27"/>
      <c r="DE884" s="27"/>
      <c r="DF884" s="27"/>
      <c r="DG884" s="27"/>
      <c r="DH884" s="27"/>
      <c r="DI884" s="27"/>
      <c r="DJ884" s="27"/>
      <c r="DK884" s="27"/>
      <c r="DL884" s="27"/>
      <c r="DM884" s="27"/>
      <c r="DN884" s="27"/>
      <c r="DO884" s="27"/>
      <c r="DP884" s="27"/>
      <c r="DQ884" s="27"/>
      <c r="DR884" s="27"/>
      <c r="DS884" s="27"/>
      <c r="DT884" s="27"/>
    </row>
    <row r="885" spans="7:124" x14ac:dyDescent="0.2">
      <c r="G885" s="27"/>
      <c r="H885" s="27"/>
      <c r="I885" s="27"/>
      <c r="J885" s="27"/>
      <c r="K885" s="27"/>
      <c r="L885" s="27"/>
      <c r="M885" s="27"/>
      <c r="N885" s="27"/>
      <c r="O885" s="27"/>
      <c r="P885" s="27"/>
      <c r="Q885" s="27"/>
      <c r="R885" s="27"/>
      <c r="S885" s="27"/>
      <c r="T885" s="27"/>
      <c r="U885" s="27"/>
      <c r="V885" s="27"/>
      <c r="W885" s="27"/>
      <c r="X885" s="27"/>
      <c r="Y885" s="27"/>
      <c r="Z885" s="27"/>
      <c r="AA885" s="27"/>
      <c r="AB885" s="27"/>
      <c r="AC885" s="27"/>
      <c r="AD885" s="27"/>
      <c r="AE885" s="27"/>
      <c r="AF885" s="27"/>
      <c r="AG885" s="27"/>
      <c r="AH885" s="27"/>
      <c r="AI885" s="27"/>
      <c r="AJ885" s="27"/>
      <c r="AK885" s="27"/>
      <c r="AL885" s="27"/>
      <c r="AM885" s="27"/>
      <c r="AN885" s="27"/>
      <c r="AO885" s="27"/>
      <c r="AP885" s="27"/>
      <c r="AQ885" s="27"/>
      <c r="AR885" s="27"/>
      <c r="AS885" s="27"/>
      <c r="AT885" s="27"/>
      <c r="AU885" s="27"/>
      <c r="AV885" s="27"/>
      <c r="AW885" s="27"/>
      <c r="AX885" s="27"/>
      <c r="AY885" s="27"/>
      <c r="AZ885" s="27"/>
      <c r="BA885" s="27"/>
      <c r="BB885" s="27"/>
      <c r="BC885" s="27"/>
      <c r="BD885" s="27"/>
      <c r="BE885" s="27"/>
      <c r="BF885" s="27"/>
      <c r="BG885" s="27"/>
      <c r="BH885" s="27"/>
      <c r="BI885" s="27"/>
      <c r="BJ885" s="27"/>
      <c r="BK885" s="27"/>
      <c r="BL885" s="27"/>
      <c r="BM885" s="27"/>
      <c r="BN885" s="27"/>
      <c r="BO885" s="27"/>
      <c r="BP885" s="27"/>
      <c r="BQ885" s="27"/>
      <c r="BR885" s="27"/>
      <c r="BS885" s="27"/>
      <c r="BT885" s="27"/>
      <c r="BU885" s="27"/>
      <c r="BV885" s="27"/>
      <c r="BW885" s="27"/>
      <c r="BX885" s="27"/>
      <c r="BY885" s="27"/>
      <c r="BZ885" s="27"/>
      <c r="CA885" s="27"/>
      <c r="CB885" s="27"/>
      <c r="CC885" s="27"/>
      <c r="CD885" s="27"/>
      <c r="CE885" s="27"/>
      <c r="CF885" s="27"/>
      <c r="CG885" s="27"/>
      <c r="CH885" s="27"/>
      <c r="CI885" s="27"/>
      <c r="CJ885" s="27"/>
      <c r="CK885" s="27"/>
      <c r="CL885" s="27"/>
      <c r="CM885" s="27"/>
      <c r="CN885" s="27"/>
      <c r="CO885" s="27"/>
      <c r="CP885" s="27"/>
      <c r="CQ885" s="27"/>
      <c r="CR885" s="27"/>
      <c r="CS885" s="27"/>
      <c r="CT885" s="27"/>
      <c r="CU885" s="27"/>
      <c r="CV885" s="27"/>
      <c r="CW885" s="27"/>
      <c r="CX885" s="27"/>
      <c r="CY885" s="27"/>
      <c r="CZ885" s="27"/>
      <c r="DA885" s="27"/>
      <c r="DB885" s="27"/>
      <c r="DC885" s="27"/>
      <c r="DD885" s="27"/>
      <c r="DE885" s="27"/>
      <c r="DF885" s="27"/>
      <c r="DG885" s="27"/>
      <c r="DH885" s="27"/>
      <c r="DI885" s="27"/>
      <c r="DJ885" s="27"/>
      <c r="DK885" s="27"/>
      <c r="DL885" s="27"/>
      <c r="DM885" s="27"/>
      <c r="DN885" s="27"/>
      <c r="DO885" s="27"/>
      <c r="DP885" s="27"/>
      <c r="DQ885" s="27"/>
      <c r="DR885" s="27"/>
      <c r="DS885" s="27"/>
      <c r="DT885" s="27"/>
    </row>
    <row r="886" spans="7:124" x14ac:dyDescent="0.2">
      <c r="G886" s="27"/>
      <c r="H886" s="27"/>
      <c r="I886" s="27"/>
      <c r="J886" s="27"/>
      <c r="K886" s="27"/>
      <c r="L886" s="27"/>
      <c r="M886" s="27"/>
      <c r="N886" s="27"/>
      <c r="O886" s="27"/>
      <c r="P886" s="27"/>
      <c r="Q886" s="27"/>
      <c r="R886" s="27"/>
      <c r="S886" s="27"/>
      <c r="T886" s="27"/>
      <c r="U886" s="27"/>
      <c r="V886" s="27"/>
      <c r="W886" s="27"/>
      <c r="X886" s="27"/>
      <c r="Y886" s="27"/>
      <c r="Z886" s="27"/>
      <c r="AA886" s="27"/>
      <c r="AB886" s="27"/>
      <c r="AC886" s="27"/>
      <c r="AD886" s="27"/>
      <c r="AE886" s="27"/>
      <c r="AF886" s="27"/>
      <c r="AG886" s="27"/>
      <c r="AH886" s="27"/>
      <c r="AI886" s="27"/>
      <c r="AJ886" s="27"/>
      <c r="AK886" s="27"/>
      <c r="AL886" s="27"/>
      <c r="AM886" s="27"/>
      <c r="AN886" s="27"/>
      <c r="AO886" s="27"/>
      <c r="AP886" s="27"/>
      <c r="AQ886" s="27"/>
      <c r="AR886" s="27"/>
      <c r="AS886" s="27"/>
      <c r="AT886" s="27"/>
      <c r="AU886" s="27"/>
      <c r="AV886" s="27"/>
      <c r="AW886" s="27"/>
      <c r="AX886" s="27"/>
      <c r="AY886" s="27"/>
      <c r="AZ886" s="27"/>
      <c r="BA886" s="27"/>
      <c r="BB886" s="27"/>
      <c r="BC886" s="27"/>
      <c r="BD886" s="27"/>
      <c r="BE886" s="27"/>
      <c r="BF886" s="27"/>
      <c r="BG886" s="27"/>
      <c r="BH886" s="27"/>
      <c r="BI886" s="27"/>
      <c r="BJ886" s="27"/>
      <c r="BK886" s="27"/>
      <c r="BL886" s="27"/>
      <c r="BM886" s="27"/>
      <c r="BN886" s="27"/>
      <c r="BO886" s="27"/>
      <c r="BP886" s="27"/>
      <c r="BQ886" s="27"/>
      <c r="BR886" s="27"/>
      <c r="BS886" s="27"/>
      <c r="BT886" s="27"/>
      <c r="BU886" s="27"/>
      <c r="BV886" s="27"/>
      <c r="BW886" s="27"/>
      <c r="BX886" s="27"/>
      <c r="BY886" s="27"/>
      <c r="BZ886" s="27"/>
      <c r="CA886" s="27"/>
      <c r="CB886" s="27"/>
      <c r="CC886" s="27"/>
      <c r="CD886" s="27"/>
      <c r="CE886" s="27"/>
      <c r="CF886" s="27"/>
      <c r="CG886" s="27"/>
      <c r="CH886" s="27"/>
      <c r="CI886" s="27"/>
      <c r="CJ886" s="27"/>
      <c r="CK886" s="27"/>
      <c r="CL886" s="27"/>
      <c r="CM886" s="27"/>
      <c r="CN886" s="27"/>
      <c r="CO886" s="27"/>
      <c r="CP886" s="27"/>
      <c r="CQ886" s="27"/>
      <c r="CR886" s="27"/>
      <c r="CS886" s="27"/>
      <c r="CT886" s="27"/>
      <c r="CU886" s="27"/>
      <c r="CV886" s="27"/>
      <c r="CW886" s="27"/>
      <c r="CX886" s="27"/>
      <c r="CY886" s="27"/>
      <c r="CZ886" s="27"/>
      <c r="DA886" s="27"/>
      <c r="DB886" s="27"/>
      <c r="DC886" s="27"/>
      <c r="DD886" s="27"/>
      <c r="DE886" s="27"/>
      <c r="DF886" s="27"/>
      <c r="DG886" s="27"/>
      <c r="DH886" s="27"/>
      <c r="DI886" s="27"/>
      <c r="DJ886" s="27"/>
      <c r="DK886" s="27"/>
      <c r="DL886" s="27"/>
      <c r="DM886" s="27"/>
      <c r="DN886" s="27"/>
      <c r="DO886" s="27"/>
      <c r="DP886" s="27"/>
      <c r="DQ886" s="27"/>
      <c r="DR886" s="27"/>
      <c r="DS886" s="27"/>
      <c r="DT886" s="27"/>
    </row>
    <row r="887" spans="7:124" x14ac:dyDescent="0.2">
      <c r="G887" s="27"/>
      <c r="H887" s="27"/>
      <c r="I887" s="27"/>
      <c r="J887" s="27"/>
      <c r="K887" s="27">
        <f ca="1">(F927-O710)*2.4%</f>
        <v>-0.31128000000000017</v>
      </c>
      <c r="L887" s="27" t="s">
        <v>467</v>
      </c>
      <c r="M887" s="27"/>
      <c r="N887" s="27"/>
      <c r="O887" s="27"/>
      <c r="P887" s="27"/>
      <c r="Q887" s="27"/>
      <c r="R887" s="27"/>
      <c r="S887" s="27"/>
      <c r="T887" s="27"/>
      <c r="U887" s="27"/>
      <c r="V887" s="27"/>
      <c r="W887" s="27"/>
      <c r="X887" s="27"/>
      <c r="Y887" s="27"/>
      <c r="Z887" s="27"/>
      <c r="AA887" s="27"/>
      <c r="AB887" s="27"/>
      <c r="AC887" s="27"/>
      <c r="AD887" s="27"/>
      <c r="AE887" s="27"/>
      <c r="AF887" s="27"/>
      <c r="AG887" s="27"/>
      <c r="AH887" s="27"/>
      <c r="AI887" s="27"/>
      <c r="AJ887" s="27"/>
      <c r="AK887" s="27"/>
      <c r="AL887" s="27"/>
      <c r="AM887" s="27"/>
      <c r="AN887" s="27"/>
      <c r="AO887" s="27"/>
      <c r="AP887" s="27"/>
      <c r="AQ887" s="27"/>
      <c r="AR887" s="27"/>
      <c r="AS887" s="27"/>
      <c r="AT887" s="27"/>
      <c r="AU887" s="27"/>
      <c r="AV887" s="27"/>
      <c r="AW887" s="27"/>
      <c r="AX887" s="27"/>
      <c r="AY887" s="27"/>
      <c r="AZ887" s="27"/>
      <c r="BA887" s="27"/>
      <c r="BB887" s="27"/>
      <c r="BC887" s="27"/>
      <c r="BD887" s="27"/>
      <c r="BE887" s="27"/>
      <c r="BF887" s="27"/>
      <c r="BG887" s="27"/>
      <c r="BH887" s="27"/>
      <c r="BI887" s="27"/>
      <c r="BJ887" s="27"/>
      <c r="BK887" s="27"/>
      <c r="BL887" s="27"/>
      <c r="BM887" s="27"/>
      <c r="BN887" s="27"/>
      <c r="BO887" s="27"/>
      <c r="BP887" s="27"/>
      <c r="BQ887" s="27"/>
      <c r="BR887" s="27"/>
      <c r="BS887" s="27"/>
      <c r="BT887" s="27"/>
      <c r="BU887" s="27"/>
      <c r="BV887" s="27"/>
      <c r="BW887" s="27"/>
      <c r="BX887" s="27"/>
      <c r="BY887" s="27"/>
      <c r="BZ887" s="27"/>
      <c r="CA887" s="27"/>
      <c r="CB887" s="27"/>
      <c r="CC887" s="27"/>
      <c r="CD887" s="27"/>
      <c r="CE887" s="27"/>
      <c r="CF887" s="27"/>
      <c r="CG887" s="27"/>
      <c r="CH887" s="27"/>
      <c r="CI887" s="27"/>
      <c r="CJ887" s="27"/>
      <c r="CK887" s="27"/>
      <c r="CL887" s="27"/>
      <c r="CM887" s="27"/>
      <c r="CN887" s="27"/>
      <c r="CO887" s="27"/>
      <c r="CP887" s="27"/>
      <c r="CQ887" s="27"/>
      <c r="CR887" s="27"/>
      <c r="CS887" s="27"/>
      <c r="CT887" s="27"/>
      <c r="CU887" s="27"/>
      <c r="CV887" s="27"/>
      <c r="CW887" s="27"/>
      <c r="CX887" s="27"/>
      <c r="CY887" s="27"/>
      <c r="CZ887" s="27"/>
      <c r="DA887" s="27"/>
      <c r="DB887" s="27"/>
      <c r="DC887" s="27"/>
      <c r="DD887" s="27"/>
      <c r="DE887" s="27"/>
      <c r="DF887" s="27"/>
      <c r="DG887" s="27"/>
      <c r="DH887" s="27"/>
      <c r="DI887" s="27"/>
      <c r="DJ887" s="27"/>
      <c r="DK887" s="27"/>
      <c r="DL887" s="27"/>
      <c r="DM887" s="27"/>
      <c r="DN887" s="27"/>
      <c r="DO887" s="27"/>
      <c r="DP887" s="27"/>
      <c r="DQ887" s="27"/>
      <c r="DR887" s="27"/>
      <c r="DS887" s="27"/>
      <c r="DT887" s="27"/>
    </row>
    <row r="888" spans="7:124" x14ac:dyDescent="0.2">
      <c r="G888" s="27"/>
      <c r="H888" s="27">
        <f ca="1">DATE(YEAR(I775),MONTH(I775)-MONTH(I775)+1,DAY(I775)-DAY(I775)+1)</f>
        <v>45292</v>
      </c>
      <c r="I888" s="27"/>
      <c r="J888" s="27"/>
      <c r="K888" s="27">
        <f>IF(W719=0,0,IF(F927-O710+BB780&gt;13,13,F927-O710+BB780))</f>
        <v>0</v>
      </c>
      <c r="L888" s="27" t="s">
        <v>468</v>
      </c>
      <c r="M888" s="27"/>
      <c r="N888" s="27"/>
      <c r="O888" s="27"/>
      <c r="P888" s="27"/>
      <c r="Q888" s="27"/>
      <c r="R888" s="27"/>
      <c r="S888" s="27"/>
      <c r="T888" s="27"/>
      <c r="U888" s="27"/>
      <c r="V888" s="27"/>
      <c r="W888" s="27"/>
      <c r="X888" s="27"/>
      <c r="Y888" s="27"/>
      <c r="Z888" s="27"/>
      <c r="AA888" s="27"/>
      <c r="AB888" s="27"/>
      <c r="AC888" s="27"/>
      <c r="AD888" s="27"/>
      <c r="AE888" s="27"/>
      <c r="AF888" s="27"/>
      <c r="AG888" s="27"/>
      <c r="AH888" s="27"/>
      <c r="AI888" s="27"/>
      <c r="AJ888" s="27"/>
      <c r="AK888" s="27"/>
      <c r="AL888" s="27"/>
      <c r="AM888" s="27"/>
      <c r="AN888" s="27"/>
      <c r="AO888" s="27"/>
      <c r="AP888" s="27"/>
      <c r="AQ888" s="27"/>
      <c r="AR888" s="27"/>
      <c r="AS888" s="27"/>
      <c r="AT888" s="27"/>
      <c r="AU888" s="27"/>
      <c r="AV888" s="27"/>
      <c r="AW888" s="27"/>
      <c r="AX888" s="27"/>
      <c r="AY888" s="27"/>
      <c r="AZ888" s="27"/>
      <c r="BA888" s="27"/>
      <c r="BB888" s="27"/>
      <c r="BC888" s="27"/>
      <c r="BD888" s="27"/>
      <c r="BE888" s="27"/>
      <c r="BF888" s="27"/>
      <c r="BG888" s="27"/>
      <c r="BH888" s="27"/>
      <c r="BI888" s="27"/>
      <c r="BJ888" s="27"/>
      <c r="BK888" s="27"/>
      <c r="BL888" s="27"/>
      <c r="BM888" s="27"/>
      <c r="BN888" s="27"/>
      <c r="BO888" s="27"/>
      <c r="BP888" s="27"/>
      <c r="BQ888" s="27"/>
      <c r="BR888" s="27"/>
      <c r="BS888" s="27"/>
      <c r="BT888" s="27"/>
      <c r="BU888" s="27"/>
      <c r="BV888" s="27"/>
      <c r="BW888" s="27"/>
      <c r="BX888" s="27"/>
      <c r="BY888" s="27"/>
      <c r="BZ888" s="27"/>
      <c r="CA888" s="27"/>
      <c r="CB888" s="27"/>
      <c r="CC888" s="27"/>
      <c r="CD888" s="27"/>
      <c r="CE888" s="27"/>
      <c r="CF888" s="27"/>
      <c r="CG888" s="27"/>
      <c r="CH888" s="27"/>
      <c r="CI888" s="27"/>
      <c r="CJ888" s="27"/>
      <c r="CK888" s="27"/>
      <c r="CL888" s="27"/>
      <c r="CM888" s="27"/>
      <c r="CN888" s="27"/>
      <c r="CO888" s="27"/>
      <c r="CP888" s="27"/>
      <c r="CQ888" s="27"/>
      <c r="CR888" s="27"/>
      <c r="CS888" s="27"/>
      <c r="CT888" s="27"/>
      <c r="CU888" s="27"/>
      <c r="CV888" s="27"/>
      <c r="CW888" s="27"/>
      <c r="CX888" s="27"/>
      <c r="CY888" s="27"/>
      <c r="CZ888" s="27"/>
      <c r="DA888" s="27"/>
      <c r="DB888" s="27"/>
      <c r="DC888" s="27"/>
      <c r="DD888" s="27"/>
      <c r="DE888" s="27"/>
      <c r="DF888" s="27"/>
      <c r="DG888" s="27"/>
      <c r="DH888" s="27"/>
      <c r="DI888" s="27"/>
      <c r="DJ888" s="27"/>
      <c r="DK888" s="27"/>
      <c r="DL888" s="27"/>
      <c r="DM888" s="27"/>
      <c r="DN888" s="27"/>
      <c r="DO888" s="27"/>
      <c r="DP888" s="27"/>
      <c r="DQ888" s="27"/>
      <c r="DR888" s="27"/>
      <c r="DS888" s="27"/>
      <c r="DT888" s="27"/>
    </row>
    <row r="889" spans="7:124" x14ac:dyDescent="0.2">
      <c r="G889" s="27"/>
      <c r="H889" s="27"/>
      <c r="I889" s="27"/>
      <c r="J889" s="27"/>
      <c r="K889" s="27"/>
      <c r="L889" s="27" t="s">
        <v>470</v>
      </c>
      <c r="M889" s="27"/>
      <c r="N889" s="27"/>
      <c r="O889" s="27"/>
      <c r="P889" s="27"/>
      <c r="Q889" s="27"/>
      <c r="R889" s="27"/>
      <c r="S889" s="27"/>
      <c r="T889" s="27"/>
      <c r="U889" s="27"/>
      <c r="V889" s="27"/>
      <c r="W889" s="27"/>
      <c r="X889" s="27"/>
      <c r="Y889" s="27"/>
      <c r="Z889" s="27"/>
      <c r="AA889" s="27"/>
      <c r="AB889" s="27"/>
      <c r="AC889" s="27"/>
      <c r="AD889" s="27"/>
      <c r="AE889" s="27"/>
      <c r="AF889" s="27"/>
      <c r="AG889" s="27"/>
      <c r="AH889" s="27"/>
      <c r="AI889" s="27"/>
      <c r="AJ889" s="27"/>
      <c r="AK889" s="27"/>
      <c r="AL889" s="27"/>
      <c r="AM889" s="27"/>
      <c r="AN889" s="27"/>
      <c r="AO889" s="27"/>
      <c r="AP889" s="27"/>
      <c r="AQ889" s="27"/>
      <c r="AR889" s="27"/>
      <c r="AS889" s="27"/>
      <c r="AT889" s="27"/>
      <c r="AU889" s="27"/>
      <c r="AV889" s="27"/>
      <c r="AW889" s="27"/>
      <c r="AX889" s="27"/>
      <c r="AY889" s="27"/>
      <c r="AZ889" s="27"/>
      <c r="BA889" s="27"/>
      <c r="BB889" s="27"/>
      <c r="BC889" s="27"/>
      <c r="BD889" s="27"/>
      <c r="BE889" s="27"/>
      <c r="BF889" s="27"/>
      <c r="BG889" s="27"/>
      <c r="BH889" s="27"/>
      <c r="BI889" s="27"/>
      <c r="BJ889" s="27"/>
      <c r="BK889" s="27"/>
      <c r="BL889" s="27"/>
      <c r="BM889" s="27"/>
      <c r="BN889" s="27"/>
      <c r="BO889" s="27"/>
      <c r="BP889" s="27"/>
      <c r="BQ889" s="27"/>
      <c r="BR889" s="27"/>
      <c r="BS889" s="27"/>
      <c r="BT889" s="27"/>
      <c r="BU889" s="27"/>
      <c r="BV889" s="27"/>
      <c r="BW889" s="27"/>
      <c r="BX889" s="27"/>
      <c r="BY889" s="27"/>
      <c r="BZ889" s="27"/>
      <c r="CA889" s="27"/>
      <c r="CB889" s="27"/>
      <c r="CC889" s="27"/>
      <c r="CD889" s="27"/>
      <c r="CE889" s="27"/>
      <c r="CF889" s="27"/>
      <c r="CG889" s="27"/>
      <c r="CH889" s="27"/>
      <c r="CI889" s="27"/>
      <c r="CJ889" s="27"/>
      <c r="CK889" s="27"/>
      <c r="CL889" s="27"/>
      <c r="CM889" s="27"/>
      <c r="CN889" s="27"/>
      <c r="CO889" s="27"/>
      <c r="CP889" s="27"/>
      <c r="CQ889" s="27"/>
      <c r="CR889" s="27"/>
      <c r="CS889" s="27"/>
      <c r="CT889" s="27"/>
      <c r="CU889" s="27"/>
      <c r="CV889" s="27"/>
      <c r="CW889" s="27"/>
      <c r="CX889" s="27"/>
      <c r="CY889" s="27"/>
      <c r="CZ889" s="27"/>
      <c r="DA889" s="27"/>
      <c r="DB889" s="27"/>
      <c r="DC889" s="27"/>
      <c r="DD889" s="27"/>
      <c r="DE889" s="27"/>
      <c r="DF889" s="27"/>
      <c r="DG889" s="27"/>
      <c r="DH889" s="27"/>
      <c r="DI889" s="27"/>
      <c r="DJ889" s="27"/>
      <c r="DK889" s="27"/>
      <c r="DL889" s="27"/>
      <c r="DM889" s="27"/>
      <c r="DN889" s="27"/>
      <c r="DO889" s="27"/>
      <c r="DP889" s="27"/>
      <c r="DQ889" s="27"/>
      <c r="DR889" s="27"/>
      <c r="DS889" s="27"/>
      <c r="DT889" s="27"/>
    </row>
    <row r="890" spans="7:124" x14ac:dyDescent="0.2">
      <c r="G890" s="27"/>
      <c r="H890" s="27"/>
      <c r="I890" s="27">
        <f>IF(G944-Z716&lt;3,0,IF(G944-Z716&lt;6,1,IF(G944-Z716&lt;9,2,IF(G944-Z716&lt;12,H882+3,IF(G944-Z716&lt;13,H882+4,IF(G944-Z716&lt;16,H882+5,IF(G944-Z716&lt;19,H882+6,IF(G944-Z716&lt;22,H882+7))))))))</f>
        <v>0</v>
      </c>
      <c r="J890" s="27"/>
      <c r="K890" s="27"/>
      <c r="L890" s="27" t="s">
        <v>471</v>
      </c>
      <c r="M890" s="27"/>
      <c r="N890" s="27"/>
      <c r="O890" s="27"/>
      <c r="P890" s="27"/>
      <c r="Q890" s="27"/>
      <c r="R890" s="27"/>
      <c r="S890" s="27"/>
      <c r="T890" s="27"/>
      <c r="U890" s="27"/>
      <c r="V890" s="27"/>
      <c r="W890" s="27"/>
      <c r="X890" s="27"/>
      <c r="Y890" s="27"/>
      <c r="Z890" s="27"/>
      <c r="AA890" s="27"/>
      <c r="AB890" s="27"/>
      <c r="AC890" s="27"/>
      <c r="AD890" s="27"/>
      <c r="AE890" s="27"/>
      <c r="AF890" s="27"/>
      <c r="AG890" s="27"/>
      <c r="AH890" s="27"/>
      <c r="AI890" s="27"/>
      <c r="AJ890" s="27"/>
      <c r="AK890" s="27"/>
      <c r="AL890" s="27"/>
      <c r="AM890" s="27"/>
      <c r="AN890" s="27"/>
      <c r="AO890" s="27"/>
      <c r="AP890" s="27"/>
      <c r="AQ890" s="27"/>
      <c r="AR890" s="27"/>
      <c r="AS890" s="27"/>
      <c r="AT890" s="27"/>
      <c r="AU890" s="27"/>
      <c r="AV890" s="27"/>
      <c r="AW890" s="27"/>
      <c r="AX890" s="27"/>
      <c r="AY890" s="27"/>
      <c r="AZ890" s="27"/>
      <c r="BA890" s="27"/>
      <c r="BB890" s="27"/>
      <c r="BC890" s="27"/>
      <c r="BD890" s="27"/>
      <c r="BE890" s="27"/>
      <c r="BF890" s="27"/>
      <c r="BG890" s="27"/>
      <c r="BH890" s="27"/>
      <c r="BI890" s="27"/>
      <c r="BJ890" s="27"/>
      <c r="BK890" s="27"/>
      <c r="BL890" s="27"/>
      <c r="BM890" s="27"/>
      <c r="BN890" s="27"/>
      <c r="BO890" s="27"/>
      <c r="BP890" s="27"/>
      <c r="BQ890" s="27"/>
      <c r="BR890" s="27"/>
      <c r="BS890" s="27"/>
      <c r="BT890" s="27"/>
      <c r="BU890" s="27"/>
      <c r="BV890" s="27"/>
      <c r="BW890" s="27"/>
      <c r="BX890" s="27"/>
      <c r="BY890" s="27"/>
      <c r="BZ890" s="27"/>
      <c r="CA890" s="27"/>
      <c r="CB890" s="27"/>
      <c r="CC890" s="27"/>
      <c r="CD890" s="27"/>
      <c r="CE890" s="27"/>
      <c r="CF890" s="27"/>
      <c r="CG890" s="27"/>
      <c r="CH890" s="27"/>
      <c r="CI890" s="27"/>
      <c r="CJ890" s="27"/>
      <c r="CK890" s="27"/>
      <c r="CL890" s="27"/>
      <c r="CM890" s="27"/>
      <c r="CN890" s="27"/>
      <c r="CO890" s="27"/>
      <c r="CP890" s="27"/>
      <c r="CQ890" s="27"/>
      <c r="CR890" s="27"/>
      <c r="CS890" s="27"/>
      <c r="CT890" s="27"/>
      <c r="CU890" s="27"/>
      <c r="CV890" s="27"/>
      <c r="CW890" s="27"/>
      <c r="CX890" s="27"/>
      <c r="CY890" s="27"/>
      <c r="CZ890" s="27"/>
      <c r="DA890" s="27"/>
      <c r="DB890" s="27"/>
      <c r="DC890" s="27"/>
      <c r="DD890" s="27"/>
      <c r="DE890" s="27"/>
      <c r="DF890" s="27"/>
      <c r="DG890" s="27"/>
      <c r="DH890" s="27"/>
      <c r="DI890" s="27"/>
      <c r="DJ890" s="27"/>
      <c r="DK890" s="27"/>
      <c r="DL890" s="27"/>
      <c r="DM890" s="27"/>
      <c r="DN890" s="27"/>
      <c r="DO890" s="27"/>
      <c r="DP890" s="27"/>
      <c r="DQ890" s="27"/>
      <c r="DR890" s="27"/>
      <c r="DS890" s="27"/>
      <c r="DT890" s="27"/>
    </row>
    <row r="891" spans="7:124" x14ac:dyDescent="0.2">
      <c r="G891" s="27"/>
      <c r="H891" s="27"/>
      <c r="I891" s="27"/>
      <c r="J891" s="27"/>
      <c r="K891" s="27"/>
      <c r="L891" s="27" t="s">
        <v>472</v>
      </c>
      <c r="M891" s="27"/>
      <c r="N891" s="27"/>
      <c r="O891" s="27"/>
      <c r="P891" s="27"/>
      <c r="Q891" s="27"/>
      <c r="R891" s="27"/>
      <c r="S891" s="27"/>
      <c r="T891" s="27"/>
      <c r="U891" s="27"/>
      <c r="V891" s="27"/>
      <c r="W891" s="27"/>
      <c r="X891" s="27"/>
      <c r="Y891" s="27"/>
      <c r="Z891" s="27"/>
      <c r="AA891" s="27"/>
      <c r="AB891" s="27"/>
      <c r="AC891" s="27"/>
      <c r="AD891" s="27"/>
      <c r="AE891" s="27"/>
      <c r="AF891" s="27"/>
      <c r="AG891" s="27"/>
      <c r="AH891" s="27"/>
      <c r="AI891" s="27"/>
      <c r="AJ891" s="27"/>
      <c r="AK891" s="27"/>
      <c r="AL891" s="27"/>
      <c r="AM891" s="27"/>
      <c r="AN891" s="27"/>
      <c r="AO891" s="27"/>
      <c r="AP891" s="27"/>
      <c r="AQ891" s="27"/>
      <c r="AR891" s="27"/>
      <c r="AS891" s="27"/>
      <c r="AT891" s="27"/>
      <c r="AU891" s="27"/>
      <c r="AV891" s="27"/>
      <c r="AW891" s="27"/>
      <c r="AX891" s="27"/>
      <c r="AY891" s="27"/>
      <c r="AZ891" s="27"/>
      <c r="BA891" s="27"/>
      <c r="BB891" s="27"/>
      <c r="BC891" s="27"/>
      <c r="BD891" s="27"/>
      <c r="BE891" s="27"/>
      <c r="BF891" s="27"/>
      <c r="BG891" s="27"/>
      <c r="BH891" s="27"/>
      <c r="BI891" s="27"/>
      <c r="BJ891" s="27"/>
      <c r="BK891" s="27"/>
      <c r="BL891" s="27"/>
      <c r="BM891" s="27"/>
      <c r="BN891" s="27"/>
      <c r="BO891" s="27"/>
      <c r="BP891" s="27"/>
      <c r="BQ891" s="27"/>
      <c r="BR891" s="27"/>
      <c r="BS891" s="27"/>
      <c r="BT891" s="27"/>
      <c r="BU891" s="27"/>
      <c r="BV891" s="27"/>
      <c r="BW891" s="27"/>
      <c r="BX891" s="27"/>
      <c r="BY891" s="27"/>
      <c r="BZ891" s="27"/>
      <c r="CA891" s="27"/>
      <c r="CB891" s="27"/>
      <c r="CC891" s="27"/>
      <c r="CD891" s="27"/>
      <c r="CE891" s="27"/>
      <c r="CF891" s="27"/>
      <c r="CG891" s="27"/>
      <c r="CH891" s="27"/>
      <c r="CI891" s="27"/>
      <c r="CJ891" s="27"/>
      <c r="CK891" s="27"/>
      <c r="CL891" s="27"/>
      <c r="CM891" s="27"/>
      <c r="CN891" s="27"/>
      <c r="CO891" s="27"/>
      <c r="CP891" s="27"/>
      <c r="CQ891" s="27"/>
      <c r="CR891" s="27"/>
      <c r="CS891" s="27"/>
      <c r="CT891" s="27"/>
      <c r="CU891" s="27"/>
      <c r="CV891" s="27"/>
      <c r="CW891" s="27"/>
      <c r="CX891" s="27"/>
      <c r="CY891" s="27"/>
      <c r="CZ891" s="27"/>
      <c r="DA891" s="27"/>
      <c r="DB891" s="27"/>
      <c r="DC891" s="27"/>
      <c r="DD891" s="27"/>
      <c r="DE891" s="27"/>
      <c r="DF891" s="27"/>
      <c r="DG891" s="27"/>
      <c r="DH891" s="27"/>
      <c r="DI891" s="27"/>
      <c r="DJ891" s="27"/>
      <c r="DK891" s="27"/>
      <c r="DL891" s="27"/>
      <c r="DM891" s="27"/>
      <c r="DN891" s="27"/>
      <c r="DO891" s="27"/>
      <c r="DP891" s="27"/>
      <c r="DQ891" s="27"/>
      <c r="DR891" s="27"/>
      <c r="DS891" s="27"/>
      <c r="DT891" s="27"/>
    </row>
    <row r="892" spans="7:124" x14ac:dyDescent="0.2">
      <c r="G892" s="27"/>
      <c r="H892" s="27" t="e">
        <f>E929</f>
        <v>#REF!</v>
      </c>
      <c r="I892" s="27"/>
      <c r="J892" s="27"/>
      <c r="K892" s="27"/>
      <c r="L892" s="27" t="s">
        <v>473</v>
      </c>
      <c r="M892" s="27"/>
      <c r="N892" s="27"/>
      <c r="O892" s="27"/>
      <c r="P892" s="27"/>
      <c r="Q892" s="27"/>
      <c r="R892" s="27"/>
      <c r="S892" s="27"/>
      <c r="T892" s="27"/>
      <c r="U892" s="27"/>
      <c r="V892" s="27"/>
      <c r="W892" s="27"/>
      <c r="X892" s="27"/>
      <c r="Y892" s="27"/>
      <c r="Z892" s="27"/>
      <c r="AA892" s="27"/>
      <c r="AB892" s="27"/>
      <c r="AC892" s="27"/>
      <c r="AD892" s="27"/>
      <c r="AE892" s="27"/>
      <c r="AF892" s="27"/>
      <c r="AG892" s="27"/>
      <c r="AH892" s="27"/>
      <c r="AI892" s="27"/>
      <c r="AJ892" s="27"/>
      <c r="AK892" s="27"/>
      <c r="AL892" s="27"/>
      <c r="AM892" s="27"/>
      <c r="AN892" s="27"/>
      <c r="AO892" s="27"/>
      <c r="AP892" s="27"/>
      <c r="AQ892" s="27"/>
      <c r="AR892" s="27"/>
      <c r="AS892" s="27"/>
      <c r="AT892" s="27"/>
      <c r="AU892" s="27"/>
      <c r="AV892" s="27"/>
      <c r="AW892" s="27"/>
      <c r="AX892" s="27"/>
      <c r="AY892" s="27"/>
      <c r="AZ892" s="27"/>
      <c r="BA892" s="27"/>
      <c r="BB892" s="27"/>
      <c r="BC892" s="27"/>
      <c r="BD892" s="27"/>
      <c r="BE892" s="27"/>
      <c r="BF892" s="27"/>
      <c r="BG892" s="27"/>
      <c r="BH892" s="27"/>
      <c r="BI892" s="27"/>
      <c r="BJ892" s="27"/>
      <c r="BK892" s="27"/>
      <c r="BL892" s="27"/>
      <c r="BM892" s="27"/>
      <c r="BN892" s="27"/>
      <c r="BO892" s="27"/>
      <c r="BP892" s="27"/>
      <c r="BQ892" s="27"/>
      <c r="BR892" s="27"/>
      <c r="BS892" s="27"/>
      <c r="BT892" s="27"/>
      <c r="BU892" s="27"/>
      <c r="BV892" s="27"/>
      <c r="BW892" s="27"/>
      <c r="BX892" s="27"/>
      <c r="BY892" s="27"/>
      <c r="BZ892" s="27"/>
      <c r="CA892" s="27"/>
      <c r="CB892" s="27"/>
      <c r="CC892" s="27"/>
      <c r="CD892" s="27"/>
      <c r="CE892" s="27"/>
      <c r="CF892" s="27"/>
      <c r="CG892" s="27"/>
      <c r="CH892" s="27"/>
      <c r="CI892" s="27"/>
      <c r="CJ892" s="27"/>
      <c r="CK892" s="27"/>
      <c r="CL892" s="27"/>
      <c r="CM892" s="27"/>
      <c r="CN892" s="27"/>
      <c r="CO892" s="27"/>
      <c r="CP892" s="27"/>
      <c r="CQ892" s="27"/>
      <c r="CR892" s="27"/>
      <c r="CS892" s="27"/>
      <c r="CT892" s="27"/>
      <c r="CU892" s="27"/>
      <c r="CV892" s="27"/>
      <c r="CW892" s="27"/>
      <c r="CX892" s="27"/>
      <c r="CY892" s="27"/>
      <c r="CZ892" s="27"/>
      <c r="DA892" s="27"/>
      <c r="DB892" s="27"/>
      <c r="DC892" s="27"/>
      <c r="DD892" s="27"/>
      <c r="DE892" s="27"/>
      <c r="DF892" s="27"/>
      <c r="DG892" s="27"/>
      <c r="DH892" s="27"/>
      <c r="DI892" s="27"/>
      <c r="DJ892" s="27"/>
      <c r="DK892" s="27"/>
      <c r="DL892" s="27"/>
      <c r="DM892" s="27"/>
      <c r="DN892" s="27"/>
      <c r="DO892" s="27"/>
      <c r="DP892" s="27"/>
      <c r="DQ892" s="27"/>
      <c r="DR892" s="27"/>
      <c r="DS892" s="27"/>
      <c r="DT892" s="27"/>
    </row>
    <row r="893" spans="7:124" x14ac:dyDescent="0.2">
      <c r="G893" s="27"/>
      <c r="H893" s="27"/>
      <c r="I893" s="27"/>
      <c r="J893" s="27"/>
      <c r="K893" s="27"/>
      <c r="L893" s="27"/>
      <c r="M893" s="27"/>
      <c r="N893" s="27"/>
      <c r="O893" s="27"/>
      <c r="P893" s="27"/>
      <c r="Q893" s="27"/>
      <c r="R893" s="27"/>
      <c r="S893" s="27"/>
      <c r="T893" s="27"/>
      <c r="U893" s="27"/>
      <c r="V893" s="27"/>
      <c r="W893" s="27"/>
      <c r="X893" s="27"/>
      <c r="Y893" s="27"/>
      <c r="Z893" s="27"/>
      <c r="AA893" s="27"/>
      <c r="AB893" s="27"/>
      <c r="AC893" s="27"/>
      <c r="AD893" s="27"/>
      <c r="AE893" s="27"/>
      <c r="AF893" s="27"/>
      <c r="AG893" s="27"/>
      <c r="AH893" s="27"/>
      <c r="AI893" s="27"/>
      <c r="AJ893" s="27"/>
      <c r="AK893" s="27"/>
      <c r="AL893" s="27"/>
      <c r="AM893" s="27"/>
      <c r="AN893" s="27"/>
      <c r="AO893" s="27"/>
      <c r="AP893" s="27"/>
      <c r="AQ893" s="27"/>
      <c r="AR893" s="27"/>
      <c r="AS893" s="27"/>
      <c r="AT893" s="27"/>
      <c r="AU893" s="27"/>
      <c r="AV893" s="27"/>
      <c r="AW893" s="27"/>
      <c r="AX893" s="27"/>
      <c r="AY893" s="27"/>
      <c r="AZ893" s="27"/>
      <c r="BA893" s="27"/>
      <c r="BB893" s="27"/>
      <c r="BC893" s="27"/>
      <c r="BD893" s="27"/>
      <c r="BE893" s="27"/>
      <c r="BF893" s="27"/>
      <c r="BG893" s="27"/>
      <c r="BH893" s="27"/>
      <c r="BI893" s="27"/>
      <c r="BJ893" s="27"/>
      <c r="BK893" s="27"/>
      <c r="BL893" s="27"/>
      <c r="BM893" s="27"/>
      <c r="BN893" s="27"/>
      <c r="BO893" s="27"/>
      <c r="BP893" s="27"/>
      <c r="BQ893" s="27"/>
      <c r="BR893" s="27"/>
      <c r="BS893" s="27"/>
      <c r="BT893" s="27"/>
      <c r="BU893" s="27"/>
      <c r="BV893" s="27"/>
      <c r="BW893" s="27"/>
      <c r="BX893" s="27"/>
      <c r="BY893" s="27"/>
      <c r="BZ893" s="27"/>
      <c r="CA893" s="27"/>
      <c r="CB893" s="27"/>
      <c r="CC893" s="27"/>
      <c r="CD893" s="27"/>
      <c r="CE893" s="27"/>
      <c r="CF893" s="27"/>
      <c r="CG893" s="27"/>
      <c r="CH893" s="27"/>
      <c r="CI893" s="27"/>
      <c r="CJ893" s="27"/>
      <c r="CK893" s="27"/>
      <c r="CL893" s="27"/>
      <c r="CM893" s="27"/>
      <c r="CN893" s="27"/>
      <c r="CO893" s="27"/>
      <c r="CP893" s="27"/>
      <c r="CQ893" s="27"/>
      <c r="CR893" s="27"/>
      <c r="CS893" s="27"/>
      <c r="CT893" s="27"/>
      <c r="CU893" s="27"/>
      <c r="CV893" s="27"/>
      <c r="CW893" s="27"/>
      <c r="CX893" s="27"/>
      <c r="CY893" s="27"/>
      <c r="CZ893" s="27"/>
      <c r="DA893" s="27"/>
      <c r="DB893" s="27"/>
      <c r="DC893" s="27"/>
      <c r="DD893" s="27"/>
      <c r="DE893" s="27"/>
      <c r="DF893" s="27"/>
      <c r="DG893" s="27"/>
      <c r="DH893" s="27"/>
      <c r="DI893" s="27"/>
      <c r="DJ893" s="27"/>
      <c r="DK893" s="27"/>
      <c r="DL893" s="27"/>
      <c r="DM893" s="27"/>
      <c r="DN893" s="27"/>
      <c r="DO893" s="27"/>
      <c r="DP893" s="27"/>
      <c r="DQ893" s="27"/>
      <c r="DR893" s="27"/>
      <c r="DS893" s="27"/>
      <c r="DT893" s="27"/>
    </row>
    <row r="894" spans="7:124" x14ac:dyDescent="0.2">
      <c r="G894" s="27"/>
      <c r="H894" s="27" t="s">
        <v>59</v>
      </c>
      <c r="I894" s="27"/>
      <c r="J894" s="27"/>
      <c r="K894" s="27"/>
      <c r="L894" s="27"/>
      <c r="M894" s="27"/>
      <c r="N894" s="27"/>
      <c r="O894" s="27"/>
      <c r="P894" s="27"/>
      <c r="Q894" s="27"/>
      <c r="R894" s="27"/>
      <c r="S894" s="27"/>
      <c r="T894" s="27"/>
      <c r="U894" s="27"/>
      <c r="V894" s="27"/>
      <c r="W894" s="27"/>
      <c r="X894" s="27"/>
      <c r="Y894" s="27"/>
      <c r="Z894" s="27"/>
      <c r="AA894" s="27"/>
      <c r="AB894" s="27"/>
      <c r="AC894" s="27"/>
      <c r="AD894" s="27"/>
      <c r="AE894" s="27"/>
      <c r="AF894" s="27"/>
      <c r="AG894" s="27"/>
      <c r="AH894" s="27"/>
      <c r="AI894" s="27"/>
      <c r="AJ894" s="27"/>
      <c r="AK894" s="27"/>
      <c r="AL894" s="27"/>
      <c r="AM894" s="27"/>
      <c r="AN894" s="27"/>
      <c r="AO894" s="27"/>
      <c r="AP894" s="27"/>
      <c r="AQ894" s="27"/>
      <c r="AR894" s="27"/>
      <c r="AS894" s="27"/>
      <c r="AT894" s="27"/>
      <c r="AU894" s="27"/>
      <c r="AV894" s="27"/>
      <c r="AW894" s="27"/>
      <c r="AX894" s="27"/>
      <c r="AY894" s="27"/>
      <c r="AZ894" s="27"/>
      <c r="BA894" s="27"/>
      <c r="BB894" s="27"/>
      <c r="BC894" s="27"/>
      <c r="BD894" s="27"/>
      <c r="BE894" s="27"/>
      <c r="BF894" s="27"/>
      <c r="BG894" s="27"/>
      <c r="BH894" s="27"/>
      <c r="BI894" s="27"/>
      <c r="BJ894" s="27"/>
      <c r="BK894" s="27"/>
      <c r="BL894" s="27"/>
      <c r="BM894" s="27"/>
      <c r="BN894" s="27"/>
      <c r="BO894" s="27"/>
      <c r="BP894" s="27"/>
      <c r="BQ894" s="27"/>
      <c r="BR894" s="27"/>
      <c r="BS894" s="27"/>
      <c r="BT894" s="27"/>
      <c r="BU894" s="27"/>
      <c r="BV894" s="27"/>
      <c r="BW894" s="27"/>
      <c r="BX894" s="27"/>
      <c r="BY894" s="27"/>
      <c r="BZ894" s="27"/>
      <c r="CA894" s="27"/>
      <c r="CB894" s="27"/>
      <c r="CC894" s="27"/>
      <c r="CD894" s="27"/>
      <c r="CE894" s="27"/>
      <c r="CF894" s="27"/>
      <c r="CG894" s="27"/>
      <c r="CH894" s="27"/>
      <c r="CI894" s="27"/>
      <c r="CJ894" s="27"/>
      <c r="CK894" s="27"/>
      <c r="CL894" s="27"/>
      <c r="CM894" s="27"/>
      <c r="CN894" s="27"/>
      <c r="CO894" s="27"/>
      <c r="CP894" s="27"/>
      <c r="CQ894" s="27"/>
      <c r="CR894" s="27"/>
      <c r="CS894" s="27"/>
      <c r="CT894" s="27"/>
      <c r="CU894" s="27"/>
      <c r="CV894" s="27"/>
      <c r="CW894" s="27"/>
      <c r="CX894" s="27"/>
      <c r="CY894" s="27"/>
      <c r="CZ894" s="27"/>
      <c r="DA894" s="27"/>
      <c r="DB894" s="27"/>
      <c r="DC894" s="27"/>
      <c r="DD894" s="27"/>
      <c r="DE894" s="27"/>
      <c r="DF894" s="27"/>
      <c r="DG894" s="27"/>
      <c r="DH894" s="27"/>
      <c r="DI894" s="27"/>
      <c r="DJ894" s="27"/>
      <c r="DK894" s="27"/>
      <c r="DL894" s="27"/>
      <c r="DM894" s="27"/>
      <c r="DN894" s="27"/>
      <c r="DO894" s="27"/>
      <c r="DP894" s="27"/>
      <c r="DQ894" s="27"/>
      <c r="DR894" s="27"/>
      <c r="DS894" s="27"/>
      <c r="DT894" s="27"/>
    </row>
    <row r="895" spans="7:124" x14ac:dyDescent="0.2">
      <c r="G895" s="27"/>
      <c r="H895" s="27" t="s">
        <v>59</v>
      </c>
      <c r="I895" s="27"/>
      <c r="J895" s="27"/>
      <c r="K895" s="27"/>
      <c r="L895" s="27"/>
      <c r="M895" s="27"/>
      <c r="N895" s="27"/>
      <c r="O895" s="27"/>
      <c r="P895" s="27"/>
      <c r="Q895" s="27"/>
      <c r="R895" s="27"/>
      <c r="S895" s="27"/>
      <c r="T895" s="27"/>
      <c r="U895" s="27"/>
      <c r="V895" s="27"/>
      <c r="W895" s="27"/>
      <c r="X895" s="27"/>
      <c r="Y895" s="27"/>
      <c r="Z895" s="27"/>
      <c r="AA895" s="27"/>
      <c r="AB895" s="27"/>
      <c r="AC895" s="27"/>
      <c r="AD895" s="27"/>
      <c r="AE895" s="27"/>
      <c r="AF895" s="27"/>
      <c r="AG895" s="27"/>
      <c r="AH895" s="27"/>
      <c r="AI895" s="27"/>
      <c r="AJ895" s="27"/>
      <c r="AK895" s="27"/>
      <c r="AL895" s="27"/>
      <c r="AM895" s="27"/>
      <c r="AN895" s="27"/>
      <c r="AO895" s="27"/>
      <c r="AP895" s="27"/>
      <c r="AQ895" s="27"/>
      <c r="AR895" s="27"/>
      <c r="AS895" s="27"/>
      <c r="AT895" s="27"/>
      <c r="AU895" s="27"/>
      <c r="AV895" s="27"/>
      <c r="AW895" s="27"/>
      <c r="AX895" s="27"/>
      <c r="AY895" s="27"/>
      <c r="AZ895" s="27"/>
      <c r="BA895" s="27"/>
      <c r="BB895" s="27"/>
      <c r="BC895" s="27"/>
      <c r="BD895" s="27"/>
      <c r="BE895" s="27"/>
      <c r="BF895" s="27"/>
      <c r="BG895" s="27"/>
      <c r="BH895" s="27"/>
      <c r="BI895" s="27"/>
      <c r="BJ895" s="27"/>
      <c r="BK895" s="27"/>
      <c r="BL895" s="27"/>
      <c r="BM895" s="27"/>
      <c r="BN895" s="27"/>
      <c r="BO895" s="27"/>
      <c r="BP895" s="27"/>
      <c r="BQ895" s="27"/>
      <c r="BR895" s="27"/>
      <c r="BS895" s="27"/>
      <c r="BT895" s="27"/>
      <c r="BU895" s="27"/>
      <c r="BV895" s="27"/>
      <c r="BW895" s="27"/>
      <c r="BX895" s="27"/>
      <c r="BY895" s="27"/>
      <c r="BZ895" s="27"/>
      <c r="CA895" s="27"/>
      <c r="CB895" s="27"/>
      <c r="CC895" s="27"/>
      <c r="CD895" s="27"/>
      <c r="CE895" s="27"/>
      <c r="CF895" s="27"/>
      <c r="CG895" s="27"/>
      <c r="CH895" s="27"/>
      <c r="CI895" s="27"/>
      <c r="CJ895" s="27"/>
      <c r="CK895" s="27"/>
      <c r="CL895" s="27"/>
      <c r="CM895" s="27"/>
      <c r="CN895" s="27"/>
      <c r="CO895" s="27"/>
      <c r="CP895" s="27"/>
      <c r="CQ895" s="27"/>
      <c r="CR895" s="27"/>
      <c r="CS895" s="27"/>
      <c r="CT895" s="27"/>
      <c r="CU895" s="27"/>
      <c r="CV895" s="27"/>
      <c r="CW895" s="27"/>
      <c r="CX895" s="27"/>
      <c r="CY895" s="27"/>
      <c r="CZ895" s="27"/>
      <c r="DA895" s="27"/>
      <c r="DB895" s="27"/>
      <c r="DC895" s="27"/>
      <c r="DD895" s="27"/>
      <c r="DE895" s="27"/>
      <c r="DF895" s="27"/>
      <c r="DG895" s="27"/>
      <c r="DH895" s="27"/>
      <c r="DI895" s="27"/>
      <c r="DJ895" s="27"/>
      <c r="DK895" s="27"/>
      <c r="DL895" s="27"/>
      <c r="DM895" s="27"/>
      <c r="DN895" s="27"/>
      <c r="DO895" s="27"/>
      <c r="DP895" s="27"/>
      <c r="DQ895" s="27"/>
      <c r="DR895" s="27"/>
      <c r="DS895" s="27"/>
      <c r="DT895" s="27"/>
    </row>
    <row r="896" spans="7:124" x14ac:dyDescent="0.2">
      <c r="G896" s="27"/>
      <c r="H896" s="27"/>
      <c r="I896" s="27"/>
      <c r="J896" s="27"/>
      <c r="K896" s="27"/>
      <c r="L896" s="27"/>
      <c r="M896" s="27"/>
      <c r="N896" s="27"/>
      <c r="O896" s="27"/>
      <c r="P896" s="27"/>
      <c r="Q896" s="27"/>
      <c r="R896" s="27"/>
      <c r="S896" s="27"/>
      <c r="T896" s="27"/>
      <c r="U896" s="27"/>
      <c r="V896" s="27"/>
      <c r="W896" s="27"/>
      <c r="X896" s="27"/>
      <c r="Y896" s="27"/>
      <c r="Z896" s="27"/>
      <c r="AA896" s="27"/>
      <c r="AB896" s="27"/>
      <c r="AC896" s="27"/>
      <c r="AD896" s="27"/>
      <c r="AE896" s="27"/>
      <c r="AF896" s="27"/>
      <c r="AG896" s="27"/>
      <c r="AH896" s="27"/>
      <c r="AI896" s="27"/>
      <c r="AJ896" s="27"/>
      <c r="AK896" s="27"/>
      <c r="AL896" s="27"/>
      <c r="AM896" s="27"/>
      <c r="AN896" s="27"/>
      <c r="AO896" s="27"/>
      <c r="AP896" s="27"/>
      <c r="AQ896" s="27"/>
      <c r="AR896" s="27"/>
      <c r="AS896" s="27"/>
      <c r="AT896" s="27"/>
      <c r="AU896" s="27"/>
      <c r="AV896" s="27"/>
      <c r="AW896" s="27"/>
      <c r="AX896" s="27"/>
      <c r="AY896" s="27"/>
      <c r="AZ896" s="27"/>
      <c r="BA896" s="27"/>
      <c r="BB896" s="27"/>
      <c r="BC896" s="27"/>
      <c r="BD896" s="27"/>
      <c r="BE896" s="27"/>
      <c r="BF896" s="27"/>
      <c r="BG896" s="27"/>
      <c r="BH896" s="27"/>
      <c r="BI896" s="27"/>
      <c r="BJ896" s="27"/>
      <c r="BK896" s="27"/>
      <c r="BL896" s="27"/>
      <c r="BM896" s="27"/>
      <c r="BN896" s="27"/>
      <c r="BO896" s="27"/>
      <c r="BP896" s="27"/>
      <c r="BQ896" s="27"/>
      <c r="BR896" s="27"/>
      <c r="BS896" s="27"/>
      <c r="BT896" s="27"/>
      <c r="BU896" s="27"/>
      <c r="BV896" s="27"/>
      <c r="BW896" s="27"/>
      <c r="BX896" s="27"/>
      <c r="BY896" s="27"/>
      <c r="BZ896" s="27"/>
      <c r="CA896" s="27"/>
      <c r="CB896" s="27"/>
      <c r="CC896" s="27"/>
      <c r="CD896" s="27"/>
      <c r="CE896" s="27"/>
      <c r="CF896" s="27"/>
      <c r="CG896" s="27"/>
      <c r="CH896" s="27"/>
      <c r="CI896" s="27"/>
      <c r="CJ896" s="27"/>
      <c r="CK896" s="27"/>
      <c r="CL896" s="27"/>
      <c r="CM896" s="27"/>
      <c r="CN896" s="27"/>
      <c r="CO896" s="27"/>
      <c r="CP896" s="27"/>
      <c r="CQ896" s="27"/>
      <c r="CR896" s="27"/>
      <c r="CS896" s="27"/>
      <c r="CT896" s="27"/>
      <c r="CU896" s="27"/>
      <c r="CV896" s="27"/>
      <c r="CW896" s="27"/>
      <c r="CX896" s="27"/>
      <c r="CY896" s="27"/>
      <c r="CZ896" s="27"/>
      <c r="DA896" s="27"/>
      <c r="DB896" s="27"/>
      <c r="DC896" s="27"/>
      <c r="DD896" s="27"/>
      <c r="DE896" s="27"/>
      <c r="DF896" s="27"/>
      <c r="DG896" s="27"/>
      <c r="DH896" s="27"/>
      <c r="DI896" s="27"/>
      <c r="DJ896" s="27"/>
      <c r="DK896" s="27"/>
      <c r="DL896" s="27"/>
      <c r="DM896" s="27"/>
      <c r="DN896" s="27"/>
      <c r="DO896" s="27"/>
      <c r="DP896" s="27"/>
      <c r="DQ896" s="27"/>
      <c r="DR896" s="27"/>
      <c r="DS896" s="27"/>
      <c r="DT896" s="27"/>
    </row>
    <row r="897" spans="2:124" ht="15" thickBot="1" x14ac:dyDescent="0.25">
      <c r="G897" s="27"/>
      <c r="H897" s="27"/>
      <c r="I897" s="27"/>
      <c r="J897" s="27"/>
      <c r="K897" s="27"/>
      <c r="L897" s="27"/>
      <c r="M897" s="27"/>
      <c r="N897" s="27"/>
      <c r="O897" s="27"/>
      <c r="P897" s="27"/>
      <c r="Q897" s="27"/>
      <c r="R897" s="27"/>
      <c r="S897" s="27"/>
      <c r="T897" s="27"/>
      <c r="U897" s="27"/>
      <c r="V897" s="27"/>
      <c r="W897" s="27"/>
      <c r="X897" s="27"/>
      <c r="Y897" s="27"/>
      <c r="Z897" s="27"/>
      <c r="AA897" s="27"/>
      <c r="AB897" s="27"/>
      <c r="AC897" s="27"/>
      <c r="AD897" s="27"/>
      <c r="AE897" s="27"/>
      <c r="AF897" s="27"/>
      <c r="AG897" s="27"/>
      <c r="AH897" s="27"/>
      <c r="AI897" s="27"/>
      <c r="AJ897" s="27"/>
      <c r="AK897" s="27"/>
      <c r="AL897" s="27"/>
      <c r="AM897" s="27"/>
      <c r="AN897" s="27"/>
      <c r="AO897" s="27"/>
      <c r="AP897" s="27"/>
      <c r="AQ897" s="27"/>
      <c r="AR897" s="27"/>
      <c r="AS897" s="27"/>
      <c r="AT897" s="27"/>
      <c r="AU897" s="27"/>
      <c r="AV897" s="27"/>
      <c r="AW897" s="27"/>
      <c r="AX897" s="27"/>
      <c r="AY897" s="27"/>
      <c r="AZ897" s="27"/>
      <c r="BA897" s="27"/>
      <c r="BB897" s="27"/>
      <c r="BC897" s="27"/>
      <c r="BD897" s="27"/>
      <c r="BE897" s="27"/>
      <c r="BF897" s="27"/>
      <c r="BG897" s="27"/>
      <c r="BH897" s="27"/>
      <c r="BI897" s="27"/>
      <c r="BJ897" s="27"/>
      <c r="BK897" s="27"/>
      <c r="BL897" s="27"/>
      <c r="BM897" s="27"/>
      <c r="BN897" s="27"/>
      <c r="BO897" s="27"/>
      <c r="BP897" s="27"/>
      <c r="BQ897" s="27"/>
      <c r="BR897" s="27"/>
      <c r="BS897" s="27"/>
      <c r="BT897" s="27"/>
      <c r="BU897" s="27"/>
      <c r="BV897" s="27"/>
      <c r="BW897" s="27"/>
      <c r="BX897" s="27"/>
      <c r="BY897" s="27"/>
      <c r="BZ897" s="27"/>
      <c r="CA897" s="27"/>
      <c r="CB897" s="27"/>
      <c r="CC897" s="27"/>
      <c r="CD897" s="27"/>
      <c r="CE897" s="27"/>
      <c r="CF897" s="27"/>
      <c r="CG897" s="27"/>
      <c r="CH897" s="27"/>
      <c r="CI897" s="27"/>
      <c r="CJ897" s="27"/>
      <c r="CK897" s="27"/>
      <c r="CL897" s="27"/>
      <c r="CM897" s="27"/>
      <c r="CN897" s="27"/>
      <c r="CO897" s="27"/>
      <c r="CP897" s="27"/>
      <c r="CQ897" s="27"/>
      <c r="CR897" s="27"/>
      <c r="CS897" s="27"/>
      <c r="CT897" s="27"/>
      <c r="CU897" s="27"/>
      <c r="CV897" s="27"/>
      <c r="CW897" s="27"/>
      <c r="CX897" s="27"/>
      <c r="CY897" s="27"/>
      <c r="CZ897" s="27"/>
      <c r="DA897" s="27"/>
      <c r="DB897" s="27"/>
      <c r="DC897" s="27"/>
      <c r="DD897" s="27"/>
      <c r="DE897" s="27"/>
      <c r="DF897" s="27"/>
      <c r="DG897" s="27"/>
      <c r="DH897" s="27"/>
      <c r="DI897" s="27"/>
      <c r="DJ897" s="27"/>
      <c r="DK897" s="27"/>
      <c r="DL897" s="27"/>
      <c r="DM897" s="27"/>
      <c r="DN897" s="27"/>
      <c r="DO897" s="27"/>
      <c r="DP897" s="27"/>
      <c r="DQ897" s="27"/>
      <c r="DR897" s="27"/>
      <c r="DS897" s="27"/>
      <c r="DT897" s="27"/>
    </row>
    <row r="898" spans="2:124" ht="16.5" thickTop="1" thickBot="1" x14ac:dyDescent="0.3">
      <c r="B898" s="69" t="s">
        <v>535</v>
      </c>
      <c r="C898" s="70" t="e">
        <f>#REF!</f>
        <v>#REF!</v>
      </c>
      <c r="G898" s="27"/>
      <c r="H898" s="27"/>
      <c r="I898" s="27" t="s">
        <v>59</v>
      </c>
      <c r="J898" s="27"/>
      <c r="K898" s="27"/>
      <c r="L898" s="27"/>
      <c r="M898" s="27"/>
      <c r="N898" s="27"/>
      <c r="O898" s="27"/>
      <c r="P898" s="27"/>
      <c r="Q898" s="27"/>
      <c r="R898" s="27"/>
      <c r="S898" s="27"/>
      <c r="T898" s="27"/>
      <c r="U898" s="27"/>
      <c r="V898" s="27"/>
      <c r="W898" s="27"/>
      <c r="X898" s="27"/>
      <c r="Y898" s="27"/>
      <c r="Z898" s="27"/>
      <c r="AA898" s="27"/>
      <c r="AB898" s="27"/>
      <c r="AC898" s="27"/>
      <c r="AD898" s="27"/>
      <c r="AE898" s="27"/>
      <c r="AF898" s="27"/>
      <c r="AG898" s="27"/>
      <c r="AH898" s="27"/>
      <c r="AI898" s="27"/>
      <c r="AJ898" s="27"/>
      <c r="AK898" s="27"/>
      <c r="AL898" s="27"/>
      <c r="AM898" s="27"/>
      <c r="AN898" s="27"/>
      <c r="AO898" s="27"/>
      <c r="AP898" s="27"/>
      <c r="AQ898" s="27"/>
      <c r="AR898" s="27"/>
      <c r="AS898" s="27"/>
      <c r="AT898" s="27"/>
      <c r="AU898" s="27"/>
      <c r="AV898" s="27"/>
      <c r="AW898" s="27"/>
      <c r="AX898" s="27"/>
      <c r="AY898" s="27"/>
      <c r="AZ898" s="27"/>
      <c r="BA898" s="27"/>
      <c r="BB898" s="27"/>
      <c r="BC898" s="27"/>
      <c r="BD898" s="27"/>
      <c r="BE898" s="27"/>
      <c r="BF898" s="27"/>
      <c r="BG898" s="27"/>
      <c r="BH898" s="27"/>
      <c r="BI898" s="27"/>
      <c r="BJ898" s="27"/>
      <c r="BK898" s="27"/>
      <c r="BL898" s="27"/>
      <c r="BM898" s="27"/>
      <c r="BN898" s="27"/>
      <c r="BO898" s="27"/>
      <c r="BP898" s="27"/>
      <c r="BQ898" s="27"/>
      <c r="BR898" s="27"/>
      <c r="BS898" s="27"/>
      <c r="BT898" s="27"/>
      <c r="BU898" s="27"/>
      <c r="BV898" s="27"/>
      <c r="BW898" s="27"/>
      <c r="BX898" s="27"/>
      <c r="BY898" s="27"/>
      <c r="BZ898" s="27"/>
      <c r="CA898" s="27"/>
      <c r="CB898" s="27"/>
      <c r="CC898" s="27"/>
      <c r="CD898" s="27"/>
      <c r="CE898" s="27"/>
      <c r="CF898" s="27"/>
      <c r="CG898" s="27"/>
      <c r="CH898" s="27"/>
      <c r="CI898" s="27"/>
      <c r="CJ898" s="27"/>
      <c r="CK898" s="27"/>
      <c r="CL898" s="27"/>
      <c r="CM898" s="27"/>
      <c r="CN898" s="27"/>
      <c r="CO898" s="27"/>
      <c r="CP898" s="27"/>
      <c r="CQ898" s="27"/>
      <c r="CR898" s="27"/>
      <c r="CS898" s="27"/>
      <c r="CT898" s="27"/>
      <c r="CU898" s="27"/>
      <c r="CV898" s="27"/>
      <c r="CW898" s="27"/>
      <c r="CX898" s="27"/>
      <c r="CY898" s="27"/>
      <c r="CZ898" s="27"/>
      <c r="DA898" s="27"/>
      <c r="DB898" s="27"/>
      <c r="DC898" s="27"/>
      <c r="DD898" s="27"/>
      <c r="DE898" s="27"/>
      <c r="DF898" s="27"/>
      <c r="DG898" s="27"/>
      <c r="DH898" s="27"/>
      <c r="DI898" s="27"/>
      <c r="DJ898" s="27"/>
      <c r="DK898" s="27"/>
      <c r="DL898" s="27"/>
      <c r="DM898" s="27"/>
      <c r="DN898" s="27"/>
      <c r="DO898" s="27"/>
      <c r="DP898" s="27"/>
      <c r="DQ898" s="27"/>
      <c r="DR898" s="27"/>
      <c r="DS898" s="27"/>
      <c r="DT898" s="27"/>
    </row>
    <row r="899" spans="2:124" ht="15.75" thickTop="1" x14ac:dyDescent="0.25">
      <c r="E899" s="71" t="s">
        <v>514</v>
      </c>
      <c r="G899" s="27"/>
      <c r="H899" s="27"/>
      <c r="I899" s="27"/>
      <c r="J899" s="27"/>
      <c r="K899" s="27"/>
      <c r="L899" s="27"/>
      <c r="M899" s="27"/>
      <c r="N899" s="27"/>
      <c r="O899" s="27"/>
      <c r="P899" s="27"/>
      <c r="Q899" s="27"/>
      <c r="R899" s="27"/>
      <c r="S899" s="27"/>
      <c r="T899" s="27"/>
      <c r="U899" s="27"/>
      <c r="V899" s="27"/>
      <c r="W899" s="27"/>
      <c r="X899" s="27"/>
      <c r="Y899" s="27"/>
      <c r="Z899" s="27"/>
      <c r="AA899" s="27"/>
      <c r="AB899" s="27"/>
      <c r="AC899" s="27"/>
      <c r="AD899" s="27"/>
      <c r="AE899" s="27"/>
      <c r="AF899" s="27"/>
      <c r="AG899" s="27"/>
      <c r="AH899" s="27"/>
      <c r="AI899" s="27"/>
      <c r="AJ899" s="27"/>
      <c r="AK899" s="27"/>
      <c r="AL899" s="27"/>
      <c r="AM899" s="27"/>
      <c r="AN899" s="27"/>
      <c r="AO899" s="27"/>
      <c r="AP899" s="27"/>
      <c r="AQ899" s="27"/>
      <c r="AR899" s="27"/>
      <c r="AS899" s="27"/>
      <c r="AT899" s="27"/>
      <c r="AU899" s="27"/>
      <c r="AV899" s="27"/>
      <c r="AW899" s="27"/>
      <c r="AX899" s="27"/>
      <c r="AY899" s="27"/>
      <c r="AZ899" s="27"/>
      <c r="BA899" s="27"/>
      <c r="BB899" s="27"/>
      <c r="BC899" s="27"/>
      <c r="BD899" s="27"/>
      <c r="BE899" s="27"/>
      <c r="BF899" s="27"/>
      <c r="BG899" s="27"/>
      <c r="BH899" s="27"/>
      <c r="BI899" s="27"/>
      <c r="BJ899" s="27"/>
      <c r="BK899" s="27"/>
      <c r="BL899" s="27"/>
      <c r="BM899" s="27"/>
      <c r="BN899" s="27"/>
      <c r="BO899" s="27"/>
      <c r="BP899" s="27"/>
      <c r="BQ899" s="27"/>
      <c r="BR899" s="27"/>
      <c r="BS899" s="27"/>
      <c r="BT899" s="27"/>
      <c r="BU899" s="27"/>
      <c r="BV899" s="27"/>
      <c r="BW899" s="27"/>
      <c r="BX899" s="27"/>
      <c r="BY899" s="27"/>
      <c r="BZ899" s="27"/>
      <c r="CA899" s="27"/>
      <c r="CB899" s="27"/>
      <c r="CC899" s="27"/>
      <c r="CD899" s="27"/>
      <c r="CE899" s="27"/>
      <c r="CF899" s="27"/>
      <c r="CG899" s="27"/>
      <c r="CH899" s="27"/>
      <c r="CI899" s="27"/>
      <c r="CJ899" s="27"/>
      <c r="CK899" s="27"/>
      <c r="CL899" s="27"/>
      <c r="CM899" s="27"/>
      <c r="CN899" s="27"/>
      <c r="CO899" s="27"/>
      <c r="CP899" s="27"/>
      <c r="CQ899" s="27"/>
      <c r="CR899" s="27"/>
      <c r="CS899" s="27"/>
      <c r="CT899" s="27"/>
      <c r="CU899" s="27"/>
      <c r="CV899" s="27"/>
      <c r="CW899" s="27"/>
      <c r="CX899" s="27"/>
      <c r="CY899" s="27"/>
      <c r="CZ899" s="27"/>
      <c r="DA899" s="27"/>
      <c r="DB899" s="27"/>
      <c r="DC899" s="27"/>
      <c r="DD899" s="27"/>
      <c r="DE899" s="27"/>
      <c r="DF899" s="27"/>
      <c r="DG899" s="27"/>
      <c r="DH899" s="27"/>
      <c r="DI899" s="27"/>
      <c r="DJ899" s="27"/>
      <c r="DK899" s="27"/>
      <c r="DL899" s="27"/>
      <c r="DM899" s="27"/>
      <c r="DN899" s="27"/>
      <c r="DO899" s="27"/>
      <c r="DP899" s="27"/>
      <c r="DQ899" s="27"/>
      <c r="DR899" s="27"/>
      <c r="DS899" s="27"/>
      <c r="DT899" s="27"/>
    </row>
    <row r="900" spans="2:124" ht="16.5" thickBot="1" x14ac:dyDescent="0.3">
      <c r="C900" s="72" t="s">
        <v>531</v>
      </c>
      <c r="D900" s="72"/>
      <c r="G900" s="27"/>
      <c r="H900" s="27"/>
      <c r="I900" s="27"/>
      <c r="J900" s="27"/>
      <c r="K900" s="27"/>
      <c r="L900" s="27"/>
      <c r="M900" s="27"/>
      <c r="N900" s="27"/>
      <c r="O900" s="27"/>
      <c r="P900" s="27"/>
      <c r="Q900" s="27"/>
      <c r="R900" s="27"/>
      <c r="S900" s="27"/>
      <c r="T900" s="27"/>
      <c r="U900" s="27"/>
      <c r="V900" s="27"/>
      <c r="W900" s="27"/>
      <c r="X900" s="27"/>
      <c r="Y900" s="27"/>
      <c r="Z900" s="27"/>
      <c r="AA900" s="27"/>
      <c r="AB900" s="27"/>
      <c r="AC900" s="27"/>
      <c r="AD900" s="27"/>
      <c r="AE900" s="27"/>
      <c r="AF900" s="27"/>
      <c r="AG900" s="27"/>
      <c r="AH900" s="27"/>
      <c r="AI900" s="27"/>
      <c r="AJ900" s="27"/>
      <c r="AK900" s="27"/>
      <c r="AL900" s="27"/>
      <c r="AM900" s="27"/>
      <c r="AN900" s="27"/>
      <c r="AO900" s="27"/>
      <c r="AP900" s="27"/>
      <c r="AQ900" s="27"/>
      <c r="AR900" s="27"/>
      <c r="AS900" s="27"/>
      <c r="AT900" s="27"/>
      <c r="AU900" s="27"/>
      <c r="AV900" s="27"/>
      <c r="AW900" s="27"/>
      <c r="AX900" s="27"/>
      <c r="AY900" s="27"/>
      <c r="AZ900" s="27"/>
      <c r="BA900" s="27"/>
      <c r="BB900" s="27"/>
      <c r="BC900" s="27"/>
      <c r="BD900" s="27"/>
      <c r="BE900" s="27"/>
      <c r="BF900" s="27"/>
      <c r="BG900" s="27"/>
      <c r="BH900" s="27"/>
      <c r="BI900" s="27"/>
      <c r="BJ900" s="27"/>
      <c r="BK900" s="27"/>
      <c r="BL900" s="27"/>
      <c r="BM900" s="27"/>
      <c r="BN900" s="27"/>
      <c r="BO900" s="27"/>
      <c r="BP900" s="27"/>
      <c r="BQ900" s="27"/>
      <c r="BR900" s="27"/>
      <c r="BS900" s="27"/>
      <c r="BT900" s="27"/>
      <c r="BU900" s="27"/>
      <c r="BV900" s="27"/>
      <c r="BW900" s="27"/>
      <c r="BX900" s="27"/>
      <c r="BY900" s="27"/>
      <c r="BZ900" s="27"/>
      <c r="CA900" s="27"/>
      <c r="CB900" s="27"/>
      <c r="CC900" s="27"/>
      <c r="CD900" s="27"/>
      <c r="CE900" s="27"/>
      <c r="CF900" s="27"/>
      <c r="CG900" s="27"/>
      <c r="CH900" s="27"/>
      <c r="CI900" s="27"/>
      <c r="CJ900" s="27"/>
      <c r="CK900" s="27"/>
      <c r="CL900" s="27"/>
      <c r="CM900" s="27"/>
      <c r="CN900" s="27"/>
      <c r="CO900" s="27"/>
      <c r="CP900" s="27"/>
      <c r="CQ900" s="27"/>
      <c r="CR900" s="27"/>
      <c r="CS900" s="27"/>
      <c r="CT900" s="27"/>
      <c r="CU900" s="27"/>
      <c r="CV900" s="27"/>
      <c r="CW900" s="27"/>
      <c r="CX900" s="27"/>
      <c r="CY900" s="27"/>
      <c r="CZ900" s="27"/>
      <c r="DA900" s="27"/>
      <c r="DB900" s="27"/>
      <c r="DC900" s="27"/>
      <c r="DD900" s="27"/>
      <c r="DE900" s="27"/>
      <c r="DF900" s="27"/>
      <c r="DG900" s="27"/>
      <c r="DH900" s="27"/>
      <c r="DI900" s="27"/>
      <c r="DJ900" s="27"/>
      <c r="DK900" s="27"/>
      <c r="DL900" s="27"/>
      <c r="DM900" s="27"/>
      <c r="DN900" s="27"/>
      <c r="DO900" s="27"/>
      <c r="DP900" s="27"/>
      <c r="DQ900" s="27"/>
      <c r="DR900" s="27"/>
      <c r="DS900" s="27"/>
      <c r="DT900" s="27"/>
    </row>
    <row r="901" spans="2:124" ht="16.5" thickBot="1" x14ac:dyDescent="0.3">
      <c r="D901" s="73" t="s">
        <v>533</v>
      </c>
      <c r="E901" s="74" t="s">
        <v>198</v>
      </c>
      <c r="G901" s="27" t="s">
        <v>493</v>
      </c>
      <c r="H901" s="27"/>
      <c r="I901" s="27"/>
      <c r="J901" s="27"/>
      <c r="K901" s="27"/>
      <c r="L901" s="27"/>
      <c r="M901" s="27"/>
      <c r="N901" s="27"/>
      <c r="O901" s="27"/>
      <c r="P901" s="27"/>
      <c r="Q901" s="27"/>
      <c r="R901" s="27"/>
      <c r="S901" s="27"/>
      <c r="T901" s="27"/>
      <c r="U901" s="27"/>
      <c r="V901" s="27"/>
      <c r="W901" s="27"/>
      <c r="X901" s="27"/>
      <c r="Y901" s="27"/>
      <c r="Z901" s="27"/>
      <c r="AA901" s="27"/>
      <c r="AB901" s="27"/>
      <c r="AC901" s="27"/>
      <c r="AD901" s="27"/>
      <c r="AE901" s="27"/>
      <c r="AF901" s="27"/>
      <c r="AG901" s="27"/>
      <c r="AH901" s="27"/>
      <c r="AI901" s="27"/>
      <c r="AJ901" s="27"/>
      <c r="AK901" s="27"/>
      <c r="AL901" s="27"/>
      <c r="AM901" s="27"/>
      <c r="AN901" s="27"/>
      <c r="AO901" s="27"/>
      <c r="AP901" s="27"/>
      <c r="AQ901" s="27"/>
      <c r="AR901" s="27"/>
      <c r="AS901" s="27"/>
      <c r="AT901" s="27"/>
      <c r="AU901" s="27"/>
      <c r="AV901" s="27"/>
      <c r="AW901" s="27"/>
      <c r="AX901" s="27"/>
      <c r="AY901" s="27"/>
      <c r="AZ901" s="27"/>
      <c r="BA901" s="27"/>
      <c r="BB901" s="27"/>
      <c r="BC901" s="27"/>
      <c r="BD901" s="27"/>
      <c r="BE901" s="27"/>
      <c r="BF901" s="27"/>
      <c r="BG901" s="27"/>
      <c r="BH901" s="27"/>
      <c r="BI901" s="27"/>
      <c r="BJ901" s="27"/>
      <c r="BK901" s="27"/>
      <c r="BL901" s="27"/>
      <c r="BM901" s="27"/>
      <c r="BN901" s="27"/>
      <c r="BO901" s="27"/>
      <c r="BP901" s="27"/>
      <c r="BQ901" s="27"/>
      <c r="BR901" s="27"/>
      <c r="BS901" s="27"/>
      <c r="BT901" s="27"/>
      <c r="BU901" s="27"/>
      <c r="BV901" s="27"/>
      <c r="BW901" s="27"/>
      <c r="BX901" s="27"/>
      <c r="BY901" s="27"/>
      <c r="BZ901" s="27"/>
      <c r="CA901" s="27"/>
      <c r="CB901" s="27"/>
      <c r="CC901" s="27"/>
      <c r="CD901" s="27"/>
      <c r="CE901" s="27"/>
      <c r="CF901" s="27"/>
      <c r="CG901" s="27"/>
      <c r="CH901" s="27"/>
      <c r="CI901" s="27"/>
      <c r="CJ901" s="27"/>
      <c r="CK901" s="27"/>
      <c r="CL901" s="27"/>
      <c r="CM901" s="27"/>
      <c r="CN901" s="27"/>
      <c r="CO901" s="27"/>
      <c r="CP901" s="27"/>
      <c r="CQ901" s="27"/>
      <c r="CR901" s="27"/>
      <c r="CS901" s="27"/>
      <c r="CT901" s="27"/>
      <c r="CU901" s="27"/>
      <c r="CV901" s="27"/>
      <c r="CW901" s="27"/>
      <c r="CX901" s="27"/>
      <c r="CY901" s="27"/>
      <c r="CZ901" s="27"/>
      <c r="DA901" s="27"/>
      <c r="DB901" s="27"/>
      <c r="DC901" s="27"/>
      <c r="DD901" s="27"/>
      <c r="DE901" s="27"/>
      <c r="DF901" s="27"/>
      <c r="DG901" s="27"/>
      <c r="DH901" s="27"/>
      <c r="DI901" s="27"/>
      <c r="DJ901" s="27"/>
      <c r="DK901" s="27"/>
      <c r="DL901" s="27"/>
      <c r="DM901" s="27"/>
      <c r="DN901" s="27"/>
      <c r="DO901" s="27"/>
      <c r="DP901" s="27"/>
      <c r="DQ901" s="27"/>
      <c r="DR901" s="27"/>
      <c r="DS901" s="27"/>
      <c r="DT901" s="27"/>
    </row>
    <row r="902" spans="2:124" ht="27" thickTop="1" x14ac:dyDescent="0.4">
      <c r="E902" s="76" t="s">
        <v>519</v>
      </c>
      <c r="F902" s="75" t="str">
        <f>W742</f>
        <v>תקציבית</v>
      </c>
      <c r="G902" s="27"/>
      <c r="H902" s="27"/>
      <c r="I902" s="27">
        <f>IF(AW722=0,0,IF((AW722+K887)&gt;36%,36%,AW722+K887))</f>
        <v>0</v>
      </c>
      <c r="J902" s="27"/>
      <c r="K902" s="27"/>
      <c r="L902" s="27"/>
      <c r="M902" s="27"/>
      <c r="N902" s="27"/>
      <c r="O902" s="27"/>
      <c r="P902" s="27"/>
      <c r="Q902" s="27"/>
      <c r="R902" s="27"/>
      <c r="S902" s="27"/>
      <c r="T902" s="27"/>
      <c r="U902" s="27"/>
      <c r="V902" s="27"/>
      <c r="W902" s="27"/>
      <c r="X902" s="27"/>
      <c r="Y902" s="27"/>
      <c r="Z902" s="27"/>
      <c r="AA902" s="27"/>
      <c r="AB902" s="27"/>
      <c r="AC902" s="27"/>
      <c r="AD902" s="27"/>
      <c r="AE902" s="27"/>
      <c r="AF902" s="27"/>
      <c r="AG902" s="27"/>
      <c r="AH902" s="27"/>
      <c r="AI902" s="27"/>
      <c r="AJ902" s="27"/>
      <c r="AK902" s="27"/>
      <c r="AL902" s="27"/>
      <c r="AM902" s="27"/>
      <c r="AN902" s="27"/>
      <c r="AO902" s="27"/>
      <c r="AP902" s="27"/>
      <c r="AQ902" s="27"/>
      <c r="AR902" s="27"/>
      <c r="AS902" s="27"/>
      <c r="AT902" s="27"/>
      <c r="AU902" s="27"/>
      <c r="AV902" s="27"/>
      <c r="AW902" s="27"/>
      <c r="AX902" s="27"/>
      <c r="AY902" s="27"/>
      <c r="AZ902" s="27"/>
      <c r="BA902" s="27"/>
      <c r="BB902" s="27"/>
      <c r="BC902" s="27"/>
      <c r="BD902" s="27"/>
      <c r="BE902" s="27"/>
      <c r="BF902" s="27"/>
      <c r="BG902" s="27"/>
      <c r="BH902" s="27"/>
      <c r="BI902" s="27"/>
      <c r="BJ902" s="27"/>
      <c r="BK902" s="27"/>
      <c r="BL902" s="27"/>
      <c r="BM902" s="27"/>
      <c r="BN902" s="27"/>
      <c r="BO902" s="27"/>
      <c r="BP902" s="27"/>
      <c r="BQ902" s="27"/>
      <c r="BR902" s="27"/>
      <c r="BS902" s="27"/>
      <c r="BT902" s="27"/>
      <c r="BU902" s="27"/>
      <c r="BV902" s="27"/>
      <c r="BW902" s="27"/>
      <c r="BX902" s="27"/>
      <c r="BY902" s="27"/>
      <c r="BZ902" s="27"/>
      <c r="CA902" s="27"/>
      <c r="CB902" s="27"/>
      <c r="CC902" s="27"/>
      <c r="CD902" s="27"/>
      <c r="CE902" s="27"/>
      <c r="CF902" s="27"/>
      <c r="CG902" s="27"/>
      <c r="CH902" s="27"/>
      <c r="CI902" s="27"/>
      <c r="CJ902" s="27"/>
      <c r="CK902" s="27"/>
      <c r="CL902" s="27"/>
      <c r="CM902" s="27"/>
      <c r="CN902" s="27"/>
      <c r="CO902" s="27"/>
      <c r="CP902" s="27"/>
      <c r="CQ902" s="27"/>
      <c r="CR902" s="27"/>
      <c r="CS902" s="27"/>
      <c r="CT902" s="27"/>
      <c r="CU902" s="27"/>
      <c r="CV902" s="27"/>
      <c r="CW902" s="27"/>
      <c r="CX902" s="27"/>
      <c r="CY902" s="27"/>
      <c r="CZ902" s="27"/>
      <c r="DA902" s="27"/>
      <c r="DB902" s="27"/>
      <c r="DC902" s="27"/>
      <c r="DD902" s="27"/>
      <c r="DE902" s="27"/>
      <c r="DF902" s="27"/>
      <c r="DG902" s="27"/>
      <c r="DH902" s="27"/>
      <c r="DI902" s="27"/>
      <c r="DJ902" s="27"/>
      <c r="DK902" s="27"/>
      <c r="DL902" s="27"/>
      <c r="DM902" s="27"/>
      <c r="DN902" s="27"/>
      <c r="DO902" s="27"/>
      <c r="DP902" s="27"/>
      <c r="DQ902" s="27"/>
      <c r="DR902" s="27"/>
      <c r="DS902" s="27"/>
      <c r="DT902" s="27"/>
    </row>
    <row r="903" spans="2:124" x14ac:dyDescent="0.2">
      <c r="B903" s="77"/>
      <c r="E903" s="78" t="s">
        <v>521</v>
      </c>
      <c r="F903" s="67">
        <f>67</f>
        <v>67</v>
      </c>
      <c r="G903" s="27"/>
      <c r="H903" s="27"/>
      <c r="I903" s="27">
        <f>VLOOKUP(INT(K888),ghad1,2,FALSE)</f>
        <v>0</v>
      </c>
      <c r="J903" s="27"/>
      <c r="K903" s="27"/>
      <c r="L903" s="27"/>
      <c r="M903" s="27"/>
      <c r="N903" s="27"/>
      <c r="O903" s="27"/>
      <c r="P903" s="27"/>
      <c r="Q903" s="27"/>
      <c r="R903" s="27"/>
      <c r="S903" s="27"/>
      <c r="T903" s="27"/>
      <c r="U903" s="27"/>
      <c r="V903" s="27"/>
      <c r="W903" s="27"/>
      <c r="X903" s="27"/>
      <c r="Y903" s="27"/>
      <c r="Z903" s="27"/>
      <c r="AA903" s="27"/>
      <c r="AB903" s="27"/>
      <c r="AC903" s="27"/>
      <c r="AD903" s="27"/>
      <c r="AE903" s="27"/>
      <c r="AF903" s="27"/>
      <c r="AG903" s="27"/>
      <c r="AH903" s="27"/>
      <c r="AI903" s="27"/>
      <c r="AJ903" s="27"/>
      <c r="AK903" s="27"/>
      <c r="AL903" s="27"/>
      <c r="AM903" s="27"/>
      <c r="AN903" s="27"/>
      <c r="AO903" s="27"/>
      <c r="AP903" s="27"/>
      <c r="AQ903" s="27"/>
      <c r="AR903" s="27"/>
      <c r="AS903" s="27"/>
      <c r="AT903" s="27"/>
      <c r="AU903" s="27"/>
      <c r="AV903" s="27"/>
      <c r="AW903" s="27"/>
      <c r="AX903" s="27"/>
      <c r="AY903" s="27"/>
      <c r="AZ903" s="27"/>
      <c r="BA903" s="27"/>
      <c r="BB903" s="27"/>
      <c r="BC903" s="27"/>
      <c r="BD903" s="27"/>
      <c r="BE903" s="27"/>
      <c r="BF903" s="27"/>
      <c r="BG903" s="27"/>
      <c r="BH903" s="27"/>
      <c r="BI903" s="27"/>
      <c r="BJ903" s="27"/>
      <c r="BK903" s="27"/>
      <c r="BL903" s="27"/>
      <c r="BM903" s="27"/>
      <c r="BN903" s="27"/>
      <c r="BO903" s="27"/>
      <c r="BP903" s="27"/>
      <c r="BQ903" s="27"/>
      <c r="BR903" s="27"/>
      <c r="BS903" s="27"/>
      <c r="BT903" s="27"/>
      <c r="BU903" s="27"/>
      <c r="BV903" s="27"/>
      <c r="BW903" s="27"/>
      <c r="BX903" s="27"/>
      <c r="BY903" s="27"/>
      <c r="BZ903" s="27"/>
      <c r="CA903" s="27"/>
      <c r="CB903" s="27"/>
      <c r="CC903" s="27"/>
      <c r="CD903" s="27"/>
      <c r="CE903" s="27"/>
      <c r="CF903" s="27"/>
      <c r="CG903" s="27"/>
      <c r="CH903" s="27"/>
      <c r="CI903" s="27"/>
      <c r="CJ903" s="27"/>
      <c r="CK903" s="27"/>
      <c r="CL903" s="27"/>
      <c r="CM903" s="27"/>
      <c r="CN903" s="27"/>
      <c r="CO903" s="27"/>
      <c r="CP903" s="27"/>
      <c r="CQ903" s="27"/>
      <c r="CR903" s="27"/>
      <c r="CS903" s="27"/>
      <c r="CT903" s="27"/>
      <c r="CU903" s="27"/>
      <c r="CV903" s="27"/>
      <c r="CW903" s="27"/>
      <c r="CX903" s="27"/>
      <c r="CY903" s="27"/>
      <c r="CZ903" s="27"/>
      <c r="DA903" s="27"/>
      <c r="DB903" s="27"/>
      <c r="DC903" s="27"/>
      <c r="DD903" s="27"/>
      <c r="DE903" s="27"/>
      <c r="DF903" s="27"/>
      <c r="DG903" s="27"/>
      <c r="DH903" s="27"/>
      <c r="DI903" s="27"/>
      <c r="DJ903" s="27"/>
      <c r="DK903" s="27"/>
      <c r="DL903" s="27"/>
      <c r="DM903" s="27"/>
      <c r="DN903" s="27"/>
      <c r="DO903" s="27"/>
      <c r="DP903" s="27"/>
      <c r="DQ903" s="27"/>
      <c r="DR903" s="27"/>
      <c r="DS903" s="27"/>
      <c r="DT903" s="27"/>
    </row>
    <row r="904" spans="2:124" ht="15" thickBot="1" x14ac:dyDescent="0.25">
      <c r="E904" s="79" t="s">
        <v>523</v>
      </c>
      <c r="F904" s="80" t="e">
        <f>#REF!</f>
        <v>#REF!</v>
      </c>
      <c r="G904" s="27" t="s">
        <v>495</v>
      </c>
      <c r="H904" s="27"/>
      <c r="I904" s="27"/>
      <c r="J904" s="27"/>
      <c r="K904" s="27"/>
      <c r="L904" s="27"/>
      <c r="M904" s="27"/>
      <c r="N904" s="27"/>
      <c r="O904" s="27"/>
      <c r="P904" s="27"/>
      <c r="Q904" s="27"/>
      <c r="R904" s="27"/>
      <c r="S904" s="27"/>
      <c r="T904" s="27"/>
      <c r="U904" s="27"/>
      <c r="V904" s="27"/>
      <c r="W904" s="27"/>
      <c r="X904" s="27"/>
      <c r="Y904" s="27"/>
      <c r="Z904" s="27"/>
      <c r="AA904" s="27"/>
      <c r="AB904" s="27"/>
      <c r="AC904" s="27"/>
      <c r="AD904" s="27"/>
      <c r="AE904" s="27"/>
      <c r="AF904" s="27"/>
      <c r="AG904" s="27"/>
      <c r="AH904" s="27"/>
      <c r="AI904" s="27"/>
      <c r="AJ904" s="27"/>
      <c r="AK904" s="27"/>
      <c r="AL904" s="27"/>
      <c r="AM904" s="27"/>
      <c r="AN904" s="27"/>
      <c r="AO904" s="27"/>
      <c r="AP904" s="27"/>
      <c r="AQ904" s="27"/>
      <c r="AR904" s="27"/>
      <c r="AS904" s="27"/>
      <c r="AT904" s="27"/>
      <c r="AU904" s="27"/>
      <c r="AV904" s="27"/>
      <c r="AW904" s="27"/>
      <c r="AX904" s="27"/>
      <c r="AY904" s="27"/>
      <c r="AZ904" s="27"/>
      <c r="BA904" s="27"/>
      <c r="BB904" s="27"/>
      <c r="BC904" s="27"/>
      <c r="BD904" s="27"/>
      <c r="BE904" s="27"/>
      <c r="BF904" s="27"/>
      <c r="BG904" s="27"/>
      <c r="BH904" s="27"/>
      <c r="BI904" s="27"/>
      <c r="BJ904" s="27"/>
      <c r="BK904" s="27"/>
      <c r="BL904" s="27"/>
      <c r="BM904" s="27"/>
      <c r="BN904" s="27"/>
      <c r="BO904" s="27"/>
      <c r="BP904" s="27"/>
      <c r="BQ904" s="27"/>
      <c r="BR904" s="27"/>
      <c r="BS904" s="27"/>
      <c r="BT904" s="27"/>
      <c r="BU904" s="27"/>
      <c r="BV904" s="27"/>
      <c r="BW904" s="27"/>
      <c r="BX904" s="27"/>
      <c r="BY904" s="27"/>
      <c r="BZ904" s="27"/>
      <c r="CA904" s="27"/>
      <c r="CB904" s="27"/>
      <c r="CC904" s="27"/>
      <c r="CD904" s="27"/>
      <c r="CE904" s="27"/>
      <c r="CF904" s="27"/>
      <c r="CG904" s="27"/>
      <c r="CH904" s="27"/>
      <c r="CI904" s="27"/>
      <c r="CJ904" s="27"/>
      <c r="CK904" s="27"/>
      <c r="CL904" s="27"/>
      <c r="CM904" s="27"/>
      <c r="CN904" s="27"/>
      <c r="CO904" s="27"/>
      <c r="CP904" s="27"/>
      <c r="CQ904" s="27"/>
      <c r="CR904" s="27"/>
      <c r="CS904" s="27"/>
      <c r="CT904" s="27"/>
      <c r="CU904" s="27"/>
      <c r="CV904" s="27"/>
      <c r="CW904" s="27"/>
      <c r="CX904" s="27"/>
      <c r="CY904" s="27"/>
      <c r="CZ904" s="27"/>
      <c r="DA904" s="27"/>
      <c r="DB904" s="27"/>
      <c r="DC904" s="27"/>
      <c r="DD904" s="27"/>
      <c r="DE904" s="27"/>
      <c r="DF904" s="27"/>
      <c r="DG904" s="27"/>
      <c r="DH904" s="27"/>
      <c r="DI904" s="27"/>
      <c r="DJ904" s="27"/>
      <c r="DK904" s="27"/>
      <c r="DL904" s="27"/>
      <c r="DM904" s="27"/>
      <c r="DN904" s="27"/>
      <c r="DO904" s="27"/>
      <c r="DP904" s="27"/>
      <c r="DQ904" s="27"/>
      <c r="DR904" s="27"/>
      <c r="DS904" s="27"/>
      <c r="DT904" s="27"/>
    </row>
    <row r="905" spans="2:124" ht="16.5" thickTop="1" thickBot="1" x14ac:dyDescent="0.3">
      <c r="B905" s="81" t="s">
        <v>541</v>
      </c>
      <c r="C905" s="82" t="s">
        <v>542</v>
      </c>
      <c r="D905" s="82"/>
      <c r="E905" s="81"/>
      <c r="F905" s="83">
        <f>F927</f>
        <v>52.87</v>
      </c>
      <c r="G905" s="27">
        <f>V745/12</f>
        <v>0</v>
      </c>
      <c r="H905" s="27"/>
      <c r="I905" s="27"/>
      <c r="J905" s="27"/>
      <c r="K905" s="27"/>
      <c r="L905" s="27"/>
      <c r="M905" s="27"/>
      <c r="N905" s="27"/>
      <c r="O905" s="27"/>
      <c r="P905" s="27"/>
      <c r="Q905" s="27"/>
      <c r="R905" s="27"/>
      <c r="S905" s="27"/>
      <c r="T905" s="27"/>
      <c r="U905" s="27"/>
      <c r="V905" s="27"/>
      <c r="W905" s="27"/>
      <c r="X905" s="27"/>
      <c r="Y905" s="27"/>
      <c r="Z905" s="27"/>
      <c r="AA905" s="27"/>
      <c r="AB905" s="27"/>
      <c r="AC905" s="27"/>
      <c r="AD905" s="27"/>
      <c r="AE905" s="27"/>
      <c r="AF905" s="27"/>
      <c r="AG905" s="27"/>
      <c r="AH905" s="27"/>
      <c r="AI905" s="27"/>
      <c r="AJ905" s="27"/>
      <c r="AK905" s="27"/>
      <c r="AL905" s="27"/>
      <c r="AM905" s="27"/>
      <c r="AN905" s="27"/>
      <c r="AO905" s="27"/>
      <c r="AP905" s="27"/>
      <c r="AQ905" s="27"/>
      <c r="AR905" s="27"/>
      <c r="AS905" s="27"/>
      <c r="AT905" s="27"/>
      <c r="AU905" s="27"/>
      <c r="AV905" s="27"/>
      <c r="AW905" s="27"/>
      <c r="AX905" s="27"/>
      <c r="AY905" s="27"/>
      <c r="AZ905" s="27"/>
      <c r="BA905" s="27"/>
      <c r="BB905" s="27"/>
      <c r="BC905" s="27"/>
      <c r="BD905" s="27"/>
      <c r="BE905" s="27"/>
      <c r="BF905" s="27"/>
      <c r="BG905" s="27"/>
      <c r="BH905" s="27"/>
      <c r="BI905" s="27"/>
      <c r="BJ905" s="27"/>
      <c r="BK905" s="27"/>
      <c r="BL905" s="27"/>
      <c r="BM905" s="27"/>
      <c r="BN905" s="27"/>
      <c r="BO905" s="27"/>
      <c r="BP905" s="27"/>
      <c r="BQ905" s="27"/>
      <c r="BR905" s="27"/>
      <c r="BS905" s="27"/>
      <c r="BT905" s="27"/>
      <c r="BU905" s="27"/>
      <c r="BV905" s="27"/>
      <c r="BW905" s="27"/>
      <c r="BX905" s="27"/>
      <c r="BY905" s="27"/>
      <c r="BZ905" s="27"/>
      <c r="CA905" s="27"/>
      <c r="CB905" s="27"/>
      <c r="CC905" s="27"/>
      <c r="CD905" s="27"/>
      <c r="CE905" s="27"/>
      <c r="CF905" s="27"/>
      <c r="CG905" s="27"/>
      <c r="CH905" s="27"/>
      <c r="CI905" s="27"/>
      <c r="CJ905" s="27"/>
      <c r="CK905" s="27"/>
      <c r="CL905" s="27"/>
      <c r="CM905" s="27"/>
      <c r="CN905" s="27"/>
      <c r="CO905" s="27"/>
      <c r="CP905" s="27"/>
      <c r="CQ905" s="27"/>
      <c r="CR905" s="27"/>
      <c r="CS905" s="27"/>
      <c r="CT905" s="27"/>
      <c r="CU905" s="27"/>
      <c r="CV905" s="27"/>
      <c r="CW905" s="27"/>
      <c r="CX905" s="27"/>
      <c r="CY905" s="27"/>
      <c r="CZ905" s="27"/>
      <c r="DA905" s="27"/>
      <c r="DB905" s="27"/>
      <c r="DC905" s="27"/>
      <c r="DD905" s="27"/>
      <c r="DE905" s="27"/>
      <c r="DF905" s="27"/>
      <c r="DG905" s="27"/>
      <c r="DH905" s="27"/>
      <c r="DI905" s="27"/>
      <c r="DJ905" s="27"/>
      <c r="DK905" s="27"/>
      <c r="DL905" s="27"/>
      <c r="DM905" s="27"/>
      <c r="DN905" s="27"/>
      <c r="DO905" s="27"/>
      <c r="DP905" s="27"/>
      <c r="DQ905" s="27"/>
      <c r="DR905" s="27"/>
      <c r="DS905" s="27"/>
      <c r="DT905" s="27"/>
    </row>
    <row r="906" spans="2:124" ht="15.75" thickTop="1" x14ac:dyDescent="0.25">
      <c r="B906" s="84" t="e">
        <f>#REF!</f>
        <v>#REF!</v>
      </c>
      <c r="C906" s="85" t="s">
        <v>543</v>
      </c>
      <c r="D906" s="86" t="s">
        <v>59</v>
      </c>
      <c r="E906" s="87" t="e">
        <f>#REF!/#REF!*E911</f>
        <v>#REF!</v>
      </c>
      <c r="F906" s="88" t="s">
        <v>526</v>
      </c>
      <c r="G906" s="27">
        <f ca="1">IF(ABS(BB771-AK741+AT739)&lt;0.26,0,BB771-AK741+AT739)</f>
        <v>-11.329999999999998</v>
      </c>
      <c r="H906" s="27"/>
      <c r="I906" s="27"/>
      <c r="J906" s="27"/>
      <c r="K906" s="27"/>
      <c r="L906" s="27"/>
      <c r="M906" s="27"/>
      <c r="N906" s="27"/>
      <c r="O906" s="27"/>
      <c r="P906" s="27"/>
      <c r="Q906" s="27"/>
      <c r="R906" s="27"/>
      <c r="S906" s="27"/>
      <c r="T906" s="27"/>
      <c r="U906" s="27"/>
      <c r="V906" s="27"/>
      <c r="W906" s="27"/>
      <c r="X906" s="27"/>
      <c r="Y906" s="27"/>
      <c r="Z906" s="27"/>
      <c r="AA906" s="27"/>
      <c r="AB906" s="27"/>
      <c r="AC906" s="27"/>
      <c r="AD906" s="27"/>
      <c r="AE906" s="27"/>
      <c r="AF906" s="27"/>
      <c r="AG906" s="27"/>
      <c r="AH906" s="27"/>
      <c r="AI906" s="27"/>
      <c r="AJ906" s="27"/>
      <c r="AK906" s="27"/>
      <c r="AL906" s="27"/>
      <c r="AM906" s="27"/>
      <c r="AN906" s="27"/>
      <c r="AO906" s="27"/>
      <c r="AP906" s="27"/>
      <c r="AQ906" s="27"/>
      <c r="AR906" s="27"/>
      <c r="AS906" s="27"/>
      <c r="AT906" s="27"/>
      <c r="AU906" s="27"/>
      <c r="AV906" s="27"/>
      <c r="AW906" s="27"/>
      <c r="AX906" s="27"/>
      <c r="AY906" s="27"/>
      <c r="AZ906" s="27"/>
      <c r="BA906" s="27"/>
      <c r="BB906" s="27"/>
      <c r="BC906" s="27"/>
      <c r="BD906" s="27"/>
      <c r="BE906" s="27"/>
      <c r="BF906" s="27"/>
      <c r="BG906" s="27"/>
      <c r="BH906" s="27"/>
      <c r="BI906" s="27"/>
      <c r="BJ906" s="27"/>
      <c r="BK906" s="27"/>
      <c r="BL906" s="27"/>
      <c r="BM906" s="27"/>
      <c r="BN906" s="27"/>
      <c r="BO906" s="27"/>
      <c r="BP906" s="27"/>
      <c r="BQ906" s="27"/>
      <c r="BR906" s="27"/>
      <c r="BS906" s="27"/>
      <c r="BT906" s="27"/>
      <c r="BU906" s="27"/>
      <c r="BV906" s="27"/>
      <c r="BW906" s="27"/>
      <c r="BX906" s="27"/>
      <c r="BY906" s="27"/>
      <c r="BZ906" s="27"/>
      <c r="CA906" s="27"/>
      <c r="CB906" s="27"/>
      <c r="CC906" s="27"/>
      <c r="CD906" s="27"/>
      <c r="CE906" s="27"/>
      <c r="CF906" s="27"/>
      <c r="CG906" s="27"/>
      <c r="CH906" s="27"/>
      <c r="CI906" s="27"/>
      <c r="CJ906" s="27"/>
      <c r="CK906" s="27"/>
      <c r="CL906" s="27"/>
      <c r="CM906" s="27"/>
      <c r="CN906" s="27"/>
      <c r="CO906" s="27"/>
      <c r="CP906" s="27"/>
      <c r="CQ906" s="27"/>
      <c r="CR906" s="27"/>
      <c r="CS906" s="27"/>
      <c r="CT906" s="27"/>
      <c r="CU906" s="27"/>
      <c r="CV906" s="27"/>
      <c r="CW906" s="27"/>
      <c r="CX906" s="27"/>
      <c r="CY906" s="27"/>
      <c r="CZ906" s="27"/>
      <c r="DA906" s="27"/>
      <c r="DB906" s="27"/>
      <c r="DC906" s="27"/>
      <c r="DD906" s="27"/>
      <c r="DE906" s="27"/>
      <c r="DF906" s="27"/>
      <c r="DG906" s="27"/>
      <c r="DH906" s="27"/>
      <c r="DI906" s="27"/>
      <c r="DJ906" s="27"/>
      <c r="DK906" s="27"/>
      <c r="DL906" s="27"/>
      <c r="DM906" s="27"/>
      <c r="DN906" s="27"/>
      <c r="DO906" s="27"/>
      <c r="DP906" s="27"/>
      <c r="DQ906" s="27"/>
      <c r="DR906" s="27"/>
      <c r="DS906" s="27"/>
      <c r="DT906" s="27"/>
    </row>
    <row r="907" spans="2:124" ht="15" x14ac:dyDescent="0.25">
      <c r="B907" s="89" t="e">
        <f>#REF!</f>
        <v>#REF!</v>
      </c>
      <c r="C907" s="90" t="s">
        <v>544</v>
      </c>
      <c r="D907" s="91" t="s">
        <v>59</v>
      </c>
      <c r="E907" s="92" t="e">
        <f>#REF!/#REF!*E911</f>
        <v>#REF!</v>
      </c>
      <c r="F907" s="93" t="str">
        <f ca="1">IF(G906&gt;0.26,"שנות ותק נגרר",IF(G906&lt;0.26,"תקופת חלת"))</f>
        <v>תקופת חלת</v>
      </c>
      <c r="G907" s="27">
        <f>(ROUND((ROUND((AF735-AL732)/365.25,4))*12,2)/12)</f>
        <v>32.415833333333332</v>
      </c>
      <c r="H907" s="27"/>
      <c r="I907" s="27"/>
      <c r="J907" s="27"/>
      <c r="K907" s="27"/>
      <c r="L907" s="27"/>
      <c r="M907" s="27"/>
      <c r="N907" s="27"/>
      <c r="O907" s="27"/>
      <c r="P907" s="27"/>
      <c r="Q907" s="27"/>
      <c r="R907" s="27"/>
      <c r="S907" s="27"/>
      <c r="T907" s="27"/>
      <c r="U907" s="27"/>
      <c r="V907" s="27"/>
      <c r="W907" s="27"/>
      <c r="X907" s="27"/>
      <c r="Y907" s="27"/>
      <c r="Z907" s="27"/>
      <c r="AA907" s="27"/>
      <c r="AB907" s="27"/>
      <c r="AC907" s="27"/>
      <c r="AD907" s="27"/>
      <c r="AE907" s="27"/>
      <c r="AF907" s="27"/>
      <c r="AG907" s="27"/>
      <c r="AH907" s="27"/>
      <c r="AI907" s="27"/>
      <c r="AJ907" s="27"/>
      <c r="AK907" s="27"/>
      <c r="AL907" s="27"/>
      <c r="AM907" s="27"/>
      <c r="AN907" s="27"/>
      <c r="AO907" s="27"/>
      <c r="AP907" s="27"/>
      <c r="AQ907" s="27"/>
      <c r="AR907" s="27"/>
      <c r="AS907" s="27"/>
      <c r="AT907" s="27"/>
      <c r="AU907" s="27"/>
      <c r="AV907" s="27"/>
      <c r="AW907" s="27"/>
      <c r="AX907" s="27"/>
      <c r="AY907" s="27"/>
      <c r="AZ907" s="27"/>
      <c r="BA907" s="27"/>
      <c r="BB907" s="27"/>
      <c r="BC907" s="27"/>
      <c r="BD907" s="27"/>
      <c r="BE907" s="27"/>
      <c r="BF907" s="27"/>
      <c r="BG907" s="27"/>
      <c r="BH907" s="27"/>
      <c r="BI907" s="27"/>
      <c r="BJ907" s="27"/>
      <c r="BK907" s="27"/>
      <c r="BL907" s="27"/>
      <c r="BM907" s="27"/>
      <c r="BN907" s="27"/>
      <c r="BO907" s="27"/>
      <c r="BP907" s="27"/>
      <c r="BQ907" s="27"/>
      <c r="BR907" s="27"/>
      <c r="BS907" s="27"/>
      <c r="BT907" s="27"/>
      <c r="BU907" s="27"/>
      <c r="BV907" s="27"/>
      <c r="BW907" s="27"/>
      <c r="BX907" s="27"/>
      <c r="BY907" s="27"/>
      <c r="BZ907" s="27"/>
      <c r="CA907" s="27"/>
      <c r="CB907" s="27"/>
      <c r="CC907" s="27"/>
      <c r="CD907" s="27"/>
      <c r="CE907" s="27"/>
      <c r="CF907" s="27"/>
      <c r="CG907" s="27"/>
      <c r="CH907" s="27"/>
      <c r="CI907" s="27"/>
      <c r="CJ907" s="27"/>
      <c r="CK907" s="27"/>
      <c r="CL907" s="27"/>
      <c r="CM907" s="27"/>
      <c r="CN907" s="27"/>
      <c r="CO907" s="27"/>
      <c r="CP907" s="27"/>
      <c r="CQ907" s="27"/>
      <c r="CR907" s="27"/>
      <c r="CS907" s="27"/>
      <c r="CT907" s="27"/>
      <c r="CU907" s="27"/>
      <c r="CV907" s="27"/>
      <c r="CW907" s="27"/>
      <c r="CX907" s="27"/>
      <c r="CY907" s="27"/>
      <c r="CZ907" s="27"/>
      <c r="DA907" s="27"/>
      <c r="DB907" s="27"/>
      <c r="DC907" s="27"/>
      <c r="DD907" s="27"/>
      <c r="DE907" s="27"/>
      <c r="DF907" s="27"/>
      <c r="DG907" s="27"/>
      <c r="DH907" s="27"/>
      <c r="DI907" s="27"/>
      <c r="DJ907" s="27"/>
      <c r="DK907" s="27"/>
      <c r="DL907" s="27"/>
      <c r="DM907" s="27"/>
      <c r="DN907" s="27"/>
      <c r="DO907" s="27"/>
      <c r="DP907" s="27"/>
      <c r="DQ907" s="27"/>
      <c r="DR907" s="27"/>
      <c r="DS907" s="27"/>
      <c r="DT907" s="27"/>
    </row>
    <row r="908" spans="2:124" ht="15" thickBot="1" x14ac:dyDescent="0.25">
      <c r="B908" s="89" t="e">
        <f>#REF!</f>
        <v>#REF!</v>
      </c>
      <c r="C908" s="94" t="s">
        <v>546</v>
      </c>
      <c r="D908" s="95" t="str">
        <f>E107&amp;"   :   מספר חודשים"</f>
        <v xml:space="preserve">   :   מספר חודשים</v>
      </c>
      <c r="E908" s="92" t="e">
        <f>#REF!/#REF!*E911</f>
        <v>#REF!</v>
      </c>
      <c r="F908" s="96" t="s">
        <v>530</v>
      </c>
      <c r="G908" s="27">
        <f>AF733/12</f>
        <v>32.416666666666664</v>
      </c>
      <c r="H908" s="27"/>
      <c r="I908" s="27"/>
      <c r="J908" s="27"/>
      <c r="K908" s="27"/>
      <c r="L908" s="27"/>
      <c r="M908" s="27"/>
      <c r="N908" s="27"/>
      <c r="O908" s="27"/>
      <c r="P908" s="27"/>
      <c r="Q908" s="27"/>
      <c r="R908" s="27"/>
      <c r="S908" s="27"/>
      <c r="T908" s="27"/>
      <c r="U908" s="27"/>
      <c r="V908" s="27"/>
      <c r="W908" s="27"/>
      <c r="X908" s="27"/>
      <c r="Y908" s="27"/>
      <c r="Z908" s="27"/>
      <c r="AA908" s="27"/>
      <c r="AB908" s="27"/>
      <c r="AC908" s="27"/>
      <c r="AD908" s="27"/>
      <c r="AE908" s="27"/>
      <c r="AF908" s="27"/>
      <c r="AG908" s="27"/>
      <c r="AH908" s="27"/>
      <c r="AI908" s="27"/>
      <c r="AJ908" s="27"/>
      <c r="AK908" s="27"/>
      <c r="AL908" s="27"/>
      <c r="AM908" s="27"/>
      <c r="AN908" s="27"/>
      <c r="AO908" s="27"/>
      <c r="AP908" s="27"/>
      <c r="AQ908" s="27"/>
      <c r="AR908" s="27"/>
      <c r="AS908" s="27"/>
      <c r="AT908" s="27"/>
      <c r="AU908" s="27"/>
      <c r="AV908" s="27"/>
      <c r="AW908" s="27"/>
      <c r="AX908" s="27"/>
      <c r="AY908" s="27"/>
      <c r="AZ908" s="27"/>
      <c r="BA908" s="27"/>
      <c r="BB908" s="27"/>
      <c r="BC908" s="27"/>
      <c r="BD908" s="27"/>
      <c r="BE908" s="27"/>
      <c r="BF908" s="27"/>
      <c r="BG908" s="27"/>
      <c r="BH908" s="27"/>
      <c r="BI908" s="27"/>
      <c r="BJ908" s="27"/>
      <c r="BK908" s="27"/>
      <c r="BL908" s="27"/>
      <c r="BM908" s="27"/>
      <c r="BN908" s="27"/>
      <c r="BO908" s="27"/>
      <c r="BP908" s="27"/>
      <c r="BQ908" s="27"/>
      <c r="BR908" s="27"/>
      <c r="BS908" s="27"/>
      <c r="BT908" s="27"/>
      <c r="BU908" s="27"/>
      <c r="BV908" s="27"/>
      <c r="BW908" s="27"/>
      <c r="BX908" s="27"/>
      <c r="BY908" s="27"/>
      <c r="BZ908" s="27"/>
      <c r="CA908" s="27"/>
      <c r="CB908" s="27"/>
      <c r="CC908" s="27"/>
      <c r="CD908" s="27"/>
      <c r="CE908" s="27"/>
      <c r="CF908" s="27"/>
      <c r="CG908" s="27"/>
      <c r="CH908" s="27"/>
      <c r="CI908" s="27"/>
      <c r="CJ908" s="27"/>
      <c r="CK908" s="27"/>
      <c r="CL908" s="27"/>
      <c r="CM908" s="27"/>
      <c r="CN908" s="27"/>
      <c r="CO908" s="27"/>
      <c r="CP908" s="27"/>
      <c r="CQ908" s="27"/>
      <c r="CR908" s="27"/>
      <c r="CS908" s="27"/>
      <c r="CT908" s="27"/>
      <c r="CU908" s="27"/>
      <c r="CV908" s="27"/>
      <c r="CW908" s="27"/>
      <c r="CX908" s="27"/>
      <c r="CY908" s="27"/>
      <c r="CZ908" s="27"/>
      <c r="DA908" s="27"/>
      <c r="DB908" s="27"/>
      <c r="DC908" s="27"/>
      <c r="DD908" s="27"/>
      <c r="DE908" s="27"/>
      <c r="DF908" s="27"/>
      <c r="DG908" s="27"/>
      <c r="DH908" s="27"/>
      <c r="DI908" s="27"/>
      <c r="DJ908" s="27"/>
      <c r="DK908" s="27"/>
      <c r="DL908" s="27"/>
      <c r="DM908" s="27"/>
      <c r="DN908" s="27"/>
      <c r="DO908" s="27"/>
      <c r="DP908" s="27"/>
      <c r="DQ908" s="27"/>
      <c r="DR908" s="27"/>
      <c r="DS908" s="27"/>
      <c r="DT908" s="27"/>
    </row>
    <row r="909" spans="2:124" ht="15.75" thickTop="1" thickBot="1" x14ac:dyDescent="0.25">
      <c r="B909" s="89" t="e">
        <f>#REF!</f>
        <v>#REF!</v>
      </c>
      <c r="C909" s="94" t="s">
        <v>547</v>
      </c>
      <c r="D909" s="95" t="e">
        <f>IF(#REF!=0,#REF!,INT(#REF!)&amp;" : ימי מחלה  לפדיון")</f>
        <v>#REF!</v>
      </c>
      <c r="E909" s="92" t="e">
        <f>#REF!/#REF!*E911</f>
        <v>#REF!</v>
      </c>
      <c r="F909" s="97" t="s">
        <v>532</v>
      </c>
      <c r="G909" s="27">
        <f>AF734</f>
        <v>0.59709999999999996</v>
      </c>
      <c r="H909" s="27"/>
      <c r="I909" s="27"/>
      <c r="J909" s="27"/>
      <c r="K909" s="27" t="e">
        <f ca="1">G961+G963+G964</f>
        <v>#REF!</v>
      </c>
      <c r="L909" s="27"/>
      <c r="M909" s="27"/>
      <c r="N909" s="27"/>
      <c r="O909" s="27"/>
      <c r="P909" s="27"/>
      <c r="Q909" s="27"/>
      <c r="R909" s="27"/>
      <c r="S909" s="27"/>
      <c r="T909" s="27"/>
      <c r="U909" s="27"/>
      <c r="V909" s="27"/>
      <c r="W909" s="27"/>
      <c r="X909" s="27"/>
      <c r="Y909" s="27"/>
      <c r="Z909" s="27"/>
      <c r="AA909" s="27"/>
      <c r="AB909" s="27"/>
      <c r="AC909" s="27"/>
      <c r="AD909" s="27"/>
      <c r="AE909" s="27"/>
      <c r="AF909" s="27"/>
      <c r="AG909" s="27"/>
      <c r="AH909" s="27"/>
      <c r="AI909" s="27"/>
      <c r="AJ909" s="27"/>
      <c r="AK909" s="27"/>
      <c r="AL909" s="27"/>
      <c r="AM909" s="27"/>
      <c r="AN909" s="27"/>
      <c r="AO909" s="27"/>
      <c r="AP909" s="27"/>
      <c r="AQ909" s="27"/>
      <c r="AR909" s="27"/>
      <c r="AS909" s="27"/>
      <c r="AT909" s="27"/>
      <c r="AU909" s="27"/>
      <c r="AV909" s="27"/>
      <c r="AW909" s="27"/>
      <c r="AX909" s="27"/>
      <c r="AY909" s="27"/>
      <c r="AZ909" s="27"/>
      <c r="BA909" s="27"/>
      <c r="BB909" s="27"/>
      <c r="BC909" s="27"/>
      <c r="BD909" s="27"/>
      <c r="BE909" s="27"/>
      <c r="BF909" s="27"/>
      <c r="BG909" s="27"/>
      <c r="BH909" s="27"/>
      <c r="BI909" s="27"/>
      <c r="BJ909" s="27"/>
      <c r="BK909" s="27"/>
      <c r="BL909" s="27"/>
      <c r="BM909" s="27"/>
      <c r="BN909" s="27"/>
      <c r="BO909" s="27"/>
      <c r="BP909" s="27"/>
      <c r="BQ909" s="27"/>
      <c r="BR909" s="27"/>
      <c r="BS909" s="27"/>
      <c r="BT909" s="27"/>
      <c r="BU909" s="27"/>
      <c r="BV909" s="27"/>
      <c r="BW909" s="27"/>
      <c r="BX909" s="27"/>
      <c r="BY909" s="27"/>
      <c r="BZ909" s="27"/>
      <c r="CA909" s="27"/>
      <c r="CB909" s="27"/>
      <c r="CC909" s="27"/>
      <c r="CD909" s="27"/>
      <c r="CE909" s="27"/>
      <c r="CF909" s="27"/>
      <c r="CG909" s="27"/>
      <c r="CH909" s="27"/>
      <c r="CI909" s="27"/>
      <c r="CJ909" s="27"/>
      <c r="CK909" s="27"/>
      <c r="CL909" s="27"/>
      <c r="CM909" s="27"/>
      <c r="CN909" s="27"/>
      <c r="CO909" s="27"/>
      <c r="CP909" s="27"/>
      <c r="CQ909" s="27"/>
      <c r="CR909" s="27"/>
      <c r="CS909" s="27"/>
      <c r="CT909" s="27"/>
      <c r="CU909" s="27"/>
      <c r="CV909" s="27"/>
      <c r="CW909" s="27"/>
      <c r="CX909" s="27"/>
      <c r="CY909" s="27"/>
      <c r="CZ909" s="27"/>
      <c r="DA909" s="27"/>
      <c r="DB909" s="27"/>
      <c r="DC909" s="27"/>
      <c r="DD909" s="27"/>
      <c r="DE909" s="27"/>
      <c r="DF909" s="27"/>
      <c r="DG909" s="27"/>
      <c r="DH909" s="27"/>
      <c r="DI909" s="27"/>
      <c r="DJ909" s="27"/>
      <c r="DK909" s="27"/>
      <c r="DL909" s="27"/>
      <c r="DM909" s="27"/>
      <c r="DN909" s="27"/>
      <c r="DO909" s="27"/>
      <c r="DP909" s="27"/>
      <c r="DQ909" s="27"/>
      <c r="DR909" s="27"/>
      <c r="DS909" s="27"/>
      <c r="DT909" s="27"/>
    </row>
    <row r="910" spans="2:124" ht="15.75" thickTop="1" thickBot="1" x14ac:dyDescent="0.25">
      <c r="B910" s="98" t="e">
        <f>#REF!</f>
        <v>#REF!</v>
      </c>
      <c r="C910" s="99" t="s">
        <v>548</v>
      </c>
      <c r="D910" s="100" t="e">
        <f>IF(#REF!=0,#REF!,TRUNC(#REF!,2)&amp; "  :מספר משכורות")</f>
        <v>#REF!</v>
      </c>
      <c r="E910" s="101" t="e">
        <f>#REF!/#REF!*E911</f>
        <v>#REF!</v>
      </c>
      <c r="F910" s="102" t="s">
        <v>534</v>
      </c>
      <c r="G910" s="27">
        <f>E110</f>
        <v>0</v>
      </c>
      <c r="H910" s="27"/>
      <c r="I910" s="27"/>
      <c r="J910" s="27"/>
      <c r="K910" s="27"/>
      <c r="L910" s="27"/>
      <c r="M910" s="27"/>
      <c r="N910" s="27"/>
      <c r="O910" s="27"/>
      <c r="P910" s="27"/>
      <c r="Q910" s="27"/>
      <c r="R910" s="27"/>
      <c r="S910" s="27"/>
      <c r="T910" s="27"/>
      <c r="U910" s="27"/>
      <c r="V910" s="27"/>
      <c r="W910" s="27"/>
      <c r="X910" s="27"/>
      <c r="Y910" s="27"/>
      <c r="Z910" s="27"/>
      <c r="AA910" s="27"/>
      <c r="AB910" s="27"/>
      <c r="AC910" s="27"/>
      <c r="AD910" s="27"/>
      <c r="AE910" s="27"/>
      <c r="AF910" s="27"/>
      <c r="AG910" s="27"/>
      <c r="AH910" s="27"/>
      <c r="AI910" s="27"/>
      <c r="AJ910" s="27"/>
      <c r="AK910" s="27"/>
      <c r="AL910" s="27"/>
      <c r="AM910" s="27"/>
      <c r="AN910" s="27"/>
      <c r="AO910" s="27"/>
      <c r="AP910" s="27"/>
      <c r="AQ910" s="27"/>
      <c r="AR910" s="27"/>
      <c r="AS910" s="27"/>
      <c r="AT910" s="27"/>
      <c r="AU910" s="27"/>
      <c r="AV910" s="27"/>
      <c r="AW910" s="27"/>
      <c r="AX910" s="27"/>
      <c r="AY910" s="27"/>
      <c r="AZ910" s="27"/>
      <c r="BA910" s="27"/>
      <c r="BB910" s="27"/>
      <c r="BC910" s="27"/>
      <c r="BD910" s="27"/>
      <c r="BE910" s="27"/>
      <c r="BF910" s="27"/>
      <c r="BG910" s="27"/>
      <c r="BH910" s="27"/>
      <c r="BI910" s="27"/>
      <c r="BJ910" s="27"/>
      <c r="BK910" s="27"/>
      <c r="BL910" s="27"/>
      <c r="BM910" s="27"/>
      <c r="BN910" s="27"/>
      <c r="BO910" s="27"/>
      <c r="BP910" s="27"/>
      <c r="BQ910" s="27"/>
      <c r="BR910" s="27"/>
      <c r="BS910" s="27"/>
      <c r="BT910" s="27"/>
      <c r="BU910" s="27"/>
      <c r="BV910" s="27"/>
      <c r="BW910" s="27"/>
      <c r="BX910" s="27"/>
      <c r="BY910" s="27"/>
      <c r="BZ910" s="27"/>
      <c r="CA910" s="27"/>
      <c r="CB910" s="27"/>
      <c r="CC910" s="27"/>
      <c r="CD910" s="27"/>
      <c r="CE910" s="27"/>
      <c r="CF910" s="27"/>
      <c r="CG910" s="27"/>
      <c r="CH910" s="27"/>
      <c r="CI910" s="27"/>
      <c r="CJ910" s="27"/>
      <c r="CK910" s="27"/>
      <c r="CL910" s="27"/>
      <c r="CM910" s="27"/>
      <c r="CN910" s="27"/>
      <c r="CO910" s="27"/>
      <c r="CP910" s="27"/>
      <c r="CQ910" s="27"/>
      <c r="CR910" s="27"/>
      <c r="CS910" s="27"/>
      <c r="CT910" s="27"/>
      <c r="CU910" s="27"/>
      <c r="CV910" s="27"/>
      <c r="CW910" s="27"/>
      <c r="CX910" s="27"/>
      <c r="CY910" s="27"/>
      <c r="CZ910" s="27"/>
      <c r="DA910" s="27"/>
      <c r="DB910" s="27"/>
      <c r="DC910" s="27"/>
      <c r="DD910" s="27"/>
      <c r="DE910" s="27"/>
      <c r="DF910" s="27"/>
      <c r="DG910" s="27"/>
      <c r="DH910" s="27"/>
      <c r="DI910" s="27"/>
      <c r="DJ910" s="27"/>
      <c r="DK910" s="27"/>
      <c r="DL910" s="27"/>
      <c r="DM910" s="27"/>
      <c r="DN910" s="27"/>
      <c r="DO910" s="27"/>
      <c r="DP910" s="27"/>
      <c r="DQ910" s="27"/>
      <c r="DR910" s="27"/>
      <c r="DS910" s="27"/>
      <c r="DT910" s="27"/>
    </row>
    <row r="911" spans="2:124" ht="17.25" thickTop="1" thickBot="1" x14ac:dyDescent="0.3">
      <c r="B911" s="103" t="e">
        <f>SUM(B906:B910)</f>
        <v>#REF!</v>
      </c>
      <c r="C911" s="104" t="s">
        <v>549</v>
      </c>
      <c r="D911" s="105" t="s">
        <v>550</v>
      </c>
      <c r="E911" s="106" t="e">
        <f>#REF!</f>
        <v>#REF!</v>
      </c>
      <c r="F911" s="68" t="s">
        <v>536</v>
      </c>
      <c r="G911" s="27">
        <f>IF((E110+G909)&gt;70%,70%,IF((E110+G909)&lt;20%,20%,E110+G909))</f>
        <v>0.59709999999999996</v>
      </c>
      <c r="H911" s="27"/>
      <c r="I911" s="27"/>
      <c r="J911" s="27"/>
      <c r="K911" s="27"/>
      <c r="L911" s="27"/>
      <c r="M911" s="27"/>
      <c r="N911" s="27"/>
      <c r="O911" s="27"/>
      <c r="P911" s="27"/>
      <c r="Q911" s="27"/>
      <c r="R911" s="27"/>
      <c r="S911" s="27"/>
      <c r="T911" s="27"/>
      <c r="U911" s="27"/>
      <c r="V911" s="27"/>
      <c r="W911" s="27"/>
      <c r="X911" s="27"/>
      <c r="Y911" s="27"/>
      <c r="Z911" s="27"/>
      <c r="AA911" s="27"/>
      <c r="AB911" s="27"/>
      <c r="AC911" s="27"/>
      <c r="AD911" s="27"/>
      <c r="AE911" s="27"/>
      <c r="AF911" s="27"/>
      <c r="AG911" s="27"/>
      <c r="AH911" s="27"/>
      <c r="AI911" s="27"/>
      <c r="AJ911" s="27"/>
      <c r="AK911" s="27"/>
      <c r="AL911" s="27"/>
      <c r="AM911" s="27"/>
      <c r="AN911" s="27"/>
      <c r="AO911" s="27"/>
      <c r="AP911" s="27"/>
      <c r="AQ911" s="27"/>
      <c r="AR911" s="27"/>
      <c r="AS911" s="27"/>
      <c r="AT911" s="27"/>
      <c r="AU911" s="27"/>
      <c r="AV911" s="27"/>
      <c r="AW911" s="27"/>
      <c r="AX911" s="27"/>
      <c r="AY911" s="27"/>
      <c r="AZ911" s="27"/>
      <c r="BA911" s="27"/>
      <c r="BB911" s="27"/>
      <c r="BC911" s="27"/>
      <c r="BD911" s="27"/>
      <c r="BE911" s="27"/>
      <c r="BF911" s="27"/>
      <c r="BG911" s="27"/>
      <c r="BH911" s="27"/>
      <c r="BI911" s="27"/>
      <c r="BJ911" s="27"/>
      <c r="BK911" s="27"/>
      <c r="BL911" s="27"/>
      <c r="BM911" s="27"/>
      <c r="BN911" s="27"/>
      <c r="BO911" s="27"/>
      <c r="BP911" s="27"/>
      <c r="BQ911" s="27"/>
      <c r="BR911" s="27"/>
      <c r="BS911" s="27"/>
      <c r="BT911" s="27"/>
      <c r="BU911" s="27"/>
      <c r="BV911" s="27"/>
      <c r="BW911" s="27"/>
      <c r="BX911" s="27"/>
      <c r="BY911" s="27"/>
      <c r="BZ911" s="27"/>
      <c r="CA911" s="27"/>
      <c r="CB911" s="27"/>
      <c r="CC911" s="27"/>
      <c r="CD911" s="27"/>
      <c r="CE911" s="27"/>
      <c r="CF911" s="27"/>
      <c r="CG911" s="27"/>
      <c r="CH911" s="27"/>
      <c r="CI911" s="27"/>
      <c r="CJ911" s="27"/>
      <c r="CK911" s="27"/>
      <c r="CL911" s="27"/>
      <c r="CM911" s="27"/>
      <c r="CN911" s="27"/>
      <c r="CO911" s="27"/>
      <c r="CP911" s="27"/>
      <c r="CQ911" s="27"/>
      <c r="CR911" s="27"/>
      <c r="CS911" s="27"/>
      <c r="CT911" s="27"/>
      <c r="CU911" s="27"/>
      <c r="CV911" s="27"/>
      <c r="CW911" s="27"/>
      <c r="CX911" s="27"/>
      <c r="CY911" s="27"/>
      <c r="CZ911" s="27"/>
      <c r="DA911" s="27"/>
      <c r="DB911" s="27"/>
      <c r="DC911" s="27"/>
      <c r="DD911" s="27"/>
      <c r="DE911" s="27"/>
      <c r="DF911" s="27"/>
      <c r="DG911" s="27"/>
      <c r="DH911" s="27"/>
      <c r="DI911" s="27"/>
      <c r="DJ911" s="27"/>
      <c r="DK911" s="27"/>
      <c r="DL911" s="27"/>
      <c r="DM911" s="27"/>
      <c r="DN911" s="27"/>
      <c r="DO911" s="27"/>
      <c r="DP911" s="27"/>
      <c r="DQ911" s="27"/>
      <c r="DR911" s="27"/>
      <c r="DS911" s="27"/>
      <c r="DT911" s="27"/>
    </row>
    <row r="912" spans="2:124" ht="17.25" thickTop="1" thickBot="1" x14ac:dyDescent="0.3">
      <c r="B912" s="107"/>
      <c r="C912" s="107" t="s">
        <v>551</v>
      </c>
      <c r="D912" s="108"/>
      <c r="E912" s="109" t="e">
        <f>E911-#REF!</f>
        <v>#REF!</v>
      </c>
      <c r="F912" s="110" t="s">
        <v>537</v>
      </c>
      <c r="G912" s="27" t="e">
        <f>G973</f>
        <v>#REF!</v>
      </c>
      <c r="H912" s="27"/>
      <c r="I912" s="27"/>
      <c r="J912" s="27"/>
      <c r="K912" s="27"/>
      <c r="L912" s="27"/>
      <c r="M912" s="27"/>
      <c r="N912" s="27"/>
      <c r="O912" s="27"/>
      <c r="P912" s="27"/>
      <c r="Q912" s="27"/>
      <c r="R912" s="27"/>
      <c r="S912" s="27"/>
      <c r="T912" s="27"/>
      <c r="U912" s="27"/>
      <c r="V912" s="27"/>
      <c r="W912" s="27"/>
      <c r="X912" s="27"/>
      <c r="Y912" s="27"/>
      <c r="Z912" s="27"/>
      <c r="AA912" s="27"/>
      <c r="AB912" s="27"/>
      <c r="AC912" s="27"/>
      <c r="AD912" s="27"/>
      <c r="AE912" s="27"/>
      <c r="AF912" s="27"/>
      <c r="AG912" s="27"/>
      <c r="AH912" s="27"/>
      <c r="AI912" s="27"/>
      <c r="AJ912" s="27"/>
      <c r="AK912" s="27"/>
      <c r="AL912" s="27"/>
      <c r="AM912" s="27"/>
      <c r="AN912" s="27"/>
      <c r="AO912" s="27"/>
      <c r="AP912" s="27"/>
      <c r="AQ912" s="27"/>
      <c r="AR912" s="27"/>
      <c r="AS912" s="27"/>
      <c r="AT912" s="27"/>
      <c r="AU912" s="27"/>
      <c r="AV912" s="27"/>
      <c r="AW912" s="27"/>
      <c r="AX912" s="27"/>
      <c r="AY912" s="27"/>
      <c r="AZ912" s="27"/>
      <c r="BA912" s="27"/>
      <c r="BB912" s="27"/>
      <c r="BC912" s="27"/>
      <c r="BD912" s="27"/>
      <c r="BE912" s="27"/>
      <c r="BF912" s="27"/>
      <c r="BG912" s="27"/>
      <c r="BH912" s="27"/>
      <c r="BI912" s="27"/>
      <c r="BJ912" s="27"/>
      <c r="BK912" s="27"/>
      <c r="BL912" s="27"/>
      <c r="BM912" s="27"/>
      <c r="BN912" s="27"/>
      <c r="BO912" s="27"/>
      <c r="BP912" s="27"/>
      <c r="BQ912" s="27"/>
      <c r="BR912" s="27"/>
      <c r="BS912" s="27"/>
      <c r="BT912" s="27"/>
      <c r="BU912" s="27"/>
      <c r="BV912" s="27"/>
      <c r="BW912" s="27"/>
      <c r="BX912" s="27"/>
      <c r="BY912" s="27"/>
      <c r="BZ912" s="27"/>
      <c r="CA912" s="27"/>
      <c r="CB912" s="27"/>
      <c r="CC912" s="27"/>
      <c r="CD912" s="27"/>
      <c r="CE912" s="27"/>
      <c r="CF912" s="27"/>
      <c r="CG912" s="27"/>
      <c r="CH912" s="27"/>
      <c r="CI912" s="27"/>
      <c r="CJ912" s="27"/>
      <c r="CK912" s="27"/>
      <c r="CL912" s="27"/>
      <c r="CM912" s="27"/>
      <c r="CN912" s="27"/>
      <c r="CO912" s="27"/>
      <c r="CP912" s="27"/>
      <c r="CQ912" s="27"/>
      <c r="CR912" s="27"/>
      <c r="CS912" s="27"/>
      <c r="CT912" s="27"/>
      <c r="CU912" s="27"/>
      <c r="CV912" s="27"/>
      <c r="CW912" s="27"/>
      <c r="CX912" s="27"/>
      <c r="CY912" s="27"/>
      <c r="CZ912" s="27"/>
      <c r="DA912" s="27"/>
      <c r="DB912" s="27"/>
      <c r="DC912" s="27"/>
      <c r="DD912" s="27"/>
      <c r="DE912" s="27"/>
      <c r="DF912" s="27"/>
      <c r="DG912" s="27"/>
      <c r="DH912" s="27"/>
      <c r="DI912" s="27"/>
      <c r="DJ912" s="27"/>
      <c r="DK912" s="27"/>
      <c r="DL912" s="27"/>
      <c r="DM912" s="27"/>
      <c r="DN912" s="27"/>
      <c r="DO912" s="27"/>
      <c r="DP912" s="27"/>
      <c r="DQ912" s="27"/>
      <c r="DR912" s="27"/>
      <c r="DS912" s="27"/>
      <c r="DT912" s="27"/>
    </row>
    <row r="913" spans="2:124" ht="19.5" thickTop="1" thickBot="1" x14ac:dyDescent="0.3">
      <c r="B913" s="111"/>
      <c r="C913" s="111" t="e">
        <f>"   החזרי מס במהלך   " &amp;#REF!&amp;" שנות פריסת המס  "</f>
        <v>#REF!</v>
      </c>
      <c r="D913" s="112"/>
      <c r="E913" s="113" t="e">
        <f>#REF!</f>
        <v>#REF!</v>
      </c>
      <c r="F913" s="114" t="s">
        <v>538</v>
      </c>
      <c r="G913" s="27"/>
      <c r="H913" s="27"/>
      <c r="I913" s="27"/>
      <c r="J913" s="27"/>
      <c r="K913" s="27"/>
      <c r="L913" s="27"/>
      <c r="M913" s="27"/>
      <c r="N913" s="27"/>
      <c r="O913" s="27"/>
      <c r="P913" s="27"/>
      <c r="Q913" s="27"/>
      <c r="R913" s="27"/>
      <c r="S913" s="27"/>
      <c r="T913" s="27"/>
      <c r="U913" s="27"/>
      <c r="V913" s="27"/>
      <c r="W913" s="27"/>
      <c r="X913" s="27"/>
      <c r="Y913" s="27"/>
      <c r="Z913" s="27"/>
      <c r="AA913" s="27"/>
      <c r="AB913" s="27"/>
      <c r="AC913" s="27"/>
      <c r="AD913" s="27"/>
      <c r="AE913" s="27"/>
      <c r="AF913" s="27"/>
      <c r="AG913" s="27"/>
      <c r="AH913" s="27"/>
      <c r="AI913" s="27"/>
      <c r="AJ913" s="27"/>
      <c r="AK913" s="27"/>
      <c r="AL913" s="27"/>
      <c r="AM913" s="27"/>
      <c r="AN913" s="27"/>
      <c r="AO913" s="27"/>
      <c r="AP913" s="27"/>
      <c r="AQ913" s="27"/>
      <c r="AR913" s="27"/>
      <c r="AS913" s="27"/>
      <c r="AT913" s="27"/>
      <c r="AU913" s="27"/>
      <c r="AV913" s="27"/>
      <c r="AW913" s="27"/>
      <c r="AX913" s="27"/>
      <c r="AY913" s="27"/>
      <c r="AZ913" s="27"/>
      <c r="BA913" s="27"/>
      <c r="BB913" s="27"/>
      <c r="BC913" s="27"/>
      <c r="BD913" s="27"/>
      <c r="BE913" s="27"/>
      <c r="BF913" s="27"/>
      <c r="BG913" s="27"/>
      <c r="BH913" s="27"/>
      <c r="BI913" s="27"/>
      <c r="BJ913" s="27"/>
      <c r="BK913" s="27"/>
      <c r="BL913" s="27"/>
      <c r="BM913" s="27"/>
      <c r="BN913" s="27"/>
      <c r="BO913" s="27"/>
      <c r="BP913" s="27"/>
      <c r="BQ913" s="27"/>
      <c r="BR913" s="27"/>
      <c r="BS913" s="27"/>
      <c r="BT913" s="27"/>
      <c r="BU913" s="27"/>
      <c r="BV913" s="27"/>
      <c r="BW913" s="27"/>
      <c r="BX913" s="27"/>
      <c r="BY913" s="27"/>
      <c r="BZ913" s="27"/>
      <c r="CA913" s="27"/>
      <c r="CB913" s="27"/>
      <c r="CC913" s="27"/>
      <c r="CD913" s="27"/>
      <c r="CE913" s="27"/>
      <c r="CF913" s="27"/>
      <c r="CG913" s="27"/>
      <c r="CH913" s="27"/>
      <c r="CI913" s="27"/>
      <c r="CJ913" s="27"/>
      <c r="CK913" s="27"/>
      <c r="CL913" s="27"/>
      <c r="CM913" s="27"/>
      <c r="CN913" s="27"/>
      <c r="CO913" s="27"/>
      <c r="CP913" s="27"/>
      <c r="CQ913" s="27"/>
      <c r="CR913" s="27"/>
      <c r="CS913" s="27"/>
      <c r="CT913" s="27"/>
      <c r="CU913" s="27"/>
      <c r="CV913" s="27"/>
      <c r="CW913" s="27"/>
      <c r="CX913" s="27"/>
      <c r="CY913" s="27"/>
      <c r="CZ913" s="27"/>
      <c r="DA913" s="27"/>
      <c r="DB913" s="27"/>
      <c r="DC913" s="27"/>
      <c r="DD913" s="27"/>
      <c r="DE913" s="27"/>
      <c r="DF913" s="27"/>
      <c r="DG913" s="27"/>
      <c r="DH913" s="27"/>
      <c r="DI913" s="27"/>
      <c r="DJ913" s="27"/>
      <c r="DK913" s="27"/>
      <c r="DL913" s="27"/>
      <c r="DM913" s="27"/>
      <c r="DN913" s="27"/>
      <c r="DO913" s="27"/>
      <c r="DP913" s="27"/>
      <c r="DQ913" s="27"/>
      <c r="DR913" s="27"/>
      <c r="DS913" s="27"/>
      <c r="DT913" s="27"/>
    </row>
    <row r="914" spans="2:124" ht="16.5" thickTop="1" thickBot="1" x14ac:dyDescent="0.3">
      <c r="B914" s="115" t="e">
        <f>#REF!</f>
        <v>#REF!</v>
      </c>
      <c r="C914" s="116" t="s">
        <v>552</v>
      </c>
      <c r="D914" s="117" t="e">
        <f>#REF!&amp;" : ימי חופש  לפדיון"</f>
        <v>#REF!</v>
      </c>
      <c r="E914" s="115" t="e">
        <f>#REF!-BF740</f>
        <v>#REF!</v>
      </c>
      <c r="F914" s="118" t="s">
        <v>539</v>
      </c>
      <c r="G914" s="27" t="s">
        <v>502</v>
      </c>
      <c r="H914" s="27"/>
      <c r="I914" s="27"/>
      <c r="J914" s="27"/>
      <c r="K914" s="27"/>
      <c r="L914" s="27"/>
      <c r="M914" s="27"/>
      <c r="N914" s="27"/>
      <c r="O914" s="27"/>
      <c r="P914" s="27"/>
      <c r="Q914" s="27"/>
      <c r="R914" s="27"/>
      <c r="S914" s="27"/>
      <c r="T914" s="27"/>
      <c r="U914" s="27"/>
      <c r="V914" s="27"/>
      <c r="W914" s="27"/>
      <c r="X914" s="27"/>
      <c r="Y914" s="27"/>
      <c r="Z914" s="27"/>
      <c r="AA914" s="27"/>
      <c r="AB914" s="27"/>
      <c r="AC914" s="27"/>
      <c r="AD914" s="27"/>
      <c r="AE914" s="27"/>
      <c r="AF914" s="27"/>
      <c r="AG914" s="27"/>
      <c r="AH914" s="27"/>
      <c r="AI914" s="27"/>
      <c r="AJ914" s="27"/>
      <c r="AK914" s="27"/>
      <c r="AL914" s="27"/>
      <c r="AM914" s="27"/>
      <c r="AN914" s="27"/>
      <c r="AO914" s="27"/>
      <c r="AP914" s="27"/>
      <c r="AQ914" s="27"/>
      <c r="AR914" s="27"/>
      <c r="AS914" s="27"/>
      <c r="AT914" s="27"/>
      <c r="AU914" s="27"/>
      <c r="AV914" s="27"/>
      <c r="AW914" s="27"/>
      <c r="AX914" s="27"/>
      <c r="AY914" s="27"/>
      <c r="AZ914" s="27"/>
      <c r="BA914" s="27"/>
      <c r="BB914" s="27"/>
      <c r="BC914" s="27"/>
      <c r="BD914" s="27"/>
      <c r="BE914" s="27"/>
      <c r="BF914" s="27"/>
      <c r="BG914" s="27"/>
      <c r="BH914" s="27"/>
      <c r="BI914" s="27"/>
      <c r="BJ914" s="27"/>
      <c r="BK914" s="27"/>
      <c r="BL914" s="27"/>
      <c r="BM914" s="27"/>
      <c r="BN914" s="27"/>
      <c r="BO914" s="27"/>
      <c r="BP914" s="27"/>
      <c r="BQ914" s="27"/>
      <c r="BR914" s="27"/>
      <c r="BS914" s="27"/>
      <c r="BT914" s="27"/>
      <c r="BU914" s="27"/>
      <c r="BV914" s="27"/>
      <c r="BW914" s="27"/>
      <c r="BX914" s="27"/>
      <c r="BY914" s="27"/>
      <c r="BZ914" s="27"/>
      <c r="CA914" s="27"/>
      <c r="CB914" s="27"/>
      <c r="CC914" s="27"/>
      <c r="CD914" s="27"/>
      <c r="CE914" s="27"/>
      <c r="CF914" s="27"/>
      <c r="CG914" s="27"/>
      <c r="CH914" s="27"/>
      <c r="CI914" s="27"/>
      <c r="CJ914" s="27"/>
      <c r="CK914" s="27"/>
      <c r="CL914" s="27"/>
      <c r="CM914" s="27"/>
      <c r="CN914" s="27"/>
      <c r="CO914" s="27"/>
      <c r="CP914" s="27"/>
      <c r="CQ914" s="27"/>
      <c r="CR914" s="27"/>
      <c r="CS914" s="27"/>
      <c r="CT914" s="27"/>
      <c r="CU914" s="27"/>
      <c r="CV914" s="27"/>
      <c r="CW914" s="27"/>
      <c r="CX914" s="27"/>
      <c r="CY914" s="27"/>
      <c r="CZ914" s="27"/>
      <c r="DA914" s="27"/>
      <c r="DB914" s="27"/>
      <c r="DC914" s="27"/>
      <c r="DD914" s="27"/>
      <c r="DE914" s="27"/>
      <c r="DF914" s="27"/>
      <c r="DG914" s="27"/>
      <c r="DH914" s="27"/>
      <c r="DI914" s="27"/>
      <c r="DJ914" s="27"/>
      <c r="DK914" s="27"/>
      <c r="DL914" s="27"/>
      <c r="DM914" s="27"/>
      <c r="DN914" s="27"/>
      <c r="DO914" s="27"/>
      <c r="DP914" s="27"/>
      <c r="DQ914" s="27"/>
      <c r="DR914" s="27"/>
      <c r="DS914" s="27"/>
      <c r="DT914" s="27"/>
    </row>
    <row r="915" spans="2:124" ht="15" x14ac:dyDescent="0.25">
      <c r="C915" s="119" t="s">
        <v>553</v>
      </c>
      <c r="D915" s="120"/>
      <c r="E915" s="121"/>
      <c r="F915" s="121" t="e">
        <f>IF(#REF!=0,0,#REF!-#REF!)</f>
        <v>#REF!</v>
      </c>
      <c r="G915" s="27" t="s">
        <v>503</v>
      </c>
      <c r="H915" s="27"/>
      <c r="I915" s="27"/>
      <c r="J915" s="27"/>
      <c r="K915" s="27"/>
      <c r="L915" s="27"/>
      <c r="M915" s="27"/>
      <c r="N915" s="27"/>
      <c r="O915" s="27"/>
      <c r="P915" s="27"/>
      <c r="Q915" s="27"/>
      <c r="R915" s="27"/>
      <c r="S915" s="27"/>
      <c r="T915" s="27"/>
      <c r="U915" s="27"/>
      <c r="V915" s="27"/>
      <c r="W915" s="27"/>
      <c r="X915" s="27"/>
      <c r="Y915" s="27"/>
      <c r="Z915" s="27"/>
      <c r="AA915" s="27"/>
      <c r="AB915" s="27"/>
      <c r="AC915" s="27"/>
      <c r="AD915" s="27"/>
      <c r="AE915" s="27"/>
      <c r="AF915" s="27"/>
      <c r="AG915" s="27"/>
      <c r="AH915" s="27"/>
      <c r="AI915" s="27"/>
      <c r="AJ915" s="27"/>
      <c r="AK915" s="27"/>
      <c r="AL915" s="27"/>
      <c r="AM915" s="27"/>
      <c r="AN915" s="27"/>
      <c r="AO915" s="27"/>
      <c r="AP915" s="27"/>
      <c r="AQ915" s="27"/>
      <c r="AR915" s="27"/>
      <c r="AS915" s="27"/>
      <c r="AT915" s="27"/>
      <c r="AU915" s="27"/>
      <c r="AV915" s="27"/>
      <c r="AW915" s="27"/>
      <c r="AX915" s="27"/>
      <c r="AY915" s="27"/>
      <c r="AZ915" s="27"/>
      <c r="BA915" s="27"/>
      <c r="BB915" s="27"/>
      <c r="BC915" s="27"/>
      <c r="BD915" s="27"/>
      <c r="BE915" s="27"/>
      <c r="BF915" s="27"/>
      <c r="BG915" s="27"/>
      <c r="BH915" s="27"/>
      <c r="BI915" s="27"/>
      <c r="BJ915" s="27"/>
      <c r="BK915" s="27"/>
      <c r="BL915" s="27"/>
      <c r="BM915" s="27"/>
      <c r="BN915" s="27"/>
      <c r="BO915" s="27"/>
      <c r="BP915" s="27"/>
      <c r="BQ915" s="27"/>
      <c r="BR915" s="27"/>
      <c r="BS915" s="27"/>
      <c r="BT915" s="27"/>
      <c r="BU915" s="27"/>
      <c r="BV915" s="27"/>
      <c r="BW915" s="27"/>
      <c r="BX915" s="27"/>
      <c r="BY915" s="27"/>
      <c r="BZ915" s="27"/>
      <c r="CA915" s="27"/>
      <c r="CB915" s="27"/>
      <c r="CC915" s="27"/>
      <c r="CD915" s="27"/>
      <c r="CE915" s="27"/>
      <c r="CF915" s="27"/>
      <c r="CG915" s="27"/>
      <c r="CH915" s="27"/>
      <c r="CI915" s="27"/>
      <c r="CJ915" s="27"/>
      <c r="CK915" s="27"/>
      <c r="CL915" s="27"/>
      <c r="CM915" s="27"/>
      <c r="CN915" s="27"/>
      <c r="CO915" s="27"/>
      <c r="CP915" s="27"/>
      <c r="CQ915" s="27"/>
      <c r="CR915" s="27"/>
      <c r="CS915" s="27"/>
      <c r="CT915" s="27"/>
      <c r="CU915" s="27"/>
      <c r="CV915" s="27"/>
      <c r="CW915" s="27"/>
      <c r="CX915" s="27"/>
      <c r="CY915" s="27"/>
      <c r="CZ915" s="27"/>
      <c r="DA915" s="27"/>
      <c r="DB915" s="27"/>
      <c r="DC915" s="27"/>
      <c r="DD915" s="27"/>
      <c r="DE915" s="27"/>
      <c r="DF915" s="27"/>
      <c r="DG915" s="27"/>
      <c r="DH915" s="27"/>
      <c r="DI915" s="27"/>
      <c r="DJ915" s="27"/>
      <c r="DK915" s="27"/>
      <c r="DL915" s="27"/>
      <c r="DM915" s="27"/>
      <c r="DN915" s="27"/>
      <c r="DO915" s="27"/>
      <c r="DP915" s="27"/>
      <c r="DQ915" s="27"/>
      <c r="DR915" s="27"/>
      <c r="DS915" s="27"/>
      <c r="DT915" s="27"/>
    </row>
    <row r="916" spans="2:124" ht="15.75" thickBot="1" x14ac:dyDescent="0.3">
      <c r="C916" s="122" t="s">
        <v>555</v>
      </c>
      <c r="D916" s="123"/>
      <c r="E916" s="124"/>
      <c r="F916" s="124"/>
      <c r="G916" s="27" t="s">
        <v>504</v>
      </c>
      <c r="H916" s="27"/>
      <c r="I916" s="27"/>
      <c r="J916" s="27"/>
      <c r="K916" s="27"/>
      <c r="L916" s="27"/>
      <c r="M916" s="27"/>
      <c r="N916" s="27"/>
      <c r="O916" s="27"/>
      <c r="P916" s="27"/>
      <c r="Q916" s="27"/>
      <c r="R916" s="27"/>
      <c r="S916" s="27"/>
      <c r="T916" s="27"/>
      <c r="U916" s="27"/>
      <c r="V916" s="27"/>
      <c r="W916" s="27"/>
      <c r="X916" s="27"/>
      <c r="Y916" s="27"/>
      <c r="Z916" s="27"/>
      <c r="AA916" s="27"/>
      <c r="AB916" s="27"/>
      <c r="AC916" s="27"/>
      <c r="AD916" s="27"/>
      <c r="AE916" s="27"/>
      <c r="AF916" s="27"/>
      <c r="AG916" s="27"/>
      <c r="AH916" s="27"/>
      <c r="AI916" s="27"/>
      <c r="AJ916" s="27"/>
      <c r="AK916" s="27"/>
      <c r="AL916" s="27"/>
      <c r="AM916" s="27"/>
      <c r="AN916" s="27"/>
      <c r="AO916" s="27"/>
      <c r="AP916" s="27"/>
      <c r="AQ916" s="27"/>
      <c r="AR916" s="27"/>
      <c r="AS916" s="27"/>
      <c r="AT916" s="27"/>
      <c r="AU916" s="27"/>
      <c r="AV916" s="27"/>
      <c r="AW916" s="27"/>
      <c r="AX916" s="27"/>
      <c r="AY916" s="27"/>
      <c r="AZ916" s="27"/>
      <c r="BA916" s="27"/>
      <c r="BB916" s="27"/>
      <c r="BC916" s="27"/>
      <c r="BD916" s="27"/>
      <c r="BE916" s="27"/>
      <c r="BF916" s="27"/>
      <c r="BG916" s="27"/>
      <c r="BH916" s="27"/>
      <c r="BI916" s="27"/>
      <c r="BJ916" s="27"/>
      <c r="BK916" s="27"/>
      <c r="BL916" s="27"/>
      <c r="BM916" s="27"/>
      <c r="BN916" s="27"/>
      <c r="BO916" s="27"/>
      <c r="BP916" s="27"/>
      <c r="BQ916" s="27"/>
      <c r="BR916" s="27"/>
      <c r="BS916" s="27"/>
      <c r="BT916" s="27"/>
      <c r="BU916" s="27"/>
      <c r="BV916" s="27"/>
      <c r="BW916" s="27"/>
      <c r="BX916" s="27"/>
      <c r="BY916" s="27"/>
      <c r="BZ916" s="27"/>
      <c r="CA916" s="27"/>
      <c r="CB916" s="27"/>
      <c r="CC916" s="27"/>
      <c r="CD916" s="27"/>
      <c r="CE916" s="27"/>
      <c r="CF916" s="27"/>
      <c r="CG916" s="27"/>
      <c r="CH916" s="27"/>
      <c r="CI916" s="27"/>
      <c r="CJ916" s="27"/>
      <c r="CK916" s="27"/>
      <c r="CL916" s="27"/>
      <c r="CM916" s="27"/>
      <c r="CN916" s="27"/>
      <c r="CO916" s="27"/>
      <c r="CP916" s="27"/>
      <c r="CQ916" s="27"/>
      <c r="CR916" s="27"/>
      <c r="CS916" s="27"/>
      <c r="CT916" s="27"/>
      <c r="CU916" s="27"/>
      <c r="CV916" s="27"/>
      <c r="CW916" s="27"/>
      <c r="CX916" s="27"/>
      <c r="CY916" s="27"/>
      <c r="CZ916" s="27"/>
      <c r="DA916" s="27"/>
      <c r="DB916" s="27"/>
      <c r="DC916" s="27"/>
      <c r="DD916" s="27"/>
      <c r="DE916" s="27"/>
      <c r="DF916" s="27"/>
      <c r="DG916" s="27"/>
      <c r="DH916" s="27"/>
      <c r="DI916" s="27"/>
      <c r="DJ916" s="27"/>
      <c r="DK916" s="27"/>
      <c r="DL916" s="27"/>
      <c r="DM916" s="27"/>
      <c r="DN916" s="27"/>
      <c r="DO916" s="27"/>
      <c r="DP916" s="27"/>
      <c r="DQ916" s="27"/>
      <c r="DR916" s="27"/>
      <c r="DS916" s="27"/>
      <c r="DT916" s="27"/>
    </row>
    <row r="917" spans="2:124" ht="15.75" thickTop="1" x14ac:dyDescent="0.25">
      <c r="B917" s="125" t="s">
        <v>556</v>
      </c>
      <c r="C917" s="126"/>
      <c r="D917" s="127"/>
      <c r="E917" s="128" t="e">
        <f>#REF!</f>
        <v>#REF!</v>
      </c>
      <c r="F917" s="128" t="s">
        <v>540</v>
      </c>
      <c r="G917" s="27"/>
      <c r="H917" s="27"/>
      <c r="I917" s="27"/>
      <c r="J917" s="27"/>
      <c r="K917" s="27"/>
      <c r="L917" s="27"/>
      <c r="M917" s="27"/>
      <c r="N917" s="27"/>
      <c r="O917" s="27"/>
      <c r="P917" s="27"/>
      <c r="Q917" s="27"/>
      <c r="R917" s="27"/>
      <c r="S917" s="27"/>
      <c r="T917" s="27"/>
      <c r="U917" s="27"/>
      <c r="V917" s="27"/>
      <c r="W917" s="27"/>
      <c r="X917" s="27"/>
      <c r="Y917" s="27"/>
      <c r="Z917" s="27"/>
      <c r="AA917" s="27"/>
      <c r="AB917" s="27"/>
      <c r="AC917" s="27"/>
      <c r="AD917" s="27"/>
      <c r="AE917" s="27"/>
      <c r="AF917" s="27"/>
      <c r="AG917" s="27"/>
      <c r="AH917" s="27"/>
      <c r="AI917" s="27"/>
      <c r="AJ917" s="27"/>
      <c r="AK917" s="27"/>
      <c r="AL917" s="27"/>
      <c r="AM917" s="27"/>
      <c r="AN917" s="27"/>
      <c r="AO917" s="27"/>
      <c r="AP917" s="27"/>
      <c r="AQ917" s="27"/>
      <c r="AR917" s="27"/>
      <c r="AS917" s="27"/>
      <c r="AT917" s="27"/>
      <c r="AU917" s="27"/>
      <c r="AV917" s="27"/>
      <c r="AW917" s="27"/>
      <c r="AX917" s="27"/>
      <c r="AY917" s="27"/>
      <c r="AZ917" s="27"/>
      <c r="BA917" s="27"/>
      <c r="BB917" s="27"/>
      <c r="BC917" s="27"/>
      <c r="BD917" s="27"/>
      <c r="BE917" s="27"/>
      <c r="BF917" s="27"/>
      <c r="BG917" s="27"/>
      <c r="BH917" s="27"/>
      <c r="BI917" s="27"/>
      <c r="BJ917" s="27"/>
      <c r="BK917" s="27"/>
      <c r="BL917" s="27"/>
      <c r="BM917" s="27"/>
      <c r="BN917" s="27"/>
      <c r="BO917" s="27"/>
      <c r="BP917" s="27"/>
      <c r="BQ917" s="27"/>
      <c r="BR917" s="27"/>
      <c r="BS917" s="27"/>
      <c r="BT917" s="27"/>
      <c r="BU917" s="27"/>
      <c r="BV917" s="27"/>
      <c r="BW917" s="27"/>
      <c r="BX917" s="27"/>
      <c r="BY917" s="27"/>
      <c r="BZ917" s="27"/>
      <c r="CA917" s="27"/>
      <c r="CB917" s="27"/>
      <c r="CC917" s="27"/>
      <c r="CD917" s="27"/>
      <c r="CE917" s="27"/>
      <c r="CF917" s="27"/>
      <c r="CG917" s="27"/>
      <c r="CH917" s="27"/>
      <c r="CI917" s="27"/>
      <c r="CJ917" s="27"/>
      <c r="CK917" s="27"/>
      <c r="CL917" s="27"/>
      <c r="CM917" s="27"/>
      <c r="CN917" s="27"/>
      <c r="CO917" s="27"/>
      <c r="CP917" s="27"/>
      <c r="CQ917" s="27"/>
      <c r="CR917" s="27"/>
      <c r="CS917" s="27"/>
      <c r="CT917" s="27"/>
      <c r="CU917" s="27"/>
      <c r="CV917" s="27"/>
      <c r="CW917" s="27"/>
      <c r="CX917" s="27"/>
      <c r="CY917" s="27"/>
      <c r="CZ917" s="27"/>
      <c r="DA917" s="27"/>
      <c r="DB917" s="27"/>
      <c r="DC917" s="27"/>
      <c r="DD917" s="27"/>
      <c r="DE917" s="27"/>
      <c r="DF917" s="27"/>
      <c r="DG917" s="27"/>
      <c r="DH917" s="27"/>
      <c r="DI917" s="27"/>
      <c r="DJ917" s="27"/>
      <c r="DK917" s="27"/>
      <c r="DL917" s="27"/>
      <c r="DM917" s="27"/>
      <c r="DN917" s="27"/>
      <c r="DO917" s="27"/>
      <c r="DP917" s="27"/>
      <c r="DQ917" s="27"/>
      <c r="DR917" s="27"/>
      <c r="DS917" s="27"/>
      <c r="DT917" s="27"/>
    </row>
    <row r="918" spans="2:124" ht="15" thickBot="1" x14ac:dyDescent="0.25">
      <c r="B918" s="129" t="s">
        <v>557</v>
      </c>
      <c r="C918" s="129"/>
      <c r="D918" s="129"/>
      <c r="E918" s="129"/>
      <c r="F918" s="130"/>
      <c r="G918" s="27"/>
      <c r="H918" s="27"/>
      <c r="I918" s="27"/>
      <c r="J918" s="27"/>
      <c r="K918" s="27"/>
      <c r="L918" s="27"/>
      <c r="M918" s="27"/>
      <c r="N918" s="27"/>
      <c r="O918" s="27"/>
      <c r="P918" s="27"/>
      <c r="Q918" s="27"/>
      <c r="R918" s="27"/>
      <c r="S918" s="27"/>
      <c r="T918" s="27"/>
      <c r="U918" s="27"/>
      <c r="V918" s="27"/>
      <c r="W918" s="27"/>
      <c r="X918" s="27"/>
      <c r="Y918" s="27"/>
      <c r="Z918" s="27"/>
      <c r="AA918" s="27"/>
      <c r="AB918" s="27"/>
      <c r="AC918" s="27"/>
      <c r="AD918" s="27"/>
      <c r="AE918" s="27"/>
      <c r="AF918" s="27"/>
      <c r="AG918" s="27"/>
      <c r="AH918" s="27"/>
      <c r="AI918" s="27"/>
      <c r="AJ918" s="27"/>
      <c r="AK918" s="27"/>
      <c r="AL918" s="27"/>
      <c r="AM918" s="27"/>
      <c r="AN918" s="27"/>
      <c r="AO918" s="27"/>
      <c r="AP918" s="27"/>
      <c r="AQ918" s="27"/>
      <c r="AR918" s="27"/>
      <c r="AS918" s="27"/>
      <c r="AT918" s="27"/>
      <c r="AU918" s="27"/>
      <c r="AV918" s="27"/>
      <c r="AW918" s="27"/>
      <c r="AX918" s="27"/>
      <c r="AY918" s="27"/>
      <c r="AZ918" s="27"/>
      <c r="BA918" s="27"/>
      <c r="BB918" s="27"/>
      <c r="BC918" s="27"/>
      <c r="BD918" s="27"/>
      <c r="BE918" s="27"/>
      <c r="BF918" s="27"/>
      <c r="BG918" s="27"/>
      <c r="BH918" s="27"/>
      <c r="BI918" s="27"/>
      <c r="BJ918" s="27"/>
      <c r="BK918" s="27"/>
      <c r="BL918" s="27"/>
      <c r="BM918" s="27"/>
      <c r="BN918" s="27"/>
      <c r="BO918" s="27"/>
      <c r="BP918" s="27"/>
      <c r="BQ918" s="27"/>
      <c r="BR918" s="27"/>
      <c r="BS918" s="27"/>
      <c r="BT918" s="27"/>
      <c r="BU918" s="27"/>
      <c r="BV918" s="27"/>
      <c r="BW918" s="27"/>
      <c r="BX918" s="27"/>
      <c r="BY918" s="27"/>
      <c r="BZ918" s="27"/>
      <c r="CA918" s="27"/>
      <c r="CB918" s="27"/>
      <c r="CC918" s="27"/>
      <c r="CD918" s="27"/>
      <c r="CE918" s="27"/>
      <c r="CF918" s="27"/>
      <c r="CG918" s="27"/>
      <c r="CH918" s="27"/>
      <c r="CI918" s="27"/>
      <c r="CJ918" s="27"/>
      <c r="CK918" s="27"/>
      <c r="CL918" s="27"/>
      <c r="CM918" s="27"/>
      <c r="CN918" s="27"/>
      <c r="CO918" s="27"/>
      <c r="CP918" s="27"/>
      <c r="CQ918" s="27"/>
      <c r="CR918" s="27"/>
      <c r="CS918" s="27"/>
      <c r="CT918" s="27"/>
      <c r="CU918" s="27"/>
      <c r="CV918" s="27"/>
      <c r="CW918" s="27"/>
      <c r="CX918" s="27"/>
      <c r="CY918" s="27"/>
      <c r="CZ918" s="27"/>
      <c r="DA918" s="27"/>
      <c r="DB918" s="27"/>
      <c r="DC918" s="27"/>
      <c r="DD918" s="27"/>
      <c r="DE918" s="27"/>
      <c r="DF918" s="27"/>
      <c r="DG918" s="27"/>
      <c r="DH918" s="27"/>
      <c r="DI918" s="27"/>
      <c r="DJ918" s="27"/>
      <c r="DK918" s="27"/>
      <c r="DL918" s="27"/>
      <c r="DM918" s="27"/>
      <c r="DN918" s="27"/>
      <c r="DO918" s="27"/>
      <c r="DP918" s="27"/>
      <c r="DQ918" s="27"/>
      <c r="DR918" s="27"/>
      <c r="DS918" s="27"/>
      <c r="DT918" s="27"/>
    </row>
    <row r="919" spans="2:124" ht="15.75" thickTop="1" x14ac:dyDescent="0.25">
      <c r="B919" s="77"/>
      <c r="C919" s="131" t="s">
        <v>559</v>
      </c>
      <c r="D919" s="108"/>
      <c r="E919" s="132"/>
      <c r="G919" s="27">
        <f ca="1">N738</f>
        <v>13.33</v>
      </c>
      <c r="H919" s="27"/>
      <c r="I919" s="27"/>
      <c r="J919" s="27"/>
      <c r="K919" s="27"/>
      <c r="L919" s="27"/>
      <c r="M919" s="27"/>
      <c r="N919" s="27"/>
      <c r="O919" s="27"/>
      <c r="P919" s="27"/>
      <c r="Q919" s="27"/>
      <c r="R919" s="27"/>
      <c r="S919" s="27"/>
      <c r="T919" s="27"/>
      <c r="U919" s="27"/>
      <c r="V919" s="27"/>
      <c r="W919" s="27"/>
      <c r="X919" s="27"/>
      <c r="Y919" s="27"/>
      <c r="Z919" s="27"/>
      <c r="AA919" s="27"/>
      <c r="AB919" s="27"/>
      <c r="AC919" s="27"/>
      <c r="AD919" s="27"/>
      <c r="AE919" s="27"/>
      <c r="AF919" s="27"/>
      <c r="AG919" s="27"/>
      <c r="AH919" s="27"/>
      <c r="AI919" s="27"/>
      <c r="AJ919" s="27"/>
      <c r="AK919" s="27"/>
      <c r="AL919" s="27"/>
      <c r="AM919" s="27"/>
      <c r="AN919" s="27"/>
      <c r="AO919" s="27"/>
      <c r="AP919" s="27"/>
      <c r="AQ919" s="27"/>
      <c r="AR919" s="27"/>
      <c r="AS919" s="27"/>
      <c r="AT919" s="27"/>
      <c r="AU919" s="27"/>
      <c r="AV919" s="27"/>
      <c r="AW919" s="27"/>
      <c r="AX919" s="27"/>
      <c r="AY919" s="27"/>
      <c r="AZ919" s="27"/>
      <c r="BA919" s="27"/>
      <c r="BB919" s="27"/>
      <c r="BC919" s="27"/>
      <c r="BD919" s="27"/>
      <c r="BE919" s="27"/>
      <c r="BF919" s="27"/>
      <c r="BG919" s="27"/>
      <c r="BH919" s="27"/>
      <c r="BI919" s="27"/>
      <c r="BJ919" s="27"/>
      <c r="BK919" s="27"/>
      <c r="BL919" s="27"/>
      <c r="BM919" s="27"/>
      <c r="BN919" s="27"/>
      <c r="BO919" s="27"/>
      <c r="BP919" s="27"/>
      <c r="BQ919" s="27"/>
      <c r="BR919" s="27"/>
      <c r="BS919" s="27"/>
      <c r="BT919" s="27"/>
      <c r="BU919" s="27"/>
      <c r="BV919" s="27"/>
      <c r="BW919" s="27"/>
      <c r="BX919" s="27"/>
      <c r="BY919" s="27"/>
      <c r="BZ919" s="27"/>
      <c r="CA919" s="27"/>
      <c r="CB919" s="27"/>
      <c r="CC919" s="27"/>
      <c r="CD919" s="27"/>
      <c r="CE919" s="27"/>
      <c r="CF919" s="27"/>
      <c r="CG919" s="27"/>
      <c r="CH919" s="27"/>
      <c r="CI919" s="27"/>
      <c r="CJ919" s="27"/>
      <c r="CK919" s="27"/>
      <c r="CL919" s="27"/>
      <c r="CM919" s="27"/>
      <c r="CN919" s="27"/>
      <c r="CO919" s="27"/>
      <c r="CP919" s="27"/>
      <c r="CQ919" s="27"/>
      <c r="CR919" s="27"/>
      <c r="CS919" s="27"/>
      <c r="CT919" s="27"/>
      <c r="CU919" s="27"/>
      <c r="CV919" s="27"/>
      <c r="CW919" s="27"/>
      <c r="CX919" s="27"/>
      <c r="CY919" s="27"/>
      <c r="CZ919" s="27"/>
      <c r="DA919" s="27"/>
      <c r="DB919" s="27"/>
      <c r="DC919" s="27"/>
      <c r="DD919" s="27"/>
      <c r="DE919" s="27"/>
      <c r="DF919" s="27"/>
      <c r="DG919" s="27"/>
      <c r="DH919" s="27"/>
      <c r="DI919" s="27"/>
      <c r="DJ919" s="27"/>
      <c r="DK919" s="27"/>
      <c r="DL919" s="27"/>
      <c r="DM919" s="27"/>
      <c r="DN919" s="27"/>
      <c r="DO919" s="27"/>
      <c r="DP919" s="27"/>
      <c r="DQ919" s="27"/>
      <c r="DR919" s="27"/>
      <c r="DS919" s="27"/>
      <c r="DT919" s="27"/>
    </row>
    <row r="920" spans="2:124" ht="15.75" x14ac:dyDescent="0.25">
      <c r="B920" s="133" t="s">
        <v>59</v>
      </c>
      <c r="C920" s="131" t="s">
        <v>560</v>
      </c>
      <c r="D920" s="108"/>
      <c r="E920" s="132"/>
      <c r="F920" s="134" t="s">
        <v>545</v>
      </c>
      <c r="G920" s="27"/>
      <c r="H920" s="27"/>
      <c r="I920" s="27"/>
      <c r="J920" s="27"/>
      <c r="K920" s="27"/>
      <c r="L920" s="27"/>
      <c r="M920" s="27"/>
      <c r="N920" s="27"/>
      <c r="O920" s="27"/>
      <c r="P920" s="27"/>
      <c r="Q920" s="27"/>
      <c r="R920" s="27"/>
      <c r="S920" s="27"/>
      <c r="T920" s="27"/>
      <c r="U920" s="27"/>
      <c r="V920" s="27"/>
      <c r="W920" s="27"/>
      <c r="X920" s="27"/>
      <c r="Y920" s="27"/>
      <c r="Z920" s="27"/>
      <c r="AA920" s="27"/>
      <c r="AB920" s="27"/>
      <c r="AC920" s="27"/>
      <c r="AD920" s="27"/>
      <c r="AE920" s="27"/>
      <c r="AF920" s="27"/>
      <c r="AG920" s="27"/>
      <c r="AH920" s="27"/>
      <c r="AI920" s="27"/>
      <c r="AJ920" s="27"/>
      <c r="AK920" s="27"/>
      <c r="AL920" s="27"/>
      <c r="AM920" s="27"/>
      <c r="AN920" s="27"/>
      <c r="AO920" s="27"/>
      <c r="AP920" s="27"/>
      <c r="AQ920" s="27"/>
      <c r="AR920" s="27"/>
      <c r="AS920" s="27"/>
      <c r="AT920" s="27"/>
      <c r="AU920" s="27"/>
      <c r="AV920" s="27"/>
      <c r="AW920" s="27"/>
      <c r="AX920" s="27"/>
      <c r="AY920" s="27"/>
      <c r="AZ920" s="27"/>
      <c r="BA920" s="27"/>
      <c r="BB920" s="27"/>
      <c r="BC920" s="27"/>
      <c r="BD920" s="27"/>
      <c r="BE920" s="27"/>
      <c r="BF920" s="27"/>
      <c r="BG920" s="27"/>
      <c r="BH920" s="27"/>
      <c r="BI920" s="27"/>
      <c r="BJ920" s="27"/>
      <c r="BK920" s="27"/>
      <c r="BL920" s="27"/>
      <c r="BM920" s="27"/>
      <c r="BN920" s="27"/>
      <c r="BO920" s="27"/>
      <c r="BP920" s="27"/>
      <c r="BQ920" s="27"/>
      <c r="BR920" s="27"/>
      <c r="BS920" s="27"/>
      <c r="BT920" s="27"/>
      <c r="BU920" s="27"/>
      <c r="BV920" s="27"/>
      <c r="BW920" s="27"/>
      <c r="BX920" s="27"/>
      <c r="BY920" s="27"/>
      <c r="BZ920" s="27"/>
      <c r="CA920" s="27"/>
      <c r="CB920" s="27"/>
      <c r="CC920" s="27"/>
      <c r="CD920" s="27"/>
      <c r="CE920" s="27"/>
      <c r="CF920" s="27"/>
      <c r="CG920" s="27"/>
      <c r="CH920" s="27"/>
      <c r="CI920" s="27"/>
      <c r="CJ920" s="27"/>
      <c r="CK920" s="27"/>
      <c r="CL920" s="27"/>
      <c r="CM920" s="27"/>
      <c r="CN920" s="27"/>
      <c r="CO920" s="27"/>
      <c r="CP920" s="27"/>
      <c r="CQ920" s="27"/>
      <c r="CR920" s="27"/>
      <c r="CS920" s="27"/>
      <c r="CT920" s="27"/>
      <c r="CU920" s="27"/>
      <c r="CV920" s="27"/>
      <c r="CW920" s="27"/>
      <c r="CX920" s="27"/>
      <c r="CY920" s="27"/>
      <c r="CZ920" s="27"/>
      <c r="DA920" s="27"/>
      <c r="DB920" s="27"/>
      <c r="DC920" s="27"/>
      <c r="DD920" s="27"/>
      <c r="DE920" s="27"/>
      <c r="DF920" s="27"/>
      <c r="DG920" s="27"/>
      <c r="DH920" s="27"/>
      <c r="DI920" s="27"/>
      <c r="DJ920" s="27"/>
      <c r="DK920" s="27"/>
      <c r="DL920" s="27"/>
      <c r="DM920" s="27"/>
      <c r="DN920" s="27"/>
      <c r="DO920" s="27"/>
      <c r="DP920" s="27"/>
      <c r="DQ920" s="27"/>
      <c r="DR920" s="27"/>
      <c r="DS920" s="27"/>
      <c r="DT920" s="27"/>
    </row>
    <row r="921" spans="2:124" x14ac:dyDescent="0.2">
      <c r="G921" s="27"/>
      <c r="H921" s="27"/>
      <c r="I921" s="27"/>
      <c r="J921" s="27"/>
      <c r="K921" s="27"/>
      <c r="L921" s="27"/>
      <c r="M921" s="27"/>
      <c r="N921" s="27"/>
      <c r="O921" s="27"/>
      <c r="P921" s="27"/>
      <c r="Q921" s="27"/>
      <c r="R921" s="27"/>
      <c r="S921" s="27"/>
      <c r="T921" s="27"/>
      <c r="U921" s="27"/>
      <c r="V921" s="27"/>
      <c r="W921" s="27"/>
      <c r="X921" s="27"/>
      <c r="Y921" s="27"/>
      <c r="Z921" s="27"/>
      <c r="AA921" s="27"/>
      <c r="AB921" s="27"/>
      <c r="AC921" s="27"/>
      <c r="AD921" s="27"/>
      <c r="AE921" s="27"/>
      <c r="AF921" s="27"/>
      <c r="AG921" s="27"/>
      <c r="AH921" s="27"/>
      <c r="AI921" s="27"/>
      <c r="AJ921" s="27"/>
      <c r="AK921" s="27"/>
      <c r="AL921" s="27"/>
      <c r="AM921" s="27"/>
      <c r="AN921" s="27"/>
      <c r="AO921" s="27"/>
      <c r="AP921" s="27"/>
      <c r="AQ921" s="27"/>
      <c r="AR921" s="27"/>
      <c r="AS921" s="27"/>
      <c r="AT921" s="27"/>
      <c r="AU921" s="27"/>
      <c r="AV921" s="27"/>
      <c r="AW921" s="27"/>
      <c r="AX921" s="27"/>
      <c r="AY921" s="27"/>
      <c r="AZ921" s="27"/>
      <c r="BA921" s="27"/>
      <c r="BB921" s="27"/>
      <c r="BC921" s="27"/>
      <c r="BD921" s="27"/>
      <c r="BE921" s="27"/>
      <c r="BF921" s="27"/>
      <c r="BG921" s="27"/>
      <c r="BH921" s="27"/>
      <c r="BI921" s="27"/>
      <c r="BJ921" s="27"/>
      <c r="BK921" s="27"/>
      <c r="BL921" s="27"/>
      <c r="BM921" s="27"/>
      <c r="BN921" s="27"/>
      <c r="BO921" s="27"/>
      <c r="BP921" s="27"/>
      <c r="BQ921" s="27"/>
      <c r="BR921" s="27"/>
      <c r="BS921" s="27"/>
      <c r="BT921" s="27"/>
      <c r="BU921" s="27"/>
      <c r="BV921" s="27"/>
      <c r="BW921" s="27"/>
      <c r="BX921" s="27"/>
      <c r="BY921" s="27"/>
      <c r="BZ921" s="27"/>
      <c r="CA921" s="27"/>
      <c r="CB921" s="27"/>
      <c r="CC921" s="27"/>
      <c r="CD921" s="27"/>
      <c r="CE921" s="27"/>
      <c r="CF921" s="27"/>
      <c r="CG921" s="27"/>
      <c r="CH921" s="27"/>
      <c r="CI921" s="27"/>
      <c r="CJ921" s="27"/>
      <c r="CK921" s="27"/>
      <c r="CL921" s="27"/>
      <c r="CM921" s="27"/>
      <c r="CN921" s="27"/>
      <c r="CO921" s="27"/>
      <c r="CP921" s="27"/>
      <c r="CQ921" s="27"/>
      <c r="CR921" s="27"/>
      <c r="CS921" s="27"/>
      <c r="CT921" s="27"/>
      <c r="CU921" s="27"/>
      <c r="CV921" s="27"/>
      <c r="CW921" s="27"/>
      <c r="CX921" s="27"/>
      <c r="CY921" s="27"/>
      <c r="CZ921" s="27"/>
      <c r="DA921" s="27"/>
      <c r="DB921" s="27"/>
      <c r="DC921" s="27"/>
      <c r="DD921" s="27"/>
      <c r="DE921" s="27"/>
      <c r="DF921" s="27"/>
      <c r="DG921" s="27"/>
      <c r="DH921" s="27"/>
      <c r="DI921" s="27"/>
      <c r="DJ921" s="27"/>
      <c r="DK921" s="27"/>
      <c r="DL921" s="27"/>
      <c r="DM921" s="27"/>
      <c r="DN921" s="27"/>
      <c r="DO921" s="27"/>
      <c r="DP921" s="27"/>
      <c r="DQ921" s="27"/>
      <c r="DR921" s="27"/>
      <c r="DS921" s="27"/>
      <c r="DT921" s="27"/>
    </row>
    <row r="922" spans="2:124" x14ac:dyDescent="0.2">
      <c r="E922" s="10" t="s">
        <v>59</v>
      </c>
      <c r="G922" s="27" t="s">
        <v>59</v>
      </c>
      <c r="H922" s="27"/>
      <c r="I922" s="27"/>
      <c r="J922" s="27"/>
      <c r="K922" s="27"/>
      <c r="L922" s="27"/>
      <c r="M922" s="27"/>
      <c r="N922" s="27"/>
      <c r="O922" s="27"/>
      <c r="P922" s="27"/>
      <c r="Q922" s="27"/>
      <c r="R922" s="27"/>
      <c r="S922" s="27"/>
      <c r="T922" s="27"/>
      <c r="U922" s="27"/>
      <c r="V922" s="27"/>
      <c r="W922" s="27"/>
      <c r="X922" s="27"/>
      <c r="Y922" s="27"/>
      <c r="Z922" s="27"/>
      <c r="AA922" s="27"/>
      <c r="AB922" s="27"/>
      <c r="AC922" s="27"/>
      <c r="AD922" s="27"/>
      <c r="AE922" s="27"/>
      <c r="AF922" s="27"/>
      <c r="AG922" s="27"/>
      <c r="AH922" s="27"/>
      <c r="AI922" s="27"/>
      <c r="AJ922" s="27"/>
      <c r="AK922" s="27"/>
      <c r="AL922" s="27"/>
      <c r="AM922" s="27"/>
      <c r="AN922" s="27"/>
      <c r="AO922" s="27"/>
      <c r="AP922" s="27"/>
      <c r="AQ922" s="27"/>
      <c r="AR922" s="27"/>
      <c r="AS922" s="27"/>
      <c r="AT922" s="27"/>
      <c r="AU922" s="27"/>
      <c r="AV922" s="27"/>
      <c r="AW922" s="27"/>
      <c r="AX922" s="27"/>
      <c r="AY922" s="27"/>
      <c r="AZ922" s="27"/>
      <c r="BA922" s="27"/>
      <c r="BB922" s="27"/>
      <c r="BC922" s="27"/>
      <c r="BD922" s="27"/>
      <c r="BE922" s="27"/>
      <c r="BF922" s="27"/>
      <c r="BG922" s="27"/>
      <c r="BH922" s="27"/>
      <c r="BI922" s="27"/>
      <c r="BJ922" s="27"/>
      <c r="BK922" s="27"/>
      <c r="BL922" s="27"/>
      <c r="BM922" s="27"/>
      <c r="BN922" s="27"/>
      <c r="BO922" s="27"/>
      <c r="BP922" s="27"/>
      <c r="BQ922" s="27"/>
      <c r="BR922" s="27"/>
      <c r="BS922" s="27"/>
      <c r="BT922" s="27"/>
      <c r="BU922" s="27"/>
      <c r="BV922" s="27"/>
      <c r="BW922" s="27"/>
      <c r="BX922" s="27"/>
      <c r="BY922" s="27"/>
      <c r="BZ922" s="27"/>
      <c r="CA922" s="27"/>
      <c r="CB922" s="27"/>
      <c r="CC922" s="27"/>
      <c r="CD922" s="27"/>
      <c r="CE922" s="27"/>
      <c r="CF922" s="27"/>
      <c r="CG922" s="27"/>
      <c r="CH922" s="27"/>
      <c r="CI922" s="27"/>
      <c r="CJ922" s="27"/>
      <c r="CK922" s="27"/>
      <c r="CL922" s="27"/>
      <c r="CM922" s="27"/>
      <c r="CN922" s="27"/>
      <c r="CO922" s="27"/>
      <c r="CP922" s="27"/>
      <c r="CQ922" s="27"/>
      <c r="CR922" s="27"/>
      <c r="CS922" s="27"/>
      <c r="CT922" s="27"/>
      <c r="CU922" s="27"/>
      <c r="CV922" s="27"/>
      <c r="CW922" s="27"/>
      <c r="CX922" s="27"/>
      <c r="CY922" s="27"/>
      <c r="CZ922" s="27"/>
      <c r="DA922" s="27"/>
      <c r="DB922" s="27"/>
      <c r="DC922" s="27"/>
      <c r="DD922" s="27"/>
      <c r="DE922" s="27"/>
      <c r="DF922" s="27"/>
      <c r="DG922" s="27"/>
      <c r="DH922" s="27"/>
      <c r="DI922" s="27"/>
      <c r="DJ922" s="27"/>
      <c r="DK922" s="27"/>
      <c r="DL922" s="27"/>
      <c r="DM922" s="27"/>
      <c r="DN922" s="27"/>
      <c r="DO922" s="27"/>
      <c r="DP922" s="27"/>
      <c r="DQ922" s="27"/>
      <c r="DR922" s="27"/>
      <c r="DS922" s="27"/>
      <c r="DT922" s="27"/>
    </row>
    <row r="923" spans="2:124" x14ac:dyDescent="0.2">
      <c r="G923" s="27"/>
      <c r="H923" s="27"/>
      <c r="I923" s="27"/>
      <c r="J923" s="27"/>
      <c r="K923" s="27"/>
      <c r="L923" s="27"/>
      <c r="M923" s="27"/>
      <c r="N923" s="27"/>
      <c r="O923" s="27"/>
      <c r="P923" s="27"/>
      <c r="Q923" s="27"/>
      <c r="R923" s="27"/>
      <c r="S923" s="27"/>
      <c r="T923" s="27"/>
      <c r="U923" s="27"/>
      <c r="V923" s="27"/>
      <c r="W923" s="27"/>
      <c r="X923" s="27"/>
      <c r="Y923" s="27"/>
      <c r="Z923" s="27"/>
      <c r="AA923" s="27"/>
      <c r="AB923" s="27"/>
      <c r="AC923" s="27"/>
      <c r="AD923" s="27"/>
      <c r="AE923" s="27"/>
      <c r="AF923" s="27"/>
      <c r="AG923" s="27"/>
      <c r="AH923" s="27"/>
      <c r="AI923" s="27"/>
      <c r="AJ923" s="27"/>
      <c r="AK923" s="27"/>
      <c r="AL923" s="27"/>
      <c r="AM923" s="27"/>
      <c r="AN923" s="27"/>
      <c r="AO923" s="27"/>
      <c r="AP923" s="27"/>
      <c r="AQ923" s="27"/>
      <c r="AR923" s="27"/>
      <c r="AS923" s="27"/>
      <c r="AT923" s="27"/>
      <c r="AU923" s="27"/>
      <c r="AV923" s="27"/>
      <c r="AW923" s="27"/>
      <c r="AX923" s="27"/>
      <c r="AY923" s="27"/>
      <c r="AZ923" s="27"/>
      <c r="BA923" s="27"/>
      <c r="BB923" s="27"/>
      <c r="BC923" s="27"/>
      <c r="BD923" s="27"/>
      <c r="BE923" s="27"/>
      <c r="BF923" s="27"/>
      <c r="BG923" s="27"/>
      <c r="BH923" s="27"/>
      <c r="BI923" s="27"/>
      <c r="BJ923" s="27"/>
      <c r="BK923" s="27"/>
      <c r="BL923" s="27"/>
      <c r="BM923" s="27"/>
      <c r="BN923" s="27"/>
      <c r="BO923" s="27"/>
      <c r="BP923" s="27"/>
      <c r="BQ923" s="27"/>
      <c r="BR923" s="27"/>
      <c r="BS923" s="27"/>
      <c r="BT923" s="27"/>
      <c r="BU923" s="27"/>
      <c r="BV923" s="27"/>
      <c r="BW923" s="27"/>
      <c r="BX923" s="27"/>
      <c r="BY923" s="27"/>
      <c r="BZ923" s="27"/>
      <c r="CA923" s="27"/>
      <c r="CB923" s="27"/>
      <c r="CC923" s="27"/>
      <c r="CD923" s="27"/>
      <c r="CE923" s="27"/>
      <c r="CF923" s="27"/>
      <c r="CG923" s="27"/>
      <c r="CH923" s="27"/>
      <c r="CI923" s="27"/>
      <c r="CJ923" s="27"/>
      <c r="CK923" s="27"/>
      <c r="CL923" s="27"/>
      <c r="CM923" s="27"/>
      <c r="CN923" s="27"/>
      <c r="CO923" s="27"/>
      <c r="CP923" s="27"/>
      <c r="CQ923" s="27"/>
      <c r="CR923" s="27"/>
      <c r="CS923" s="27"/>
      <c r="CT923" s="27"/>
      <c r="CU923" s="27"/>
      <c r="CV923" s="27"/>
      <c r="CW923" s="27"/>
      <c r="CX923" s="27"/>
      <c r="CY923" s="27"/>
      <c r="CZ923" s="27"/>
      <c r="DA923" s="27"/>
      <c r="DB923" s="27"/>
      <c r="DC923" s="27"/>
      <c r="DD923" s="27"/>
      <c r="DE923" s="27"/>
      <c r="DF923" s="27"/>
      <c r="DG923" s="27"/>
      <c r="DH923" s="27"/>
      <c r="DI923" s="27"/>
      <c r="DJ923" s="27"/>
      <c r="DK923" s="27"/>
      <c r="DL923" s="27"/>
      <c r="DM923" s="27"/>
      <c r="DN923" s="27"/>
      <c r="DO923" s="27"/>
      <c r="DP923" s="27"/>
      <c r="DQ923" s="27"/>
      <c r="DR923" s="27"/>
      <c r="DS923" s="27"/>
      <c r="DT923" s="27"/>
    </row>
    <row r="924" spans="2:124" x14ac:dyDescent="0.2">
      <c r="G924" s="27"/>
      <c r="H924" s="27" t="s">
        <v>581</v>
      </c>
      <c r="I924" s="27"/>
      <c r="J924" s="27"/>
      <c r="K924" s="27"/>
      <c r="L924" s="27"/>
      <c r="M924" s="27"/>
      <c r="N924" s="27"/>
      <c r="O924" s="27"/>
      <c r="P924" s="27"/>
      <c r="Q924" s="27"/>
      <c r="R924" s="27"/>
      <c r="S924" s="27"/>
      <c r="T924" s="27"/>
      <c r="U924" s="27"/>
      <c r="V924" s="27"/>
      <c r="W924" s="27"/>
      <c r="X924" s="27"/>
      <c r="Y924" s="27"/>
      <c r="Z924" s="27"/>
      <c r="AA924" s="27"/>
      <c r="AB924" s="27"/>
      <c r="AC924" s="27"/>
      <c r="AD924" s="27"/>
      <c r="AE924" s="27"/>
      <c r="AF924" s="27"/>
      <c r="AG924" s="27"/>
      <c r="AH924" s="27"/>
      <c r="AI924" s="27"/>
      <c r="AJ924" s="27"/>
      <c r="AK924" s="27"/>
      <c r="AL924" s="27"/>
      <c r="AM924" s="27"/>
      <c r="AN924" s="27"/>
      <c r="AO924" s="27"/>
      <c r="AP924" s="27"/>
      <c r="AQ924" s="27"/>
      <c r="AR924" s="27"/>
      <c r="AS924" s="27"/>
      <c r="AT924" s="27"/>
      <c r="AU924" s="27"/>
      <c r="AV924" s="27"/>
      <c r="AW924" s="27"/>
      <c r="AX924" s="27"/>
      <c r="AY924" s="27"/>
      <c r="AZ924" s="27"/>
      <c r="BA924" s="27"/>
      <c r="BB924" s="27"/>
      <c r="BC924" s="27"/>
      <c r="BD924" s="27"/>
      <c r="BE924" s="27"/>
      <c r="BF924" s="27"/>
      <c r="BG924" s="27"/>
      <c r="BH924" s="27"/>
      <c r="BI924" s="27"/>
      <c r="BJ924" s="27"/>
      <c r="BK924" s="27"/>
      <c r="BL924" s="27"/>
      <c r="BM924" s="27"/>
      <c r="BN924" s="27"/>
      <c r="BO924" s="27"/>
      <c r="BP924" s="27"/>
      <c r="BQ924" s="27"/>
      <c r="BR924" s="27"/>
      <c r="BS924" s="27"/>
      <c r="BT924" s="27"/>
      <c r="BU924" s="27"/>
      <c r="BV924" s="27"/>
      <c r="BW924" s="27"/>
      <c r="BX924" s="27"/>
      <c r="BY924" s="27"/>
      <c r="BZ924" s="27"/>
      <c r="CA924" s="27"/>
      <c r="CB924" s="27"/>
      <c r="CC924" s="27"/>
      <c r="CD924" s="27"/>
      <c r="CE924" s="27"/>
      <c r="CF924" s="27"/>
      <c r="CG924" s="27"/>
      <c r="CH924" s="27"/>
      <c r="CI924" s="27"/>
      <c r="CJ924" s="27"/>
      <c r="CK924" s="27"/>
      <c r="CL924" s="27"/>
      <c r="CM924" s="27"/>
      <c r="CN924" s="27"/>
      <c r="CO924" s="27"/>
      <c r="CP924" s="27"/>
      <c r="CQ924" s="27"/>
      <c r="CR924" s="27"/>
      <c r="CS924" s="27"/>
      <c r="CT924" s="27"/>
      <c r="CU924" s="27"/>
      <c r="CV924" s="27"/>
      <c r="CW924" s="27"/>
      <c r="CX924" s="27"/>
      <c r="CY924" s="27"/>
      <c r="CZ924" s="27"/>
      <c r="DA924" s="27"/>
      <c r="DB924" s="27"/>
      <c r="DC924" s="27"/>
      <c r="DD924" s="27"/>
      <c r="DE924" s="27"/>
      <c r="DF924" s="27"/>
      <c r="DG924" s="27"/>
      <c r="DH924" s="27"/>
      <c r="DI924" s="27"/>
      <c r="DJ924" s="27"/>
      <c r="DK924" s="27"/>
      <c r="DL924" s="27"/>
      <c r="DM924" s="27"/>
      <c r="DN924" s="27"/>
      <c r="DO924" s="27"/>
      <c r="DP924" s="27"/>
      <c r="DQ924" s="27"/>
      <c r="DR924" s="27"/>
      <c r="DS924" s="27"/>
      <c r="DT924" s="27"/>
    </row>
    <row r="925" spans="2:124" x14ac:dyDescent="0.2">
      <c r="G925" s="27" t="s">
        <v>513</v>
      </c>
      <c r="H925" s="27">
        <f>Z717</f>
        <v>1</v>
      </c>
      <c r="I925" s="27"/>
      <c r="J925" s="27"/>
      <c r="K925" s="27"/>
      <c r="L925" s="27"/>
      <c r="M925" s="27"/>
      <c r="N925" s="27"/>
      <c r="O925" s="27"/>
      <c r="P925" s="27"/>
      <c r="Q925" s="27"/>
      <c r="R925" s="27"/>
      <c r="S925" s="27"/>
      <c r="T925" s="27"/>
      <c r="U925" s="27"/>
      <c r="V925" s="27"/>
      <c r="W925" s="27"/>
      <c r="X925" s="27"/>
      <c r="Y925" s="27"/>
      <c r="Z925" s="27"/>
      <c r="AA925" s="27"/>
      <c r="AB925" s="27"/>
      <c r="AC925" s="27"/>
      <c r="AD925" s="27"/>
      <c r="AE925" s="27"/>
      <c r="AF925" s="27"/>
      <c r="AG925" s="27"/>
      <c r="AH925" s="27"/>
      <c r="AI925" s="27"/>
      <c r="AJ925" s="27"/>
      <c r="AK925" s="27"/>
      <c r="AL925" s="27"/>
      <c r="AM925" s="27"/>
      <c r="AN925" s="27"/>
      <c r="AO925" s="27"/>
      <c r="AP925" s="27"/>
      <c r="AQ925" s="27"/>
      <c r="AR925" s="27"/>
      <c r="AS925" s="27"/>
      <c r="AT925" s="27"/>
      <c r="AU925" s="27"/>
      <c r="AV925" s="27"/>
      <c r="AW925" s="27"/>
      <c r="AX925" s="27"/>
      <c r="AY925" s="27"/>
      <c r="AZ925" s="27"/>
      <c r="BA925" s="27"/>
      <c r="BB925" s="27"/>
      <c r="BC925" s="27"/>
      <c r="BD925" s="27"/>
      <c r="BE925" s="27"/>
      <c r="BF925" s="27"/>
      <c r="BG925" s="27"/>
      <c r="BH925" s="27"/>
      <c r="BI925" s="27"/>
      <c r="BJ925" s="27"/>
      <c r="BK925" s="27"/>
      <c r="BL925" s="27"/>
      <c r="BM925" s="27"/>
      <c r="BN925" s="27"/>
      <c r="BO925" s="27"/>
      <c r="BP925" s="27"/>
      <c r="BQ925" s="27"/>
      <c r="BR925" s="27"/>
      <c r="BS925" s="27"/>
      <c r="BT925" s="27"/>
      <c r="BU925" s="27"/>
      <c r="BV925" s="27"/>
      <c r="BW925" s="27"/>
      <c r="BX925" s="27"/>
      <c r="BY925" s="27"/>
      <c r="BZ925" s="27"/>
      <c r="CA925" s="27"/>
      <c r="CB925" s="27"/>
      <c r="CC925" s="27"/>
      <c r="CD925" s="27"/>
      <c r="CE925" s="27"/>
      <c r="CF925" s="27"/>
      <c r="CG925" s="27"/>
      <c r="CH925" s="27"/>
      <c r="CI925" s="27"/>
      <c r="CJ925" s="27"/>
      <c r="CK925" s="27"/>
      <c r="CL925" s="27"/>
      <c r="CM925" s="27"/>
      <c r="CN925" s="27"/>
      <c r="CO925" s="27"/>
      <c r="CP925" s="27"/>
      <c r="CQ925" s="27"/>
      <c r="CR925" s="27"/>
      <c r="CS925" s="27"/>
      <c r="CT925" s="27"/>
      <c r="CU925" s="27"/>
      <c r="CV925" s="27"/>
      <c r="CW925" s="27"/>
      <c r="CX925" s="27"/>
      <c r="CY925" s="27"/>
      <c r="CZ925" s="27"/>
      <c r="DA925" s="27"/>
      <c r="DB925" s="27"/>
      <c r="DC925" s="27"/>
      <c r="DD925" s="27"/>
      <c r="DE925" s="27"/>
      <c r="DF925" s="27"/>
      <c r="DG925" s="27"/>
      <c r="DH925" s="27"/>
      <c r="DI925" s="27"/>
      <c r="DJ925" s="27"/>
      <c r="DK925" s="27"/>
      <c r="DL925" s="27"/>
      <c r="DM925" s="27"/>
      <c r="DN925" s="27"/>
      <c r="DO925" s="27"/>
      <c r="DP925" s="27"/>
      <c r="DQ925" s="27"/>
      <c r="DR925" s="27"/>
      <c r="DS925" s="27"/>
      <c r="DT925" s="27"/>
    </row>
    <row r="926" spans="2:124" ht="16.5" thickBot="1" x14ac:dyDescent="0.3">
      <c r="B926" s="134" t="s">
        <v>545</v>
      </c>
      <c r="F926" s="135">
        <f>VLOOKUP(INT(G946),ofek4,INT(BB770)+2,FALSE)*(1+AB746/100)*AX737*T719*T705</f>
        <v>14401.146916299316</v>
      </c>
      <c r="G926" s="27"/>
      <c r="H926" s="27"/>
      <c r="I926" s="27"/>
      <c r="J926" s="27"/>
      <c r="K926" s="27"/>
      <c r="L926" s="27"/>
      <c r="M926" s="27"/>
      <c r="N926" s="27"/>
      <c r="O926" s="27"/>
      <c r="P926" s="27"/>
      <c r="Q926" s="27"/>
      <c r="R926" s="27"/>
      <c r="S926" s="27"/>
      <c r="T926" s="27"/>
      <c r="U926" s="27"/>
      <c r="V926" s="27"/>
      <c r="W926" s="27"/>
      <c r="X926" s="27"/>
      <c r="Y926" s="27"/>
      <c r="Z926" s="27"/>
      <c r="AA926" s="27"/>
      <c r="AB926" s="27"/>
      <c r="AC926" s="27"/>
      <c r="AD926" s="27"/>
      <c r="AE926" s="27"/>
      <c r="AF926" s="27"/>
      <c r="AG926" s="27"/>
      <c r="AH926" s="27"/>
      <c r="AI926" s="27"/>
      <c r="AJ926" s="27"/>
      <c r="AK926" s="27"/>
      <c r="AL926" s="27"/>
      <c r="AM926" s="27"/>
      <c r="AN926" s="27"/>
      <c r="AO926" s="27"/>
      <c r="AP926" s="27"/>
      <c r="AQ926" s="27"/>
      <c r="AR926" s="27"/>
      <c r="AS926" s="27"/>
      <c r="AT926" s="27"/>
      <c r="AU926" s="27"/>
      <c r="AV926" s="27"/>
      <c r="AW926" s="27"/>
      <c r="AX926" s="27"/>
      <c r="AY926" s="27"/>
      <c r="AZ926" s="27"/>
      <c r="BA926" s="27"/>
      <c r="BB926" s="27"/>
      <c r="BC926" s="27"/>
      <c r="BD926" s="27"/>
      <c r="BE926" s="27"/>
      <c r="BF926" s="27"/>
      <c r="BG926" s="27"/>
      <c r="BH926" s="27"/>
      <c r="BI926" s="27"/>
      <c r="BJ926" s="27"/>
      <c r="BK926" s="27"/>
      <c r="BL926" s="27"/>
      <c r="BM926" s="27"/>
      <c r="BN926" s="27"/>
      <c r="BO926" s="27"/>
      <c r="BP926" s="27"/>
      <c r="BQ926" s="27"/>
      <c r="BR926" s="27"/>
      <c r="BS926" s="27"/>
      <c r="BT926" s="27"/>
      <c r="BU926" s="27"/>
      <c r="BV926" s="27"/>
      <c r="BW926" s="27"/>
      <c r="BX926" s="27"/>
      <c r="BY926" s="27"/>
      <c r="BZ926" s="27"/>
      <c r="CA926" s="27"/>
      <c r="CB926" s="27"/>
      <c r="CC926" s="27"/>
      <c r="CD926" s="27"/>
      <c r="CE926" s="27"/>
      <c r="CF926" s="27"/>
      <c r="CG926" s="27"/>
      <c r="CH926" s="27"/>
      <c r="CI926" s="27"/>
      <c r="CJ926" s="27"/>
      <c r="CK926" s="27"/>
      <c r="CL926" s="27"/>
      <c r="CM926" s="27"/>
      <c r="CN926" s="27"/>
      <c r="CO926" s="27"/>
      <c r="CP926" s="27"/>
      <c r="CQ926" s="27"/>
      <c r="CR926" s="27"/>
      <c r="CS926" s="27"/>
      <c r="CT926" s="27"/>
      <c r="CU926" s="27"/>
      <c r="CV926" s="27"/>
      <c r="CW926" s="27"/>
      <c r="CX926" s="27"/>
      <c r="CY926" s="27"/>
      <c r="CZ926" s="27"/>
      <c r="DA926" s="27"/>
      <c r="DB926" s="27"/>
      <c r="DC926" s="27"/>
      <c r="DD926" s="27"/>
      <c r="DE926" s="27"/>
      <c r="DF926" s="27"/>
      <c r="DG926" s="27"/>
      <c r="DH926" s="27"/>
      <c r="DI926" s="27"/>
      <c r="DJ926" s="27"/>
      <c r="DK926" s="27"/>
      <c r="DL926" s="27"/>
      <c r="DM926" s="27"/>
      <c r="DN926" s="27"/>
      <c r="DO926" s="27"/>
      <c r="DP926" s="27"/>
      <c r="DQ926" s="27"/>
      <c r="DR926" s="27"/>
      <c r="DS926" s="27"/>
      <c r="DT926" s="27"/>
    </row>
    <row r="927" spans="2:124" ht="19.5" thickTop="1" thickBot="1" x14ac:dyDescent="0.3">
      <c r="E927" s="63" t="s">
        <v>554</v>
      </c>
      <c r="F927" s="136">
        <f>ROUND((AF735-AL723)/365.25,2)</f>
        <v>52.87</v>
      </c>
      <c r="G927" s="27"/>
      <c r="H927" s="27"/>
      <c r="I927" s="27"/>
      <c r="J927" s="27"/>
      <c r="K927" s="27"/>
      <c r="L927" s="27"/>
      <c r="M927" s="27"/>
      <c r="N927" s="27"/>
      <c r="O927" s="27"/>
      <c r="P927" s="27"/>
      <c r="Q927" s="27"/>
      <c r="R927" s="27"/>
      <c r="S927" s="27"/>
      <c r="T927" s="27"/>
      <c r="U927" s="27"/>
      <c r="V927" s="27"/>
      <c r="W927" s="27"/>
      <c r="X927" s="27"/>
      <c r="Y927" s="27"/>
      <c r="Z927" s="27"/>
      <c r="AA927" s="27"/>
      <c r="AB927" s="27"/>
      <c r="AC927" s="27"/>
      <c r="AD927" s="27"/>
      <c r="AE927" s="27"/>
      <c r="AF927" s="27"/>
      <c r="AG927" s="27"/>
      <c r="AH927" s="27"/>
      <c r="AI927" s="27"/>
      <c r="AJ927" s="27"/>
      <c r="AK927" s="27"/>
      <c r="AL927" s="27"/>
      <c r="AM927" s="27"/>
      <c r="AN927" s="27"/>
      <c r="AO927" s="27"/>
      <c r="AP927" s="27"/>
      <c r="AQ927" s="27"/>
      <c r="AR927" s="27"/>
      <c r="AS927" s="27"/>
      <c r="AT927" s="27"/>
      <c r="AU927" s="27"/>
      <c r="AV927" s="27"/>
      <c r="AW927" s="27"/>
      <c r="AX927" s="27"/>
      <c r="AY927" s="27"/>
      <c r="AZ927" s="27"/>
      <c r="BA927" s="27"/>
      <c r="BB927" s="27"/>
      <c r="BC927" s="27"/>
      <c r="BD927" s="27"/>
      <c r="BE927" s="27"/>
      <c r="BF927" s="27"/>
      <c r="BG927" s="27"/>
      <c r="BH927" s="27"/>
      <c r="BI927" s="27"/>
      <c r="BJ927" s="27"/>
      <c r="BK927" s="27"/>
      <c r="BL927" s="27"/>
      <c r="BM927" s="27"/>
      <c r="BN927" s="27"/>
      <c r="BO927" s="27"/>
      <c r="BP927" s="27"/>
      <c r="BQ927" s="27"/>
      <c r="BR927" s="27"/>
      <c r="BS927" s="27"/>
      <c r="BT927" s="27"/>
      <c r="BU927" s="27"/>
      <c r="BV927" s="27"/>
      <c r="BW927" s="27"/>
      <c r="BX927" s="27"/>
      <c r="BY927" s="27"/>
      <c r="BZ927" s="27"/>
      <c r="CA927" s="27"/>
      <c r="CB927" s="27"/>
      <c r="CC927" s="27"/>
      <c r="CD927" s="27"/>
      <c r="CE927" s="27"/>
      <c r="CF927" s="27"/>
      <c r="CG927" s="27"/>
      <c r="CH927" s="27"/>
      <c r="CI927" s="27"/>
      <c r="CJ927" s="27"/>
      <c r="CK927" s="27"/>
      <c r="CL927" s="27"/>
      <c r="CM927" s="27"/>
      <c r="CN927" s="27"/>
      <c r="CO927" s="27"/>
      <c r="CP927" s="27"/>
      <c r="CQ927" s="27"/>
      <c r="CR927" s="27"/>
      <c r="CS927" s="27"/>
      <c r="CT927" s="27"/>
      <c r="CU927" s="27"/>
      <c r="CV927" s="27"/>
      <c r="CW927" s="27"/>
      <c r="CX927" s="27"/>
      <c r="CY927" s="27"/>
      <c r="CZ927" s="27"/>
      <c r="DA927" s="27"/>
      <c r="DB927" s="27"/>
      <c r="DC927" s="27"/>
      <c r="DD927" s="27"/>
      <c r="DE927" s="27"/>
      <c r="DF927" s="27"/>
      <c r="DG927" s="27"/>
      <c r="DH927" s="27"/>
      <c r="DI927" s="27"/>
      <c r="DJ927" s="27"/>
      <c r="DK927" s="27"/>
      <c r="DL927" s="27"/>
      <c r="DM927" s="27"/>
      <c r="DN927" s="27"/>
      <c r="DO927" s="27"/>
      <c r="DP927" s="27"/>
      <c r="DQ927" s="27"/>
      <c r="DR927" s="27"/>
      <c r="DS927" s="27"/>
      <c r="DT927" s="27"/>
    </row>
    <row r="928" spans="2:124" ht="15.75" thickTop="1" thickBot="1" x14ac:dyDescent="0.25">
      <c r="E928" s="137">
        <f>IF(E108=AI705,IF(BB770+I890&gt;9,9,IF(BB770=D102+I890,BB770,IF(INT(BB770+I890)=BB770+I890,BB770+I890,BB770+I890+0.5))),E108)</f>
        <v>0</v>
      </c>
      <c r="F928" s="138">
        <f>AF735</f>
        <v>40574</v>
      </c>
      <c r="G928" s="27"/>
      <c r="H928" s="27"/>
      <c r="I928" s="27"/>
      <c r="J928" s="27"/>
      <c r="K928" s="27"/>
      <c r="L928" s="27"/>
      <c r="M928" s="27"/>
      <c r="N928" s="27"/>
      <c r="O928" s="27"/>
      <c r="P928" s="27"/>
      <c r="Q928" s="27"/>
      <c r="R928" s="27"/>
      <c r="S928" s="27"/>
      <c r="T928" s="27"/>
      <c r="U928" s="27"/>
      <c r="V928" s="27"/>
      <c r="W928" s="27"/>
      <c r="X928" s="27"/>
      <c r="Y928" s="27"/>
      <c r="Z928" s="27"/>
      <c r="AA928" s="27"/>
      <c r="AB928" s="27"/>
      <c r="AC928" s="27"/>
      <c r="AD928" s="27"/>
      <c r="AE928" s="27"/>
      <c r="AF928" s="27"/>
      <c r="AG928" s="27"/>
      <c r="AH928" s="27"/>
      <c r="AI928" s="27"/>
      <c r="AJ928" s="27"/>
      <c r="AK928" s="27"/>
      <c r="AL928" s="27"/>
      <c r="AM928" s="27"/>
      <c r="AN928" s="27"/>
      <c r="AO928" s="27"/>
      <c r="AP928" s="27"/>
      <c r="AQ928" s="27"/>
      <c r="AR928" s="27"/>
      <c r="AS928" s="27"/>
      <c r="AT928" s="27"/>
      <c r="AU928" s="27"/>
      <c r="AV928" s="27"/>
      <c r="AW928" s="27"/>
      <c r="AX928" s="27"/>
      <c r="AY928" s="27"/>
      <c r="AZ928" s="27"/>
      <c r="BA928" s="27"/>
      <c r="BB928" s="27"/>
      <c r="BC928" s="27"/>
      <c r="BD928" s="27"/>
      <c r="BE928" s="27"/>
      <c r="BF928" s="27"/>
      <c r="BG928" s="27"/>
      <c r="BH928" s="27"/>
      <c r="BI928" s="27"/>
      <c r="BJ928" s="27"/>
      <c r="BK928" s="27"/>
      <c r="BL928" s="27"/>
      <c r="BM928" s="27"/>
      <c r="BN928" s="27"/>
      <c r="BO928" s="27"/>
      <c r="BP928" s="27"/>
      <c r="BQ928" s="27"/>
      <c r="BR928" s="27"/>
      <c r="BS928" s="27"/>
      <c r="BT928" s="27"/>
      <c r="BU928" s="27"/>
      <c r="BV928" s="27"/>
      <c r="BW928" s="27"/>
      <c r="BX928" s="27"/>
      <c r="BY928" s="27"/>
      <c r="BZ928" s="27"/>
      <c r="CA928" s="27"/>
      <c r="CB928" s="27"/>
      <c r="CC928" s="27"/>
      <c r="CD928" s="27"/>
      <c r="CE928" s="27"/>
      <c r="CF928" s="27"/>
      <c r="CG928" s="27"/>
      <c r="CH928" s="27"/>
      <c r="CI928" s="27"/>
      <c r="CJ928" s="27"/>
      <c r="CK928" s="27"/>
      <c r="CL928" s="27"/>
      <c r="CM928" s="27"/>
      <c r="CN928" s="27"/>
      <c r="CO928" s="27"/>
      <c r="CP928" s="27"/>
      <c r="CQ928" s="27"/>
      <c r="CR928" s="27"/>
      <c r="CS928" s="27"/>
      <c r="CT928" s="27"/>
      <c r="CU928" s="27"/>
      <c r="CV928" s="27"/>
      <c r="CW928" s="27"/>
      <c r="CX928" s="27"/>
      <c r="CY928" s="27"/>
      <c r="CZ928" s="27"/>
      <c r="DA928" s="27"/>
      <c r="DB928" s="27"/>
      <c r="DC928" s="27"/>
      <c r="DD928" s="27"/>
      <c r="DE928" s="27"/>
      <c r="DF928" s="27"/>
      <c r="DG928" s="27"/>
      <c r="DH928" s="27"/>
      <c r="DI928" s="27"/>
      <c r="DJ928" s="27"/>
      <c r="DK928" s="27"/>
      <c r="DL928" s="27"/>
      <c r="DM928" s="27"/>
      <c r="DN928" s="27"/>
      <c r="DO928" s="27"/>
      <c r="DP928" s="27"/>
      <c r="DQ928" s="27"/>
      <c r="DR928" s="27"/>
      <c r="DS928" s="27"/>
      <c r="DT928" s="27"/>
    </row>
    <row r="929" spans="3:124" ht="16.5" thickTop="1" thickBot="1" x14ac:dyDescent="0.3">
      <c r="E929" s="139" t="e">
        <f>VLOOKUP(INT(G946),ofek4,E928+2,FALSE)*((1+AE738/100)^(AB746+AD746))*AX737*T719*T705</f>
        <v>#REF!</v>
      </c>
      <c r="F929" s="140" t="str">
        <f>BB769</f>
        <v>ד"ר</v>
      </c>
      <c r="G929" s="27"/>
      <c r="H929" s="27"/>
      <c r="I929" s="27"/>
      <c r="J929" s="27"/>
      <c r="K929" s="27"/>
      <c r="L929" s="27"/>
      <c r="M929" s="27"/>
      <c r="N929" s="27"/>
      <c r="O929" s="27"/>
      <c r="P929" s="27"/>
      <c r="Q929" s="27"/>
      <c r="R929" s="27"/>
      <c r="S929" s="27"/>
      <c r="T929" s="27"/>
      <c r="U929" s="27"/>
      <c r="V929" s="27"/>
      <c r="W929" s="27"/>
      <c r="X929" s="27"/>
      <c r="Y929" s="27"/>
      <c r="Z929" s="27"/>
      <c r="AA929" s="27"/>
      <c r="AB929" s="27"/>
      <c r="AC929" s="27"/>
      <c r="AD929" s="27"/>
      <c r="AE929" s="27"/>
      <c r="AF929" s="27"/>
      <c r="AG929" s="27"/>
      <c r="AH929" s="27"/>
      <c r="AI929" s="27"/>
      <c r="AJ929" s="27"/>
      <c r="AK929" s="27"/>
      <c r="AL929" s="27"/>
      <c r="AM929" s="27"/>
      <c r="AN929" s="27"/>
      <c r="AO929" s="27"/>
      <c r="AP929" s="27"/>
      <c r="AQ929" s="27"/>
      <c r="AR929" s="27"/>
      <c r="AS929" s="27"/>
      <c r="AT929" s="27"/>
      <c r="AU929" s="27"/>
      <c r="AV929" s="27"/>
      <c r="AW929" s="27"/>
      <c r="AX929" s="27"/>
      <c r="AY929" s="27"/>
      <c r="AZ929" s="27"/>
      <c r="BA929" s="27"/>
      <c r="BB929" s="27"/>
      <c r="BC929" s="27"/>
      <c r="BD929" s="27"/>
      <c r="BE929" s="27"/>
      <c r="BF929" s="27"/>
      <c r="BG929" s="27"/>
      <c r="BH929" s="27"/>
      <c r="BI929" s="27"/>
      <c r="BJ929" s="27"/>
      <c r="BK929" s="27"/>
      <c r="BL929" s="27"/>
      <c r="BM929" s="27"/>
      <c r="BN929" s="27"/>
      <c r="BO929" s="27"/>
      <c r="BP929" s="27"/>
      <c r="BQ929" s="27"/>
      <c r="BR929" s="27"/>
      <c r="BS929" s="27"/>
      <c r="BT929" s="27"/>
      <c r="BU929" s="27"/>
      <c r="BV929" s="27"/>
      <c r="BW929" s="27"/>
      <c r="BX929" s="27"/>
      <c r="BY929" s="27"/>
      <c r="BZ929" s="27"/>
      <c r="CA929" s="27"/>
      <c r="CB929" s="27"/>
      <c r="CC929" s="27"/>
      <c r="CD929" s="27"/>
      <c r="CE929" s="27"/>
      <c r="CF929" s="27"/>
      <c r="CG929" s="27"/>
      <c r="CH929" s="27"/>
      <c r="CI929" s="27"/>
      <c r="CJ929" s="27"/>
      <c r="CK929" s="27"/>
      <c r="CL929" s="27"/>
      <c r="CM929" s="27"/>
      <c r="CN929" s="27"/>
      <c r="CO929" s="27"/>
      <c r="CP929" s="27"/>
      <c r="CQ929" s="27"/>
      <c r="CR929" s="27"/>
      <c r="CS929" s="27"/>
      <c r="CT929" s="27"/>
      <c r="CU929" s="27"/>
      <c r="CV929" s="27"/>
      <c r="CW929" s="27"/>
      <c r="CX929" s="27"/>
      <c r="CY929" s="27"/>
      <c r="CZ929" s="27"/>
      <c r="DA929" s="27"/>
      <c r="DB929" s="27"/>
      <c r="DC929" s="27"/>
      <c r="DD929" s="27"/>
      <c r="DE929" s="27"/>
      <c r="DF929" s="27"/>
      <c r="DG929" s="27"/>
      <c r="DH929" s="27"/>
      <c r="DI929" s="27"/>
      <c r="DJ929" s="27"/>
      <c r="DK929" s="27"/>
      <c r="DL929" s="27"/>
      <c r="DM929" s="27"/>
      <c r="DN929" s="27"/>
      <c r="DO929" s="27"/>
      <c r="DP929" s="27"/>
      <c r="DQ929" s="27"/>
      <c r="DR929" s="27"/>
      <c r="DS929" s="27"/>
      <c r="DT929" s="27"/>
    </row>
    <row r="930" spans="3:124" ht="15" thickTop="1" x14ac:dyDescent="0.2">
      <c r="E930" s="139">
        <v>0</v>
      </c>
      <c r="G930" s="27"/>
      <c r="H930" s="27"/>
      <c r="I930" s="27"/>
      <c r="J930" s="27"/>
      <c r="K930" s="27"/>
      <c r="L930" s="27"/>
      <c r="M930" s="27"/>
      <c r="N930" s="27"/>
      <c r="O930" s="27"/>
      <c r="P930" s="27"/>
      <c r="Q930" s="27"/>
      <c r="R930" s="27"/>
      <c r="S930" s="27"/>
      <c r="T930" s="27"/>
      <c r="U930" s="27"/>
      <c r="V930" s="27"/>
      <c r="W930" s="27"/>
      <c r="X930" s="27"/>
      <c r="Y930" s="27"/>
      <c r="Z930" s="27"/>
      <c r="AA930" s="27"/>
      <c r="AB930" s="27"/>
      <c r="AC930" s="27"/>
      <c r="AD930" s="27"/>
      <c r="AE930" s="27"/>
      <c r="AF930" s="27"/>
      <c r="AG930" s="27"/>
      <c r="AH930" s="27"/>
      <c r="AI930" s="27"/>
      <c r="AJ930" s="27"/>
      <c r="AK930" s="27"/>
      <c r="AL930" s="27"/>
      <c r="AM930" s="27"/>
      <c r="AN930" s="27"/>
      <c r="AO930" s="27"/>
      <c r="AP930" s="27"/>
      <c r="AQ930" s="27"/>
      <c r="AR930" s="27"/>
      <c r="AS930" s="27"/>
      <c r="AT930" s="27"/>
      <c r="AU930" s="27"/>
      <c r="AV930" s="27"/>
      <c r="AW930" s="27"/>
      <c r="AX930" s="27"/>
      <c r="AY930" s="27"/>
      <c r="AZ930" s="27"/>
      <c r="BA930" s="27"/>
      <c r="BB930" s="27"/>
      <c r="BC930" s="27"/>
      <c r="BD930" s="27"/>
      <c r="BE930" s="27"/>
      <c r="BF930" s="27"/>
      <c r="BG930" s="27"/>
      <c r="BH930" s="27"/>
      <c r="BI930" s="27"/>
      <c r="BJ930" s="27"/>
      <c r="BK930" s="27"/>
      <c r="BL930" s="27"/>
      <c r="BM930" s="27"/>
      <c r="BN930" s="27"/>
      <c r="BO930" s="27"/>
      <c r="BP930" s="27"/>
      <c r="BQ930" s="27"/>
      <c r="BR930" s="27"/>
      <c r="BS930" s="27"/>
      <c r="BT930" s="27"/>
      <c r="BU930" s="27"/>
      <c r="BV930" s="27"/>
      <c r="BW930" s="27"/>
      <c r="BX930" s="27"/>
      <c r="BY930" s="27"/>
      <c r="BZ930" s="27"/>
      <c r="CA930" s="27"/>
      <c r="CB930" s="27"/>
      <c r="CC930" s="27"/>
      <c r="CD930" s="27"/>
      <c r="CE930" s="27"/>
      <c r="CF930" s="27"/>
      <c r="CG930" s="27"/>
      <c r="CH930" s="27"/>
      <c r="CI930" s="27"/>
      <c r="CJ930" s="27"/>
      <c r="CK930" s="27"/>
      <c r="CL930" s="27"/>
      <c r="CM930" s="27"/>
      <c r="CN930" s="27"/>
      <c r="CO930" s="27"/>
      <c r="CP930" s="27"/>
      <c r="CQ930" s="27"/>
      <c r="CR930" s="27"/>
      <c r="CS930" s="27"/>
      <c r="CT930" s="27"/>
      <c r="CU930" s="27"/>
      <c r="CV930" s="27"/>
      <c r="CW930" s="27"/>
      <c r="CX930" s="27"/>
      <c r="CY930" s="27"/>
      <c r="CZ930" s="27"/>
      <c r="DA930" s="27"/>
      <c r="DB930" s="27"/>
      <c r="DC930" s="27"/>
      <c r="DD930" s="27"/>
      <c r="DE930" s="27"/>
      <c r="DF930" s="27"/>
      <c r="DG930" s="27"/>
      <c r="DH930" s="27"/>
      <c r="DI930" s="27"/>
      <c r="DJ930" s="27"/>
      <c r="DK930" s="27"/>
      <c r="DL930" s="27"/>
      <c r="DM930" s="27"/>
      <c r="DN930" s="27"/>
      <c r="DO930" s="27"/>
      <c r="DP930" s="27"/>
      <c r="DQ930" s="27"/>
      <c r="DR930" s="27"/>
      <c r="DS930" s="27"/>
      <c r="DT930" s="27"/>
    </row>
    <row r="931" spans="3:124" x14ac:dyDescent="0.2">
      <c r="E931" s="139">
        <v>0</v>
      </c>
      <c r="G931" s="27"/>
      <c r="H931" s="27"/>
      <c r="I931" s="27"/>
      <c r="J931" s="27"/>
      <c r="K931" s="27"/>
      <c r="L931" s="27"/>
      <c r="M931" s="27"/>
      <c r="N931" s="27"/>
      <c r="O931" s="27"/>
      <c r="P931" s="27"/>
      <c r="Q931" s="27"/>
      <c r="R931" s="27"/>
      <c r="S931" s="27"/>
      <c r="T931" s="27"/>
      <c r="U931" s="27"/>
      <c r="V931" s="27"/>
      <c r="W931" s="27"/>
      <c r="X931" s="27"/>
      <c r="Y931" s="27"/>
      <c r="Z931" s="27"/>
      <c r="AA931" s="27"/>
      <c r="AB931" s="27"/>
      <c r="AC931" s="27"/>
      <c r="AD931" s="27"/>
      <c r="AE931" s="27"/>
      <c r="AF931" s="27"/>
      <c r="AG931" s="27"/>
      <c r="AH931" s="27"/>
      <c r="AI931" s="27"/>
      <c r="AJ931" s="27"/>
      <c r="AK931" s="27"/>
      <c r="AL931" s="27"/>
      <c r="AM931" s="27"/>
      <c r="AN931" s="27"/>
      <c r="AO931" s="27"/>
      <c r="AP931" s="27"/>
      <c r="AQ931" s="27"/>
      <c r="AR931" s="27"/>
      <c r="AS931" s="27"/>
      <c r="AT931" s="27"/>
      <c r="AU931" s="27"/>
      <c r="AV931" s="27"/>
      <c r="AW931" s="27"/>
      <c r="AX931" s="27"/>
      <c r="AY931" s="27"/>
      <c r="AZ931" s="27"/>
      <c r="BA931" s="27"/>
      <c r="BB931" s="27"/>
      <c r="BC931" s="27"/>
      <c r="BD931" s="27"/>
      <c r="BE931" s="27"/>
      <c r="BF931" s="27"/>
      <c r="BG931" s="27"/>
      <c r="BH931" s="27"/>
      <c r="BI931" s="27"/>
      <c r="BJ931" s="27"/>
      <c r="BK931" s="27"/>
      <c r="BL931" s="27"/>
      <c r="BM931" s="27"/>
      <c r="BN931" s="27"/>
      <c r="BO931" s="27"/>
      <c r="BP931" s="27"/>
      <c r="BQ931" s="27"/>
      <c r="BR931" s="27"/>
      <c r="BS931" s="27"/>
      <c r="BT931" s="27"/>
      <c r="BU931" s="27"/>
      <c r="BV931" s="27"/>
      <c r="BW931" s="27"/>
      <c r="BX931" s="27"/>
      <c r="BY931" s="27"/>
      <c r="BZ931" s="27"/>
      <c r="CA931" s="27"/>
      <c r="CB931" s="27"/>
      <c r="CC931" s="27"/>
      <c r="CD931" s="27"/>
      <c r="CE931" s="27"/>
      <c r="CF931" s="27"/>
      <c r="CG931" s="27"/>
      <c r="CH931" s="27"/>
      <c r="CI931" s="27"/>
      <c r="CJ931" s="27"/>
      <c r="CK931" s="27"/>
      <c r="CL931" s="27"/>
      <c r="CM931" s="27"/>
      <c r="CN931" s="27"/>
      <c r="CO931" s="27"/>
      <c r="CP931" s="27"/>
      <c r="CQ931" s="27"/>
      <c r="CR931" s="27"/>
      <c r="CS931" s="27"/>
      <c r="CT931" s="27"/>
      <c r="CU931" s="27"/>
      <c r="CV931" s="27"/>
      <c r="CW931" s="27"/>
      <c r="CX931" s="27"/>
      <c r="CY931" s="27"/>
      <c r="CZ931" s="27"/>
      <c r="DA931" s="27"/>
      <c r="DB931" s="27"/>
      <c r="DC931" s="27"/>
      <c r="DD931" s="27"/>
      <c r="DE931" s="27"/>
      <c r="DF931" s="27"/>
      <c r="DG931" s="27"/>
      <c r="DH931" s="27"/>
      <c r="DI931" s="27"/>
      <c r="DJ931" s="27"/>
      <c r="DK931" s="27"/>
      <c r="DL931" s="27"/>
      <c r="DM931" s="27"/>
      <c r="DN931" s="27"/>
      <c r="DO931" s="27"/>
      <c r="DP931" s="27"/>
      <c r="DQ931" s="27"/>
      <c r="DR931" s="27"/>
      <c r="DS931" s="27"/>
      <c r="DT931" s="27"/>
    </row>
    <row r="932" spans="3:124" x14ac:dyDescent="0.2">
      <c r="E932" s="139">
        <v>0</v>
      </c>
      <c r="G932" s="27"/>
      <c r="H932" s="27" t="s">
        <v>59</v>
      </c>
      <c r="I932" s="27"/>
      <c r="J932" s="27"/>
      <c r="K932" s="27"/>
      <c r="L932" s="27"/>
      <c r="M932" s="27"/>
      <c r="N932" s="27"/>
      <c r="O932" s="27"/>
      <c r="P932" s="27"/>
      <c r="Q932" s="27"/>
      <c r="R932" s="27"/>
      <c r="S932" s="27"/>
      <c r="T932" s="27"/>
      <c r="U932" s="27"/>
      <c r="V932" s="27"/>
      <c r="W932" s="27"/>
      <c r="X932" s="27"/>
      <c r="Y932" s="27"/>
      <c r="Z932" s="27"/>
      <c r="AA932" s="27"/>
      <c r="AB932" s="27"/>
      <c r="AC932" s="27"/>
      <c r="AD932" s="27"/>
      <c r="AE932" s="27"/>
      <c r="AF932" s="27"/>
      <c r="AG932" s="27"/>
      <c r="AH932" s="27"/>
      <c r="AI932" s="27"/>
      <c r="AJ932" s="27"/>
      <c r="AK932" s="27"/>
      <c r="AL932" s="27"/>
      <c r="AM932" s="27"/>
      <c r="AN932" s="27"/>
      <c r="AO932" s="27"/>
      <c r="AP932" s="27"/>
      <c r="AQ932" s="27"/>
      <c r="AR932" s="27"/>
      <c r="AS932" s="27"/>
      <c r="AT932" s="27"/>
      <c r="AU932" s="27"/>
      <c r="AV932" s="27"/>
      <c r="AW932" s="27"/>
      <c r="AX932" s="27"/>
      <c r="AY932" s="27"/>
      <c r="AZ932" s="27"/>
      <c r="BA932" s="27"/>
      <c r="BB932" s="27"/>
      <c r="BC932" s="27"/>
      <c r="BD932" s="27"/>
      <c r="BE932" s="27"/>
      <c r="BF932" s="27"/>
      <c r="BG932" s="27"/>
      <c r="BH932" s="27"/>
      <c r="BI932" s="27"/>
      <c r="BJ932" s="27"/>
      <c r="BK932" s="27"/>
      <c r="BL932" s="27"/>
      <c r="BM932" s="27"/>
      <c r="BN932" s="27"/>
      <c r="BO932" s="27"/>
      <c r="BP932" s="27"/>
      <c r="BQ932" s="27"/>
      <c r="BR932" s="27"/>
      <c r="BS932" s="27"/>
      <c r="BT932" s="27"/>
      <c r="BU932" s="27"/>
      <c r="BV932" s="27"/>
      <c r="BW932" s="27"/>
      <c r="BX932" s="27"/>
      <c r="BY932" s="27"/>
      <c r="BZ932" s="27"/>
      <c r="CA932" s="27"/>
      <c r="CB932" s="27"/>
      <c r="CC932" s="27"/>
      <c r="CD932" s="27"/>
      <c r="CE932" s="27"/>
      <c r="CF932" s="27"/>
      <c r="CG932" s="27"/>
      <c r="CH932" s="27"/>
      <c r="CI932" s="27"/>
      <c r="CJ932" s="27"/>
      <c r="CK932" s="27"/>
      <c r="CL932" s="27"/>
      <c r="CM932" s="27"/>
      <c r="CN932" s="27"/>
      <c r="CO932" s="27"/>
      <c r="CP932" s="27"/>
      <c r="CQ932" s="27"/>
      <c r="CR932" s="27"/>
      <c r="CS932" s="27"/>
      <c r="CT932" s="27"/>
      <c r="CU932" s="27"/>
      <c r="CV932" s="27"/>
      <c r="CW932" s="27"/>
      <c r="CX932" s="27"/>
      <c r="CY932" s="27"/>
      <c r="CZ932" s="27"/>
      <c r="DA932" s="27"/>
      <c r="DB932" s="27"/>
      <c r="DC932" s="27"/>
      <c r="DD932" s="27"/>
      <c r="DE932" s="27"/>
      <c r="DF932" s="27"/>
      <c r="DG932" s="27"/>
      <c r="DH932" s="27"/>
      <c r="DI932" s="27"/>
      <c r="DJ932" s="27"/>
      <c r="DK932" s="27"/>
      <c r="DL932" s="27"/>
      <c r="DM932" s="27"/>
      <c r="DN932" s="27"/>
      <c r="DO932" s="27"/>
      <c r="DP932" s="27"/>
      <c r="DQ932" s="27"/>
      <c r="DR932" s="27"/>
      <c r="DS932" s="27"/>
      <c r="DT932" s="27"/>
    </row>
    <row r="933" spans="3:124" x14ac:dyDescent="0.2">
      <c r="E933" s="139">
        <v>0</v>
      </c>
      <c r="G933" s="27"/>
      <c r="H933" s="27"/>
      <c r="I933" s="27"/>
      <c r="J933" s="27"/>
      <c r="K933" s="27"/>
      <c r="L933" s="27"/>
      <c r="M933" s="27"/>
      <c r="N933" s="27"/>
      <c r="O933" s="27"/>
      <c r="P933" s="27"/>
      <c r="Q933" s="27"/>
      <c r="R933" s="27"/>
      <c r="S933" s="27"/>
      <c r="T933" s="27"/>
      <c r="U933" s="27"/>
      <c r="V933" s="27"/>
      <c r="W933" s="27"/>
      <c r="X933" s="27"/>
      <c r="Y933" s="27"/>
      <c r="Z933" s="27"/>
      <c r="AA933" s="27"/>
      <c r="AB933" s="27"/>
      <c r="AC933" s="27"/>
      <c r="AD933" s="27"/>
      <c r="AE933" s="27"/>
      <c r="AF933" s="27"/>
      <c r="AG933" s="27"/>
      <c r="AH933" s="27"/>
      <c r="AI933" s="27"/>
      <c r="AJ933" s="27"/>
      <c r="AK933" s="27"/>
      <c r="AL933" s="27"/>
      <c r="AM933" s="27"/>
      <c r="AN933" s="27"/>
      <c r="AO933" s="27"/>
      <c r="AP933" s="27"/>
      <c r="AQ933" s="27"/>
      <c r="AR933" s="27"/>
      <c r="AS933" s="27"/>
      <c r="AT933" s="27"/>
      <c r="AU933" s="27"/>
      <c r="AV933" s="27"/>
      <c r="AW933" s="27"/>
      <c r="AX933" s="27"/>
      <c r="AY933" s="27"/>
      <c r="AZ933" s="27"/>
      <c r="BA933" s="27"/>
      <c r="BB933" s="27"/>
      <c r="BC933" s="27"/>
      <c r="BD933" s="27"/>
      <c r="BE933" s="27"/>
      <c r="BF933" s="27"/>
      <c r="BG933" s="27"/>
      <c r="BH933" s="27"/>
      <c r="BI933" s="27"/>
      <c r="BJ933" s="27"/>
      <c r="BK933" s="27"/>
      <c r="BL933" s="27"/>
      <c r="BM933" s="27"/>
      <c r="BN933" s="27"/>
      <c r="BO933" s="27"/>
      <c r="BP933" s="27"/>
      <c r="BQ933" s="27"/>
      <c r="BR933" s="27"/>
      <c r="BS933" s="27"/>
      <c r="BT933" s="27"/>
      <c r="BU933" s="27"/>
      <c r="BV933" s="27"/>
      <c r="BW933" s="27"/>
      <c r="BX933" s="27"/>
      <c r="BY933" s="27"/>
      <c r="BZ933" s="27"/>
      <c r="CA933" s="27"/>
      <c r="CB933" s="27"/>
      <c r="CC933" s="27"/>
      <c r="CD933" s="27"/>
      <c r="CE933" s="27"/>
      <c r="CF933" s="27"/>
      <c r="CG933" s="27"/>
      <c r="CH933" s="27"/>
      <c r="CI933" s="27"/>
      <c r="CJ933" s="27"/>
      <c r="CK933" s="27"/>
      <c r="CL933" s="27"/>
      <c r="CM933" s="27"/>
      <c r="CN933" s="27"/>
      <c r="CO933" s="27"/>
      <c r="CP933" s="27"/>
      <c r="CQ933" s="27"/>
      <c r="CR933" s="27"/>
      <c r="CS933" s="27"/>
      <c r="CT933" s="27"/>
      <c r="CU933" s="27"/>
      <c r="CV933" s="27"/>
      <c r="CW933" s="27"/>
      <c r="CX933" s="27"/>
      <c r="CY933" s="27"/>
      <c r="CZ933" s="27"/>
      <c r="DA933" s="27"/>
      <c r="DB933" s="27"/>
      <c r="DC933" s="27"/>
      <c r="DD933" s="27"/>
      <c r="DE933" s="27"/>
      <c r="DF933" s="27"/>
      <c r="DG933" s="27"/>
      <c r="DH933" s="27"/>
      <c r="DI933" s="27"/>
      <c r="DJ933" s="27"/>
      <c r="DK933" s="27"/>
      <c r="DL933" s="27"/>
      <c r="DM933" s="27"/>
      <c r="DN933" s="27"/>
      <c r="DO933" s="27"/>
      <c r="DP933" s="27"/>
      <c r="DQ933" s="27"/>
      <c r="DR933" s="27"/>
      <c r="DS933" s="27"/>
      <c r="DT933" s="27"/>
    </row>
    <row r="934" spans="3:124" x14ac:dyDescent="0.2">
      <c r="C934" s="44" t="str">
        <f>BA783</f>
        <v>תוספת ערבה</v>
      </c>
      <c r="D934" s="141">
        <f>W749</f>
        <v>0</v>
      </c>
      <c r="E934" s="139">
        <f>BB783</f>
        <v>0</v>
      </c>
      <c r="G934" s="27"/>
      <c r="H934" s="27"/>
      <c r="I934" s="27"/>
      <c r="J934" s="27"/>
      <c r="K934" s="27"/>
      <c r="L934" s="27"/>
      <c r="M934" s="27"/>
      <c r="N934" s="27"/>
      <c r="O934" s="27"/>
      <c r="P934" s="27"/>
      <c r="Q934" s="27"/>
      <c r="R934" s="27"/>
      <c r="S934" s="27"/>
      <c r="T934" s="27"/>
      <c r="U934" s="27"/>
      <c r="V934" s="27"/>
      <c r="W934" s="27"/>
      <c r="X934" s="27"/>
      <c r="Y934" s="27"/>
      <c r="Z934" s="27"/>
      <c r="AA934" s="27"/>
      <c r="AB934" s="27"/>
      <c r="AC934" s="27"/>
      <c r="AD934" s="27"/>
      <c r="AE934" s="27"/>
      <c r="AF934" s="27"/>
      <c r="AG934" s="27"/>
      <c r="AH934" s="27"/>
      <c r="AI934" s="27"/>
      <c r="AJ934" s="27"/>
      <c r="AK934" s="27"/>
      <c r="AL934" s="27"/>
      <c r="AM934" s="27"/>
      <c r="AN934" s="27"/>
      <c r="AO934" s="27"/>
      <c r="AP934" s="27"/>
      <c r="AQ934" s="27"/>
      <c r="AR934" s="27"/>
      <c r="AS934" s="27"/>
      <c r="AT934" s="27"/>
      <c r="AU934" s="27"/>
      <c r="AV934" s="27"/>
      <c r="AW934" s="27"/>
      <c r="AX934" s="27"/>
      <c r="AY934" s="27"/>
      <c r="AZ934" s="27"/>
      <c r="BA934" s="27"/>
      <c r="BB934" s="27"/>
      <c r="BC934" s="27"/>
      <c r="BD934" s="27"/>
      <c r="BE934" s="27"/>
      <c r="BF934" s="27"/>
      <c r="BG934" s="27"/>
      <c r="BH934" s="27"/>
      <c r="BI934" s="27"/>
      <c r="BJ934" s="27"/>
      <c r="BK934" s="27"/>
      <c r="BL934" s="27"/>
      <c r="BM934" s="27"/>
      <c r="BN934" s="27"/>
      <c r="BO934" s="27"/>
      <c r="BP934" s="27"/>
      <c r="BQ934" s="27"/>
      <c r="BR934" s="27"/>
      <c r="BS934" s="27"/>
      <c r="BT934" s="27"/>
      <c r="BU934" s="27"/>
      <c r="BV934" s="27"/>
      <c r="BW934" s="27"/>
      <c r="BX934" s="27"/>
      <c r="BY934" s="27"/>
      <c r="BZ934" s="27"/>
      <c r="CA934" s="27"/>
      <c r="CB934" s="27"/>
      <c r="CC934" s="27"/>
      <c r="CD934" s="27"/>
      <c r="CE934" s="27"/>
      <c r="CF934" s="27"/>
      <c r="CG934" s="27"/>
      <c r="CH934" s="27"/>
      <c r="CI934" s="27"/>
      <c r="CJ934" s="27"/>
      <c r="CK934" s="27"/>
      <c r="CL934" s="27"/>
      <c r="CM934" s="27"/>
      <c r="CN934" s="27"/>
      <c r="CO934" s="27"/>
      <c r="CP934" s="27"/>
      <c r="CQ934" s="27"/>
      <c r="CR934" s="27"/>
      <c r="CS934" s="27"/>
      <c r="CT934" s="27"/>
      <c r="CU934" s="27"/>
      <c r="CV934" s="27"/>
      <c r="CW934" s="27"/>
      <c r="CX934" s="27"/>
      <c r="CY934" s="27"/>
      <c r="CZ934" s="27"/>
      <c r="DA934" s="27"/>
      <c r="DB934" s="27"/>
      <c r="DC934" s="27"/>
      <c r="DD934" s="27"/>
      <c r="DE934" s="27"/>
      <c r="DF934" s="27"/>
      <c r="DG934" s="27"/>
      <c r="DH934" s="27"/>
      <c r="DI934" s="27"/>
      <c r="DJ934" s="27"/>
      <c r="DK934" s="27"/>
      <c r="DL934" s="27"/>
      <c r="DM934" s="27"/>
      <c r="DN934" s="27"/>
      <c r="DO934" s="27"/>
      <c r="DP934" s="27"/>
      <c r="DQ934" s="27"/>
      <c r="DR934" s="27"/>
      <c r="DS934" s="27"/>
      <c r="DT934" s="27"/>
    </row>
    <row r="935" spans="3:124" x14ac:dyDescent="0.2">
      <c r="E935" s="139">
        <f>IF(BB775=S709,0,IF(BB775=S710,10%*K877,IF(BB775=S711,20%*K877,IF(BB775=S712,11.5%*K877,6%*K877))))</f>
        <v>0</v>
      </c>
      <c r="G935" s="27"/>
      <c r="H935" s="27"/>
      <c r="I935" s="27"/>
      <c r="J935" s="27"/>
      <c r="K935" s="27"/>
      <c r="L935" s="27"/>
      <c r="M935" s="27"/>
      <c r="N935" s="27"/>
      <c r="O935" s="27"/>
      <c r="P935" s="27"/>
      <c r="Q935" s="27"/>
      <c r="R935" s="27"/>
      <c r="S935" s="27"/>
      <c r="T935" s="27"/>
      <c r="U935" s="27"/>
      <c r="V935" s="27"/>
      <c r="W935" s="27"/>
      <c r="X935" s="27"/>
      <c r="Y935" s="27"/>
      <c r="Z935" s="27"/>
      <c r="AA935" s="27"/>
      <c r="AB935" s="27"/>
      <c r="AC935" s="27"/>
      <c r="AD935" s="27"/>
      <c r="AE935" s="27"/>
      <c r="AF935" s="27"/>
      <c r="AG935" s="27"/>
      <c r="AH935" s="27"/>
      <c r="AI935" s="27"/>
      <c r="AJ935" s="27"/>
      <c r="AK935" s="27"/>
      <c r="AL935" s="27"/>
      <c r="AM935" s="27"/>
      <c r="AN935" s="27"/>
      <c r="AO935" s="27"/>
      <c r="AP935" s="27"/>
      <c r="AQ935" s="27"/>
      <c r="AR935" s="27"/>
      <c r="AS935" s="27"/>
      <c r="AT935" s="27"/>
      <c r="AU935" s="27"/>
      <c r="AV935" s="27"/>
      <c r="AW935" s="27"/>
      <c r="AX935" s="27"/>
      <c r="AY935" s="27"/>
      <c r="AZ935" s="27"/>
      <c r="BA935" s="27"/>
      <c r="BB935" s="27"/>
      <c r="BC935" s="27"/>
      <c r="BD935" s="27"/>
      <c r="BE935" s="27"/>
      <c r="BF935" s="27"/>
      <c r="BG935" s="27"/>
      <c r="BH935" s="27"/>
      <c r="BI935" s="27"/>
      <c r="BJ935" s="27"/>
      <c r="BK935" s="27"/>
      <c r="BL935" s="27"/>
      <c r="BM935" s="27"/>
      <c r="BN935" s="27"/>
      <c r="BO935" s="27"/>
      <c r="BP935" s="27"/>
      <c r="BQ935" s="27"/>
      <c r="BR935" s="27"/>
      <c r="BS935" s="27"/>
      <c r="BT935" s="27"/>
      <c r="BU935" s="27"/>
      <c r="BV935" s="27"/>
      <c r="BW935" s="27"/>
      <c r="BX935" s="27"/>
      <c r="BY935" s="27"/>
      <c r="BZ935" s="27"/>
      <c r="CA935" s="27"/>
      <c r="CB935" s="27"/>
      <c r="CC935" s="27"/>
      <c r="CD935" s="27"/>
      <c r="CE935" s="27"/>
      <c r="CF935" s="27"/>
      <c r="CG935" s="27"/>
      <c r="CH935" s="27"/>
      <c r="CI935" s="27"/>
      <c r="CJ935" s="27"/>
      <c r="CK935" s="27"/>
      <c r="CL935" s="27"/>
      <c r="CM935" s="27"/>
      <c r="CN935" s="27"/>
      <c r="CO935" s="27"/>
      <c r="CP935" s="27"/>
      <c r="CQ935" s="27"/>
      <c r="CR935" s="27"/>
      <c r="CS935" s="27"/>
      <c r="CT935" s="27"/>
      <c r="CU935" s="27"/>
      <c r="CV935" s="27"/>
      <c r="CW935" s="27"/>
      <c r="CX935" s="27"/>
      <c r="CY935" s="27"/>
      <c r="CZ935" s="27"/>
      <c r="DA935" s="27"/>
      <c r="DB935" s="27"/>
      <c r="DC935" s="27"/>
      <c r="DD935" s="27"/>
      <c r="DE935" s="27"/>
      <c r="DF935" s="27"/>
      <c r="DG935" s="27"/>
      <c r="DH935" s="27"/>
      <c r="DI935" s="27"/>
      <c r="DJ935" s="27"/>
      <c r="DK935" s="27"/>
      <c r="DL935" s="27"/>
      <c r="DM935" s="27"/>
      <c r="DN935" s="27"/>
      <c r="DO935" s="27"/>
      <c r="DP935" s="27"/>
      <c r="DQ935" s="27"/>
      <c r="DR935" s="27"/>
      <c r="DS935" s="27"/>
      <c r="DT935" s="27"/>
    </row>
    <row r="936" spans="3:124" x14ac:dyDescent="0.2">
      <c r="C936" s="44" t="str">
        <f>K792</f>
        <v>גמול הכנה לבגרות</v>
      </c>
      <c r="D936" s="141">
        <f>W750</f>
        <v>0</v>
      </c>
      <c r="E936" s="139">
        <f>BB776</f>
        <v>0</v>
      </c>
      <c r="F936" s="10" t="s">
        <v>59</v>
      </c>
      <c r="G936" s="27"/>
      <c r="H936" s="27" t="s">
        <v>582</v>
      </c>
      <c r="I936" s="27"/>
      <c r="J936" s="27"/>
      <c r="K936" s="27"/>
      <c r="L936" s="27"/>
      <c r="M936" s="27"/>
      <c r="N936" s="27"/>
      <c r="O936" s="27"/>
      <c r="P936" s="27"/>
      <c r="Q936" s="27"/>
      <c r="R936" s="27"/>
      <c r="S936" s="27"/>
      <c r="T936" s="27"/>
      <c r="U936" s="27"/>
      <c r="V936" s="27"/>
      <c r="W936" s="27"/>
      <c r="X936" s="27"/>
      <c r="Y936" s="27"/>
      <c r="Z936" s="27"/>
      <c r="AA936" s="27"/>
      <c r="AB936" s="27"/>
      <c r="AC936" s="27"/>
      <c r="AD936" s="27"/>
      <c r="AE936" s="27"/>
      <c r="AF936" s="27"/>
      <c r="AG936" s="27"/>
      <c r="AH936" s="27"/>
      <c r="AI936" s="27"/>
      <c r="AJ936" s="27"/>
      <c r="AK936" s="27"/>
      <c r="AL936" s="27"/>
      <c r="AM936" s="27"/>
      <c r="AN936" s="27"/>
      <c r="AO936" s="27"/>
      <c r="AP936" s="27"/>
      <c r="AQ936" s="27"/>
      <c r="AR936" s="27"/>
      <c r="AS936" s="27"/>
      <c r="AT936" s="27"/>
      <c r="AU936" s="27"/>
      <c r="AV936" s="27"/>
      <c r="AW936" s="27"/>
      <c r="AX936" s="27"/>
      <c r="AY936" s="27"/>
      <c r="AZ936" s="27"/>
      <c r="BA936" s="27"/>
      <c r="BB936" s="27"/>
      <c r="BC936" s="27"/>
      <c r="BD936" s="27"/>
      <c r="BE936" s="27"/>
      <c r="BF936" s="27"/>
      <c r="BG936" s="27"/>
      <c r="BH936" s="27"/>
      <c r="BI936" s="27"/>
      <c r="BJ936" s="27"/>
      <c r="BK936" s="27"/>
      <c r="BL936" s="27"/>
      <c r="BM936" s="27"/>
      <c r="BN936" s="27"/>
      <c r="BO936" s="27"/>
      <c r="BP936" s="27"/>
      <c r="BQ936" s="27"/>
      <c r="BR936" s="27"/>
      <c r="BS936" s="27"/>
      <c r="BT936" s="27"/>
      <c r="BU936" s="27"/>
      <c r="BV936" s="27"/>
      <c r="BW936" s="27"/>
      <c r="BX936" s="27"/>
      <c r="BY936" s="27"/>
      <c r="BZ936" s="27"/>
      <c r="CA936" s="27"/>
      <c r="CB936" s="27"/>
      <c r="CC936" s="27"/>
      <c r="CD936" s="27"/>
      <c r="CE936" s="27"/>
      <c r="CF936" s="27"/>
      <c r="CG936" s="27"/>
      <c r="CH936" s="27"/>
      <c r="CI936" s="27"/>
      <c r="CJ936" s="27"/>
      <c r="CK936" s="27"/>
      <c r="CL936" s="27"/>
      <c r="CM936" s="27"/>
      <c r="CN936" s="27"/>
      <c r="CO936" s="27"/>
      <c r="CP936" s="27"/>
      <c r="CQ936" s="27"/>
      <c r="CR936" s="27"/>
      <c r="CS936" s="27"/>
      <c r="CT936" s="27"/>
      <c r="CU936" s="27"/>
      <c r="CV936" s="27"/>
      <c r="CW936" s="27"/>
      <c r="CX936" s="27"/>
      <c r="CY936" s="27"/>
      <c r="CZ936" s="27"/>
      <c r="DA936" s="27"/>
      <c r="DB936" s="27"/>
      <c r="DC936" s="27"/>
      <c r="DD936" s="27"/>
      <c r="DE936" s="27"/>
      <c r="DF936" s="27"/>
      <c r="DG936" s="27"/>
      <c r="DH936" s="27"/>
      <c r="DI936" s="27"/>
      <c r="DJ936" s="27"/>
      <c r="DK936" s="27"/>
      <c r="DL936" s="27"/>
      <c r="DM936" s="27"/>
      <c r="DN936" s="27"/>
      <c r="DO936" s="27"/>
      <c r="DP936" s="27"/>
      <c r="DQ936" s="27"/>
      <c r="DR936" s="27"/>
      <c r="DS936" s="27"/>
      <c r="DT936" s="27"/>
    </row>
    <row r="937" spans="3:124" x14ac:dyDescent="0.2">
      <c r="C937" s="44" t="str">
        <f>K793</f>
        <v xml:space="preserve">גמול יעוץ </v>
      </c>
      <c r="D937" s="141" t="e">
        <f>IF(#REF!= 0,0,(K878+#REF!+K878*S705)*(70%*#REF!))</f>
        <v>#REF!</v>
      </c>
      <c r="E937" s="139" t="e">
        <f>Y714*K877</f>
        <v>#REF!</v>
      </c>
      <c r="G937" s="27"/>
      <c r="H937" s="27"/>
      <c r="I937" s="27"/>
      <c r="J937" s="27"/>
      <c r="K937" s="27"/>
      <c r="L937" s="27"/>
      <c r="M937" s="27"/>
      <c r="N937" s="27"/>
      <c r="O937" s="27"/>
      <c r="P937" s="27"/>
      <c r="Q937" s="27"/>
      <c r="R937" s="27"/>
      <c r="S937" s="27"/>
      <c r="T937" s="27"/>
      <c r="U937" s="27"/>
      <c r="V937" s="27"/>
      <c r="W937" s="27"/>
      <c r="X937" s="27"/>
      <c r="Y937" s="27"/>
      <c r="Z937" s="27"/>
      <c r="AA937" s="27"/>
      <c r="AB937" s="27"/>
      <c r="AC937" s="27"/>
      <c r="AD937" s="27"/>
      <c r="AE937" s="27"/>
      <c r="AF937" s="27"/>
      <c r="AG937" s="27"/>
      <c r="AH937" s="27"/>
      <c r="AI937" s="27"/>
      <c r="AJ937" s="27"/>
      <c r="AK937" s="27"/>
      <c r="AL937" s="27"/>
      <c r="AM937" s="27"/>
      <c r="AN937" s="27"/>
      <c r="AO937" s="27"/>
      <c r="AP937" s="27"/>
      <c r="AQ937" s="27"/>
      <c r="AR937" s="27"/>
      <c r="AS937" s="27"/>
      <c r="AT937" s="27"/>
      <c r="AU937" s="27"/>
      <c r="AV937" s="27"/>
      <c r="AW937" s="27"/>
      <c r="AX937" s="27"/>
      <c r="AY937" s="27"/>
      <c r="AZ937" s="27"/>
      <c r="BA937" s="27"/>
      <c r="BB937" s="27"/>
      <c r="BC937" s="27"/>
      <c r="BD937" s="27"/>
      <c r="BE937" s="27"/>
      <c r="BF937" s="27"/>
      <c r="BG937" s="27"/>
      <c r="BH937" s="27"/>
      <c r="BI937" s="27"/>
      <c r="BJ937" s="27"/>
      <c r="BK937" s="27"/>
      <c r="BL937" s="27"/>
      <c r="BM937" s="27"/>
      <c r="BN937" s="27"/>
      <c r="BO937" s="27"/>
      <c r="BP937" s="27"/>
      <c r="BQ937" s="27"/>
      <c r="BR937" s="27"/>
      <c r="BS937" s="27"/>
      <c r="BT937" s="27"/>
      <c r="BU937" s="27"/>
      <c r="BV937" s="27"/>
      <c r="BW937" s="27"/>
      <c r="BX937" s="27"/>
      <c r="BY937" s="27"/>
      <c r="BZ937" s="27"/>
      <c r="CA937" s="27"/>
      <c r="CB937" s="27"/>
      <c r="CC937" s="27"/>
      <c r="CD937" s="27"/>
      <c r="CE937" s="27"/>
      <c r="CF937" s="27"/>
      <c r="CG937" s="27"/>
      <c r="CH937" s="27"/>
      <c r="CI937" s="27"/>
      <c r="CJ937" s="27"/>
      <c r="CK937" s="27"/>
      <c r="CL937" s="27"/>
      <c r="CM937" s="27"/>
      <c r="CN937" s="27"/>
      <c r="CO937" s="27"/>
      <c r="CP937" s="27"/>
      <c r="CQ937" s="27"/>
      <c r="CR937" s="27"/>
      <c r="CS937" s="27"/>
      <c r="CT937" s="27"/>
      <c r="CU937" s="27"/>
      <c r="CV937" s="27"/>
      <c r="CW937" s="27"/>
      <c r="CX937" s="27"/>
      <c r="CY937" s="27"/>
      <c r="CZ937" s="27"/>
      <c r="DA937" s="27"/>
      <c r="DB937" s="27"/>
      <c r="DC937" s="27"/>
      <c r="DD937" s="27"/>
      <c r="DE937" s="27"/>
      <c r="DF937" s="27"/>
      <c r="DG937" s="27"/>
      <c r="DH937" s="27"/>
      <c r="DI937" s="27"/>
      <c r="DJ937" s="27"/>
      <c r="DK937" s="27"/>
      <c r="DL937" s="27"/>
      <c r="DM937" s="27"/>
      <c r="DN937" s="27"/>
      <c r="DO937" s="27"/>
      <c r="DP937" s="27"/>
      <c r="DQ937" s="27"/>
      <c r="DR937" s="27"/>
      <c r="DS937" s="27"/>
      <c r="DT937" s="27"/>
    </row>
    <row r="938" spans="3:124" x14ac:dyDescent="0.2">
      <c r="C938" s="44" t="str">
        <f>K794</f>
        <v>גמול ניהול /סגנות/גננות</v>
      </c>
      <c r="D938" s="141" t="e">
        <f>SUM(#REF!)*G101</f>
        <v>#REF!</v>
      </c>
      <c r="E938" s="139" t="e">
        <f>SUM(E929:E932)*BB778</f>
        <v>#REF!</v>
      </c>
      <c r="G938" s="27"/>
      <c r="H938" s="27"/>
      <c r="I938" s="27"/>
      <c r="J938" s="27"/>
      <c r="K938" s="27"/>
      <c r="L938" s="27"/>
      <c r="M938" s="27"/>
      <c r="N938" s="27"/>
      <c r="O938" s="27"/>
      <c r="P938" s="27"/>
      <c r="Q938" s="27"/>
      <c r="R938" s="27"/>
      <c r="S938" s="27"/>
      <c r="T938" s="27"/>
      <c r="U938" s="27"/>
      <c r="V938" s="27"/>
      <c r="W938" s="27"/>
      <c r="X938" s="27"/>
      <c r="Y938" s="27"/>
      <c r="Z938" s="27"/>
      <c r="AA938" s="27"/>
      <c r="AB938" s="27"/>
      <c r="AC938" s="27"/>
      <c r="AD938" s="27"/>
      <c r="AE938" s="27"/>
      <c r="AF938" s="27"/>
      <c r="AG938" s="27"/>
      <c r="AH938" s="27"/>
      <c r="AI938" s="27"/>
      <c r="AJ938" s="27"/>
      <c r="AK938" s="27"/>
      <c r="AL938" s="27"/>
      <c r="AM938" s="27"/>
      <c r="AN938" s="27"/>
      <c r="AO938" s="27"/>
      <c r="AP938" s="27"/>
      <c r="AQ938" s="27"/>
      <c r="AR938" s="27"/>
      <c r="AS938" s="27"/>
      <c r="AT938" s="27"/>
      <c r="AU938" s="27"/>
      <c r="AV938" s="27"/>
      <c r="AW938" s="27"/>
      <c r="AX938" s="27"/>
      <c r="AY938" s="27"/>
      <c r="AZ938" s="27"/>
      <c r="BA938" s="27"/>
      <c r="BB938" s="27"/>
      <c r="BC938" s="27"/>
      <c r="BD938" s="27"/>
      <c r="BE938" s="27"/>
      <c r="BF938" s="27"/>
      <c r="BG938" s="27"/>
      <c r="BH938" s="27"/>
      <c r="BI938" s="27"/>
      <c r="BJ938" s="27"/>
      <c r="BK938" s="27"/>
      <c r="BL938" s="27"/>
      <c r="BM938" s="27"/>
      <c r="BN938" s="27"/>
      <c r="BO938" s="27"/>
      <c r="BP938" s="27"/>
      <c r="BQ938" s="27"/>
      <c r="BR938" s="27"/>
      <c r="BS938" s="27"/>
      <c r="BT938" s="27"/>
      <c r="BU938" s="27"/>
      <c r="BV938" s="27"/>
      <c r="BW938" s="27"/>
      <c r="BX938" s="27"/>
      <c r="BY938" s="27"/>
      <c r="BZ938" s="27"/>
      <c r="CA938" s="27"/>
      <c r="CB938" s="27"/>
      <c r="CC938" s="27"/>
      <c r="CD938" s="27"/>
      <c r="CE938" s="27"/>
      <c r="CF938" s="27"/>
      <c r="CG938" s="27"/>
      <c r="CH938" s="27"/>
      <c r="CI938" s="27"/>
      <c r="CJ938" s="27"/>
      <c r="CK938" s="27"/>
      <c r="CL938" s="27"/>
      <c r="CM938" s="27"/>
      <c r="CN938" s="27"/>
      <c r="CO938" s="27"/>
      <c r="CP938" s="27"/>
      <c r="CQ938" s="27"/>
      <c r="CR938" s="27"/>
      <c r="CS938" s="27"/>
      <c r="CT938" s="27"/>
      <c r="CU938" s="27"/>
      <c r="CV938" s="27"/>
      <c r="CW938" s="27"/>
      <c r="CX938" s="27"/>
      <c r="CY938" s="27"/>
      <c r="CZ938" s="27"/>
      <c r="DA938" s="27"/>
      <c r="DB938" s="27"/>
      <c r="DC938" s="27"/>
      <c r="DD938" s="27"/>
      <c r="DE938" s="27"/>
      <c r="DF938" s="27"/>
      <c r="DG938" s="27"/>
      <c r="DH938" s="27"/>
      <c r="DI938" s="27"/>
      <c r="DJ938" s="27"/>
      <c r="DK938" s="27"/>
      <c r="DL938" s="27"/>
      <c r="DM938" s="27"/>
      <c r="DN938" s="27"/>
      <c r="DO938" s="27"/>
      <c r="DP938" s="27"/>
      <c r="DQ938" s="27"/>
      <c r="DR938" s="27"/>
      <c r="DS938" s="27"/>
      <c r="DT938" s="27"/>
    </row>
    <row r="939" spans="3:124" x14ac:dyDescent="0.2">
      <c r="C939" s="44" t="str">
        <f>K795</f>
        <v>ותק בניהול למנהל ולסגנו/גננת</v>
      </c>
      <c r="D939" s="141" t="e">
        <f>D938*AW723</f>
        <v>#REF!</v>
      </c>
      <c r="E939" s="139" t="e">
        <f>I902*E938</f>
        <v>#REF!</v>
      </c>
      <c r="G939" s="27"/>
      <c r="H939" s="27"/>
      <c r="I939" s="27"/>
      <c r="J939" s="27"/>
      <c r="K939" s="27"/>
      <c r="L939" s="27"/>
      <c r="M939" s="27"/>
      <c r="N939" s="27"/>
      <c r="O939" s="27"/>
      <c r="P939" s="27"/>
      <c r="Q939" s="27"/>
      <c r="R939" s="27"/>
      <c r="S939" s="27"/>
      <c r="T939" s="27"/>
      <c r="U939" s="27"/>
      <c r="V939" s="27"/>
      <c r="W939" s="27"/>
      <c r="X939" s="27"/>
      <c r="Y939" s="27"/>
      <c r="Z939" s="27"/>
      <c r="AA939" s="27"/>
      <c r="AB939" s="27"/>
      <c r="AC939" s="27"/>
      <c r="AD939" s="27"/>
      <c r="AE939" s="27"/>
      <c r="AF939" s="27"/>
      <c r="AG939" s="27"/>
      <c r="AH939" s="27"/>
      <c r="AI939" s="27"/>
      <c r="AJ939" s="27"/>
      <c r="AK939" s="27"/>
      <c r="AL939" s="27"/>
      <c r="AM939" s="27"/>
      <c r="AN939" s="27"/>
      <c r="AO939" s="27"/>
      <c r="AP939" s="27"/>
      <c r="AQ939" s="27"/>
      <c r="AR939" s="27"/>
      <c r="AS939" s="27"/>
      <c r="AT939" s="27"/>
      <c r="AU939" s="27"/>
      <c r="AV939" s="27"/>
      <c r="AW939" s="27"/>
      <c r="AX939" s="27"/>
      <c r="AY939" s="27"/>
      <c r="AZ939" s="27"/>
      <c r="BA939" s="27"/>
      <c r="BB939" s="27"/>
      <c r="BC939" s="27"/>
      <c r="BD939" s="27"/>
      <c r="BE939" s="27"/>
      <c r="BF939" s="27"/>
      <c r="BG939" s="27"/>
      <c r="BH939" s="27"/>
      <c r="BI939" s="27"/>
      <c r="BJ939" s="27"/>
      <c r="BK939" s="27"/>
      <c r="BL939" s="27"/>
      <c r="BM939" s="27"/>
      <c r="BN939" s="27"/>
      <c r="BO939" s="27"/>
      <c r="BP939" s="27"/>
      <c r="BQ939" s="27"/>
      <c r="BR939" s="27"/>
      <c r="BS939" s="27"/>
      <c r="BT939" s="27"/>
      <c r="BU939" s="27"/>
      <c r="BV939" s="27"/>
      <c r="BW939" s="27"/>
      <c r="BX939" s="27"/>
      <c r="BY939" s="27"/>
      <c r="BZ939" s="27"/>
      <c r="CA939" s="27"/>
      <c r="CB939" s="27"/>
      <c r="CC939" s="27"/>
      <c r="CD939" s="27"/>
      <c r="CE939" s="27"/>
      <c r="CF939" s="27"/>
      <c r="CG939" s="27"/>
      <c r="CH939" s="27"/>
      <c r="CI939" s="27"/>
      <c r="CJ939" s="27"/>
      <c r="CK939" s="27"/>
      <c r="CL939" s="27"/>
      <c r="CM939" s="27"/>
      <c r="CN939" s="27"/>
      <c r="CO939" s="27"/>
      <c r="CP939" s="27"/>
      <c r="CQ939" s="27"/>
      <c r="CR939" s="27"/>
      <c r="CS939" s="27"/>
      <c r="CT939" s="27"/>
      <c r="CU939" s="27"/>
      <c r="CV939" s="27"/>
      <c r="CW939" s="27"/>
      <c r="CX939" s="27"/>
      <c r="CY939" s="27"/>
      <c r="CZ939" s="27"/>
      <c r="DA939" s="27"/>
      <c r="DB939" s="27"/>
      <c r="DC939" s="27"/>
      <c r="DD939" s="27"/>
      <c r="DE939" s="27"/>
      <c r="DF939" s="27"/>
      <c r="DG939" s="27"/>
      <c r="DH939" s="27"/>
      <c r="DI939" s="27"/>
      <c r="DJ939" s="27"/>
      <c r="DK939" s="27"/>
      <c r="DL939" s="27"/>
      <c r="DM939" s="27"/>
      <c r="DN939" s="27"/>
      <c r="DO939" s="27"/>
      <c r="DP939" s="27"/>
      <c r="DQ939" s="27"/>
      <c r="DR939" s="27"/>
      <c r="DS939" s="27"/>
      <c r="DT939" s="27"/>
    </row>
    <row r="940" spans="3:124" x14ac:dyDescent="0.2">
      <c r="C940" s="44" t="str">
        <f>K803</f>
        <v>ותק הדרכה לגמול פיקוח/הדרכה</v>
      </c>
      <c r="D940" s="141" t="e">
        <f>IF(G103=AC755,0,K876*43%)</f>
        <v>#REF!</v>
      </c>
      <c r="E940" s="139" t="e">
        <f>I903*E929</f>
        <v>#REF!</v>
      </c>
      <c r="F940" s="10" t="s">
        <v>59</v>
      </c>
      <c r="G940" s="27"/>
      <c r="H940" s="27"/>
      <c r="I940" s="27"/>
      <c r="J940" s="27"/>
      <c r="K940" s="27"/>
      <c r="L940" s="27"/>
      <c r="M940" s="27"/>
      <c r="N940" s="27"/>
      <c r="O940" s="27"/>
      <c r="P940" s="27"/>
      <c r="Q940" s="27"/>
      <c r="R940" s="27"/>
      <c r="S940" s="27"/>
      <c r="T940" s="27"/>
      <c r="U940" s="27"/>
      <c r="V940" s="27"/>
      <c r="W940" s="27"/>
      <c r="X940" s="27"/>
      <c r="Y940" s="27"/>
      <c r="Z940" s="27"/>
      <c r="AA940" s="27"/>
      <c r="AB940" s="27"/>
      <c r="AC940" s="27"/>
      <c r="AD940" s="27"/>
      <c r="AE940" s="27"/>
      <c r="AF940" s="27"/>
      <c r="AG940" s="27"/>
      <c r="AH940" s="27"/>
      <c r="AI940" s="27"/>
      <c r="AJ940" s="27"/>
      <c r="AK940" s="27"/>
      <c r="AL940" s="27"/>
      <c r="AM940" s="27"/>
      <c r="AN940" s="27"/>
      <c r="AO940" s="27"/>
      <c r="AP940" s="27"/>
      <c r="AQ940" s="27"/>
      <c r="AR940" s="27"/>
      <c r="AS940" s="27"/>
      <c r="AT940" s="27"/>
      <c r="AU940" s="27"/>
      <c r="AV940" s="27"/>
      <c r="AW940" s="27"/>
      <c r="AX940" s="27"/>
      <c r="AY940" s="27"/>
      <c r="AZ940" s="27"/>
      <c r="BA940" s="27"/>
      <c r="BB940" s="27"/>
      <c r="BC940" s="27"/>
      <c r="BD940" s="27"/>
      <c r="BE940" s="27"/>
      <c r="BF940" s="27"/>
      <c r="BG940" s="27"/>
      <c r="BH940" s="27"/>
      <c r="BI940" s="27"/>
      <c r="BJ940" s="27"/>
      <c r="BK940" s="27"/>
      <c r="BL940" s="27"/>
      <c r="BM940" s="27"/>
      <c r="BN940" s="27"/>
      <c r="BO940" s="27"/>
      <c r="BP940" s="27"/>
      <c r="BQ940" s="27"/>
      <c r="BR940" s="27"/>
      <c r="BS940" s="27"/>
      <c r="BT940" s="27"/>
      <c r="BU940" s="27"/>
      <c r="BV940" s="27"/>
      <c r="BW940" s="27"/>
      <c r="BX940" s="27"/>
      <c r="BY940" s="27"/>
      <c r="BZ940" s="27"/>
      <c r="CA940" s="27"/>
      <c r="CB940" s="27"/>
      <c r="CC940" s="27"/>
      <c r="CD940" s="27"/>
      <c r="CE940" s="27"/>
      <c r="CF940" s="27"/>
      <c r="CG940" s="27"/>
      <c r="CH940" s="27"/>
      <c r="CI940" s="27"/>
      <c r="CJ940" s="27"/>
      <c r="CK940" s="27"/>
      <c r="CL940" s="27"/>
      <c r="CM940" s="27"/>
      <c r="CN940" s="27"/>
      <c r="CO940" s="27"/>
      <c r="CP940" s="27"/>
      <c r="CQ940" s="27"/>
      <c r="CR940" s="27"/>
      <c r="CS940" s="27"/>
      <c r="CT940" s="27"/>
      <c r="CU940" s="27"/>
      <c r="CV940" s="27"/>
      <c r="CW940" s="27"/>
      <c r="CX940" s="27"/>
      <c r="CY940" s="27"/>
      <c r="CZ940" s="27"/>
      <c r="DA940" s="27"/>
      <c r="DB940" s="27"/>
      <c r="DC940" s="27"/>
      <c r="DD940" s="27"/>
      <c r="DE940" s="27"/>
      <c r="DF940" s="27"/>
      <c r="DG940" s="27"/>
      <c r="DH940" s="27"/>
      <c r="DI940" s="27"/>
      <c r="DJ940" s="27"/>
      <c r="DK940" s="27"/>
      <c r="DL940" s="27"/>
      <c r="DM940" s="27"/>
      <c r="DN940" s="27"/>
      <c r="DO940" s="27"/>
      <c r="DP940" s="27"/>
      <c r="DQ940" s="27"/>
      <c r="DR940" s="27"/>
      <c r="DS940" s="27"/>
      <c r="DT940" s="27"/>
    </row>
    <row r="941" spans="3:124" x14ac:dyDescent="0.2">
      <c r="C941" s="44" t="str">
        <f>V739</f>
        <v>תוספת סמינרים  12%</v>
      </c>
      <c r="D941" s="141" t="e">
        <f>SUM(#REF!)*#REF!</f>
        <v>#REF!</v>
      </c>
      <c r="E941" s="139" t="e">
        <f>SUM(E929:E932)*W739</f>
        <v>#REF!</v>
      </c>
      <c r="G941" s="27"/>
      <c r="H941" s="27"/>
      <c r="I941" s="27"/>
      <c r="J941" s="27"/>
      <c r="K941" s="27"/>
      <c r="L941" s="27"/>
      <c r="M941" s="27"/>
      <c r="N941" s="27"/>
      <c r="O941" s="27"/>
      <c r="P941" s="27"/>
      <c r="Q941" s="27"/>
      <c r="R941" s="27"/>
      <c r="S941" s="27"/>
      <c r="T941" s="27"/>
      <c r="U941" s="27"/>
      <c r="V941" s="27"/>
      <c r="W941" s="27"/>
      <c r="X941" s="27"/>
      <c r="Y941" s="27"/>
      <c r="Z941" s="27"/>
      <c r="AA941" s="27"/>
      <c r="AB941" s="27"/>
      <c r="AC941" s="27"/>
      <c r="AD941" s="27"/>
      <c r="AE941" s="27"/>
      <c r="AF941" s="27"/>
      <c r="AG941" s="27"/>
      <c r="AH941" s="27"/>
      <c r="AI941" s="27"/>
      <c r="AJ941" s="27"/>
      <c r="AK941" s="27"/>
      <c r="AL941" s="27"/>
      <c r="AM941" s="27"/>
      <c r="AN941" s="27"/>
      <c r="AO941" s="27"/>
      <c r="AP941" s="27"/>
      <c r="AQ941" s="27"/>
      <c r="AR941" s="27"/>
      <c r="AS941" s="27"/>
      <c r="AT941" s="27"/>
      <c r="AU941" s="27"/>
      <c r="AV941" s="27"/>
      <c r="AW941" s="27"/>
      <c r="AX941" s="27"/>
      <c r="AY941" s="27"/>
      <c r="AZ941" s="27"/>
      <c r="BA941" s="27"/>
      <c r="BB941" s="27"/>
      <c r="BC941" s="27"/>
      <c r="BD941" s="27"/>
      <c r="BE941" s="27"/>
      <c r="BF941" s="27"/>
      <c r="BG941" s="27"/>
      <c r="BH941" s="27"/>
      <c r="BI941" s="27"/>
      <c r="BJ941" s="27"/>
      <c r="BK941" s="27"/>
      <c r="BL941" s="27"/>
      <c r="BM941" s="27"/>
      <c r="BN941" s="27"/>
      <c r="BO941" s="27"/>
      <c r="BP941" s="27"/>
      <c r="BQ941" s="27"/>
      <c r="BR941" s="27"/>
      <c r="BS941" s="27"/>
      <c r="BT941" s="27"/>
      <c r="BU941" s="27"/>
      <c r="BV941" s="27"/>
      <c r="BW941" s="27"/>
      <c r="BX941" s="27"/>
      <c r="BY941" s="27"/>
      <c r="BZ941" s="27"/>
      <c r="CA941" s="27"/>
      <c r="CB941" s="27"/>
      <c r="CC941" s="27"/>
      <c r="CD941" s="27"/>
      <c r="CE941" s="27"/>
      <c r="CF941" s="27"/>
      <c r="CG941" s="27"/>
      <c r="CH941" s="27"/>
      <c r="CI941" s="27"/>
      <c r="CJ941" s="27"/>
      <c r="CK941" s="27"/>
      <c r="CL941" s="27"/>
      <c r="CM941" s="27"/>
      <c r="CN941" s="27"/>
      <c r="CO941" s="27"/>
      <c r="CP941" s="27"/>
      <c r="CQ941" s="27"/>
      <c r="CR941" s="27"/>
      <c r="CS941" s="27"/>
      <c r="CT941" s="27"/>
      <c r="CU941" s="27"/>
      <c r="CV941" s="27"/>
      <c r="CW941" s="27"/>
      <c r="CX941" s="27"/>
      <c r="CY941" s="27"/>
      <c r="CZ941" s="27"/>
      <c r="DA941" s="27"/>
      <c r="DB941" s="27"/>
      <c r="DC941" s="27"/>
      <c r="DD941" s="27"/>
      <c r="DE941" s="27"/>
      <c r="DF941" s="27"/>
      <c r="DG941" s="27"/>
      <c r="DH941" s="27"/>
      <c r="DI941" s="27"/>
      <c r="DJ941" s="27"/>
      <c r="DK941" s="27"/>
      <c r="DL941" s="27"/>
      <c r="DM941" s="27"/>
      <c r="DN941" s="27"/>
      <c r="DO941" s="27"/>
      <c r="DP941" s="27"/>
      <c r="DQ941" s="27"/>
      <c r="DR941" s="27"/>
      <c r="DS941" s="27"/>
      <c r="DT941" s="27"/>
    </row>
    <row r="942" spans="3:124" x14ac:dyDescent="0.2">
      <c r="C942" s="44" t="str">
        <f>BA782</f>
        <v xml:space="preserve">תוספת דרגת קידום </v>
      </c>
      <c r="D942" s="141" t="e">
        <f>#REF!*#REF!</f>
        <v>#REF!</v>
      </c>
      <c r="E942" s="139" t="e">
        <f>E929*BB782</f>
        <v>#REF!</v>
      </c>
      <c r="G942" s="27"/>
      <c r="H942" s="27"/>
      <c r="I942" s="27"/>
      <c r="J942" s="27"/>
      <c r="K942" s="27"/>
      <c r="L942" s="27"/>
      <c r="M942" s="27"/>
      <c r="N942" s="27"/>
      <c r="O942" s="27"/>
      <c r="P942" s="27"/>
      <c r="Q942" s="27"/>
      <c r="R942" s="27"/>
      <c r="S942" s="27"/>
      <c r="T942" s="27"/>
      <c r="U942" s="27"/>
      <c r="V942" s="27"/>
      <c r="W942" s="27"/>
      <c r="X942" s="27"/>
      <c r="Y942" s="27"/>
      <c r="Z942" s="27"/>
      <c r="AA942" s="27"/>
      <c r="AB942" s="27"/>
      <c r="AC942" s="27"/>
      <c r="AD942" s="27"/>
      <c r="AE942" s="27"/>
      <c r="AF942" s="27"/>
      <c r="AG942" s="27"/>
      <c r="AH942" s="27"/>
      <c r="AI942" s="27"/>
      <c r="AJ942" s="27"/>
      <c r="AK942" s="27"/>
      <c r="AL942" s="27"/>
      <c r="AM942" s="27"/>
      <c r="AN942" s="27"/>
      <c r="AO942" s="27"/>
      <c r="AP942" s="27"/>
      <c r="AQ942" s="27"/>
      <c r="AR942" s="27"/>
      <c r="AS942" s="27"/>
      <c r="AT942" s="27"/>
      <c r="AU942" s="27"/>
      <c r="AV942" s="27"/>
      <c r="AW942" s="27"/>
      <c r="AX942" s="27"/>
      <c r="AY942" s="27"/>
      <c r="AZ942" s="27"/>
      <c r="BA942" s="27"/>
      <c r="BB942" s="27"/>
      <c r="BC942" s="27"/>
      <c r="BD942" s="27"/>
      <c r="BE942" s="27"/>
      <c r="BF942" s="27"/>
      <c r="BG942" s="27"/>
      <c r="BH942" s="27"/>
      <c r="BI942" s="27"/>
      <c r="BJ942" s="27"/>
      <c r="BK942" s="27"/>
      <c r="BL942" s="27"/>
      <c r="BM942" s="27"/>
      <c r="BN942" s="27"/>
      <c r="BO942" s="27"/>
      <c r="BP942" s="27"/>
      <c r="BQ942" s="27"/>
      <c r="BR942" s="27"/>
      <c r="BS942" s="27"/>
      <c r="BT942" s="27"/>
      <c r="BU942" s="27"/>
      <c r="BV942" s="27"/>
      <c r="BW942" s="27"/>
      <c r="BX942" s="27"/>
      <c r="BY942" s="27"/>
      <c r="BZ942" s="27"/>
      <c r="CA942" s="27"/>
      <c r="CB942" s="27"/>
      <c r="CC942" s="27"/>
      <c r="CD942" s="27"/>
      <c r="CE942" s="27"/>
      <c r="CF942" s="27"/>
      <c r="CG942" s="27"/>
      <c r="CH942" s="27"/>
      <c r="CI942" s="27"/>
      <c r="CJ942" s="27"/>
      <c r="CK942" s="27"/>
      <c r="CL942" s="27"/>
      <c r="CM942" s="27"/>
      <c r="CN942" s="27"/>
      <c r="CO942" s="27"/>
      <c r="CP942" s="27"/>
      <c r="CQ942" s="27"/>
      <c r="CR942" s="27"/>
      <c r="CS942" s="27"/>
      <c r="CT942" s="27"/>
      <c r="CU942" s="27"/>
      <c r="CV942" s="27"/>
      <c r="CW942" s="27"/>
      <c r="CX942" s="27"/>
      <c r="CY942" s="27"/>
      <c r="CZ942" s="27"/>
      <c r="DA942" s="27"/>
      <c r="DB942" s="27"/>
      <c r="DC942" s="27"/>
      <c r="DD942" s="27"/>
      <c r="DE942" s="27"/>
      <c r="DF942" s="27"/>
      <c r="DG942" s="27"/>
      <c r="DH942" s="27"/>
      <c r="DI942" s="27"/>
      <c r="DJ942" s="27"/>
      <c r="DK942" s="27"/>
      <c r="DL942" s="27"/>
      <c r="DM942" s="27"/>
      <c r="DN942" s="27"/>
      <c r="DO942" s="27"/>
      <c r="DP942" s="27"/>
      <c r="DQ942" s="27"/>
      <c r="DR942" s="27"/>
      <c r="DS942" s="27"/>
      <c r="DT942" s="27"/>
    </row>
    <row r="943" spans="3:124" x14ac:dyDescent="0.2">
      <c r="C943" s="44" t="s">
        <v>32</v>
      </c>
      <c r="D943" s="141" t="e">
        <f>BB774*#REF!</f>
        <v>#REF!</v>
      </c>
      <c r="E943" s="139" t="e">
        <f>SUM(E929:E932)*BB774</f>
        <v>#REF!</v>
      </c>
      <c r="G943" s="27"/>
      <c r="H943" s="27"/>
      <c r="I943" s="27"/>
      <c r="J943" s="27"/>
      <c r="K943" s="27"/>
      <c r="L943" s="27"/>
      <c r="M943" s="27"/>
      <c r="N943" s="27"/>
      <c r="O943" s="27"/>
      <c r="P943" s="27"/>
      <c r="Q943" s="27"/>
      <c r="R943" s="27"/>
      <c r="S943" s="27"/>
      <c r="T943" s="27"/>
      <c r="U943" s="27"/>
      <c r="V943" s="27"/>
      <c r="W943" s="27"/>
      <c r="X943" s="27"/>
      <c r="Y943" s="27"/>
      <c r="Z943" s="27"/>
      <c r="AA943" s="27"/>
      <c r="AB943" s="27"/>
      <c r="AC943" s="27"/>
      <c r="AD943" s="27"/>
      <c r="AE943" s="27"/>
      <c r="AF943" s="27"/>
      <c r="AG943" s="27"/>
      <c r="AH943" s="27"/>
      <c r="AI943" s="27"/>
      <c r="AJ943" s="27"/>
      <c r="AK943" s="27"/>
      <c r="AL943" s="27"/>
      <c r="AM943" s="27"/>
      <c r="AN943" s="27"/>
      <c r="AO943" s="27"/>
      <c r="AP943" s="27"/>
      <c r="AQ943" s="27"/>
      <c r="AR943" s="27"/>
      <c r="AS943" s="27"/>
      <c r="AT943" s="27"/>
      <c r="AU943" s="27"/>
      <c r="AV943" s="27"/>
      <c r="AW943" s="27"/>
      <c r="AX943" s="27"/>
      <c r="AY943" s="27"/>
      <c r="AZ943" s="27"/>
      <c r="BA943" s="27"/>
      <c r="BB943" s="27"/>
      <c r="BC943" s="27"/>
      <c r="BD943" s="27"/>
      <c r="BE943" s="27"/>
      <c r="BF943" s="27"/>
      <c r="BG943" s="27"/>
      <c r="BH943" s="27"/>
      <c r="BI943" s="27"/>
      <c r="BJ943" s="27"/>
      <c r="BK943" s="27"/>
      <c r="BL943" s="27"/>
      <c r="BM943" s="27"/>
      <c r="BN943" s="27"/>
      <c r="BO943" s="27"/>
      <c r="BP943" s="27"/>
      <c r="BQ943" s="27"/>
      <c r="BR943" s="27"/>
      <c r="BS943" s="27"/>
      <c r="BT943" s="27"/>
      <c r="BU943" s="27"/>
      <c r="BV943" s="27"/>
      <c r="BW943" s="27"/>
      <c r="BX943" s="27"/>
      <c r="BY943" s="27"/>
      <c r="BZ943" s="27"/>
      <c r="CA943" s="27"/>
      <c r="CB943" s="27"/>
      <c r="CC943" s="27"/>
      <c r="CD943" s="27"/>
      <c r="CE943" s="27"/>
      <c r="CF943" s="27"/>
      <c r="CG943" s="27"/>
      <c r="CH943" s="27"/>
      <c r="CI943" s="27"/>
      <c r="CJ943" s="27"/>
      <c r="CK943" s="27"/>
      <c r="CL943" s="27"/>
      <c r="CM943" s="27"/>
      <c r="CN943" s="27"/>
      <c r="CO943" s="27"/>
      <c r="CP943" s="27"/>
      <c r="CQ943" s="27"/>
      <c r="CR943" s="27"/>
      <c r="CS943" s="27"/>
      <c r="CT943" s="27"/>
      <c r="CU943" s="27"/>
      <c r="CV943" s="27"/>
      <c r="CW943" s="27"/>
      <c r="CX943" s="27"/>
      <c r="CY943" s="27"/>
      <c r="CZ943" s="27"/>
      <c r="DA943" s="27"/>
      <c r="DB943" s="27"/>
      <c r="DC943" s="27"/>
      <c r="DD943" s="27"/>
      <c r="DE943" s="27"/>
      <c r="DF943" s="27"/>
      <c r="DG943" s="27"/>
      <c r="DH943" s="27"/>
      <c r="DI943" s="27"/>
      <c r="DJ943" s="27"/>
      <c r="DK943" s="27"/>
      <c r="DL943" s="27"/>
      <c r="DM943" s="27"/>
      <c r="DN943" s="27"/>
      <c r="DO943" s="27"/>
      <c r="DP943" s="27"/>
      <c r="DQ943" s="27"/>
      <c r="DR943" s="27"/>
      <c r="DS943" s="27"/>
      <c r="DT943" s="27"/>
    </row>
    <row r="944" spans="3:124" ht="15" thickBot="1" x14ac:dyDescent="0.25">
      <c r="E944" s="139">
        <v>0</v>
      </c>
      <c r="G944" s="27">
        <f>ROUND((AF735-AT720)/365.25,2)</f>
        <v>0.36</v>
      </c>
      <c r="H944" s="27"/>
      <c r="I944" s="27"/>
      <c r="J944" s="27"/>
      <c r="K944" s="27"/>
      <c r="L944" s="27"/>
      <c r="M944" s="27"/>
      <c r="N944" s="27"/>
      <c r="O944" s="27"/>
      <c r="P944" s="27"/>
      <c r="Q944" s="27"/>
      <c r="R944" s="27"/>
      <c r="S944" s="27"/>
      <c r="T944" s="27"/>
      <c r="U944" s="27"/>
      <c r="V944" s="27"/>
      <c r="W944" s="27"/>
      <c r="X944" s="27"/>
      <c r="Y944" s="27"/>
      <c r="Z944" s="27"/>
      <c r="AA944" s="27"/>
      <c r="AB944" s="27"/>
      <c r="AC944" s="27"/>
      <c r="AD944" s="27"/>
      <c r="AE944" s="27"/>
      <c r="AF944" s="27"/>
      <c r="AG944" s="27"/>
      <c r="AH944" s="27"/>
      <c r="AI944" s="27"/>
      <c r="AJ944" s="27"/>
      <c r="AK944" s="27"/>
      <c r="AL944" s="27"/>
      <c r="AM944" s="27"/>
      <c r="AN944" s="27"/>
      <c r="AO944" s="27"/>
      <c r="AP944" s="27"/>
      <c r="AQ944" s="27"/>
      <c r="AR944" s="27"/>
      <c r="AS944" s="27"/>
      <c r="AT944" s="27"/>
      <c r="AU944" s="27"/>
      <c r="AV944" s="27"/>
      <c r="AW944" s="27"/>
      <c r="AX944" s="27"/>
      <c r="AY944" s="27"/>
      <c r="AZ944" s="27"/>
      <c r="BA944" s="27"/>
      <c r="BB944" s="27"/>
      <c r="BC944" s="27"/>
      <c r="BD944" s="27"/>
      <c r="BE944" s="27"/>
      <c r="BF944" s="27"/>
      <c r="BG944" s="27"/>
      <c r="BH944" s="27"/>
      <c r="BI944" s="27"/>
      <c r="BJ944" s="27"/>
      <c r="BK944" s="27"/>
      <c r="BL944" s="27"/>
      <c r="BM944" s="27"/>
      <c r="BN944" s="27"/>
      <c r="BO944" s="27"/>
      <c r="BP944" s="27"/>
      <c r="BQ944" s="27"/>
      <c r="BR944" s="27"/>
      <c r="BS944" s="27"/>
      <c r="BT944" s="27"/>
      <c r="BU944" s="27"/>
      <c r="BV944" s="27"/>
      <c r="BW944" s="27"/>
      <c r="BX944" s="27"/>
      <c r="BY944" s="27"/>
      <c r="BZ944" s="27"/>
      <c r="CA944" s="27"/>
      <c r="CB944" s="27"/>
      <c r="CC944" s="27"/>
      <c r="CD944" s="27"/>
      <c r="CE944" s="27"/>
      <c r="CF944" s="27"/>
      <c r="CG944" s="27"/>
      <c r="CH944" s="27"/>
      <c r="CI944" s="27"/>
      <c r="CJ944" s="27"/>
      <c r="CK944" s="27"/>
      <c r="CL944" s="27"/>
      <c r="CM944" s="27"/>
      <c r="CN944" s="27"/>
      <c r="CO944" s="27"/>
      <c r="CP944" s="27"/>
      <c r="CQ944" s="27"/>
      <c r="CR944" s="27"/>
      <c r="CS944" s="27"/>
      <c r="CT944" s="27"/>
      <c r="CU944" s="27"/>
      <c r="CV944" s="27"/>
      <c r="CW944" s="27"/>
      <c r="CX944" s="27"/>
      <c r="CY944" s="27"/>
      <c r="CZ944" s="27"/>
      <c r="DA944" s="27"/>
      <c r="DB944" s="27"/>
      <c r="DC944" s="27"/>
      <c r="DD944" s="27"/>
      <c r="DE944" s="27"/>
      <c r="DF944" s="27"/>
      <c r="DG944" s="27"/>
      <c r="DH944" s="27"/>
      <c r="DI944" s="27"/>
      <c r="DJ944" s="27"/>
      <c r="DK944" s="27"/>
      <c r="DL944" s="27"/>
      <c r="DM944" s="27"/>
      <c r="DN944" s="27"/>
      <c r="DO944" s="27"/>
      <c r="DP944" s="27"/>
      <c r="DQ944" s="27"/>
      <c r="DR944" s="27"/>
      <c r="DS944" s="27"/>
      <c r="DT944" s="27"/>
    </row>
    <row r="945" spans="2:124" ht="15.75" thickTop="1" thickBot="1" x14ac:dyDescent="0.25">
      <c r="E945" s="139">
        <v>0</v>
      </c>
      <c r="F945" s="142" t="s">
        <v>561</v>
      </c>
      <c r="G945" s="27">
        <f>G908-G944</f>
        <v>32.056666666666665</v>
      </c>
      <c r="H945" s="27"/>
      <c r="I945" s="27"/>
      <c r="J945" s="27"/>
      <c r="K945" s="27"/>
      <c r="L945" s="27"/>
      <c r="M945" s="27"/>
      <c r="N945" s="27"/>
      <c r="O945" s="27"/>
      <c r="P945" s="27"/>
      <c r="Q945" s="27"/>
      <c r="R945" s="27"/>
      <c r="S945" s="27"/>
      <c r="T945" s="27"/>
      <c r="U945" s="27"/>
      <c r="V945" s="27"/>
      <c r="W945" s="27"/>
      <c r="X945" s="27"/>
      <c r="Y945" s="27"/>
      <c r="Z945" s="27"/>
      <c r="AA945" s="27"/>
      <c r="AB945" s="27"/>
      <c r="AC945" s="27"/>
      <c r="AD945" s="27"/>
      <c r="AE945" s="27"/>
      <c r="AF945" s="27"/>
      <c r="AG945" s="27"/>
      <c r="AH945" s="27"/>
      <c r="AI945" s="27"/>
      <c r="AJ945" s="27"/>
      <c r="AK945" s="27"/>
      <c r="AL945" s="27"/>
      <c r="AM945" s="27"/>
      <c r="AN945" s="27"/>
      <c r="AO945" s="27"/>
      <c r="AP945" s="27"/>
      <c r="AQ945" s="27"/>
      <c r="AR945" s="27"/>
      <c r="AS945" s="27"/>
      <c r="AT945" s="27"/>
      <c r="AU945" s="27"/>
      <c r="AV945" s="27"/>
      <c r="AW945" s="27"/>
      <c r="AX945" s="27"/>
      <c r="AY945" s="27"/>
      <c r="AZ945" s="27"/>
      <c r="BA945" s="27"/>
      <c r="BB945" s="27"/>
      <c r="BC945" s="27"/>
      <c r="BD945" s="27"/>
      <c r="BE945" s="27"/>
      <c r="BF945" s="27"/>
      <c r="BG945" s="27"/>
      <c r="BH945" s="27"/>
      <c r="BI945" s="27"/>
      <c r="BJ945" s="27"/>
      <c r="BK945" s="27"/>
      <c r="BL945" s="27"/>
      <c r="BM945" s="27"/>
      <c r="BN945" s="27"/>
      <c r="BO945" s="27"/>
      <c r="BP945" s="27"/>
      <c r="BQ945" s="27"/>
      <c r="BR945" s="27"/>
      <c r="BS945" s="27"/>
      <c r="BT945" s="27"/>
      <c r="BU945" s="27"/>
      <c r="BV945" s="27"/>
      <c r="BW945" s="27"/>
      <c r="BX945" s="27"/>
      <c r="BY945" s="27"/>
      <c r="BZ945" s="27"/>
      <c r="CA945" s="27"/>
      <c r="CB945" s="27"/>
      <c r="CC945" s="27"/>
      <c r="CD945" s="27"/>
      <c r="CE945" s="27"/>
      <c r="CF945" s="27"/>
      <c r="CG945" s="27"/>
      <c r="CH945" s="27"/>
      <c r="CI945" s="27"/>
      <c r="CJ945" s="27"/>
      <c r="CK945" s="27"/>
      <c r="CL945" s="27"/>
      <c r="CM945" s="27"/>
      <c r="CN945" s="27"/>
      <c r="CO945" s="27"/>
      <c r="CP945" s="27"/>
      <c r="CQ945" s="27"/>
      <c r="CR945" s="27"/>
      <c r="CS945" s="27"/>
      <c r="CT945" s="27"/>
      <c r="CU945" s="27"/>
      <c r="CV945" s="27"/>
      <c r="CW945" s="27"/>
      <c r="CX945" s="27"/>
      <c r="CY945" s="27"/>
      <c r="CZ945" s="27"/>
      <c r="DA945" s="27"/>
      <c r="DB945" s="27"/>
      <c r="DC945" s="27"/>
      <c r="DD945" s="27"/>
      <c r="DE945" s="27"/>
      <c r="DF945" s="27"/>
      <c r="DG945" s="27"/>
      <c r="DH945" s="27"/>
      <c r="DI945" s="27"/>
      <c r="DJ945" s="27"/>
      <c r="DK945" s="27"/>
      <c r="DL945" s="27"/>
      <c r="DM945" s="27"/>
      <c r="DN945" s="27"/>
      <c r="DO945" s="27"/>
      <c r="DP945" s="27"/>
      <c r="DQ945" s="27"/>
      <c r="DR945" s="27"/>
      <c r="DS945" s="27"/>
      <c r="DT945" s="27"/>
    </row>
    <row r="946" spans="2:124" ht="16.5" thickTop="1" thickBot="1" x14ac:dyDescent="0.3">
      <c r="B946" t="s">
        <v>59</v>
      </c>
      <c r="C946" s="143" t="s">
        <v>563</v>
      </c>
      <c r="D946" s="144" t="e">
        <f>D951</f>
        <v>#REF!</v>
      </c>
      <c r="E946" s="145" t="e">
        <f>SUM(E929:E945)</f>
        <v>#REF!</v>
      </c>
      <c r="F946" s="146" t="s">
        <v>562</v>
      </c>
      <c r="G946" s="27">
        <f>G908</f>
        <v>32.416666666666664</v>
      </c>
      <c r="H946" s="27"/>
      <c r="I946" s="27"/>
      <c r="J946" s="27"/>
      <c r="K946" s="27"/>
      <c r="L946" s="27"/>
      <c r="M946" s="27"/>
      <c r="N946" s="27"/>
      <c r="O946" s="27"/>
      <c r="P946" s="27"/>
      <c r="Q946" s="27"/>
      <c r="R946" s="27"/>
      <c r="S946" s="27"/>
      <c r="T946" s="27"/>
      <c r="U946" s="27"/>
      <c r="V946" s="27"/>
      <c r="W946" s="27"/>
      <c r="X946" s="27"/>
      <c r="Y946" s="27"/>
      <c r="Z946" s="27"/>
      <c r="AA946" s="27"/>
      <c r="AB946" s="27"/>
      <c r="AC946" s="27"/>
      <c r="AD946" s="27"/>
      <c r="AE946" s="27"/>
      <c r="AF946" s="27"/>
      <c r="AG946" s="27"/>
      <c r="AH946" s="27"/>
      <c r="AI946" s="27"/>
      <c r="AJ946" s="27"/>
      <c r="AK946" s="27"/>
      <c r="AL946" s="27"/>
      <c r="AM946" s="27"/>
      <c r="AN946" s="27"/>
      <c r="AO946" s="27"/>
      <c r="AP946" s="27"/>
      <c r="AQ946" s="27"/>
      <c r="AR946" s="27"/>
      <c r="AS946" s="27"/>
      <c r="AT946" s="27"/>
      <c r="AU946" s="27"/>
      <c r="AV946" s="27"/>
      <c r="AW946" s="27"/>
      <c r="AX946" s="27"/>
      <c r="AY946" s="27"/>
      <c r="AZ946" s="27"/>
      <c r="BA946" s="27"/>
      <c r="BB946" s="27"/>
      <c r="BC946" s="27"/>
      <c r="BD946" s="27"/>
      <c r="BE946" s="27"/>
      <c r="BF946" s="27"/>
      <c r="BG946" s="27"/>
      <c r="BH946" s="27"/>
      <c r="BI946" s="27"/>
      <c r="BJ946" s="27"/>
      <c r="BK946" s="27"/>
      <c r="BL946" s="27"/>
      <c r="BM946" s="27"/>
      <c r="BN946" s="27"/>
      <c r="BO946" s="27"/>
      <c r="BP946" s="27"/>
      <c r="BQ946" s="27"/>
      <c r="BR946" s="27"/>
      <c r="BS946" s="27"/>
      <c r="BT946" s="27"/>
      <c r="BU946" s="27"/>
      <c r="BV946" s="27"/>
      <c r="BW946" s="27"/>
      <c r="BX946" s="27"/>
      <c r="BY946" s="27"/>
      <c r="BZ946" s="27"/>
      <c r="CA946" s="27"/>
      <c r="CB946" s="27"/>
      <c r="CC946" s="27"/>
      <c r="CD946" s="27"/>
      <c r="CE946" s="27"/>
      <c r="CF946" s="27"/>
      <c r="CG946" s="27"/>
      <c r="CH946" s="27"/>
      <c r="CI946" s="27"/>
      <c r="CJ946" s="27"/>
      <c r="CK946" s="27"/>
      <c r="CL946" s="27"/>
      <c r="CM946" s="27"/>
      <c r="CN946" s="27"/>
      <c r="CO946" s="27"/>
      <c r="CP946" s="27"/>
      <c r="CQ946" s="27"/>
      <c r="CR946" s="27"/>
      <c r="CS946" s="27"/>
      <c r="CT946" s="27"/>
      <c r="CU946" s="27"/>
      <c r="CV946" s="27"/>
      <c r="CW946" s="27"/>
      <c r="CX946" s="27"/>
      <c r="CY946" s="27"/>
      <c r="CZ946" s="27"/>
      <c r="DA946" s="27"/>
      <c r="DB946" s="27"/>
      <c r="DC946" s="27"/>
      <c r="DD946" s="27"/>
      <c r="DE946" s="27"/>
      <c r="DF946" s="27"/>
      <c r="DG946" s="27"/>
      <c r="DH946" s="27"/>
      <c r="DI946" s="27"/>
      <c r="DJ946" s="27"/>
      <c r="DK946" s="27"/>
      <c r="DL946" s="27"/>
      <c r="DM946" s="27"/>
      <c r="DN946" s="27"/>
      <c r="DO946" s="27"/>
      <c r="DP946" s="27"/>
      <c r="DQ946" s="27"/>
      <c r="DR946" s="27"/>
      <c r="DS946" s="27"/>
      <c r="DT946" s="27"/>
    </row>
    <row r="947" spans="2:124" ht="19.5" thickTop="1" thickBot="1" x14ac:dyDescent="0.3">
      <c r="B947" s="10" t="s">
        <v>59</v>
      </c>
      <c r="C947" s="147" t="s">
        <v>583</v>
      </c>
      <c r="D947" s="148"/>
      <c r="E947" s="149" t="e">
        <f>(E946*G944+D946*G945)/G946</f>
        <v>#REF!</v>
      </c>
      <c r="F947" s="150" t="s">
        <v>584</v>
      </c>
      <c r="G947" s="27" t="s">
        <v>545</v>
      </c>
      <c r="H947" s="27"/>
      <c r="I947" s="27"/>
      <c r="J947" s="27"/>
      <c r="K947" s="27"/>
      <c r="L947" s="27"/>
      <c r="M947" s="27"/>
      <c r="N947" s="27"/>
      <c r="O947" s="27"/>
      <c r="P947" s="27"/>
      <c r="Q947" s="27"/>
      <c r="R947" s="27"/>
      <c r="S947" s="27"/>
      <c r="T947" s="27"/>
      <c r="U947" s="27"/>
      <c r="V947" s="27"/>
      <c r="W947" s="27"/>
      <c r="X947" s="27"/>
      <c r="Y947" s="27"/>
      <c r="Z947" s="27"/>
      <c r="AA947" s="27"/>
      <c r="AB947" s="27"/>
      <c r="AC947" s="27"/>
      <c r="AD947" s="27"/>
      <c r="AE947" s="27"/>
      <c r="AF947" s="27"/>
      <c r="AG947" s="27"/>
      <c r="AH947" s="27"/>
      <c r="AI947" s="27"/>
      <c r="AJ947" s="27"/>
      <c r="AK947" s="27"/>
      <c r="AL947" s="27"/>
      <c r="AM947" s="27"/>
      <c r="AN947" s="27"/>
      <c r="AO947" s="27"/>
      <c r="AP947" s="27"/>
      <c r="AQ947" s="27"/>
      <c r="AR947" s="27"/>
      <c r="AS947" s="27"/>
      <c r="AT947" s="27"/>
      <c r="AU947" s="27"/>
      <c r="AV947" s="27"/>
      <c r="AW947" s="27"/>
      <c r="AX947" s="27"/>
      <c r="AY947" s="27"/>
      <c r="AZ947" s="27"/>
      <c r="BA947" s="27"/>
      <c r="BB947" s="27"/>
      <c r="BC947" s="27"/>
      <c r="BD947" s="27"/>
      <c r="BE947" s="27"/>
      <c r="BF947" s="27"/>
      <c r="BG947" s="27"/>
      <c r="BH947" s="27"/>
      <c r="BI947" s="27"/>
      <c r="BJ947" s="27"/>
      <c r="BK947" s="27"/>
      <c r="BL947" s="27"/>
      <c r="BM947" s="27"/>
      <c r="BN947" s="27"/>
      <c r="BO947" s="27"/>
      <c r="BP947" s="27"/>
      <c r="BQ947" s="27"/>
      <c r="BR947" s="27"/>
      <c r="BS947" s="27"/>
      <c r="BT947" s="27"/>
      <c r="BU947" s="27"/>
      <c r="BV947" s="27"/>
      <c r="BW947" s="27"/>
      <c r="BX947" s="27"/>
      <c r="BY947" s="27"/>
      <c r="BZ947" s="27"/>
      <c r="CA947" s="27"/>
      <c r="CB947" s="27"/>
      <c r="CC947" s="27"/>
      <c r="CD947" s="27"/>
      <c r="CE947" s="27"/>
      <c r="CF947" s="27"/>
      <c r="CG947" s="27"/>
      <c r="CH947" s="27"/>
      <c r="CI947" s="27"/>
      <c r="CJ947" s="27"/>
      <c r="CK947" s="27"/>
      <c r="CL947" s="27"/>
      <c r="CM947" s="27"/>
      <c r="CN947" s="27"/>
      <c r="CO947" s="27"/>
      <c r="CP947" s="27"/>
      <c r="CQ947" s="27"/>
      <c r="CR947" s="27"/>
      <c r="CS947" s="27"/>
      <c r="CT947" s="27"/>
      <c r="CU947" s="27"/>
      <c r="CV947" s="27"/>
      <c r="CW947" s="27"/>
      <c r="CX947" s="27"/>
      <c r="CY947" s="27"/>
      <c r="CZ947" s="27"/>
      <c r="DA947" s="27"/>
      <c r="DB947" s="27"/>
      <c r="DC947" s="27"/>
      <c r="DD947" s="27"/>
      <c r="DE947" s="27"/>
      <c r="DF947" s="27"/>
      <c r="DG947" s="27"/>
      <c r="DH947" s="27"/>
      <c r="DI947" s="27"/>
      <c r="DJ947" s="27"/>
      <c r="DK947" s="27"/>
      <c r="DL947" s="27"/>
      <c r="DM947" s="27"/>
      <c r="DN947" s="27"/>
      <c r="DO947" s="27"/>
      <c r="DP947" s="27"/>
      <c r="DQ947" s="27"/>
      <c r="DR947" s="27"/>
      <c r="DS947" s="27"/>
      <c r="DT947" s="27"/>
    </row>
    <row r="948" spans="2:124" ht="17.25" thickTop="1" thickBot="1" x14ac:dyDescent="0.3">
      <c r="B948" s="134" t="s">
        <v>545</v>
      </c>
      <c r="G948" s="27" t="s">
        <v>59</v>
      </c>
      <c r="H948" s="27"/>
      <c r="I948" s="27"/>
      <c r="J948" s="27"/>
      <c r="K948" s="27"/>
      <c r="L948" s="27"/>
      <c r="M948" s="27"/>
      <c r="N948" s="27"/>
      <c r="O948" s="27"/>
      <c r="P948" s="27"/>
      <c r="Q948" s="27"/>
      <c r="R948" s="27"/>
      <c r="S948" s="27"/>
      <c r="T948" s="27"/>
      <c r="U948" s="27"/>
      <c r="V948" s="27"/>
      <c r="W948" s="27"/>
      <c r="X948" s="27"/>
      <c r="Y948" s="27"/>
      <c r="Z948" s="27"/>
      <c r="AA948" s="27"/>
      <c r="AB948" s="27"/>
      <c r="AC948" s="27"/>
      <c r="AD948" s="27"/>
      <c r="AE948" s="27"/>
      <c r="AF948" s="27"/>
      <c r="AG948" s="27"/>
      <c r="AH948" s="27"/>
      <c r="AI948" s="27"/>
      <c r="AJ948" s="27"/>
      <c r="AK948" s="27"/>
      <c r="AL948" s="27"/>
      <c r="AM948" s="27"/>
      <c r="AN948" s="27"/>
      <c r="AO948" s="27"/>
      <c r="AP948" s="27"/>
      <c r="AQ948" s="27"/>
      <c r="AR948" s="27"/>
      <c r="AS948" s="27"/>
      <c r="AT948" s="27"/>
      <c r="AU948" s="27"/>
      <c r="AV948" s="27"/>
      <c r="AW948" s="27"/>
      <c r="AX948" s="27"/>
      <c r="AY948" s="27"/>
      <c r="AZ948" s="27"/>
      <c r="BA948" s="27"/>
      <c r="BB948" s="27"/>
      <c r="BC948" s="27"/>
      <c r="BD948" s="27"/>
      <c r="BE948" s="27"/>
      <c r="BF948" s="27"/>
      <c r="BG948" s="27"/>
      <c r="BH948" s="27"/>
      <c r="BI948" s="27"/>
      <c r="BJ948" s="27"/>
      <c r="BK948" s="27"/>
      <c r="BL948" s="27"/>
      <c r="BM948" s="27"/>
      <c r="BN948" s="27"/>
      <c r="BO948" s="27"/>
      <c r="BP948" s="27"/>
      <c r="BQ948" s="27"/>
      <c r="BR948" s="27"/>
      <c r="BS948" s="27"/>
      <c r="BT948" s="27"/>
      <c r="BU948" s="27"/>
      <c r="BV948" s="27"/>
      <c r="BW948" s="27"/>
      <c r="BX948" s="27"/>
      <c r="BY948" s="27"/>
      <c r="BZ948" s="27"/>
      <c r="CA948" s="27"/>
      <c r="CB948" s="27"/>
      <c r="CC948" s="27"/>
      <c r="CD948" s="27"/>
      <c r="CE948" s="27"/>
      <c r="CF948" s="27"/>
      <c r="CG948" s="27"/>
      <c r="CH948" s="27"/>
      <c r="CI948" s="27"/>
      <c r="CJ948" s="27"/>
      <c r="CK948" s="27"/>
      <c r="CL948" s="27"/>
      <c r="CM948" s="27"/>
      <c r="CN948" s="27"/>
      <c r="CO948" s="27"/>
      <c r="CP948" s="27"/>
      <c r="CQ948" s="27"/>
      <c r="CR948" s="27"/>
      <c r="CS948" s="27"/>
      <c r="CT948" s="27"/>
      <c r="CU948" s="27"/>
      <c r="CV948" s="27"/>
      <c r="CW948" s="27"/>
      <c r="CX948" s="27"/>
      <c r="CY948" s="27"/>
      <c r="CZ948" s="27"/>
      <c r="DA948" s="27"/>
      <c r="DB948" s="27"/>
      <c r="DC948" s="27"/>
      <c r="DD948" s="27"/>
      <c r="DE948" s="27"/>
      <c r="DF948" s="27"/>
      <c r="DG948" s="27"/>
      <c r="DH948" s="27"/>
      <c r="DI948" s="27"/>
      <c r="DJ948" s="27"/>
      <c r="DK948" s="27"/>
      <c r="DL948" s="27"/>
      <c r="DM948" s="27"/>
      <c r="DN948" s="27"/>
      <c r="DO948" s="27"/>
      <c r="DP948" s="27"/>
      <c r="DQ948" s="27"/>
      <c r="DR948" s="27"/>
      <c r="DS948" s="27"/>
      <c r="DT948" s="27"/>
    </row>
    <row r="949" spans="2:124" ht="15" thickTop="1" x14ac:dyDescent="0.2">
      <c r="B949" s="10"/>
      <c r="C949" s="10" t="s">
        <v>585</v>
      </c>
      <c r="D949" s="151" t="e">
        <f>SUM(D929:D945)</f>
        <v>#REF!</v>
      </c>
      <c r="G949" s="27"/>
      <c r="H949" s="27"/>
      <c r="I949" s="27"/>
      <c r="J949" s="27"/>
      <c r="K949" s="27"/>
      <c r="L949" s="27"/>
      <c r="M949" s="27"/>
      <c r="N949" s="27"/>
      <c r="O949" s="27"/>
      <c r="P949" s="27"/>
      <c r="Q949" s="27"/>
      <c r="R949" s="27"/>
      <c r="S949" s="27"/>
      <c r="T949" s="27"/>
      <c r="U949" s="27"/>
      <c r="V949" s="27"/>
      <c r="W949" s="27"/>
      <c r="X949" s="27"/>
      <c r="Y949" s="27"/>
      <c r="Z949" s="27"/>
      <c r="AA949" s="27"/>
      <c r="AB949" s="27"/>
      <c r="AC949" s="27"/>
      <c r="AD949" s="27"/>
      <c r="AE949" s="27"/>
      <c r="AF949" s="27"/>
      <c r="AG949" s="27"/>
      <c r="AH949" s="27"/>
      <c r="AI949" s="27"/>
      <c r="AJ949" s="27"/>
      <c r="AK949" s="27"/>
      <c r="AL949" s="27"/>
      <c r="AM949" s="27"/>
      <c r="AN949" s="27"/>
      <c r="AO949" s="27"/>
      <c r="AP949" s="27"/>
      <c r="AQ949" s="27"/>
      <c r="AR949" s="27"/>
      <c r="AS949" s="27"/>
      <c r="AT949" s="27"/>
      <c r="AU949" s="27"/>
      <c r="AV949" s="27"/>
      <c r="AW949" s="27"/>
      <c r="AX949" s="27"/>
      <c r="AY949" s="27"/>
      <c r="AZ949" s="27"/>
      <c r="BA949" s="27"/>
      <c r="BB949" s="27"/>
      <c r="BC949" s="27"/>
      <c r="BD949" s="27"/>
      <c r="BE949" s="27"/>
      <c r="BF949" s="27"/>
      <c r="BG949" s="27"/>
      <c r="BH949" s="27"/>
      <c r="BI949" s="27"/>
      <c r="BJ949" s="27"/>
      <c r="BK949" s="27"/>
      <c r="BL949" s="27"/>
      <c r="BM949" s="27"/>
      <c r="BN949" s="27"/>
      <c r="BO949" s="27"/>
      <c r="BP949" s="27"/>
      <c r="BQ949" s="27"/>
      <c r="BR949" s="27"/>
      <c r="BS949" s="27"/>
      <c r="BT949" s="27"/>
      <c r="BU949" s="27"/>
      <c r="BV949" s="27"/>
      <c r="BW949" s="27"/>
      <c r="BX949" s="27"/>
      <c r="BY949" s="27"/>
      <c r="BZ949" s="27"/>
      <c r="CA949" s="27"/>
      <c r="CB949" s="27"/>
      <c r="CC949" s="27"/>
      <c r="CD949" s="27"/>
      <c r="CE949" s="27"/>
      <c r="CF949" s="27"/>
      <c r="CG949" s="27"/>
      <c r="CH949" s="27"/>
      <c r="CI949" s="27"/>
      <c r="CJ949" s="27"/>
      <c r="CK949" s="27"/>
      <c r="CL949" s="27"/>
      <c r="CM949" s="27"/>
      <c r="CN949" s="27"/>
      <c r="CO949" s="27"/>
      <c r="CP949" s="27"/>
      <c r="CQ949" s="27"/>
      <c r="CR949" s="27"/>
      <c r="CS949" s="27"/>
      <c r="CT949" s="27"/>
      <c r="CU949" s="27"/>
      <c r="CV949" s="27"/>
      <c r="CW949" s="27"/>
      <c r="CX949" s="27"/>
      <c r="CY949" s="27"/>
      <c r="CZ949" s="27"/>
      <c r="DA949" s="27"/>
      <c r="DB949" s="27"/>
      <c r="DC949" s="27"/>
      <c r="DD949" s="27"/>
      <c r="DE949" s="27"/>
      <c r="DF949" s="27"/>
      <c r="DG949" s="27"/>
      <c r="DH949" s="27"/>
      <c r="DI949" s="27"/>
      <c r="DJ949" s="27"/>
      <c r="DK949" s="27"/>
      <c r="DL949" s="27"/>
      <c r="DM949" s="27"/>
      <c r="DN949" s="27"/>
      <c r="DO949" s="27"/>
      <c r="DP949" s="27"/>
      <c r="DQ949" s="27"/>
      <c r="DR949" s="27"/>
      <c r="DS949" s="27"/>
      <c r="DT949" s="27"/>
    </row>
    <row r="950" spans="2:124" ht="15" thickBot="1" x14ac:dyDescent="0.25">
      <c r="B950" s="10" t="s">
        <v>586</v>
      </c>
      <c r="C950" s="152">
        <f>INT(G944)/100</f>
        <v>0</v>
      </c>
      <c r="D950" s="153" t="e">
        <f>D949*(1+(INT(G944)/100))</f>
        <v>#REF!</v>
      </c>
      <c r="G950" s="27"/>
      <c r="H950" s="27"/>
      <c r="I950" s="27"/>
      <c r="J950" s="27"/>
      <c r="K950" s="27"/>
      <c r="L950" s="27"/>
      <c r="M950" s="27"/>
      <c r="N950" s="27"/>
      <c r="O950" s="27"/>
      <c r="P950" s="27"/>
      <c r="Q950" s="27"/>
      <c r="R950" s="27"/>
      <c r="S950" s="27"/>
      <c r="T950" s="27"/>
      <c r="U950" s="27"/>
      <c r="V950" s="27"/>
      <c r="W950" s="27"/>
      <c r="X950" s="27"/>
      <c r="Y950" s="27"/>
      <c r="Z950" s="27"/>
      <c r="AA950" s="27"/>
      <c r="AB950" s="27"/>
      <c r="AC950" s="27"/>
      <c r="AD950" s="27"/>
      <c r="AE950" s="27"/>
      <c r="AF950" s="27"/>
      <c r="AG950" s="27"/>
      <c r="AH950" s="27"/>
      <c r="AI950" s="27"/>
      <c r="AJ950" s="27"/>
      <c r="AK950" s="27"/>
      <c r="AL950" s="27"/>
      <c r="AM950" s="27"/>
      <c r="AN950" s="27"/>
      <c r="AO950" s="27"/>
      <c r="AP950" s="27"/>
      <c r="AQ950" s="27"/>
      <c r="AR950" s="27"/>
      <c r="AS950" s="27"/>
      <c r="AT950" s="27"/>
      <c r="AU950" s="27"/>
      <c r="AV950" s="27"/>
      <c r="AW950" s="27"/>
      <c r="AX950" s="27"/>
      <c r="AY950" s="27"/>
      <c r="AZ950" s="27"/>
      <c r="BA950" s="27"/>
      <c r="BB950" s="27"/>
      <c r="BC950" s="27"/>
      <c r="BD950" s="27"/>
      <c r="BE950" s="27"/>
      <c r="BF950" s="27"/>
      <c r="BG950" s="27"/>
      <c r="BH950" s="27"/>
      <c r="BI950" s="27"/>
      <c r="BJ950" s="27"/>
      <c r="BK950" s="27"/>
      <c r="BL950" s="27"/>
      <c r="BM950" s="27"/>
      <c r="BN950" s="27"/>
      <c r="BO950" s="27"/>
      <c r="BP950" s="27"/>
      <c r="BQ950" s="27"/>
      <c r="BR950" s="27"/>
      <c r="BS950" s="27"/>
      <c r="BT950" s="27"/>
      <c r="BU950" s="27"/>
      <c r="BV950" s="27"/>
      <c r="BW950" s="27"/>
      <c r="BX950" s="27"/>
      <c r="BY950" s="27"/>
      <c r="BZ950" s="27"/>
      <c r="CA950" s="27"/>
      <c r="CB950" s="27"/>
      <c r="CC950" s="27"/>
      <c r="CD950" s="27"/>
      <c r="CE950" s="27"/>
      <c r="CF950" s="27"/>
      <c r="CG950" s="27"/>
      <c r="CH950" s="27"/>
      <c r="CI950" s="27"/>
      <c r="CJ950" s="27"/>
      <c r="CK950" s="27"/>
      <c r="CL950" s="27"/>
      <c r="CM950" s="27"/>
      <c r="CN950" s="27"/>
      <c r="CO950" s="27"/>
      <c r="CP950" s="27"/>
      <c r="CQ950" s="27"/>
      <c r="CR950" s="27"/>
      <c r="CS950" s="27"/>
      <c r="CT950" s="27"/>
      <c r="CU950" s="27"/>
      <c r="CV950" s="27"/>
      <c r="CW950" s="27"/>
      <c r="CX950" s="27"/>
      <c r="CY950" s="27"/>
      <c r="CZ950" s="27"/>
      <c r="DA950" s="27"/>
      <c r="DB950" s="27"/>
      <c r="DC950" s="27"/>
      <c r="DD950" s="27"/>
      <c r="DE950" s="27"/>
      <c r="DF950" s="27"/>
      <c r="DG950" s="27"/>
      <c r="DH950" s="27"/>
      <c r="DI950" s="27"/>
      <c r="DJ950" s="27"/>
      <c r="DK950" s="27"/>
      <c r="DL950" s="27"/>
      <c r="DM950" s="27"/>
      <c r="DN950" s="27"/>
      <c r="DO950" s="27"/>
      <c r="DP950" s="27"/>
      <c r="DQ950" s="27"/>
      <c r="DR950" s="27"/>
      <c r="DS950" s="27"/>
      <c r="DT950" s="27"/>
    </row>
    <row r="951" spans="2:124" ht="16.5" thickTop="1" thickBot="1" x14ac:dyDescent="0.3">
      <c r="B951" s="10" t="s">
        <v>587</v>
      </c>
      <c r="C951" s="154">
        <f>IF(E928&lt;7,K880*7.5%,IF(E928=7,K880*7.5%+0.5%,IF(E928=8,K880*7.5%+1%,IF(E928=9,K880*7.5%+1.5%,IF(E928=10,K880*7.5%+2%)))))</f>
        <v>0</v>
      </c>
      <c r="D951" s="144" t="e">
        <f>D950*(1+C951)</f>
        <v>#REF!</v>
      </c>
      <c r="G951" s="27"/>
      <c r="H951" s="27"/>
      <c r="I951" s="27"/>
      <c r="J951" s="27"/>
      <c r="K951" s="27"/>
      <c r="L951" s="27"/>
      <c r="M951" s="27"/>
      <c r="N951" s="27"/>
      <c r="O951" s="27"/>
      <c r="P951" s="27"/>
      <c r="Q951" s="27"/>
      <c r="R951" s="27"/>
      <c r="S951" s="27"/>
      <c r="T951" s="27"/>
      <c r="U951" s="27"/>
      <c r="V951" s="27"/>
      <c r="W951" s="27"/>
      <c r="X951" s="27"/>
      <c r="Y951" s="27"/>
      <c r="Z951" s="27"/>
      <c r="AA951" s="27"/>
      <c r="AB951" s="27"/>
      <c r="AC951" s="27"/>
      <c r="AD951" s="27"/>
      <c r="AE951" s="27"/>
      <c r="AF951" s="27"/>
      <c r="AG951" s="27"/>
      <c r="AH951" s="27"/>
      <c r="AI951" s="27"/>
      <c r="AJ951" s="27"/>
      <c r="AK951" s="27"/>
      <c r="AL951" s="27"/>
      <c r="AM951" s="27"/>
      <c r="AN951" s="27"/>
      <c r="AO951" s="27"/>
      <c r="AP951" s="27"/>
      <c r="AQ951" s="27"/>
      <c r="AR951" s="27"/>
      <c r="AS951" s="27"/>
      <c r="AT951" s="27"/>
      <c r="AU951" s="27"/>
      <c r="AV951" s="27"/>
      <c r="AW951" s="27"/>
      <c r="AX951" s="27"/>
      <c r="AY951" s="27"/>
      <c r="AZ951" s="27"/>
      <c r="BA951" s="27"/>
      <c r="BB951" s="27"/>
      <c r="BC951" s="27"/>
      <c r="BD951" s="27"/>
      <c r="BE951" s="27"/>
      <c r="BF951" s="27"/>
      <c r="BG951" s="27"/>
      <c r="BH951" s="27"/>
      <c r="BI951" s="27"/>
      <c r="BJ951" s="27"/>
      <c r="BK951" s="27"/>
      <c r="BL951" s="27"/>
      <c r="BM951" s="27"/>
      <c r="BN951" s="27"/>
      <c r="BO951" s="27"/>
      <c r="BP951" s="27"/>
      <c r="BQ951" s="27"/>
      <c r="BR951" s="27"/>
      <c r="BS951" s="27"/>
      <c r="BT951" s="27"/>
      <c r="BU951" s="27"/>
      <c r="BV951" s="27"/>
      <c r="BW951" s="27"/>
      <c r="BX951" s="27"/>
      <c r="BY951" s="27"/>
      <c r="BZ951" s="27"/>
      <c r="CA951" s="27"/>
      <c r="CB951" s="27"/>
      <c r="CC951" s="27"/>
      <c r="CD951" s="27"/>
      <c r="CE951" s="27"/>
      <c r="CF951" s="27"/>
      <c r="CG951" s="27"/>
      <c r="CH951" s="27"/>
      <c r="CI951" s="27"/>
      <c r="CJ951" s="27"/>
      <c r="CK951" s="27"/>
      <c r="CL951" s="27"/>
      <c r="CM951" s="27"/>
      <c r="CN951" s="27"/>
      <c r="CO951" s="27"/>
      <c r="CP951" s="27"/>
      <c r="CQ951" s="27"/>
      <c r="CR951" s="27"/>
      <c r="CS951" s="27"/>
      <c r="CT951" s="27"/>
      <c r="CU951" s="27"/>
      <c r="CV951" s="27"/>
      <c r="CW951" s="27"/>
      <c r="CX951" s="27"/>
      <c r="CY951" s="27"/>
      <c r="CZ951" s="27"/>
      <c r="DA951" s="27"/>
      <c r="DB951" s="27"/>
      <c r="DC951" s="27"/>
      <c r="DD951" s="27"/>
      <c r="DE951" s="27"/>
      <c r="DF951" s="27"/>
      <c r="DG951" s="27"/>
      <c r="DH951" s="27"/>
      <c r="DI951" s="27"/>
      <c r="DJ951" s="27"/>
      <c r="DK951" s="27"/>
      <c r="DL951" s="27"/>
      <c r="DM951" s="27"/>
      <c r="DN951" s="27"/>
      <c r="DO951" s="27"/>
      <c r="DP951" s="27"/>
      <c r="DQ951" s="27"/>
      <c r="DR951" s="27"/>
      <c r="DS951" s="27"/>
      <c r="DT951" s="27"/>
    </row>
    <row r="952" spans="2:124" ht="15" thickTop="1" x14ac:dyDescent="0.2">
      <c r="B952" s="64" t="s">
        <v>59</v>
      </c>
      <c r="G952" s="27"/>
      <c r="H952" s="27"/>
      <c r="I952" s="27"/>
      <c r="J952" s="27"/>
      <c r="K952" s="27"/>
      <c r="L952" s="27"/>
      <c r="M952" s="27"/>
      <c r="N952" s="27"/>
      <c r="O952" s="27"/>
      <c r="P952" s="27"/>
      <c r="Q952" s="27"/>
      <c r="R952" s="27"/>
      <c r="S952" s="27"/>
      <c r="T952" s="27"/>
      <c r="U952" s="27"/>
      <c r="V952" s="27"/>
      <c r="W952" s="27"/>
      <c r="X952" s="27"/>
      <c r="Y952" s="27"/>
      <c r="Z952" s="27"/>
      <c r="AA952" s="27"/>
      <c r="AB952" s="27"/>
      <c r="AC952" s="27"/>
      <c r="AD952" s="27"/>
      <c r="AE952" s="27"/>
      <c r="AF952" s="27"/>
      <c r="AG952" s="27"/>
      <c r="AH952" s="27"/>
      <c r="AI952" s="27"/>
      <c r="AJ952" s="27"/>
      <c r="AK952" s="27"/>
      <c r="AL952" s="27"/>
      <c r="AM952" s="27"/>
      <c r="AN952" s="27"/>
      <c r="AO952" s="27"/>
      <c r="AP952" s="27"/>
      <c r="AQ952" s="27"/>
      <c r="AR952" s="27"/>
      <c r="AS952" s="27"/>
      <c r="AT952" s="27"/>
      <c r="AU952" s="27"/>
      <c r="AV952" s="27"/>
      <c r="AW952" s="27"/>
      <c r="AX952" s="27"/>
      <c r="AY952" s="27"/>
      <c r="AZ952" s="27"/>
      <c r="BA952" s="27"/>
      <c r="BB952" s="27"/>
      <c r="BC952" s="27"/>
      <c r="BD952" s="27"/>
      <c r="BE952" s="27"/>
      <c r="BF952" s="27"/>
      <c r="BG952" s="27"/>
      <c r="BH952" s="27"/>
      <c r="BI952" s="27"/>
      <c r="BJ952" s="27"/>
      <c r="BK952" s="27"/>
      <c r="BL952" s="27"/>
      <c r="BM952" s="27"/>
      <c r="BN952" s="27"/>
      <c r="BO952" s="27"/>
      <c r="BP952" s="27"/>
      <c r="BQ952" s="27"/>
      <c r="BR952" s="27"/>
      <c r="BS952" s="27"/>
      <c r="BT952" s="27"/>
      <c r="BU952" s="27"/>
      <c r="BV952" s="27"/>
      <c r="BW952" s="27"/>
      <c r="BX952" s="27"/>
      <c r="BY952" s="27"/>
      <c r="BZ952" s="27"/>
      <c r="CA952" s="27"/>
      <c r="CB952" s="27"/>
      <c r="CC952" s="27"/>
      <c r="CD952" s="27"/>
      <c r="CE952" s="27"/>
      <c r="CF952" s="27"/>
      <c r="CG952" s="27"/>
      <c r="CH952" s="27"/>
      <c r="CI952" s="27"/>
      <c r="CJ952" s="27"/>
      <c r="CK952" s="27"/>
      <c r="CL952" s="27"/>
      <c r="CM952" s="27"/>
      <c r="CN952" s="27"/>
      <c r="CO952" s="27"/>
      <c r="CP952" s="27"/>
      <c r="CQ952" s="27"/>
      <c r="CR952" s="27"/>
      <c r="CS952" s="27"/>
      <c r="CT952" s="27"/>
      <c r="CU952" s="27"/>
      <c r="CV952" s="27"/>
      <c r="CW952" s="27"/>
      <c r="CX952" s="27"/>
      <c r="CY952" s="27"/>
      <c r="CZ952" s="27"/>
      <c r="DA952" s="27"/>
      <c r="DB952" s="27"/>
      <c r="DC952" s="27"/>
      <c r="DD952" s="27"/>
      <c r="DE952" s="27"/>
      <c r="DF952" s="27"/>
      <c r="DG952" s="27"/>
      <c r="DH952" s="27"/>
      <c r="DI952" s="27"/>
      <c r="DJ952" s="27"/>
      <c r="DK952" s="27"/>
      <c r="DL952" s="27"/>
      <c r="DM952" s="27"/>
      <c r="DN952" s="27"/>
      <c r="DO952" s="27"/>
      <c r="DP952" s="27"/>
      <c r="DQ952" s="27"/>
      <c r="DR952" s="27"/>
      <c r="DS952" s="27"/>
      <c r="DT952" s="27"/>
    </row>
    <row r="953" spans="2:124" x14ac:dyDescent="0.2">
      <c r="B953" s="64"/>
      <c r="G953" s="27"/>
      <c r="H953" s="27"/>
      <c r="I953" s="27"/>
      <c r="J953" s="27"/>
      <c r="K953" s="27"/>
      <c r="L953" s="27"/>
      <c r="M953" s="27"/>
      <c r="N953" s="27"/>
      <c r="O953" s="27"/>
      <c r="P953" s="27"/>
      <c r="Q953" s="27"/>
      <c r="R953" s="27"/>
      <c r="S953" s="27"/>
      <c r="T953" s="27"/>
      <c r="U953" s="27"/>
      <c r="V953" s="27"/>
      <c r="W953" s="27"/>
      <c r="X953" s="27"/>
      <c r="Y953" s="27"/>
      <c r="Z953" s="27"/>
      <c r="AA953" s="27"/>
      <c r="AB953" s="27"/>
      <c r="AC953" s="27"/>
      <c r="AD953" s="27"/>
      <c r="AE953" s="27"/>
      <c r="AF953" s="27"/>
      <c r="AG953" s="27"/>
      <c r="AH953" s="27"/>
      <c r="AI953" s="27"/>
      <c r="AJ953" s="27"/>
      <c r="AK953" s="27"/>
      <c r="AL953" s="27"/>
      <c r="AM953" s="27"/>
      <c r="AN953" s="27"/>
      <c r="AO953" s="27"/>
      <c r="AP953" s="27"/>
      <c r="AQ953" s="27"/>
      <c r="AR953" s="27"/>
      <c r="AS953" s="27"/>
      <c r="AT953" s="27"/>
      <c r="AU953" s="27"/>
      <c r="AV953" s="27"/>
      <c r="AW953" s="27"/>
      <c r="AX953" s="27"/>
      <c r="AY953" s="27"/>
      <c r="AZ953" s="27"/>
      <c r="BA953" s="27"/>
      <c r="BB953" s="27"/>
      <c r="BC953" s="27"/>
      <c r="BD953" s="27"/>
      <c r="BE953" s="27"/>
      <c r="BF953" s="27"/>
      <c r="BG953" s="27"/>
      <c r="BH953" s="27"/>
      <c r="BI953" s="27"/>
      <c r="BJ953" s="27"/>
      <c r="BK953" s="27"/>
      <c r="BL953" s="27"/>
      <c r="BM953" s="27"/>
      <c r="BN953" s="27"/>
      <c r="BO953" s="27"/>
      <c r="BP953" s="27"/>
      <c r="BQ953" s="27"/>
      <c r="BR953" s="27"/>
      <c r="BS953" s="27"/>
      <c r="BT953" s="27"/>
      <c r="BU953" s="27"/>
      <c r="BV953" s="27"/>
      <c r="BW953" s="27"/>
      <c r="BX953" s="27"/>
      <c r="BY953" s="27"/>
      <c r="BZ953" s="27"/>
      <c r="CA953" s="27"/>
      <c r="CB953" s="27"/>
      <c r="CC953" s="27"/>
      <c r="CD953" s="27"/>
      <c r="CE953" s="27"/>
      <c r="CF953" s="27"/>
      <c r="CG953" s="27"/>
      <c r="CH953" s="27"/>
      <c r="CI953" s="27"/>
      <c r="CJ953" s="27"/>
      <c r="CK953" s="27"/>
      <c r="CL953" s="27"/>
      <c r="CM953" s="27"/>
      <c r="CN953" s="27"/>
      <c r="CO953" s="27"/>
      <c r="CP953" s="27"/>
      <c r="CQ953" s="27"/>
      <c r="CR953" s="27"/>
      <c r="CS953" s="27"/>
      <c r="CT953" s="27"/>
      <c r="CU953" s="27"/>
      <c r="CV953" s="27"/>
      <c r="CW953" s="27"/>
      <c r="CX953" s="27"/>
      <c r="CY953" s="27"/>
      <c r="CZ953" s="27"/>
      <c r="DA953" s="27"/>
      <c r="DB953" s="27"/>
      <c r="DC953" s="27"/>
      <c r="DD953" s="27"/>
      <c r="DE953" s="27"/>
      <c r="DF953" s="27"/>
      <c r="DG953" s="27"/>
      <c r="DH953" s="27"/>
      <c r="DI953" s="27"/>
      <c r="DJ953" s="27"/>
      <c r="DK953" s="27"/>
      <c r="DL953" s="27"/>
      <c r="DM953" s="27"/>
      <c r="DN953" s="27"/>
      <c r="DO953" s="27"/>
      <c r="DP953" s="27"/>
      <c r="DQ953" s="27"/>
      <c r="DR953" s="27"/>
      <c r="DS953" s="27"/>
      <c r="DT953" s="27"/>
    </row>
    <row r="954" spans="2:124" x14ac:dyDescent="0.2">
      <c r="B954" s="64" t="s">
        <v>59</v>
      </c>
      <c r="C954" s="66" t="s">
        <v>59</v>
      </c>
      <c r="G954" s="27"/>
      <c r="H954" s="27"/>
      <c r="I954" s="27"/>
      <c r="J954" s="27"/>
      <c r="K954" s="27"/>
      <c r="L954" s="27"/>
      <c r="M954" s="27"/>
      <c r="N954" s="27"/>
      <c r="O954" s="27"/>
      <c r="P954" s="27"/>
      <c r="Q954" s="27"/>
      <c r="R954" s="27"/>
      <c r="S954" s="27"/>
      <c r="T954" s="27"/>
      <c r="U954" s="27"/>
      <c r="V954" s="27"/>
      <c r="W954" s="27"/>
      <c r="X954" s="27"/>
      <c r="Y954" s="27"/>
      <c r="Z954" s="27"/>
      <c r="AA954" s="27"/>
      <c r="AB954" s="27"/>
      <c r="AC954" s="27"/>
      <c r="AD954" s="27"/>
      <c r="AE954" s="27"/>
      <c r="AF954" s="27"/>
      <c r="AG954" s="27"/>
      <c r="AH954" s="27"/>
      <c r="AI954" s="27"/>
      <c r="AJ954" s="27"/>
      <c r="AK954" s="27"/>
      <c r="AL954" s="27"/>
      <c r="AM954" s="27"/>
      <c r="AN954" s="27"/>
      <c r="AO954" s="27"/>
      <c r="AP954" s="27"/>
      <c r="AQ954" s="27"/>
      <c r="AR954" s="27"/>
      <c r="AS954" s="27"/>
      <c r="AT954" s="27"/>
      <c r="AU954" s="27"/>
      <c r="AV954" s="27"/>
      <c r="AW954" s="27"/>
      <c r="AX954" s="27"/>
      <c r="AY954" s="27"/>
      <c r="AZ954" s="27"/>
      <c r="BA954" s="27"/>
      <c r="BB954" s="27"/>
      <c r="BC954" s="27"/>
      <c r="BD954" s="27"/>
      <c r="BE954" s="27"/>
      <c r="BF954" s="27"/>
      <c r="BG954" s="27"/>
      <c r="BH954" s="27"/>
      <c r="BI954" s="27"/>
      <c r="BJ954" s="27"/>
      <c r="BK954" s="27"/>
      <c r="BL954" s="27"/>
      <c r="BM954" s="27"/>
      <c r="BN954" s="27"/>
      <c r="BO954" s="27"/>
      <c r="BP954" s="27"/>
      <c r="BQ954" s="27"/>
      <c r="BR954" s="27"/>
      <c r="BS954" s="27"/>
      <c r="BT954" s="27"/>
      <c r="BU954" s="27"/>
      <c r="BV954" s="27"/>
      <c r="BW954" s="27"/>
      <c r="BX954" s="27"/>
      <c r="BY954" s="27"/>
      <c r="BZ954" s="27"/>
      <c r="CA954" s="27"/>
      <c r="CB954" s="27"/>
      <c r="CC954" s="27"/>
      <c r="CD954" s="27"/>
      <c r="CE954" s="27"/>
      <c r="CF954" s="27"/>
      <c r="CG954" s="27"/>
      <c r="CH954" s="27"/>
      <c r="CI954" s="27"/>
      <c r="CJ954" s="27"/>
      <c r="CK954" s="27"/>
      <c r="CL954" s="27"/>
      <c r="CM954" s="27"/>
      <c r="CN954" s="27"/>
      <c r="CO954" s="27"/>
      <c r="CP954" s="27"/>
      <c r="CQ954" s="27"/>
      <c r="CR954" s="27"/>
      <c r="CS954" s="27"/>
      <c r="CT954" s="27"/>
      <c r="CU954" s="27"/>
      <c r="CV954" s="27"/>
      <c r="CW954" s="27"/>
      <c r="CX954" s="27"/>
      <c r="CY954" s="27"/>
      <c r="CZ954" s="27"/>
      <c r="DA954" s="27"/>
      <c r="DB954" s="27"/>
      <c r="DC954" s="27"/>
      <c r="DD954" s="27"/>
      <c r="DE954" s="27"/>
      <c r="DF954" s="27"/>
      <c r="DG954" s="27"/>
      <c r="DH954" s="27"/>
      <c r="DI954" s="27"/>
      <c r="DJ954" s="27"/>
      <c r="DK954" s="27"/>
      <c r="DL954" s="27"/>
      <c r="DM954" s="27"/>
      <c r="DN954" s="27"/>
      <c r="DO954" s="27"/>
      <c r="DP954" s="27"/>
      <c r="DQ954" s="27"/>
      <c r="DR954" s="27"/>
      <c r="DS954" s="27"/>
      <c r="DT954" s="27"/>
    </row>
    <row r="955" spans="2:124" x14ac:dyDescent="0.2">
      <c r="B955" s="64" t="s">
        <v>59</v>
      </c>
      <c r="C955" s="66" t="s">
        <v>59</v>
      </c>
      <c r="G955" s="27"/>
      <c r="H955" s="27"/>
      <c r="I955" s="27"/>
      <c r="J955" s="27"/>
      <c r="K955" s="27"/>
      <c r="L955" s="27"/>
      <c r="M955" s="27"/>
      <c r="N955" s="27"/>
      <c r="O955" s="27"/>
      <c r="P955" s="27"/>
      <c r="Q955" s="27"/>
      <c r="R955" s="27"/>
      <c r="S955" s="27"/>
      <c r="T955" s="27"/>
      <c r="U955" s="27"/>
      <c r="V955" s="27"/>
      <c r="W955" s="27"/>
      <c r="X955" s="27"/>
      <c r="Y955" s="27"/>
      <c r="Z955" s="27"/>
      <c r="AA955" s="27"/>
      <c r="AB955" s="27"/>
      <c r="AC955" s="27"/>
      <c r="AD955" s="27"/>
      <c r="AE955" s="27"/>
      <c r="AF955" s="27"/>
      <c r="AG955" s="27"/>
      <c r="AH955" s="27"/>
      <c r="AI955" s="27"/>
      <c r="AJ955" s="27"/>
      <c r="AK955" s="27"/>
      <c r="AL955" s="27"/>
      <c r="AM955" s="27"/>
      <c r="AN955" s="27"/>
      <c r="AO955" s="27"/>
      <c r="AP955" s="27"/>
      <c r="AQ955" s="27"/>
      <c r="AR955" s="27"/>
      <c r="AS955" s="27"/>
      <c r="AT955" s="27"/>
      <c r="AU955" s="27"/>
      <c r="AV955" s="27"/>
      <c r="AW955" s="27"/>
      <c r="AX955" s="27"/>
      <c r="AY955" s="27"/>
      <c r="AZ955" s="27"/>
      <c r="BA955" s="27"/>
      <c r="BB955" s="27"/>
      <c r="BC955" s="27"/>
      <c r="BD955" s="27"/>
      <c r="BE955" s="27"/>
      <c r="BF955" s="27"/>
      <c r="BG955" s="27"/>
      <c r="BH955" s="27"/>
      <c r="BI955" s="27"/>
      <c r="BJ955" s="27"/>
      <c r="BK955" s="27"/>
      <c r="BL955" s="27"/>
      <c r="BM955" s="27"/>
      <c r="BN955" s="27"/>
      <c r="BO955" s="27"/>
      <c r="BP955" s="27"/>
      <c r="BQ955" s="27"/>
      <c r="BR955" s="27"/>
      <c r="BS955" s="27"/>
      <c r="BT955" s="27"/>
      <c r="BU955" s="27"/>
      <c r="BV955" s="27"/>
      <c r="BW955" s="27"/>
      <c r="BX955" s="27"/>
      <c r="BY955" s="27"/>
      <c r="BZ955" s="27"/>
      <c r="CA955" s="27"/>
      <c r="CB955" s="27"/>
      <c r="CC955" s="27"/>
      <c r="CD955" s="27"/>
      <c r="CE955" s="27"/>
      <c r="CF955" s="27"/>
      <c r="CG955" s="27"/>
      <c r="CH955" s="27"/>
      <c r="CI955" s="27"/>
      <c r="CJ955" s="27"/>
      <c r="CK955" s="27"/>
      <c r="CL955" s="27"/>
      <c r="CM955" s="27"/>
      <c r="CN955" s="27"/>
      <c r="CO955" s="27"/>
      <c r="CP955" s="27"/>
      <c r="CQ955" s="27"/>
      <c r="CR955" s="27"/>
      <c r="CS955" s="27"/>
      <c r="CT955" s="27"/>
      <c r="CU955" s="27"/>
      <c r="CV955" s="27"/>
      <c r="CW955" s="27"/>
      <c r="CX955" s="27"/>
      <c r="CY955" s="27"/>
      <c r="CZ955" s="27"/>
      <c r="DA955" s="27"/>
      <c r="DB955" s="27"/>
      <c r="DC955" s="27"/>
      <c r="DD955" s="27"/>
      <c r="DE955" s="27"/>
      <c r="DF955" s="27"/>
      <c r="DG955" s="27"/>
      <c r="DH955" s="27"/>
      <c r="DI955" s="27"/>
      <c r="DJ955" s="27"/>
      <c r="DK955" s="27"/>
      <c r="DL955" s="27"/>
      <c r="DM955" s="27"/>
      <c r="DN955" s="27"/>
      <c r="DO955" s="27"/>
      <c r="DP955" s="27"/>
      <c r="DQ955" s="27"/>
      <c r="DR955" s="27"/>
      <c r="DS955" s="27"/>
      <c r="DT955" s="27"/>
    </row>
    <row r="956" spans="2:124" x14ac:dyDescent="0.2">
      <c r="B956" s="64"/>
      <c r="G956" s="27" t="s">
        <v>69</v>
      </c>
      <c r="H956" s="27"/>
      <c r="I956" s="27"/>
      <c r="J956" s="27"/>
      <c r="K956" s="27"/>
      <c r="L956" s="27"/>
      <c r="M956" s="27"/>
      <c r="N956" s="27"/>
      <c r="O956" s="27"/>
      <c r="P956" s="27"/>
      <c r="Q956" s="27"/>
      <c r="R956" s="27"/>
      <c r="S956" s="27"/>
      <c r="T956" s="27"/>
      <c r="U956" s="27"/>
      <c r="V956" s="27"/>
      <c r="W956" s="27"/>
      <c r="X956" s="27"/>
      <c r="Y956" s="27"/>
      <c r="Z956" s="27"/>
      <c r="AA956" s="27"/>
      <c r="AB956" s="27"/>
      <c r="AC956" s="27"/>
      <c r="AD956" s="27"/>
      <c r="AE956" s="27"/>
      <c r="AF956" s="27"/>
      <c r="AG956" s="27"/>
      <c r="AH956" s="27"/>
      <c r="AI956" s="27"/>
      <c r="AJ956" s="27"/>
      <c r="AK956" s="27"/>
      <c r="AL956" s="27"/>
      <c r="AM956" s="27"/>
      <c r="AN956" s="27"/>
      <c r="AO956" s="27"/>
      <c r="AP956" s="27"/>
      <c r="AQ956" s="27"/>
      <c r="AR956" s="27"/>
      <c r="AS956" s="27"/>
      <c r="AT956" s="27"/>
      <c r="AU956" s="27"/>
      <c r="AV956" s="27"/>
      <c r="AW956" s="27"/>
      <c r="AX956" s="27"/>
      <c r="AY956" s="27"/>
      <c r="AZ956" s="27"/>
      <c r="BA956" s="27"/>
      <c r="BB956" s="27"/>
      <c r="BC956" s="27"/>
      <c r="BD956" s="27"/>
      <c r="BE956" s="27"/>
      <c r="BF956" s="27"/>
      <c r="BG956" s="27"/>
      <c r="BH956" s="27"/>
      <c r="BI956" s="27"/>
      <c r="BJ956" s="27"/>
      <c r="BK956" s="27"/>
      <c r="BL956" s="27"/>
      <c r="BM956" s="27"/>
      <c r="BN956" s="27"/>
      <c r="BO956" s="27"/>
      <c r="BP956" s="27"/>
      <c r="BQ956" s="27"/>
      <c r="BR956" s="27"/>
      <c r="BS956" s="27"/>
      <c r="BT956" s="27"/>
      <c r="BU956" s="27"/>
      <c r="BV956" s="27"/>
      <c r="BW956" s="27"/>
      <c r="BX956" s="27"/>
      <c r="BY956" s="27"/>
      <c r="BZ956" s="27"/>
      <c r="CA956" s="27"/>
      <c r="CB956" s="27"/>
      <c r="CC956" s="27"/>
      <c r="CD956" s="27"/>
      <c r="CE956" s="27"/>
      <c r="CF956" s="27"/>
      <c r="CG956" s="27"/>
      <c r="CH956" s="27"/>
      <c r="CI956" s="27"/>
      <c r="CJ956" s="27"/>
      <c r="CK956" s="27"/>
      <c r="CL956" s="27"/>
      <c r="CM956" s="27"/>
      <c r="CN956" s="27"/>
      <c r="CO956" s="27"/>
      <c r="CP956" s="27"/>
      <c r="CQ956" s="27"/>
      <c r="CR956" s="27"/>
      <c r="CS956" s="27"/>
      <c r="CT956" s="27"/>
      <c r="CU956" s="27"/>
      <c r="CV956" s="27"/>
      <c r="CW956" s="27"/>
      <c r="CX956" s="27"/>
      <c r="CY956" s="27"/>
      <c r="CZ956" s="27"/>
      <c r="DA956" s="27"/>
      <c r="DB956" s="27"/>
      <c r="DC956" s="27"/>
      <c r="DD956" s="27"/>
      <c r="DE956" s="27"/>
      <c r="DF956" s="27"/>
      <c r="DG956" s="27"/>
      <c r="DH956" s="27"/>
      <c r="DI956" s="27"/>
      <c r="DJ956" s="27"/>
      <c r="DK956" s="27"/>
      <c r="DL956" s="27"/>
      <c r="DM956" s="27"/>
      <c r="DN956" s="27"/>
      <c r="DO956" s="27"/>
      <c r="DP956" s="27"/>
      <c r="DQ956" s="27"/>
      <c r="DR956" s="27"/>
      <c r="DS956" s="27"/>
      <c r="DT956" s="27"/>
    </row>
    <row r="957" spans="2:124" x14ac:dyDescent="0.2">
      <c r="B957" s="64"/>
      <c r="F957" s="78" t="s">
        <v>68</v>
      </c>
      <c r="G957" s="27"/>
      <c r="H957" s="27"/>
      <c r="I957" s="27"/>
      <c r="J957" s="27"/>
      <c r="K957" s="27"/>
      <c r="L957" s="27"/>
      <c r="M957" s="27"/>
      <c r="N957" s="27"/>
      <c r="O957" s="27"/>
      <c r="P957" s="27"/>
      <c r="Q957" s="27"/>
      <c r="R957" s="27"/>
      <c r="S957" s="27"/>
      <c r="T957" s="27"/>
      <c r="U957" s="27"/>
      <c r="V957" s="27"/>
      <c r="W957" s="27"/>
      <c r="X957" s="27"/>
      <c r="Y957" s="27"/>
      <c r="Z957" s="27"/>
      <c r="AA957" s="27"/>
      <c r="AB957" s="27"/>
      <c r="AC957" s="27"/>
      <c r="AD957" s="27"/>
      <c r="AE957" s="27"/>
      <c r="AF957" s="27"/>
      <c r="AG957" s="27"/>
      <c r="AH957" s="27"/>
      <c r="AI957" s="27"/>
      <c r="AJ957" s="27"/>
      <c r="AK957" s="27"/>
      <c r="AL957" s="27"/>
      <c r="AM957" s="27"/>
      <c r="AN957" s="27"/>
      <c r="AO957" s="27"/>
      <c r="AP957" s="27"/>
      <c r="AQ957" s="27"/>
      <c r="AR957" s="27"/>
      <c r="AS957" s="27"/>
      <c r="AT957" s="27"/>
      <c r="AU957" s="27"/>
      <c r="AV957" s="27"/>
      <c r="AW957" s="27"/>
      <c r="AX957" s="27"/>
      <c r="AY957" s="27"/>
      <c r="AZ957" s="27"/>
      <c r="BA957" s="27"/>
      <c r="BB957" s="27"/>
      <c r="BC957" s="27"/>
      <c r="BD957" s="27"/>
      <c r="BE957" s="27"/>
      <c r="BF957" s="27"/>
      <c r="BG957" s="27"/>
      <c r="BH957" s="27"/>
      <c r="BI957" s="27"/>
      <c r="BJ957" s="27"/>
      <c r="BK957" s="27"/>
      <c r="BL957" s="27"/>
      <c r="BM957" s="27"/>
      <c r="BN957" s="27"/>
      <c r="BO957" s="27"/>
      <c r="BP957" s="27"/>
      <c r="BQ957" s="27"/>
      <c r="BR957" s="27"/>
      <c r="BS957" s="27"/>
      <c r="BT957" s="27"/>
      <c r="BU957" s="27"/>
      <c r="BV957" s="27"/>
      <c r="BW957" s="27"/>
      <c r="BX957" s="27"/>
      <c r="BY957" s="27"/>
      <c r="BZ957" s="27"/>
      <c r="CA957" s="27"/>
      <c r="CB957" s="27"/>
      <c r="CC957" s="27"/>
      <c r="CD957" s="27"/>
      <c r="CE957" s="27"/>
      <c r="CF957" s="27"/>
      <c r="CG957" s="27"/>
      <c r="CH957" s="27"/>
      <c r="CI957" s="27"/>
      <c r="CJ957" s="27"/>
      <c r="CK957" s="27"/>
      <c r="CL957" s="27"/>
      <c r="CM957" s="27"/>
      <c r="CN957" s="27"/>
      <c r="CO957" s="27"/>
      <c r="CP957" s="27"/>
      <c r="CQ957" s="27"/>
      <c r="CR957" s="27"/>
      <c r="CS957" s="27"/>
      <c r="CT957" s="27"/>
      <c r="CU957" s="27"/>
      <c r="CV957" s="27"/>
      <c r="CW957" s="27"/>
      <c r="CX957" s="27"/>
      <c r="CY957" s="27"/>
      <c r="CZ957" s="27"/>
      <c r="DA957" s="27"/>
      <c r="DB957" s="27"/>
      <c r="DC957" s="27"/>
      <c r="DD957" s="27"/>
      <c r="DE957" s="27"/>
      <c r="DF957" s="27"/>
      <c r="DG957" s="27"/>
      <c r="DH957" s="27"/>
      <c r="DI957" s="27"/>
      <c r="DJ957" s="27"/>
      <c r="DK957" s="27"/>
      <c r="DL957" s="27"/>
      <c r="DM957" s="27"/>
      <c r="DN957" s="27"/>
      <c r="DO957" s="27"/>
      <c r="DP957" s="27"/>
      <c r="DQ957" s="27"/>
      <c r="DR957" s="27"/>
      <c r="DS957" s="27"/>
      <c r="DT957" s="27"/>
    </row>
    <row r="958" spans="2:124" x14ac:dyDescent="0.2">
      <c r="B958" s="64"/>
      <c r="F958" s="78" t="s">
        <v>588</v>
      </c>
      <c r="G958" s="27"/>
      <c r="H958" s="27"/>
      <c r="I958" s="27"/>
      <c r="J958" s="27"/>
      <c r="K958" s="27"/>
      <c r="L958" s="27"/>
      <c r="M958" s="27"/>
      <c r="N958" s="27"/>
      <c r="O958" s="27"/>
      <c r="P958" s="27"/>
      <c r="Q958" s="27"/>
      <c r="R958" s="27"/>
      <c r="S958" s="27"/>
      <c r="T958" s="27"/>
      <c r="U958" s="27"/>
      <c r="V958" s="27"/>
      <c r="W958" s="27"/>
      <c r="X958" s="27"/>
      <c r="Y958" s="27"/>
      <c r="Z958" s="27"/>
      <c r="AA958" s="27"/>
      <c r="AB958" s="27"/>
      <c r="AC958" s="27"/>
      <c r="AD958" s="27"/>
      <c r="AE958" s="27"/>
      <c r="AF958" s="27"/>
      <c r="AG958" s="27"/>
      <c r="AH958" s="27"/>
      <c r="AI958" s="27"/>
      <c r="AJ958" s="27"/>
      <c r="AK958" s="27"/>
      <c r="AL958" s="27"/>
      <c r="AM958" s="27"/>
      <c r="AN958" s="27"/>
      <c r="AO958" s="27"/>
      <c r="AP958" s="27"/>
      <c r="AQ958" s="27"/>
      <c r="AR958" s="27"/>
      <c r="AS958" s="27"/>
      <c r="AT958" s="27"/>
      <c r="AU958" s="27"/>
      <c r="AV958" s="27"/>
      <c r="AW958" s="27"/>
      <c r="AX958" s="27"/>
      <c r="AY958" s="27"/>
      <c r="AZ958" s="27"/>
      <c r="BA958" s="27"/>
      <c r="BB958" s="27"/>
      <c r="BC958" s="27"/>
      <c r="BD958" s="27"/>
      <c r="BE958" s="27"/>
      <c r="BF958" s="27"/>
      <c r="BG958" s="27"/>
      <c r="BH958" s="27"/>
      <c r="BI958" s="27"/>
      <c r="BJ958" s="27"/>
      <c r="BK958" s="27"/>
      <c r="BL958" s="27"/>
      <c r="BM958" s="27"/>
      <c r="BN958" s="27"/>
      <c r="BO958" s="27"/>
      <c r="BP958" s="27"/>
      <c r="BQ958" s="27"/>
      <c r="BR958" s="27"/>
      <c r="BS958" s="27"/>
      <c r="BT958" s="27"/>
      <c r="BU958" s="27"/>
      <c r="BV958" s="27"/>
      <c r="BW958" s="27"/>
      <c r="BX958" s="27"/>
      <c r="BY958" s="27"/>
      <c r="BZ958" s="27"/>
      <c r="CA958" s="27"/>
      <c r="CB958" s="27"/>
      <c r="CC958" s="27"/>
      <c r="CD958" s="27"/>
      <c r="CE958" s="27"/>
      <c r="CF958" s="27"/>
      <c r="CG958" s="27"/>
      <c r="CH958" s="27"/>
      <c r="CI958" s="27"/>
      <c r="CJ958" s="27"/>
      <c r="CK958" s="27"/>
      <c r="CL958" s="27"/>
      <c r="CM958" s="27"/>
      <c r="CN958" s="27"/>
      <c r="CO958" s="27"/>
      <c r="CP958" s="27"/>
      <c r="CQ958" s="27"/>
      <c r="CR958" s="27"/>
      <c r="CS958" s="27"/>
      <c r="CT958" s="27"/>
      <c r="CU958" s="27"/>
      <c r="CV958" s="27"/>
      <c r="CW958" s="27"/>
      <c r="CX958" s="27"/>
      <c r="CY958" s="27"/>
      <c r="CZ958" s="27"/>
      <c r="DA958" s="27"/>
      <c r="DB958" s="27"/>
      <c r="DC958" s="27"/>
      <c r="DD958" s="27"/>
      <c r="DE958" s="27"/>
      <c r="DF958" s="27"/>
      <c r="DG958" s="27"/>
      <c r="DH958" s="27"/>
      <c r="DI958" s="27"/>
      <c r="DJ958" s="27"/>
      <c r="DK958" s="27"/>
      <c r="DL958" s="27"/>
      <c r="DM958" s="27"/>
      <c r="DN958" s="27"/>
      <c r="DO958" s="27"/>
      <c r="DP958" s="27"/>
      <c r="DQ958" s="27"/>
      <c r="DR958" s="27"/>
      <c r="DS958" s="27"/>
      <c r="DT958" s="27"/>
    </row>
    <row r="959" spans="2:124" ht="15" thickBot="1" x14ac:dyDescent="0.25">
      <c r="B959" s="64"/>
      <c r="F959" s="67">
        <v>67</v>
      </c>
      <c r="G959" s="27"/>
      <c r="H959" s="27"/>
      <c r="I959" s="27"/>
      <c r="J959" s="27"/>
      <c r="K959" s="27"/>
      <c r="L959" s="27"/>
      <c r="M959" s="27"/>
      <c r="N959" s="27"/>
      <c r="O959" s="27"/>
      <c r="P959" s="27"/>
      <c r="Q959" s="27"/>
      <c r="R959" s="27"/>
      <c r="S959" s="27"/>
      <c r="T959" s="27"/>
      <c r="U959" s="27"/>
      <c r="V959" s="27"/>
      <c r="W959" s="27"/>
      <c r="X959" s="27"/>
      <c r="Y959" s="27"/>
      <c r="Z959" s="27"/>
      <c r="AA959" s="27"/>
      <c r="AB959" s="27"/>
      <c r="AC959" s="27"/>
      <c r="AD959" s="27"/>
      <c r="AE959" s="27"/>
      <c r="AF959" s="27"/>
      <c r="AG959" s="27"/>
      <c r="AH959" s="27"/>
      <c r="AI959" s="27"/>
      <c r="AJ959" s="27"/>
      <c r="AK959" s="27"/>
      <c r="AL959" s="27"/>
      <c r="AM959" s="27"/>
      <c r="AN959" s="27"/>
      <c r="AO959" s="27"/>
      <c r="AP959" s="27"/>
      <c r="AQ959" s="27"/>
      <c r="AR959" s="27"/>
      <c r="AS959" s="27"/>
      <c r="AT959" s="27"/>
      <c r="AU959" s="27"/>
      <c r="AV959" s="27"/>
      <c r="AW959" s="27"/>
      <c r="AX959" s="27"/>
      <c r="AY959" s="27"/>
      <c r="AZ959" s="27"/>
      <c r="BA959" s="27"/>
      <c r="BB959" s="27"/>
      <c r="BC959" s="27"/>
      <c r="BD959" s="27"/>
      <c r="BE959" s="27"/>
      <c r="BF959" s="27"/>
      <c r="BG959" s="27"/>
      <c r="BH959" s="27"/>
      <c r="BI959" s="27"/>
      <c r="BJ959" s="27"/>
      <c r="BK959" s="27"/>
      <c r="BL959" s="27"/>
      <c r="BM959" s="27"/>
      <c r="BN959" s="27"/>
      <c r="BO959" s="27"/>
      <c r="BP959" s="27"/>
      <c r="BQ959" s="27"/>
      <c r="BR959" s="27"/>
      <c r="BS959" s="27"/>
      <c r="BT959" s="27"/>
      <c r="BU959" s="27"/>
      <c r="BV959" s="27"/>
      <c r="BW959" s="27"/>
      <c r="BX959" s="27"/>
      <c r="BY959" s="27"/>
      <c r="BZ959" s="27"/>
      <c r="CA959" s="27"/>
      <c r="CB959" s="27"/>
      <c r="CC959" s="27"/>
      <c r="CD959" s="27"/>
      <c r="CE959" s="27"/>
      <c r="CF959" s="27"/>
      <c r="CG959" s="27"/>
      <c r="CH959" s="27"/>
      <c r="CI959" s="27"/>
      <c r="CJ959" s="27"/>
      <c r="CK959" s="27"/>
      <c r="CL959" s="27"/>
      <c r="CM959" s="27"/>
      <c r="CN959" s="27"/>
      <c r="CO959" s="27"/>
      <c r="CP959" s="27"/>
      <c r="CQ959" s="27"/>
      <c r="CR959" s="27"/>
      <c r="CS959" s="27"/>
      <c r="CT959" s="27"/>
      <c r="CU959" s="27"/>
      <c r="CV959" s="27"/>
      <c r="CW959" s="27"/>
      <c r="CX959" s="27"/>
      <c r="CY959" s="27"/>
      <c r="CZ959" s="27"/>
      <c r="DA959" s="27"/>
      <c r="DB959" s="27"/>
      <c r="DC959" s="27"/>
      <c r="DD959" s="27"/>
      <c r="DE959" s="27"/>
      <c r="DF959" s="27"/>
      <c r="DG959" s="27"/>
      <c r="DH959" s="27"/>
      <c r="DI959" s="27"/>
      <c r="DJ959" s="27"/>
      <c r="DK959" s="27"/>
      <c r="DL959" s="27"/>
      <c r="DM959" s="27"/>
      <c r="DN959" s="27"/>
      <c r="DO959" s="27"/>
      <c r="DP959" s="27"/>
      <c r="DQ959" s="27"/>
      <c r="DR959" s="27"/>
      <c r="DS959" s="27"/>
      <c r="DT959" s="27"/>
    </row>
    <row r="960" spans="2:124" ht="16.5" thickTop="1" thickBot="1" x14ac:dyDescent="0.3">
      <c r="B960" s="64"/>
      <c r="D960" s="155" t="s">
        <v>589</v>
      </c>
      <c r="E960" s="156"/>
      <c r="F960" s="157" t="s">
        <v>590</v>
      </c>
      <c r="G960" s="27">
        <f>G911</f>
        <v>0.59709999999999996</v>
      </c>
      <c r="H960" s="27"/>
      <c r="I960" s="27"/>
      <c r="J960" s="27"/>
      <c r="K960" s="27"/>
      <c r="L960" s="27"/>
      <c r="M960" s="27"/>
      <c r="N960" s="27"/>
      <c r="O960" s="27"/>
      <c r="P960" s="27"/>
      <c r="Q960" s="27"/>
      <c r="R960" s="27"/>
      <c r="S960" s="27"/>
      <c r="T960" s="27"/>
      <c r="U960" s="27"/>
      <c r="V960" s="27"/>
      <c r="W960" s="27"/>
      <c r="X960" s="27"/>
      <c r="Y960" s="27"/>
      <c r="Z960" s="27"/>
      <c r="AA960" s="27"/>
      <c r="AB960" s="27"/>
      <c r="AC960" s="27"/>
      <c r="AD960" s="27"/>
      <c r="AE960" s="27"/>
      <c r="AF960" s="27"/>
      <c r="AG960" s="27"/>
      <c r="AH960" s="27"/>
      <c r="AI960" s="27"/>
      <c r="AJ960" s="27"/>
      <c r="AK960" s="27"/>
      <c r="AL960" s="27"/>
      <c r="AM960" s="27"/>
      <c r="AN960" s="27"/>
      <c r="AO960" s="27"/>
      <c r="AP960" s="27"/>
      <c r="AQ960" s="27"/>
      <c r="AR960" s="27"/>
      <c r="AS960" s="27"/>
      <c r="AT960" s="27"/>
      <c r="AU960" s="27"/>
      <c r="AV960" s="27"/>
      <c r="AW960" s="27"/>
      <c r="AX960" s="27"/>
      <c r="AY960" s="27"/>
      <c r="AZ960" s="27"/>
      <c r="BA960" s="27"/>
      <c r="BB960" s="27"/>
      <c r="BC960" s="27"/>
      <c r="BD960" s="27"/>
      <c r="BE960" s="27"/>
      <c r="BF960" s="27"/>
      <c r="BG960" s="27"/>
      <c r="BH960" s="27"/>
      <c r="BI960" s="27"/>
      <c r="BJ960" s="27"/>
      <c r="BK960" s="27"/>
      <c r="BL960" s="27"/>
      <c r="BM960" s="27"/>
      <c r="BN960" s="27"/>
      <c r="BO960" s="27"/>
      <c r="BP960" s="27"/>
      <c r="BQ960" s="27"/>
      <c r="BR960" s="27"/>
      <c r="BS960" s="27"/>
      <c r="BT960" s="27"/>
      <c r="BU960" s="27"/>
      <c r="BV960" s="27"/>
      <c r="BW960" s="27"/>
      <c r="BX960" s="27"/>
      <c r="BY960" s="27"/>
      <c r="BZ960" s="27"/>
      <c r="CA960" s="27"/>
      <c r="CB960" s="27"/>
      <c r="CC960" s="27"/>
      <c r="CD960" s="27"/>
      <c r="CE960" s="27"/>
      <c r="CF960" s="27"/>
      <c r="CG960" s="27"/>
      <c r="CH960" s="27"/>
      <c r="CI960" s="27"/>
      <c r="CJ960" s="27"/>
      <c r="CK960" s="27"/>
      <c r="CL960" s="27"/>
      <c r="CM960" s="27"/>
      <c r="CN960" s="27"/>
      <c r="CO960" s="27"/>
      <c r="CP960" s="27"/>
      <c r="CQ960" s="27"/>
      <c r="CR960" s="27"/>
      <c r="CS960" s="27"/>
      <c r="CT960" s="27"/>
      <c r="CU960" s="27"/>
      <c r="CV960" s="27"/>
      <c r="CW960" s="27"/>
      <c r="CX960" s="27"/>
      <c r="CY960" s="27"/>
      <c r="CZ960" s="27"/>
      <c r="DA960" s="27"/>
      <c r="DB960" s="27"/>
      <c r="DC960" s="27"/>
      <c r="DD960" s="27"/>
      <c r="DE960" s="27"/>
      <c r="DF960" s="27"/>
      <c r="DG960" s="27"/>
      <c r="DH960" s="27"/>
      <c r="DI960" s="27"/>
      <c r="DJ960" s="27"/>
      <c r="DK960" s="27"/>
      <c r="DL960" s="27"/>
      <c r="DM960" s="27"/>
      <c r="DN960" s="27"/>
      <c r="DO960" s="27"/>
      <c r="DP960" s="27"/>
      <c r="DQ960" s="27"/>
      <c r="DR960" s="27"/>
      <c r="DS960" s="27"/>
      <c r="DT960" s="27"/>
    </row>
    <row r="961" spans="2:124" ht="15.75" thickTop="1" thickBot="1" x14ac:dyDescent="0.25">
      <c r="B961" s="64"/>
      <c r="D961" s="158" t="s">
        <v>591</v>
      </c>
      <c r="E961" s="159"/>
      <c r="F961" s="160" t="s">
        <v>592</v>
      </c>
      <c r="G961" s="27" t="e">
        <f>IF(W742=S735,G966,E947*G911)</f>
        <v>#REF!</v>
      </c>
      <c r="H961" s="27"/>
      <c r="I961" s="27"/>
      <c r="J961" s="27"/>
      <c r="K961" s="27"/>
      <c r="L961" s="27"/>
      <c r="M961" s="27"/>
      <c r="N961" s="27"/>
      <c r="O961" s="27"/>
      <c r="P961" s="27"/>
      <c r="Q961" s="27"/>
      <c r="R961" s="27"/>
      <c r="S961" s="27"/>
      <c r="T961" s="27"/>
      <c r="U961" s="27"/>
      <c r="V961" s="27"/>
      <c r="W961" s="27"/>
      <c r="X961" s="27"/>
      <c r="Y961" s="27"/>
      <c r="Z961" s="27"/>
      <c r="AA961" s="27"/>
      <c r="AB961" s="27"/>
      <c r="AC961" s="27"/>
      <c r="AD961" s="27"/>
      <c r="AE961" s="27"/>
      <c r="AF961" s="27"/>
      <c r="AG961" s="27"/>
      <c r="AH961" s="27"/>
      <c r="AI961" s="27"/>
      <c r="AJ961" s="27"/>
      <c r="AK961" s="27"/>
      <c r="AL961" s="27"/>
      <c r="AM961" s="27"/>
      <c r="AN961" s="27"/>
      <c r="AO961" s="27"/>
      <c r="AP961" s="27"/>
      <c r="AQ961" s="27"/>
      <c r="AR961" s="27"/>
      <c r="AS961" s="27"/>
      <c r="AT961" s="27"/>
      <c r="AU961" s="27"/>
      <c r="AV961" s="27"/>
      <c r="AW961" s="27"/>
      <c r="AX961" s="27"/>
      <c r="AY961" s="27"/>
      <c r="AZ961" s="27"/>
      <c r="BA961" s="27"/>
      <c r="BB961" s="27"/>
      <c r="BC961" s="27"/>
      <c r="BD961" s="27"/>
      <c r="BE961" s="27"/>
      <c r="BF961" s="27"/>
      <c r="BG961" s="27"/>
      <c r="BH961" s="27"/>
      <c r="BI961" s="27"/>
      <c r="BJ961" s="27"/>
      <c r="BK961" s="27"/>
      <c r="BL961" s="27"/>
      <c r="BM961" s="27"/>
      <c r="BN961" s="27"/>
      <c r="BO961" s="27"/>
      <c r="BP961" s="27"/>
      <c r="BQ961" s="27"/>
      <c r="BR961" s="27"/>
      <c r="BS961" s="27"/>
      <c r="BT961" s="27"/>
      <c r="BU961" s="27"/>
      <c r="BV961" s="27"/>
      <c r="BW961" s="27"/>
      <c r="BX961" s="27"/>
      <c r="BY961" s="27"/>
      <c r="BZ961" s="27"/>
      <c r="CA961" s="27"/>
      <c r="CB961" s="27"/>
      <c r="CC961" s="27"/>
      <c r="CD961" s="27"/>
      <c r="CE961" s="27"/>
      <c r="CF961" s="27"/>
      <c r="CG961" s="27"/>
      <c r="CH961" s="27"/>
      <c r="CI961" s="27"/>
      <c r="CJ961" s="27"/>
      <c r="CK961" s="27"/>
      <c r="CL961" s="27"/>
      <c r="CM961" s="27"/>
      <c r="CN961" s="27"/>
      <c r="CO961" s="27"/>
      <c r="CP961" s="27"/>
      <c r="CQ961" s="27"/>
      <c r="CR961" s="27"/>
      <c r="CS961" s="27"/>
      <c r="CT961" s="27"/>
      <c r="CU961" s="27"/>
      <c r="CV961" s="27"/>
      <c r="CW961" s="27"/>
      <c r="CX961" s="27"/>
      <c r="CY961" s="27"/>
      <c r="CZ961" s="27"/>
      <c r="DA961" s="27"/>
      <c r="DB961" s="27"/>
      <c r="DC961" s="27"/>
      <c r="DD961" s="27"/>
      <c r="DE961" s="27"/>
      <c r="DF961" s="27"/>
      <c r="DG961" s="27"/>
      <c r="DH961" s="27"/>
      <c r="DI961" s="27"/>
      <c r="DJ961" s="27"/>
      <c r="DK961" s="27"/>
      <c r="DL961" s="27"/>
      <c r="DM961" s="27"/>
      <c r="DN961" s="27"/>
      <c r="DO961" s="27"/>
      <c r="DP961" s="27"/>
      <c r="DQ961" s="27"/>
      <c r="DR961" s="27"/>
      <c r="DS961" s="27"/>
      <c r="DT961" s="27"/>
    </row>
    <row r="962" spans="2:124" ht="15" thickTop="1" x14ac:dyDescent="0.2">
      <c r="B962" s="64"/>
      <c r="D962" s="161" t="s">
        <v>593</v>
      </c>
      <c r="E962" s="162" t="e">
        <f>E947</f>
        <v>#REF!</v>
      </c>
      <c r="F962" s="163" t="s">
        <v>594</v>
      </c>
      <c r="G962" s="27">
        <f ca="1">IF(E963=0,0,((G961*60%)/12))</f>
        <v>0</v>
      </c>
      <c r="H962" s="27"/>
      <c r="I962" s="27"/>
      <c r="J962" s="27"/>
      <c r="K962" s="27"/>
      <c r="L962" s="27"/>
      <c r="M962" s="27"/>
      <c r="N962" s="27"/>
      <c r="O962" s="27"/>
      <c r="P962" s="27"/>
      <c r="Q962" s="27"/>
      <c r="R962" s="27"/>
      <c r="S962" s="27"/>
      <c r="T962" s="27"/>
      <c r="U962" s="27"/>
      <c r="V962" s="27"/>
      <c r="W962" s="27"/>
      <c r="X962" s="27"/>
      <c r="Y962" s="27"/>
      <c r="Z962" s="27"/>
      <c r="AA962" s="27"/>
      <c r="AB962" s="27"/>
      <c r="AC962" s="27"/>
      <c r="AD962" s="27"/>
      <c r="AE962" s="27"/>
      <c r="AF962" s="27"/>
      <c r="AG962" s="27"/>
      <c r="AH962" s="27"/>
      <c r="AI962" s="27"/>
      <c r="AJ962" s="27"/>
      <c r="AK962" s="27"/>
      <c r="AL962" s="27"/>
      <c r="AM962" s="27"/>
      <c r="AN962" s="27"/>
      <c r="AO962" s="27"/>
      <c r="AP962" s="27"/>
      <c r="AQ962" s="27"/>
      <c r="AR962" s="27"/>
      <c r="AS962" s="27"/>
      <c r="AT962" s="27"/>
      <c r="AU962" s="27"/>
      <c r="AV962" s="27"/>
      <c r="AW962" s="27"/>
      <c r="AX962" s="27"/>
      <c r="AY962" s="27"/>
      <c r="AZ962" s="27"/>
      <c r="BA962" s="27"/>
      <c r="BB962" s="27"/>
      <c r="BC962" s="27"/>
      <c r="BD962" s="27"/>
      <c r="BE962" s="27"/>
      <c r="BF962" s="27"/>
      <c r="BG962" s="27"/>
      <c r="BH962" s="27"/>
      <c r="BI962" s="27"/>
      <c r="BJ962" s="27"/>
      <c r="BK962" s="27"/>
      <c r="BL962" s="27"/>
      <c r="BM962" s="27"/>
      <c r="BN962" s="27"/>
      <c r="BO962" s="27"/>
      <c r="BP962" s="27"/>
      <c r="BQ962" s="27"/>
      <c r="BR962" s="27"/>
      <c r="BS962" s="27"/>
      <c r="BT962" s="27"/>
      <c r="BU962" s="27"/>
      <c r="BV962" s="27"/>
      <c r="BW962" s="27"/>
      <c r="BX962" s="27"/>
      <c r="BY962" s="27"/>
      <c r="BZ962" s="27"/>
      <c r="CA962" s="27"/>
      <c r="CB962" s="27"/>
      <c r="CC962" s="27"/>
      <c r="CD962" s="27"/>
      <c r="CE962" s="27"/>
      <c r="CF962" s="27"/>
      <c r="CG962" s="27"/>
      <c r="CH962" s="27"/>
      <c r="CI962" s="27"/>
      <c r="CJ962" s="27"/>
      <c r="CK962" s="27"/>
      <c r="CL962" s="27"/>
      <c r="CM962" s="27"/>
      <c r="CN962" s="27"/>
      <c r="CO962" s="27"/>
      <c r="CP962" s="27"/>
      <c r="CQ962" s="27"/>
      <c r="CR962" s="27"/>
      <c r="CS962" s="27"/>
      <c r="CT962" s="27"/>
      <c r="CU962" s="27"/>
      <c r="CV962" s="27"/>
      <c r="CW962" s="27"/>
      <c r="CX962" s="27"/>
      <c r="CY962" s="27"/>
      <c r="CZ962" s="27"/>
      <c r="DA962" s="27"/>
      <c r="DB962" s="27"/>
      <c r="DC962" s="27"/>
      <c r="DD962" s="27"/>
      <c r="DE962" s="27"/>
      <c r="DF962" s="27"/>
      <c r="DG962" s="27"/>
      <c r="DH962" s="27"/>
      <c r="DI962" s="27"/>
      <c r="DJ962" s="27"/>
      <c r="DK962" s="27"/>
      <c r="DL962" s="27"/>
      <c r="DM962" s="27"/>
      <c r="DN962" s="27"/>
      <c r="DO962" s="27"/>
      <c r="DP962" s="27"/>
      <c r="DQ962" s="27"/>
      <c r="DR962" s="27"/>
      <c r="DS962" s="27"/>
      <c r="DT962" s="27"/>
    </row>
    <row r="963" spans="2:124" x14ac:dyDescent="0.2">
      <c r="B963" s="64"/>
      <c r="D963" s="164" t="s">
        <v>595</v>
      </c>
      <c r="E963" s="165">
        <f ca="1">IF(G906+G907+BB772-AJ752&gt;=AJ750,'[1]נתוני מס'!I16*E947,0)</f>
        <v>0</v>
      </c>
      <c r="F963" s="166">
        <f ca="1">E963*G960</f>
        <v>0</v>
      </c>
      <c r="G963" s="27">
        <f>E964/12*G911</f>
        <v>100.21328333333334</v>
      </c>
      <c r="H963" s="27"/>
      <c r="I963" s="27"/>
      <c r="J963" s="27"/>
      <c r="K963" s="27"/>
      <c r="L963" s="27"/>
      <c r="M963" s="27"/>
      <c r="N963" s="27"/>
      <c r="O963" s="27"/>
      <c r="P963" s="27"/>
      <c r="Q963" s="27"/>
      <c r="R963" s="27"/>
      <c r="S963" s="27"/>
      <c r="T963" s="27"/>
      <c r="U963" s="27"/>
      <c r="V963" s="27"/>
      <c r="W963" s="27"/>
      <c r="X963" s="27"/>
      <c r="Y963" s="27"/>
      <c r="Z963" s="27"/>
      <c r="AA963" s="27"/>
      <c r="AB963" s="27"/>
      <c r="AC963" s="27"/>
      <c r="AD963" s="27"/>
      <c r="AE963" s="27"/>
      <c r="AF963" s="27"/>
      <c r="AG963" s="27"/>
      <c r="AH963" s="27"/>
      <c r="AI963" s="27"/>
      <c r="AJ963" s="27"/>
      <c r="AK963" s="27"/>
      <c r="AL963" s="27"/>
      <c r="AM963" s="27"/>
      <c r="AN963" s="27"/>
      <c r="AO963" s="27"/>
      <c r="AP963" s="27"/>
      <c r="AQ963" s="27"/>
      <c r="AR963" s="27"/>
      <c r="AS963" s="27"/>
      <c r="AT963" s="27"/>
      <c r="AU963" s="27"/>
      <c r="AV963" s="27"/>
      <c r="AW963" s="27"/>
      <c r="AX963" s="27"/>
      <c r="AY963" s="27"/>
      <c r="AZ963" s="27"/>
      <c r="BA963" s="27"/>
      <c r="BB963" s="27"/>
      <c r="BC963" s="27"/>
      <c r="BD963" s="27"/>
      <c r="BE963" s="27"/>
      <c r="BF963" s="27"/>
      <c r="BG963" s="27"/>
      <c r="BH963" s="27"/>
      <c r="BI963" s="27"/>
      <c r="BJ963" s="27"/>
      <c r="BK963" s="27"/>
      <c r="BL963" s="27"/>
      <c r="BM963" s="27"/>
      <c r="BN963" s="27"/>
      <c r="BO963" s="27"/>
      <c r="BP963" s="27"/>
      <c r="BQ963" s="27"/>
      <c r="BR963" s="27"/>
      <c r="BS963" s="27"/>
      <c r="BT963" s="27"/>
      <c r="BU963" s="27"/>
      <c r="BV963" s="27"/>
      <c r="BW963" s="27"/>
      <c r="BX963" s="27"/>
      <c r="BY963" s="27"/>
      <c r="BZ963" s="27"/>
      <c r="CA963" s="27"/>
      <c r="CB963" s="27"/>
      <c r="CC963" s="27"/>
      <c r="CD963" s="27"/>
      <c r="CE963" s="27"/>
      <c r="CF963" s="27"/>
      <c r="CG963" s="27"/>
      <c r="CH963" s="27"/>
      <c r="CI963" s="27"/>
      <c r="CJ963" s="27"/>
      <c r="CK963" s="27"/>
      <c r="CL963" s="27"/>
      <c r="CM963" s="27"/>
      <c r="CN963" s="27"/>
      <c r="CO963" s="27"/>
      <c r="CP963" s="27"/>
      <c r="CQ963" s="27"/>
      <c r="CR963" s="27"/>
      <c r="CS963" s="27"/>
      <c r="CT963" s="27"/>
      <c r="CU963" s="27"/>
      <c r="CV963" s="27"/>
      <c r="CW963" s="27"/>
      <c r="CX963" s="27"/>
      <c r="CY963" s="27"/>
      <c r="CZ963" s="27"/>
      <c r="DA963" s="27"/>
      <c r="DB963" s="27"/>
      <c r="DC963" s="27"/>
      <c r="DD963" s="27"/>
      <c r="DE963" s="27"/>
      <c r="DF963" s="27"/>
      <c r="DG963" s="27"/>
      <c r="DH963" s="27"/>
      <c r="DI963" s="27"/>
      <c r="DJ963" s="27"/>
      <c r="DK963" s="27"/>
      <c r="DL963" s="27"/>
      <c r="DM963" s="27"/>
      <c r="DN963" s="27"/>
      <c r="DO963" s="27"/>
      <c r="DP963" s="27"/>
      <c r="DQ963" s="27"/>
      <c r="DR963" s="27"/>
      <c r="DS963" s="27"/>
      <c r="DT963" s="27"/>
    </row>
    <row r="964" spans="2:124" x14ac:dyDescent="0.2">
      <c r="B964" s="64"/>
      <c r="D964" s="164" t="s">
        <v>94</v>
      </c>
      <c r="E964" s="165">
        <f>IF(G946&lt;26,'[1]נתוני מס'!I18*AX737,'[1]נתוני מס'!I19*AX737)</f>
        <v>2014</v>
      </c>
      <c r="F964" s="166">
        <f>E964*G960</f>
        <v>1202.5593999999999</v>
      </c>
      <c r="G964" s="27">
        <f ca="1">E965/12*G911</f>
        <v>235.85449999999997</v>
      </c>
      <c r="H964" s="27"/>
      <c r="I964" s="27"/>
      <c r="J964" s="27"/>
      <c r="K964" s="27"/>
      <c r="L964" s="27"/>
      <c r="M964" s="27"/>
      <c r="N964" s="27"/>
      <c r="O964" s="27"/>
      <c r="P964" s="27"/>
      <c r="Q964" s="27"/>
      <c r="R964" s="27"/>
      <c r="S964" s="27"/>
      <c r="T964" s="27"/>
      <c r="U964" s="27"/>
      <c r="V964" s="27"/>
      <c r="W964" s="27"/>
      <c r="X964" s="27"/>
      <c r="Y964" s="27"/>
      <c r="Z964" s="27"/>
      <c r="AA964" s="27"/>
      <c r="AB964" s="27"/>
      <c r="AC964" s="27"/>
      <c r="AD964" s="27"/>
      <c r="AE964" s="27"/>
      <c r="AF964" s="27"/>
      <c r="AG964" s="27"/>
      <c r="AH964" s="27"/>
      <c r="AI964" s="27"/>
      <c r="AJ964" s="27"/>
      <c r="AK964" s="27"/>
      <c r="AL964" s="27"/>
      <c r="AM964" s="27"/>
      <c r="AN964" s="27"/>
      <c r="AO964" s="27"/>
      <c r="AP964" s="27"/>
      <c r="AQ964" s="27"/>
      <c r="AR964" s="27"/>
      <c r="AS964" s="27"/>
      <c r="AT964" s="27"/>
      <c r="AU964" s="27"/>
      <c r="AV964" s="27"/>
      <c r="AW964" s="27"/>
      <c r="AX964" s="27"/>
      <c r="AY964" s="27"/>
      <c r="AZ964" s="27"/>
      <c r="BA964" s="27"/>
      <c r="BB964" s="27"/>
      <c r="BC964" s="27"/>
      <c r="BD964" s="27"/>
      <c r="BE964" s="27"/>
      <c r="BF964" s="27"/>
      <c r="BG964" s="27"/>
      <c r="BH964" s="27"/>
      <c r="BI964" s="27"/>
      <c r="BJ964" s="27"/>
      <c r="BK964" s="27"/>
      <c r="BL964" s="27"/>
      <c r="BM964" s="27"/>
      <c r="BN964" s="27"/>
      <c r="BO964" s="27"/>
      <c r="BP964" s="27"/>
      <c r="BQ964" s="27"/>
      <c r="BR964" s="27"/>
      <c r="BS964" s="27"/>
      <c r="BT964" s="27"/>
      <c r="BU964" s="27"/>
      <c r="BV964" s="27"/>
      <c r="BW964" s="27"/>
      <c r="BX964" s="27"/>
      <c r="BY964" s="27"/>
      <c r="BZ964" s="27"/>
      <c r="CA964" s="27"/>
      <c r="CB964" s="27"/>
      <c r="CC964" s="27"/>
      <c r="CD964" s="27"/>
      <c r="CE964" s="27"/>
      <c r="CF964" s="27"/>
      <c r="CG964" s="27"/>
      <c r="CH964" s="27"/>
      <c r="CI964" s="27"/>
      <c r="CJ964" s="27"/>
      <c r="CK964" s="27"/>
      <c r="CL964" s="27"/>
      <c r="CM964" s="27"/>
      <c r="CN964" s="27"/>
      <c r="CO964" s="27"/>
      <c r="CP964" s="27"/>
      <c r="CQ964" s="27"/>
      <c r="CR964" s="27"/>
      <c r="CS964" s="27"/>
      <c r="CT964" s="27"/>
      <c r="CU964" s="27"/>
      <c r="CV964" s="27"/>
      <c r="CW964" s="27"/>
      <c r="CX964" s="27"/>
      <c r="CY964" s="27"/>
      <c r="CZ964" s="27"/>
      <c r="DA964" s="27"/>
      <c r="DB964" s="27"/>
      <c r="DC964" s="27"/>
      <c r="DD964" s="27"/>
      <c r="DE964" s="27"/>
      <c r="DF964" s="27"/>
      <c r="DG964" s="27"/>
      <c r="DH964" s="27"/>
      <c r="DI964" s="27"/>
      <c r="DJ964" s="27"/>
      <c r="DK964" s="27"/>
      <c r="DL964" s="27"/>
      <c r="DM964" s="27"/>
      <c r="DN964" s="27"/>
      <c r="DO964" s="27"/>
      <c r="DP964" s="27"/>
      <c r="DQ964" s="27"/>
      <c r="DR964" s="27"/>
      <c r="DS964" s="27"/>
      <c r="DT964" s="27"/>
    </row>
    <row r="965" spans="2:124" ht="15" thickBot="1" x14ac:dyDescent="0.25">
      <c r="B965" s="64"/>
      <c r="D965" s="167" t="s">
        <v>102</v>
      </c>
      <c r="E965" s="168">
        <f ca="1">AM722*AM737*AX737</f>
        <v>4740</v>
      </c>
      <c r="F965" s="169">
        <f ca="1">G960*E965</f>
        <v>2830.2539999999999</v>
      </c>
      <c r="G965" s="27" t="e">
        <f>G961*0.0382</f>
        <v>#REF!</v>
      </c>
      <c r="H965" s="27"/>
      <c r="I965" s="27"/>
      <c r="J965" s="27"/>
      <c r="K965" s="27"/>
      <c r="L965" s="27"/>
      <c r="M965" s="27"/>
      <c r="N965" s="27"/>
      <c r="O965" s="27"/>
      <c r="P965" s="27"/>
      <c r="Q965" s="27"/>
      <c r="R965" s="27"/>
      <c r="S965" s="27"/>
      <c r="T965" s="27"/>
      <c r="U965" s="27"/>
      <c r="V965" s="27"/>
      <c r="W965" s="27"/>
      <c r="X965" s="27"/>
      <c r="Y965" s="27"/>
      <c r="Z965" s="27"/>
      <c r="AA965" s="27"/>
      <c r="AB965" s="27"/>
      <c r="AC965" s="27"/>
      <c r="AD965" s="27"/>
      <c r="AE965" s="27"/>
      <c r="AF965" s="27"/>
      <c r="AG965" s="27"/>
      <c r="AH965" s="27"/>
      <c r="AI965" s="27"/>
      <c r="AJ965" s="27"/>
      <c r="AK965" s="27"/>
      <c r="AL965" s="27"/>
      <c r="AM965" s="27"/>
      <c r="AN965" s="27"/>
      <c r="AO965" s="27"/>
      <c r="AP965" s="27"/>
      <c r="AQ965" s="27"/>
      <c r="AR965" s="27"/>
      <c r="AS965" s="27"/>
      <c r="AT965" s="27"/>
      <c r="AU965" s="27"/>
      <c r="AV965" s="27"/>
      <c r="AW965" s="27"/>
      <c r="AX965" s="27"/>
      <c r="AY965" s="27"/>
      <c r="AZ965" s="27"/>
      <c r="BA965" s="27"/>
      <c r="BB965" s="27"/>
      <c r="BC965" s="27"/>
      <c r="BD965" s="27"/>
      <c r="BE965" s="27"/>
      <c r="BF965" s="27"/>
      <c r="BG965" s="27"/>
      <c r="BH965" s="27"/>
      <c r="BI965" s="27"/>
      <c r="BJ965" s="27"/>
      <c r="BK965" s="27"/>
      <c r="BL965" s="27"/>
      <c r="BM965" s="27"/>
      <c r="BN965" s="27"/>
      <c r="BO965" s="27"/>
      <c r="BP965" s="27"/>
      <c r="BQ965" s="27"/>
      <c r="BR965" s="27"/>
      <c r="BS965" s="27"/>
      <c r="BT965" s="27"/>
      <c r="BU965" s="27"/>
      <c r="BV965" s="27"/>
      <c r="BW965" s="27"/>
      <c r="BX965" s="27"/>
      <c r="BY965" s="27"/>
      <c r="BZ965" s="27"/>
      <c r="CA965" s="27"/>
      <c r="CB965" s="27"/>
      <c r="CC965" s="27"/>
      <c r="CD965" s="27"/>
      <c r="CE965" s="27"/>
      <c r="CF965" s="27"/>
      <c r="CG965" s="27"/>
      <c r="CH965" s="27"/>
      <c r="CI965" s="27"/>
      <c r="CJ965" s="27"/>
      <c r="CK965" s="27"/>
      <c r="CL965" s="27"/>
      <c r="CM965" s="27"/>
      <c r="CN965" s="27"/>
      <c r="CO965" s="27"/>
      <c r="CP965" s="27"/>
      <c r="CQ965" s="27"/>
      <c r="CR965" s="27"/>
      <c r="CS965" s="27"/>
      <c r="CT965" s="27"/>
      <c r="CU965" s="27"/>
      <c r="CV965" s="27"/>
      <c r="CW965" s="27"/>
      <c r="CX965" s="27"/>
      <c r="CY965" s="27"/>
      <c r="CZ965" s="27"/>
      <c r="DA965" s="27"/>
      <c r="DB965" s="27"/>
      <c r="DC965" s="27"/>
      <c r="DD965" s="27"/>
      <c r="DE965" s="27"/>
      <c r="DF965" s="27"/>
      <c r="DG965" s="27"/>
      <c r="DH965" s="27"/>
      <c r="DI965" s="27"/>
      <c r="DJ965" s="27"/>
      <c r="DK965" s="27"/>
      <c r="DL965" s="27"/>
      <c r="DM965" s="27"/>
      <c r="DN965" s="27"/>
      <c r="DO965" s="27"/>
      <c r="DP965" s="27"/>
      <c r="DQ965" s="27"/>
      <c r="DR965" s="27"/>
      <c r="DS965" s="27"/>
      <c r="DT965" s="27"/>
    </row>
    <row r="966" spans="2:124" ht="15.75" thickTop="1" thickBot="1" x14ac:dyDescent="0.25">
      <c r="B966" s="64"/>
      <c r="D966" s="170"/>
      <c r="F966" s="166" t="s">
        <v>596</v>
      </c>
      <c r="G966" s="27" t="e">
        <f>IF(W742=S734,SUM(G961:G965),#REF!)</f>
        <v>#REF!</v>
      </c>
      <c r="H966" s="27"/>
      <c r="I966" s="27"/>
      <c r="J966" s="27"/>
      <c r="K966" s="27"/>
      <c r="L966" s="27"/>
      <c r="M966" s="27"/>
      <c r="N966" s="27"/>
      <c r="O966" s="27"/>
      <c r="P966" s="27"/>
      <c r="Q966" s="27"/>
      <c r="R966" s="27"/>
      <c r="S966" s="27"/>
      <c r="T966" s="27"/>
      <c r="U966" s="27"/>
      <c r="V966" s="27"/>
      <c r="W966" s="27"/>
      <c r="X966" s="27"/>
      <c r="Y966" s="27"/>
      <c r="Z966" s="27"/>
      <c r="AA966" s="27"/>
      <c r="AB966" s="27"/>
      <c r="AC966" s="27"/>
      <c r="AD966" s="27"/>
      <c r="AE966" s="27"/>
      <c r="AF966" s="27"/>
      <c r="AG966" s="27"/>
      <c r="AH966" s="27"/>
      <c r="AI966" s="27"/>
      <c r="AJ966" s="27"/>
      <c r="AK966" s="27"/>
      <c r="AL966" s="27"/>
      <c r="AM966" s="27"/>
      <c r="AN966" s="27"/>
      <c r="AO966" s="27"/>
      <c r="AP966" s="27"/>
      <c r="AQ966" s="27"/>
      <c r="AR966" s="27"/>
      <c r="AS966" s="27"/>
      <c r="AT966" s="27"/>
      <c r="AU966" s="27"/>
      <c r="AV966" s="27"/>
      <c r="AW966" s="27"/>
      <c r="AX966" s="27"/>
      <c r="AY966" s="27"/>
      <c r="AZ966" s="27"/>
      <c r="BA966" s="27"/>
      <c r="BB966" s="27"/>
      <c r="BC966" s="27"/>
      <c r="BD966" s="27"/>
      <c r="BE966" s="27"/>
      <c r="BF966" s="27"/>
      <c r="BG966" s="27"/>
      <c r="BH966" s="27"/>
      <c r="BI966" s="27"/>
      <c r="BJ966" s="27"/>
      <c r="BK966" s="27"/>
      <c r="BL966" s="27"/>
      <c r="BM966" s="27"/>
      <c r="BN966" s="27"/>
      <c r="BO966" s="27"/>
      <c r="BP966" s="27"/>
      <c r="BQ966" s="27"/>
      <c r="BR966" s="27"/>
      <c r="BS966" s="27"/>
      <c r="BT966" s="27"/>
      <c r="BU966" s="27"/>
      <c r="BV966" s="27"/>
      <c r="BW966" s="27"/>
      <c r="BX966" s="27"/>
      <c r="BY966" s="27"/>
      <c r="BZ966" s="27"/>
      <c r="CA966" s="27"/>
      <c r="CB966" s="27"/>
      <c r="CC966" s="27"/>
      <c r="CD966" s="27"/>
      <c r="CE966" s="27"/>
      <c r="CF966" s="27"/>
      <c r="CG966" s="27"/>
      <c r="CH966" s="27"/>
      <c r="CI966" s="27"/>
      <c r="CJ966" s="27"/>
      <c r="CK966" s="27"/>
      <c r="CL966" s="27"/>
      <c r="CM966" s="27"/>
      <c r="CN966" s="27"/>
      <c r="CO966" s="27"/>
      <c r="CP966" s="27"/>
      <c r="CQ966" s="27"/>
      <c r="CR966" s="27"/>
      <c r="CS966" s="27"/>
      <c r="CT966" s="27"/>
      <c r="CU966" s="27"/>
      <c r="CV966" s="27"/>
      <c r="CW966" s="27"/>
      <c r="CX966" s="27"/>
      <c r="CY966" s="27"/>
      <c r="CZ966" s="27"/>
      <c r="DA966" s="27"/>
      <c r="DB966" s="27"/>
      <c r="DC966" s="27"/>
      <c r="DD966" s="27"/>
      <c r="DE966" s="27"/>
      <c r="DF966" s="27"/>
      <c r="DG966" s="27"/>
      <c r="DH966" s="27"/>
      <c r="DI966" s="27"/>
      <c r="DJ966" s="27"/>
      <c r="DK966" s="27"/>
      <c r="DL966" s="27"/>
      <c r="DM966" s="27"/>
      <c r="DN966" s="27"/>
      <c r="DO966" s="27"/>
      <c r="DP966" s="27"/>
      <c r="DQ966" s="27"/>
      <c r="DR966" s="27"/>
      <c r="DS966" s="27"/>
      <c r="DT966" s="27"/>
    </row>
    <row r="967" spans="2:124" ht="16.5" thickTop="1" thickBot="1" x14ac:dyDescent="0.3">
      <c r="B967" s="64"/>
      <c r="D967" s="171"/>
      <c r="E967" s="172" t="s">
        <v>59</v>
      </c>
      <c r="F967" s="173" t="s">
        <v>597</v>
      </c>
      <c r="G967" s="27" t="e">
        <f>BE739</f>
        <v>#REF!</v>
      </c>
      <c r="H967" s="27"/>
      <c r="I967" s="27"/>
      <c r="J967" s="27"/>
      <c r="K967" s="27"/>
      <c r="L967" s="27"/>
      <c r="M967" s="27"/>
      <c r="N967" s="27"/>
      <c r="O967" s="27"/>
      <c r="P967" s="27"/>
      <c r="Q967" s="27"/>
      <c r="R967" s="27"/>
      <c r="S967" s="27"/>
      <c r="T967" s="27"/>
      <c r="U967" s="27"/>
      <c r="V967" s="27"/>
      <c r="W967" s="27"/>
      <c r="X967" s="27"/>
      <c r="Y967" s="27"/>
      <c r="Z967" s="27"/>
      <c r="AA967" s="27"/>
      <c r="AB967" s="27"/>
      <c r="AC967" s="27"/>
      <c r="AD967" s="27"/>
      <c r="AE967" s="27"/>
      <c r="AF967" s="27"/>
      <c r="AG967" s="27"/>
      <c r="AH967" s="27"/>
      <c r="AI967" s="27"/>
      <c r="AJ967" s="27"/>
      <c r="AK967" s="27"/>
      <c r="AL967" s="27"/>
      <c r="AM967" s="27"/>
      <c r="AN967" s="27"/>
      <c r="AO967" s="27"/>
      <c r="AP967" s="27"/>
      <c r="AQ967" s="27"/>
      <c r="AR967" s="27"/>
      <c r="AS967" s="27"/>
      <c r="AT967" s="27"/>
      <c r="AU967" s="27"/>
      <c r="AV967" s="27"/>
      <c r="AW967" s="27"/>
      <c r="AX967" s="27"/>
      <c r="AY967" s="27"/>
      <c r="AZ967" s="27"/>
      <c r="BA967" s="27"/>
      <c r="BB967" s="27"/>
      <c r="BC967" s="27"/>
      <c r="BD967" s="27"/>
      <c r="BE967" s="27"/>
      <c r="BF967" s="27"/>
      <c r="BG967" s="27"/>
      <c r="BH967" s="27"/>
      <c r="BI967" s="27"/>
      <c r="BJ967" s="27"/>
      <c r="BK967" s="27"/>
      <c r="BL967" s="27"/>
      <c r="BM967" s="27"/>
      <c r="BN967" s="27"/>
      <c r="BO967" s="27"/>
      <c r="BP967" s="27"/>
      <c r="BQ967" s="27"/>
      <c r="BR967" s="27"/>
      <c r="BS967" s="27"/>
      <c r="BT967" s="27"/>
      <c r="BU967" s="27"/>
      <c r="BV967" s="27"/>
      <c r="BW967" s="27"/>
      <c r="BX967" s="27"/>
      <c r="BY967" s="27"/>
      <c r="BZ967" s="27"/>
      <c r="CA967" s="27"/>
      <c r="CB967" s="27"/>
      <c r="CC967" s="27"/>
      <c r="CD967" s="27"/>
      <c r="CE967" s="27"/>
      <c r="CF967" s="27"/>
      <c r="CG967" s="27"/>
      <c r="CH967" s="27"/>
      <c r="CI967" s="27"/>
      <c r="CJ967" s="27"/>
      <c r="CK967" s="27"/>
      <c r="CL967" s="27"/>
      <c r="CM967" s="27"/>
      <c r="CN967" s="27"/>
      <c r="CO967" s="27"/>
      <c r="CP967" s="27"/>
      <c r="CQ967" s="27"/>
      <c r="CR967" s="27"/>
      <c r="CS967" s="27"/>
      <c r="CT967" s="27"/>
      <c r="CU967" s="27"/>
      <c r="CV967" s="27"/>
      <c r="CW967" s="27"/>
      <c r="CX967" s="27"/>
      <c r="CY967" s="27"/>
      <c r="CZ967" s="27"/>
      <c r="DA967" s="27"/>
      <c r="DB967" s="27"/>
      <c r="DC967" s="27"/>
      <c r="DD967" s="27"/>
      <c r="DE967" s="27"/>
      <c r="DF967" s="27"/>
      <c r="DG967" s="27"/>
      <c r="DH967" s="27"/>
      <c r="DI967" s="27"/>
      <c r="DJ967" s="27"/>
      <c r="DK967" s="27"/>
      <c r="DL967" s="27"/>
      <c r="DM967" s="27"/>
      <c r="DN967" s="27"/>
      <c r="DO967" s="27"/>
      <c r="DP967" s="27"/>
      <c r="DQ967" s="27"/>
      <c r="DR967" s="27"/>
      <c r="DS967" s="27"/>
      <c r="DT967" s="27"/>
    </row>
    <row r="968" spans="2:124" ht="15" thickTop="1" x14ac:dyDescent="0.2">
      <c r="B968" s="64"/>
      <c r="D968" s="171"/>
      <c r="E968" s="174" t="s">
        <v>598</v>
      </c>
      <c r="F968" s="175" t="s">
        <v>325</v>
      </c>
      <c r="G968" s="27">
        <f>(BB786*'[1]נתוני מס'!I14*-1)*AX737</f>
        <v>-574.75</v>
      </c>
      <c r="H968" s="27"/>
      <c r="I968" s="27"/>
      <c r="J968" s="27"/>
      <c r="K968" s="27"/>
      <c r="L968" s="27"/>
      <c r="M968" s="27"/>
      <c r="N968" s="27"/>
      <c r="O968" s="27"/>
      <c r="P968" s="27"/>
      <c r="Q968" s="27"/>
      <c r="R968" s="27"/>
      <c r="S968" s="27"/>
      <c r="T968" s="27"/>
      <c r="U968" s="27"/>
      <c r="V968" s="27"/>
      <c r="W968" s="27"/>
      <c r="X968" s="27"/>
      <c r="Y968" s="27"/>
      <c r="Z968" s="27"/>
      <c r="AA968" s="27"/>
      <c r="AB968" s="27"/>
      <c r="AC968" s="27"/>
      <c r="AD968" s="27"/>
      <c r="AE968" s="27"/>
      <c r="AF968" s="27"/>
      <c r="AG968" s="27"/>
      <c r="AH968" s="27"/>
      <c r="AI968" s="27"/>
      <c r="AJ968" s="27"/>
      <c r="AK968" s="27"/>
      <c r="AL968" s="27"/>
      <c r="AM968" s="27"/>
      <c r="AN968" s="27"/>
      <c r="AO968" s="27"/>
      <c r="AP968" s="27"/>
      <c r="AQ968" s="27"/>
      <c r="AR968" s="27"/>
      <c r="AS968" s="27"/>
      <c r="AT968" s="27"/>
      <c r="AU968" s="27"/>
      <c r="AV968" s="27"/>
      <c r="AW968" s="27"/>
      <c r="AX968" s="27"/>
      <c r="AY968" s="27"/>
      <c r="AZ968" s="27"/>
      <c r="BA968" s="27"/>
      <c r="BB968" s="27"/>
      <c r="BC968" s="27"/>
      <c r="BD968" s="27"/>
      <c r="BE968" s="27"/>
      <c r="BF968" s="27"/>
      <c r="BG968" s="27"/>
      <c r="BH968" s="27"/>
      <c r="BI968" s="27"/>
      <c r="BJ968" s="27"/>
      <c r="BK968" s="27"/>
      <c r="BL968" s="27"/>
      <c r="BM968" s="27"/>
      <c r="BN968" s="27"/>
      <c r="BO968" s="27"/>
      <c r="BP968" s="27"/>
      <c r="BQ968" s="27"/>
      <c r="BR968" s="27"/>
      <c r="BS968" s="27"/>
      <c r="BT968" s="27"/>
      <c r="BU968" s="27"/>
      <c r="BV968" s="27"/>
      <c r="BW968" s="27"/>
      <c r="BX968" s="27"/>
      <c r="BY968" s="27"/>
      <c r="BZ968" s="27"/>
      <c r="CA968" s="27"/>
      <c r="CB968" s="27"/>
      <c r="CC968" s="27"/>
      <c r="CD968" s="27"/>
      <c r="CE968" s="27"/>
      <c r="CF968" s="27"/>
      <c r="CG968" s="27"/>
      <c r="CH968" s="27"/>
      <c r="CI968" s="27"/>
      <c r="CJ968" s="27"/>
      <c r="CK968" s="27"/>
      <c r="CL968" s="27"/>
      <c r="CM968" s="27"/>
      <c r="CN968" s="27"/>
      <c r="CO968" s="27"/>
      <c r="CP968" s="27"/>
      <c r="CQ968" s="27"/>
      <c r="CR968" s="27"/>
      <c r="CS968" s="27"/>
      <c r="CT968" s="27"/>
      <c r="CU968" s="27"/>
      <c r="CV968" s="27"/>
      <c r="CW968" s="27"/>
      <c r="CX968" s="27"/>
      <c r="CY968" s="27"/>
      <c r="CZ968" s="27"/>
      <c r="DA968" s="27"/>
      <c r="DB968" s="27"/>
      <c r="DC968" s="27"/>
      <c r="DD968" s="27"/>
      <c r="DE968" s="27"/>
      <c r="DF968" s="27"/>
      <c r="DG968" s="27"/>
      <c r="DH968" s="27"/>
      <c r="DI968" s="27"/>
      <c r="DJ968" s="27"/>
      <c r="DK968" s="27"/>
      <c r="DL968" s="27"/>
      <c r="DM968" s="27"/>
      <c r="DN968" s="27"/>
      <c r="DO968" s="27"/>
      <c r="DP968" s="27"/>
      <c r="DQ968" s="27"/>
      <c r="DR968" s="27"/>
      <c r="DS968" s="27"/>
      <c r="DT968" s="27"/>
    </row>
    <row r="969" spans="2:124" x14ac:dyDescent="0.2">
      <c r="B969" s="64"/>
      <c r="D969" s="171"/>
      <c r="E969" s="176" t="e">
        <f>G967+G968</f>
        <v>#REF!</v>
      </c>
      <c r="F969" s="175" t="s">
        <v>599</v>
      </c>
      <c r="G969" s="27" t="e">
        <f>IF(G967+G968&lt;=0,0,G967+G968)</f>
        <v>#REF!</v>
      </c>
      <c r="H969" s="27"/>
      <c r="I969" s="27"/>
      <c r="J969" s="27"/>
      <c r="K969" s="27"/>
      <c r="L969" s="27"/>
      <c r="M969" s="27"/>
      <c r="N969" s="27"/>
      <c r="O969" s="27"/>
      <c r="P969" s="27"/>
      <c r="Q969" s="27"/>
      <c r="R969" s="27"/>
      <c r="S969" s="27"/>
      <c r="T969" s="27"/>
      <c r="U969" s="27"/>
      <c r="V969" s="27"/>
      <c r="W969" s="27"/>
      <c r="X969" s="27"/>
      <c r="Y969" s="27"/>
      <c r="Z969" s="27"/>
      <c r="AA969" s="27"/>
      <c r="AB969" s="27"/>
      <c r="AC969" s="27"/>
      <c r="AD969" s="27"/>
      <c r="AE969" s="27"/>
      <c r="AF969" s="27"/>
      <c r="AG969" s="27"/>
      <c r="AH969" s="27"/>
      <c r="AI969" s="27"/>
      <c r="AJ969" s="27"/>
      <c r="AK969" s="27"/>
      <c r="AL969" s="27"/>
      <c r="AM969" s="27"/>
      <c r="AN969" s="27"/>
      <c r="AO969" s="27"/>
      <c r="AP969" s="27"/>
      <c r="AQ969" s="27"/>
      <c r="AR969" s="27"/>
      <c r="AS969" s="27"/>
      <c r="AT969" s="27"/>
      <c r="AU969" s="27"/>
      <c r="AV969" s="27"/>
      <c r="AW969" s="27"/>
      <c r="AX969" s="27"/>
      <c r="AY969" s="27"/>
      <c r="AZ969" s="27"/>
      <c r="BA969" s="27"/>
      <c r="BB969" s="27"/>
      <c r="BC969" s="27"/>
      <c r="BD969" s="27"/>
      <c r="BE969" s="27"/>
      <c r="BF969" s="27"/>
      <c r="BG969" s="27"/>
      <c r="BH969" s="27"/>
      <c r="BI969" s="27"/>
      <c r="BJ969" s="27"/>
      <c r="BK969" s="27"/>
      <c r="BL969" s="27"/>
      <c r="BM969" s="27"/>
      <c r="BN969" s="27"/>
      <c r="BO969" s="27"/>
      <c r="BP969" s="27"/>
      <c r="BQ969" s="27"/>
      <c r="BR969" s="27"/>
      <c r="BS969" s="27"/>
      <c r="BT969" s="27"/>
      <c r="BU969" s="27"/>
      <c r="BV969" s="27"/>
      <c r="BW969" s="27"/>
      <c r="BX969" s="27"/>
      <c r="BY969" s="27"/>
      <c r="BZ969" s="27"/>
      <c r="CA969" s="27"/>
      <c r="CB969" s="27"/>
      <c r="CC969" s="27"/>
      <c r="CD969" s="27"/>
      <c r="CE969" s="27"/>
      <c r="CF969" s="27"/>
      <c r="CG969" s="27"/>
      <c r="CH969" s="27"/>
      <c r="CI969" s="27"/>
      <c r="CJ969" s="27"/>
      <c r="CK969" s="27"/>
      <c r="CL969" s="27"/>
      <c r="CM969" s="27"/>
      <c r="CN969" s="27"/>
      <c r="CO969" s="27"/>
      <c r="CP969" s="27"/>
      <c r="CQ969" s="27"/>
      <c r="CR969" s="27"/>
      <c r="CS969" s="27"/>
      <c r="CT969" s="27"/>
      <c r="CU969" s="27"/>
      <c r="CV969" s="27"/>
      <c r="CW969" s="27"/>
      <c r="CX969" s="27"/>
      <c r="CY969" s="27"/>
      <c r="CZ969" s="27"/>
      <c r="DA969" s="27"/>
      <c r="DB969" s="27"/>
      <c r="DC969" s="27"/>
      <c r="DD969" s="27"/>
      <c r="DE969" s="27"/>
      <c r="DF969" s="27"/>
      <c r="DG969" s="27"/>
      <c r="DH969" s="27"/>
      <c r="DI969" s="27"/>
      <c r="DJ969" s="27"/>
      <c r="DK969" s="27"/>
      <c r="DL969" s="27"/>
      <c r="DM969" s="27"/>
      <c r="DN969" s="27"/>
      <c r="DO969" s="27"/>
      <c r="DP969" s="27"/>
      <c r="DQ969" s="27"/>
      <c r="DR969" s="27"/>
      <c r="DS969" s="27"/>
      <c r="DT969" s="27"/>
    </row>
    <row r="970" spans="2:124" x14ac:dyDescent="0.2">
      <c r="B970" s="64"/>
      <c r="D970" s="171"/>
      <c r="E970" s="177"/>
      <c r="F970" s="178" t="s">
        <v>600</v>
      </c>
      <c r="G970" s="27" t="e">
        <f>IF(F905&gt;#REF!,0,IF(G966&gt;'[1]נתוני מס'!K33,'[1]נתוני מס'!H33+'[1]נתוני מס'!F33,IF(G966&lt;='[1]נתוני מס'!L31,G966*'[1]נתוני מס'!E33,(G966-'[1]נתוני מס'!L31)*'[1]נתוני מס'!G33+'[1]נתוני מס'!F33)))</f>
        <v>#REF!</v>
      </c>
      <c r="H970" s="27"/>
      <c r="I970" s="27"/>
      <c r="J970" s="27"/>
      <c r="K970" s="27"/>
      <c r="L970" s="27"/>
      <c r="M970" s="27"/>
      <c r="N970" s="27"/>
      <c r="O970" s="27"/>
      <c r="P970" s="27"/>
      <c r="Q970" s="27"/>
      <c r="R970" s="27"/>
      <c r="S970" s="27"/>
      <c r="T970" s="27"/>
      <c r="U970" s="27"/>
      <c r="V970" s="27"/>
      <c r="W970" s="27"/>
      <c r="X970" s="27"/>
      <c r="Y970" s="27"/>
      <c r="Z970" s="27"/>
      <c r="AA970" s="27"/>
      <c r="AB970" s="27"/>
      <c r="AC970" s="27"/>
      <c r="AD970" s="27"/>
      <c r="AE970" s="27"/>
      <c r="AF970" s="27"/>
      <c r="AG970" s="27"/>
      <c r="AH970" s="27"/>
      <c r="AI970" s="27"/>
      <c r="AJ970" s="27"/>
      <c r="AK970" s="27"/>
      <c r="AL970" s="27"/>
      <c r="AM970" s="27"/>
      <c r="AN970" s="27"/>
      <c r="AO970" s="27"/>
      <c r="AP970" s="27"/>
      <c r="AQ970" s="27"/>
      <c r="AR970" s="27"/>
      <c r="AS970" s="27"/>
      <c r="AT970" s="27"/>
      <c r="AU970" s="27"/>
      <c r="AV970" s="27"/>
      <c r="AW970" s="27"/>
      <c r="AX970" s="27"/>
      <c r="AY970" s="27"/>
      <c r="AZ970" s="27"/>
      <c r="BA970" s="27"/>
      <c r="BB970" s="27"/>
      <c r="BC970" s="27"/>
      <c r="BD970" s="27"/>
      <c r="BE970" s="27"/>
      <c r="BF970" s="27"/>
      <c r="BG970" s="27"/>
      <c r="BH970" s="27"/>
      <c r="BI970" s="27"/>
      <c r="BJ970" s="27"/>
      <c r="BK970" s="27"/>
      <c r="BL970" s="27"/>
      <c r="BM970" s="27"/>
      <c r="BN970" s="27"/>
      <c r="BO970" s="27"/>
      <c r="BP970" s="27"/>
      <c r="BQ970" s="27"/>
      <c r="BR970" s="27"/>
      <c r="BS970" s="27"/>
      <c r="BT970" s="27"/>
      <c r="BU970" s="27"/>
      <c r="BV970" s="27"/>
      <c r="BW970" s="27"/>
      <c r="BX970" s="27"/>
      <c r="BY970" s="27"/>
      <c r="BZ970" s="27"/>
      <c r="CA970" s="27"/>
      <c r="CB970" s="27"/>
      <c r="CC970" s="27"/>
      <c r="CD970" s="27"/>
      <c r="CE970" s="27"/>
      <c r="CF970" s="27"/>
      <c r="CG970" s="27"/>
      <c r="CH970" s="27"/>
      <c r="CI970" s="27"/>
      <c r="CJ970" s="27"/>
      <c r="CK970" s="27"/>
      <c r="CL970" s="27"/>
      <c r="CM970" s="27"/>
      <c r="CN970" s="27"/>
      <c r="CO970" s="27"/>
      <c r="CP970" s="27"/>
      <c r="CQ970" s="27"/>
      <c r="CR970" s="27"/>
      <c r="CS970" s="27"/>
      <c r="CT970" s="27"/>
      <c r="CU970" s="27"/>
      <c r="CV970" s="27"/>
      <c r="CW970" s="27"/>
      <c r="CX970" s="27"/>
      <c r="CY970" s="27"/>
      <c r="CZ970" s="27"/>
      <c r="DA970" s="27"/>
      <c r="DB970" s="27"/>
      <c r="DC970" s="27"/>
      <c r="DD970" s="27"/>
      <c r="DE970" s="27"/>
      <c r="DF970" s="27"/>
      <c r="DG970" s="27"/>
      <c r="DH970" s="27"/>
      <c r="DI970" s="27"/>
      <c r="DJ970" s="27"/>
      <c r="DK970" s="27"/>
      <c r="DL970" s="27"/>
      <c r="DM970" s="27"/>
      <c r="DN970" s="27"/>
      <c r="DO970" s="27"/>
      <c r="DP970" s="27"/>
      <c r="DQ970" s="27"/>
      <c r="DR970" s="27"/>
      <c r="DS970" s="27"/>
      <c r="DT970" s="27"/>
    </row>
    <row r="971" spans="2:124" x14ac:dyDescent="0.2">
      <c r="B971" s="64"/>
      <c r="D971" s="171"/>
      <c r="E971" s="177"/>
      <c r="F971" s="178" t="s">
        <v>601</v>
      </c>
      <c r="G971" s="27" t="e">
        <f>IF(G966&lt;='[1]נתוני מס'!L31,G966*'[1]נתוני מס'!E34,(G966-'[1]נתוני מס'!L31)*'[1]נתוני מס'!G34+'[1]נתוני מס'!F34)</f>
        <v>#REF!</v>
      </c>
      <c r="H971" s="27"/>
      <c r="I971" s="27"/>
      <c r="J971" s="27"/>
      <c r="K971" s="27"/>
      <c r="L971" s="27"/>
      <c r="M971" s="27"/>
      <c r="N971" s="27"/>
      <c r="O971" s="27"/>
      <c r="P971" s="27"/>
      <c r="Q971" s="27"/>
      <c r="R971" s="27"/>
      <c r="S971" s="27"/>
      <c r="T971" s="27"/>
      <c r="U971" s="27"/>
      <c r="V971" s="27"/>
      <c r="W971" s="27"/>
      <c r="X971" s="27"/>
      <c r="Y971" s="27"/>
      <c r="Z971" s="27"/>
      <c r="AA971" s="27"/>
      <c r="AB971" s="27"/>
      <c r="AC971" s="27"/>
      <c r="AD971" s="27"/>
      <c r="AE971" s="27"/>
      <c r="AF971" s="27"/>
      <c r="AG971" s="27"/>
      <c r="AH971" s="27"/>
      <c r="AI971" s="27"/>
      <c r="AJ971" s="27"/>
      <c r="AK971" s="27"/>
      <c r="AL971" s="27"/>
      <c r="AM971" s="27"/>
      <c r="AN971" s="27"/>
      <c r="AO971" s="27"/>
      <c r="AP971" s="27"/>
      <c r="AQ971" s="27"/>
      <c r="AR971" s="27"/>
      <c r="AS971" s="27"/>
      <c r="AT971" s="27"/>
      <c r="AU971" s="27"/>
      <c r="AV971" s="27"/>
      <c r="AW971" s="27"/>
      <c r="AX971" s="27"/>
      <c r="AY971" s="27"/>
      <c r="AZ971" s="27"/>
      <c r="BA971" s="27"/>
      <c r="BB971" s="27"/>
      <c r="BC971" s="27"/>
      <c r="BD971" s="27"/>
      <c r="BE971" s="27"/>
      <c r="BF971" s="27"/>
      <c r="BG971" s="27"/>
      <c r="BH971" s="27"/>
      <c r="BI971" s="27"/>
      <c r="BJ971" s="27"/>
      <c r="BK971" s="27"/>
      <c r="BL971" s="27"/>
      <c r="BM971" s="27"/>
      <c r="BN971" s="27"/>
      <c r="BO971" s="27"/>
      <c r="BP971" s="27"/>
      <c r="BQ971" s="27"/>
      <c r="BR971" s="27"/>
      <c r="BS971" s="27"/>
      <c r="BT971" s="27"/>
      <c r="BU971" s="27"/>
      <c r="BV971" s="27"/>
      <c r="BW971" s="27"/>
      <c r="BX971" s="27"/>
      <c r="BY971" s="27"/>
      <c r="BZ971" s="27"/>
      <c r="CA971" s="27"/>
      <c r="CB971" s="27"/>
      <c r="CC971" s="27"/>
      <c r="CD971" s="27"/>
      <c r="CE971" s="27"/>
      <c r="CF971" s="27"/>
      <c r="CG971" s="27"/>
      <c r="CH971" s="27"/>
      <c r="CI971" s="27"/>
      <c r="CJ971" s="27"/>
      <c r="CK971" s="27"/>
      <c r="CL971" s="27"/>
      <c r="CM971" s="27"/>
      <c r="CN971" s="27"/>
      <c r="CO971" s="27"/>
      <c r="CP971" s="27"/>
      <c r="CQ971" s="27"/>
      <c r="CR971" s="27"/>
      <c r="CS971" s="27"/>
      <c r="CT971" s="27"/>
      <c r="CU971" s="27"/>
      <c r="CV971" s="27"/>
      <c r="CW971" s="27"/>
      <c r="CX971" s="27"/>
      <c r="CY971" s="27"/>
      <c r="CZ971" s="27"/>
      <c r="DA971" s="27"/>
      <c r="DB971" s="27"/>
      <c r="DC971" s="27"/>
      <c r="DD971" s="27"/>
      <c r="DE971" s="27"/>
      <c r="DF971" s="27"/>
      <c r="DG971" s="27"/>
      <c r="DH971" s="27"/>
      <c r="DI971" s="27"/>
      <c r="DJ971" s="27"/>
      <c r="DK971" s="27"/>
      <c r="DL971" s="27"/>
      <c r="DM971" s="27"/>
      <c r="DN971" s="27"/>
      <c r="DO971" s="27"/>
      <c r="DP971" s="27"/>
      <c r="DQ971" s="27"/>
      <c r="DR971" s="27"/>
      <c r="DS971" s="27"/>
      <c r="DT971" s="27"/>
    </row>
    <row r="972" spans="2:124" x14ac:dyDescent="0.2">
      <c r="B972" s="64"/>
      <c r="D972" s="171"/>
      <c r="E972" s="179" t="s">
        <v>602</v>
      </c>
      <c r="F972" s="178" t="s">
        <v>603</v>
      </c>
      <c r="G972" s="27" t="e">
        <f>SUM(G969:G971)</f>
        <v>#REF!</v>
      </c>
      <c r="H972" s="27"/>
      <c r="I972" s="27"/>
      <c r="J972" s="27"/>
      <c r="K972" s="27"/>
      <c r="L972" s="27"/>
      <c r="M972" s="27"/>
      <c r="N972" s="27"/>
      <c r="O972" s="27"/>
      <c r="P972" s="27"/>
      <c r="Q972" s="27"/>
      <c r="R972" s="27"/>
      <c r="S972" s="27"/>
      <c r="T972" s="27"/>
      <c r="U972" s="27"/>
      <c r="V972" s="27"/>
      <c r="W972" s="27"/>
      <c r="X972" s="27"/>
      <c r="Y972" s="27"/>
      <c r="Z972" s="27"/>
      <c r="AA972" s="27"/>
      <c r="AB972" s="27"/>
      <c r="AC972" s="27"/>
      <c r="AD972" s="27"/>
      <c r="AE972" s="27"/>
      <c r="AF972" s="27"/>
      <c r="AG972" s="27"/>
      <c r="AH972" s="27"/>
      <c r="AI972" s="27"/>
      <c r="AJ972" s="27"/>
      <c r="AK972" s="27"/>
      <c r="AL972" s="27"/>
      <c r="AM972" s="27"/>
      <c r="AN972" s="27"/>
      <c r="AO972" s="27"/>
      <c r="AP972" s="27"/>
      <c r="AQ972" s="27"/>
      <c r="AR972" s="27"/>
      <c r="AS972" s="27"/>
      <c r="AT972" s="27"/>
      <c r="AU972" s="27"/>
      <c r="AV972" s="27"/>
      <c r="AW972" s="27"/>
      <c r="AX972" s="27" t="s">
        <v>59</v>
      </c>
      <c r="AY972" s="27"/>
      <c r="AZ972" s="27"/>
      <c r="BA972" s="27"/>
      <c r="BB972" s="27"/>
      <c r="BC972" s="27"/>
      <c r="BD972" s="27"/>
      <c r="BE972" s="27"/>
      <c r="BF972" s="27"/>
      <c r="BG972" s="27"/>
      <c r="BH972" s="27"/>
      <c r="BI972" s="27"/>
      <c r="BJ972" s="27"/>
      <c r="BK972" s="27"/>
      <c r="BL972" s="27"/>
      <c r="BM972" s="27"/>
      <c r="BN972" s="27"/>
      <c r="BO972" s="27"/>
      <c r="BP972" s="27"/>
      <c r="BQ972" s="27"/>
      <c r="BR972" s="27"/>
      <c r="BS972" s="27"/>
      <c r="BT972" s="27"/>
      <c r="BU972" s="27"/>
      <c r="BV972" s="27"/>
      <c r="BW972" s="27"/>
      <c r="BX972" s="27"/>
      <c r="BY972" s="27"/>
      <c r="BZ972" s="27"/>
      <c r="CA972" s="27"/>
      <c r="CB972" s="27"/>
      <c r="CC972" s="27"/>
      <c r="CD972" s="27"/>
      <c r="CE972" s="27"/>
      <c r="CF972" s="27"/>
      <c r="CG972" s="27"/>
      <c r="CH972" s="27"/>
      <c r="CI972" s="27"/>
      <c r="CJ972" s="27"/>
      <c r="CK972" s="27"/>
      <c r="CL972" s="27"/>
      <c r="CM972" s="27"/>
      <c r="CN972" s="27"/>
      <c r="CO972" s="27"/>
      <c r="CP972" s="27"/>
      <c r="CQ972" s="27"/>
      <c r="CR972" s="27"/>
      <c r="CS972" s="27"/>
      <c r="CT972" s="27"/>
      <c r="CU972" s="27"/>
      <c r="CV972" s="27"/>
      <c r="CW972" s="27"/>
      <c r="CX972" s="27"/>
      <c r="CY972" s="27"/>
      <c r="CZ972" s="27"/>
      <c r="DA972" s="27"/>
      <c r="DB972" s="27"/>
      <c r="DC972" s="27"/>
      <c r="DD972" s="27"/>
      <c r="DE972" s="27"/>
      <c r="DF972" s="27"/>
      <c r="DG972" s="27"/>
      <c r="DH972" s="27"/>
      <c r="DI972" s="27"/>
      <c r="DJ972" s="27"/>
      <c r="DK972" s="27"/>
      <c r="DL972" s="27"/>
      <c r="DM972" s="27"/>
      <c r="DN972" s="27"/>
      <c r="DO972" s="27"/>
      <c r="DP972" s="27"/>
      <c r="DQ972" s="27"/>
      <c r="DR972" s="27"/>
      <c r="DS972" s="27"/>
      <c r="DT972" s="27"/>
    </row>
    <row r="973" spans="2:124" x14ac:dyDescent="0.2">
      <c r="B973" s="64"/>
      <c r="D973" s="171"/>
      <c r="E973" s="179" t="s">
        <v>224</v>
      </c>
      <c r="F973" s="175" t="s">
        <v>604</v>
      </c>
      <c r="G973" s="27" t="e">
        <f>IF(W742=S734,G961/G966*G974,G966-G972)</f>
        <v>#REF!</v>
      </c>
      <c r="H973" s="27"/>
      <c r="I973" s="27"/>
      <c r="J973" s="27"/>
      <c r="K973" s="27"/>
      <c r="L973" s="27"/>
      <c r="M973" s="27"/>
      <c r="N973" s="27"/>
      <c r="O973" s="27"/>
      <c r="P973" s="27"/>
      <c r="Q973" s="27"/>
      <c r="R973" s="27"/>
      <c r="S973" s="27"/>
      <c r="T973" s="27"/>
      <c r="U973" s="27"/>
      <c r="V973" s="27"/>
      <c r="W973" s="27"/>
      <c r="X973" s="27"/>
      <c r="Y973" s="27"/>
      <c r="Z973" s="27"/>
      <c r="AA973" s="27"/>
      <c r="AB973" s="27"/>
      <c r="AC973" s="27"/>
      <c r="AD973" s="27"/>
      <c r="AE973" s="27"/>
      <c r="AF973" s="27"/>
      <c r="AG973" s="27"/>
      <c r="AH973" s="27"/>
      <c r="AI973" s="27"/>
      <c r="AJ973" s="27"/>
      <c r="AK973" s="27"/>
      <c r="AL973" s="27"/>
      <c r="AM973" s="27"/>
      <c r="AN973" s="27"/>
      <c r="AO973" s="27"/>
      <c r="AP973" s="27"/>
      <c r="AQ973" s="27"/>
      <c r="AR973" s="27"/>
      <c r="AS973" s="27"/>
      <c r="AT973" s="27"/>
      <c r="AU973" s="27"/>
      <c r="AV973" s="27"/>
      <c r="AW973" s="27"/>
      <c r="AX973" s="27"/>
      <c r="AY973" s="27"/>
      <c r="AZ973" s="27"/>
      <c r="BA973" s="27"/>
      <c r="BB973" s="27"/>
      <c r="BC973" s="27"/>
      <c r="BD973" s="27"/>
      <c r="BE973" s="27"/>
      <c r="BF973" s="27"/>
      <c r="BG973" s="27"/>
      <c r="BH973" s="27"/>
      <c r="BI973" s="27"/>
      <c r="BJ973" s="27"/>
      <c r="BK973" s="27"/>
      <c r="BL973" s="27"/>
      <c r="BM973" s="27"/>
      <c r="BN973" s="27"/>
      <c r="BO973" s="27"/>
      <c r="BP973" s="27"/>
      <c r="BQ973" s="27"/>
      <c r="BR973" s="27"/>
      <c r="BS973" s="27"/>
      <c r="BT973" s="27"/>
      <c r="BU973" s="27"/>
      <c r="BV973" s="27"/>
      <c r="BW973" s="27"/>
      <c r="BX973" s="27"/>
      <c r="BY973" s="27"/>
      <c r="BZ973" s="27"/>
      <c r="CA973" s="27"/>
      <c r="CB973" s="27"/>
      <c r="CC973" s="27"/>
      <c r="CD973" s="27"/>
      <c r="CE973" s="27"/>
      <c r="CF973" s="27"/>
      <c r="CG973" s="27"/>
      <c r="CH973" s="27"/>
      <c r="CI973" s="27"/>
      <c r="CJ973" s="27"/>
      <c r="CK973" s="27"/>
      <c r="CL973" s="27"/>
      <c r="CM973" s="27"/>
      <c r="CN973" s="27"/>
      <c r="CO973" s="27"/>
      <c r="CP973" s="27"/>
      <c r="CQ973" s="27"/>
      <c r="CR973" s="27"/>
      <c r="CS973" s="27"/>
      <c r="CT973" s="27"/>
      <c r="CU973" s="27"/>
      <c r="CV973" s="27"/>
      <c r="CW973" s="27"/>
      <c r="CX973" s="27"/>
      <c r="CY973" s="27"/>
      <c r="CZ973" s="27"/>
      <c r="DA973" s="27"/>
      <c r="DB973" s="27"/>
      <c r="DC973" s="27"/>
      <c r="DD973" s="27"/>
      <c r="DE973" s="27"/>
      <c r="DF973" s="27"/>
      <c r="DG973" s="27"/>
      <c r="DH973" s="27"/>
      <c r="DI973" s="27"/>
      <c r="DJ973" s="27"/>
      <c r="DK973" s="27"/>
      <c r="DL973" s="27"/>
      <c r="DM973" s="27"/>
      <c r="DN973" s="27"/>
      <c r="DO973" s="27"/>
      <c r="DP973" s="27"/>
      <c r="DQ973" s="27"/>
      <c r="DR973" s="27"/>
      <c r="DS973" s="27"/>
      <c r="DT973" s="27"/>
    </row>
    <row r="974" spans="2:124" ht="18.75" thickBot="1" x14ac:dyDescent="0.3">
      <c r="B974" s="64"/>
      <c r="D974" s="180" t="s">
        <v>605</v>
      </c>
      <c r="E974" s="181" t="e">
        <f ca="1">BI737</f>
        <v>#REF!</v>
      </c>
      <c r="F974" s="182" t="s">
        <v>382</v>
      </c>
      <c r="G974" s="27" t="e">
        <f>G966-G972</f>
        <v>#REF!</v>
      </c>
      <c r="H974" s="27"/>
      <c r="I974" s="27"/>
      <c r="J974" s="27"/>
      <c r="K974" s="27"/>
      <c r="L974" s="27"/>
      <c r="M974" s="27"/>
      <c r="N974" s="27"/>
      <c r="O974" s="27"/>
      <c r="P974" s="27"/>
      <c r="Q974" s="27"/>
      <c r="R974" s="27"/>
      <c r="S974" s="27"/>
      <c r="T974" s="27"/>
      <c r="U974" s="27"/>
      <c r="V974" s="27"/>
      <c r="W974" s="27"/>
      <c r="X974" s="27"/>
      <c r="Y974" s="27"/>
      <c r="Z974" s="27"/>
      <c r="AA974" s="27"/>
      <c r="AB974" s="27"/>
      <c r="AC974" s="27"/>
      <c r="AD974" s="27"/>
      <c r="AE974" s="27"/>
      <c r="AF974" s="27"/>
      <c r="AG974" s="27"/>
      <c r="AH974" s="27"/>
      <c r="AI974" s="27"/>
      <c r="AJ974" s="27"/>
      <c r="AK974" s="27"/>
      <c r="AL974" s="27"/>
      <c r="AM974" s="27"/>
      <c r="AN974" s="27"/>
      <c r="AO974" s="27"/>
      <c r="AP974" s="27"/>
      <c r="AQ974" s="27"/>
      <c r="AR974" s="27"/>
      <c r="AS974" s="27"/>
      <c r="AT974" s="27"/>
      <c r="AU974" s="27"/>
      <c r="AV974" s="27"/>
      <c r="AW974" s="27"/>
      <c r="AX974" s="27"/>
      <c r="AY974" s="27"/>
      <c r="AZ974" s="27"/>
      <c r="BA974" s="27"/>
      <c r="BB974" s="27"/>
      <c r="BC974" s="27"/>
      <c r="BD974" s="27"/>
      <c r="BE974" s="27"/>
      <c r="BF974" s="27"/>
      <c r="BG974" s="27"/>
      <c r="BH974" s="27"/>
      <c r="BI974" s="27"/>
      <c r="BJ974" s="27"/>
      <c r="BK974" s="27"/>
      <c r="BL974" s="27"/>
      <c r="BM974" s="27"/>
      <c r="BN974" s="27"/>
      <c r="BO974" s="27"/>
      <c r="BP974" s="27"/>
      <c r="BQ974" s="27"/>
      <c r="BR974" s="27"/>
      <c r="BS974" s="27"/>
      <c r="BT974" s="27"/>
      <c r="BU974" s="27"/>
      <c r="BV974" s="27"/>
      <c r="BW974" s="27"/>
      <c r="BX974" s="27"/>
      <c r="BY974" s="27"/>
      <c r="BZ974" s="27"/>
      <c r="CA974" s="27"/>
      <c r="CB974" s="27"/>
      <c r="CC974" s="27"/>
      <c r="CD974" s="27"/>
      <c r="CE974" s="27"/>
      <c r="CF974" s="27"/>
      <c r="CG974" s="27"/>
      <c r="CH974" s="27"/>
      <c r="CI974" s="27"/>
      <c r="CJ974" s="27"/>
      <c r="CK974" s="27"/>
      <c r="CL974" s="27"/>
      <c r="CM974" s="27"/>
      <c r="CN974" s="27"/>
      <c r="CO974" s="27"/>
      <c r="CP974" s="27"/>
      <c r="CQ974" s="27"/>
      <c r="CR974" s="27"/>
      <c r="CS974" s="27"/>
      <c r="CT974" s="27"/>
      <c r="CU974" s="27"/>
      <c r="CV974" s="27"/>
      <c r="CW974" s="27"/>
      <c r="CX974" s="27"/>
      <c r="CY974" s="27"/>
      <c r="CZ974" s="27"/>
      <c r="DA974" s="27"/>
      <c r="DB974" s="27"/>
      <c r="DC974" s="27"/>
      <c r="DD974" s="27"/>
      <c r="DE974" s="27"/>
      <c r="DF974" s="27"/>
      <c r="DG974" s="27"/>
      <c r="DH974" s="27"/>
      <c r="DI974" s="27"/>
      <c r="DJ974" s="27"/>
      <c r="DK974" s="27"/>
      <c r="DL974" s="27"/>
      <c r="DM974" s="27"/>
      <c r="DN974" s="27"/>
      <c r="DO974" s="27"/>
      <c r="DP974" s="27"/>
      <c r="DQ974" s="27"/>
      <c r="DR974" s="27"/>
      <c r="DS974" s="27"/>
      <c r="DT974" s="27"/>
    </row>
    <row r="975" spans="2:124" ht="16.5" thickTop="1" thickBot="1" x14ac:dyDescent="0.3">
      <c r="B975" s="64"/>
      <c r="D975" s="183" t="s">
        <v>606</v>
      </c>
      <c r="E975" s="184"/>
      <c r="F975" s="185"/>
      <c r="G975" s="27"/>
      <c r="H975" s="27"/>
      <c r="I975" s="27"/>
      <c r="J975" s="27"/>
      <c r="K975" s="27"/>
      <c r="L975" s="27"/>
      <c r="M975" s="27"/>
      <c r="N975" s="27"/>
      <c r="O975" s="27"/>
      <c r="P975" s="27"/>
      <c r="Q975" s="27"/>
      <c r="R975" s="27"/>
      <c r="S975" s="27"/>
      <c r="T975" s="27"/>
      <c r="U975" s="27"/>
      <c r="V975" s="27"/>
      <c r="W975" s="27"/>
      <c r="X975" s="27"/>
      <c r="Y975" s="27"/>
      <c r="Z975" s="27"/>
      <c r="AA975" s="27"/>
      <c r="AB975" s="27"/>
      <c r="AC975" s="27"/>
      <c r="AD975" s="27"/>
      <c r="AE975" s="27"/>
      <c r="AF975" s="27"/>
      <c r="AG975" s="27"/>
      <c r="AH975" s="27"/>
      <c r="AI975" s="27"/>
      <c r="AJ975" s="27"/>
      <c r="AK975" s="27"/>
      <c r="AL975" s="27"/>
      <c r="AM975" s="27"/>
      <c r="AN975" s="27"/>
      <c r="AO975" s="27"/>
      <c r="AP975" s="27"/>
      <c r="AQ975" s="27"/>
      <c r="AR975" s="27"/>
      <c r="AS975" s="27"/>
      <c r="AT975" s="27"/>
      <c r="AU975" s="27"/>
      <c r="AV975" s="27"/>
      <c r="AW975" s="27"/>
      <c r="AX975" s="27"/>
      <c r="AY975" s="27"/>
      <c r="AZ975" s="27"/>
      <c r="BA975" s="27"/>
      <c r="BB975" s="27"/>
      <c r="BC975" s="27"/>
      <c r="BD975" s="27"/>
      <c r="BE975" s="27"/>
      <c r="BF975" s="27"/>
      <c r="BG975" s="27"/>
      <c r="BH975" s="27"/>
      <c r="BI975" s="27"/>
      <c r="BJ975" s="27"/>
      <c r="BK975" s="27"/>
      <c r="BL975" s="27"/>
      <c r="BM975" s="27"/>
      <c r="BN975" s="27"/>
      <c r="BO975" s="27"/>
      <c r="BP975" s="27"/>
      <c r="BQ975" s="27"/>
      <c r="BR975" s="27"/>
      <c r="BS975" s="27"/>
      <c r="BT975" s="27"/>
      <c r="BU975" s="27"/>
      <c r="BV975" s="27"/>
      <c r="BW975" s="27"/>
      <c r="BX975" s="27"/>
      <c r="BY975" s="27"/>
      <c r="BZ975" s="27"/>
      <c r="CA975" s="27"/>
      <c r="CB975" s="27"/>
      <c r="CC975" s="27"/>
      <c r="CD975" s="27"/>
      <c r="CE975" s="27"/>
      <c r="CF975" s="27"/>
      <c r="CG975" s="27"/>
      <c r="CH975" s="27"/>
      <c r="CI975" s="27"/>
      <c r="CJ975" s="27"/>
      <c r="CK975" s="27"/>
      <c r="CL975" s="27"/>
      <c r="CM975" s="27"/>
      <c r="CN975" s="27"/>
      <c r="CO975" s="27"/>
      <c r="CP975" s="27"/>
      <c r="CQ975" s="27"/>
      <c r="CR975" s="27"/>
      <c r="CS975" s="27"/>
      <c r="CT975" s="27"/>
      <c r="CU975" s="27"/>
      <c r="CV975" s="27"/>
      <c r="CW975" s="27"/>
      <c r="CX975" s="27"/>
      <c r="CY975" s="27"/>
      <c r="CZ975" s="27"/>
      <c r="DA975" s="27"/>
      <c r="DB975" s="27"/>
      <c r="DC975" s="27"/>
      <c r="DD975" s="27"/>
      <c r="DE975" s="27"/>
      <c r="DF975" s="27"/>
      <c r="DG975" s="27"/>
      <c r="DH975" s="27"/>
      <c r="DI975" s="27"/>
      <c r="DJ975" s="27"/>
      <c r="DK975" s="27"/>
      <c r="DL975" s="27"/>
      <c r="DM975" s="27"/>
      <c r="DN975" s="27"/>
      <c r="DO975" s="27"/>
      <c r="DP975" s="27"/>
      <c r="DQ975" s="27"/>
      <c r="DR975" s="27"/>
      <c r="DS975" s="27"/>
      <c r="DT975" s="27"/>
    </row>
    <row r="976" spans="2:124" ht="15" thickTop="1" x14ac:dyDescent="0.2">
      <c r="B976" s="64"/>
      <c r="D976"/>
      <c r="E976"/>
      <c r="F976"/>
      <c r="G976" s="27"/>
      <c r="H976" s="27"/>
      <c r="I976" s="27"/>
      <c r="J976" s="27"/>
      <c r="K976" s="27"/>
      <c r="L976" s="27"/>
      <c r="M976" s="27"/>
      <c r="N976" s="27"/>
      <c r="O976" s="27"/>
      <c r="P976" s="27"/>
      <c r="Q976" s="27"/>
      <c r="R976" s="27"/>
      <c r="S976" s="27"/>
      <c r="T976" s="27"/>
      <c r="U976" s="27"/>
      <c r="V976" s="27"/>
      <c r="W976" s="27"/>
      <c r="X976" s="27"/>
      <c r="Y976" s="27"/>
      <c r="Z976" s="27"/>
      <c r="AA976" s="27"/>
      <c r="AB976" s="27"/>
      <c r="AC976" s="27"/>
      <c r="AD976" s="27"/>
      <c r="AE976" s="27"/>
      <c r="AF976" s="27"/>
      <c r="AG976" s="27"/>
      <c r="AH976" s="27"/>
      <c r="AI976" s="27"/>
      <c r="AJ976" s="27"/>
      <c r="AK976" s="27"/>
      <c r="AL976" s="27"/>
      <c r="AM976" s="27"/>
      <c r="AN976" s="27"/>
      <c r="AO976" s="27"/>
      <c r="AP976" s="27"/>
      <c r="AQ976" s="27"/>
      <c r="AR976" s="27"/>
      <c r="AS976" s="27"/>
      <c r="AT976" s="27"/>
      <c r="AU976" s="27"/>
      <c r="AV976" s="27"/>
      <c r="AW976" s="27"/>
      <c r="AX976" s="27"/>
      <c r="AY976" s="27"/>
      <c r="AZ976" s="27"/>
      <c r="BA976" s="27"/>
      <c r="BB976" s="27"/>
      <c r="BC976" s="27"/>
      <c r="BD976" s="27"/>
      <c r="BE976" s="27"/>
      <c r="BF976" s="27"/>
      <c r="BG976" s="27"/>
      <c r="BH976" s="27"/>
      <c r="BI976" s="27"/>
      <c r="BJ976" s="27"/>
      <c r="BK976" s="27"/>
      <c r="BL976" s="27"/>
      <c r="BM976" s="27"/>
      <c r="BN976" s="27"/>
      <c r="BO976" s="27"/>
      <c r="BP976" s="27"/>
      <c r="BQ976" s="27"/>
      <c r="BR976" s="27"/>
      <c r="BS976" s="27"/>
      <c r="BT976" s="27"/>
      <c r="BU976" s="27"/>
      <c r="BV976" s="27"/>
      <c r="BW976" s="27"/>
      <c r="BX976" s="27"/>
      <c r="BY976" s="27"/>
      <c r="BZ976" s="27"/>
      <c r="CA976" s="27"/>
      <c r="CB976" s="27"/>
      <c r="CC976" s="27"/>
      <c r="CD976" s="27"/>
      <c r="CE976" s="27"/>
      <c r="CF976" s="27"/>
      <c r="CG976" s="27"/>
      <c r="CH976" s="27"/>
      <c r="CI976" s="27"/>
      <c r="CJ976" s="27"/>
      <c r="CK976" s="27"/>
      <c r="CL976" s="27"/>
      <c r="CM976" s="27"/>
      <c r="CN976" s="27"/>
      <c r="CO976" s="27"/>
      <c r="CP976" s="27"/>
      <c r="CQ976" s="27"/>
      <c r="CR976" s="27"/>
      <c r="CS976" s="27"/>
      <c r="CT976" s="27"/>
      <c r="CU976" s="27"/>
      <c r="CV976" s="27"/>
      <c r="CW976" s="27"/>
      <c r="CX976" s="27"/>
      <c r="CY976" s="27"/>
      <c r="CZ976" s="27"/>
      <c r="DA976" s="27"/>
      <c r="DB976" s="27"/>
      <c r="DC976" s="27"/>
      <c r="DD976" s="27"/>
      <c r="DE976" s="27"/>
      <c r="DF976" s="27"/>
      <c r="DG976" s="27"/>
      <c r="DH976" s="27"/>
      <c r="DI976" s="27"/>
      <c r="DJ976" s="27"/>
      <c r="DK976" s="27"/>
      <c r="DL976" s="27"/>
      <c r="DM976" s="27"/>
      <c r="DN976" s="27"/>
      <c r="DO976" s="27"/>
      <c r="DP976" s="27"/>
      <c r="DQ976" s="27"/>
      <c r="DR976" s="27"/>
      <c r="DS976" s="27"/>
      <c r="DT976" s="27"/>
    </row>
    <row r="977" spans="2:124" ht="15.75" x14ac:dyDescent="0.25">
      <c r="B977" s="64"/>
      <c r="D977"/>
      <c r="E977" s="134" t="s">
        <v>545</v>
      </c>
      <c r="F977"/>
      <c r="G977" s="27"/>
      <c r="H977" s="27"/>
      <c r="I977" s="27"/>
      <c r="J977" s="27"/>
      <c r="K977" s="27"/>
      <c r="L977" s="27"/>
      <c r="M977" s="27"/>
      <c r="N977" s="27"/>
      <c r="O977" s="27"/>
      <c r="P977" s="27"/>
      <c r="Q977" s="27"/>
      <c r="R977" s="27"/>
      <c r="S977" s="27"/>
      <c r="T977" s="27"/>
      <c r="U977" s="27"/>
      <c r="V977" s="27"/>
      <c r="W977" s="27"/>
      <c r="X977" s="27"/>
      <c r="Y977" s="27"/>
      <c r="Z977" s="27"/>
      <c r="AA977" s="27"/>
      <c r="AB977" s="27"/>
      <c r="AC977" s="27"/>
      <c r="AD977" s="27"/>
      <c r="AE977" s="27"/>
      <c r="AF977" s="27"/>
      <c r="AG977" s="27"/>
      <c r="AH977" s="27"/>
      <c r="AI977" s="27"/>
      <c r="AJ977" s="27"/>
      <c r="AK977" s="27"/>
      <c r="AL977" s="27"/>
      <c r="AM977" s="27"/>
      <c r="AN977" s="27"/>
      <c r="AO977" s="27"/>
      <c r="AP977" s="27"/>
      <c r="AQ977" s="27"/>
      <c r="AR977" s="27"/>
      <c r="AS977" s="27"/>
      <c r="AT977" s="27"/>
      <c r="AU977" s="27"/>
      <c r="AV977" s="27"/>
      <c r="AW977" s="27"/>
      <c r="AX977" s="27"/>
      <c r="AY977" s="27"/>
      <c r="AZ977" s="27"/>
      <c r="BA977" s="27"/>
      <c r="BB977" s="27"/>
      <c r="BC977" s="27"/>
      <c r="BD977" s="27"/>
      <c r="BE977" s="27"/>
      <c r="BF977" s="27"/>
      <c r="BG977" s="27"/>
      <c r="BH977" s="27"/>
      <c r="BI977" s="27"/>
      <c r="BJ977" s="27"/>
      <c r="BK977" s="27"/>
      <c r="BL977" s="27"/>
      <c r="BM977" s="27"/>
      <c r="BN977" s="27"/>
      <c r="BO977" s="27"/>
      <c r="BP977" s="27"/>
      <c r="BQ977" s="27"/>
      <c r="BR977" s="27"/>
      <c r="BS977" s="27"/>
      <c r="BT977" s="27"/>
      <c r="BU977" s="27"/>
      <c r="BV977" s="27"/>
      <c r="BW977" s="27"/>
      <c r="BX977" s="27"/>
      <c r="BY977" s="27"/>
      <c r="BZ977" s="27"/>
      <c r="CA977" s="27"/>
      <c r="CB977" s="27"/>
      <c r="CC977" s="27"/>
      <c r="CD977" s="27"/>
      <c r="CE977" s="27"/>
      <c r="CF977" s="27"/>
      <c r="CG977" s="27"/>
      <c r="CH977" s="27"/>
      <c r="CI977" s="27"/>
      <c r="CJ977" s="27"/>
      <c r="CK977" s="27"/>
      <c r="CL977" s="27"/>
      <c r="CM977" s="27"/>
      <c r="CN977" s="27"/>
      <c r="CO977" s="27"/>
      <c r="CP977" s="27"/>
      <c r="CQ977" s="27"/>
      <c r="CR977" s="27"/>
      <c r="CS977" s="27"/>
      <c r="CT977" s="27"/>
      <c r="CU977" s="27"/>
      <c r="CV977" s="27"/>
      <c r="CW977" s="27"/>
      <c r="CX977" s="27"/>
      <c r="CY977" s="27"/>
      <c r="CZ977" s="27"/>
      <c r="DA977" s="27"/>
      <c r="DB977" s="27"/>
      <c r="DC977" s="27"/>
      <c r="DD977" s="27"/>
      <c r="DE977" s="27"/>
      <c r="DF977" s="27"/>
      <c r="DG977" s="27"/>
      <c r="DH977" s="27"/>
      <c r="DI977" s="27"/>
      <c r="DJ977" s="27"/>
      <c r="DK977" s="27"/>
      <c r="DL977" s="27"/>
      <c r="DM977" s="27"/>
      <c r="DN977" s="27"/>
      <c r="DO977" s="27"/>
      <c r="DP977" s="27"/>
      <c r="DQ977" s="27"/>
      <c r="DR977" s="27"/>
      <c r="DS977" s="27"/>
      <c r="DT977" s="27"/>
    </row>
    <row r="978" spans="2:124" x14ac:dyDescent="0.2">
      <c r="B978" s="64"/>
      <c r="D978"/>
      <c r="E978"/>
      <c r="F978"/>
      <c r="G978" s="27"/>
      <c r="H978" s="27"/>
      <c r="I978" s="27"/>
      <c r="J978" s="27"/>
      <c r="K978" s="27"/>
      <c r="L978" s="27"/>
      <c r="M978" s="27"/>
      <c r="N978" s="27"/>
      <c r="O978" s="27"/>
      <c r="P978" s="27"/>
      <c r="Q978" s="27"/>
      <c r="R978" s="27"/>
      <c r="S978" s="27"/>
      <c r="T978" s="27"/>
      <c r="U978" s="27"/>
      <c r="V978" s="27"/>
      <c r="W978" s="27"/>
      <c r="X978" s="27"/>
      <c r="Y978" s="27"/>
      <c r="Z978" s="27"/>
      <c r="AA978" s="27"/>
      <c r="AB978" s="27"/>
      <c r="AC978" s="27"/>
      <c r="AD978" s="27"/>
      <c r="AE978" s="27"/>
      <c r="AF978" s="27"/>
      <c r="AG978" s="27"/>
      <c r="AH978" s="27"/>
      <c r="AI978" s="27"/>
      <c r="AJ978" s="27"/>
      <c r="AK978" s="27"/>
      <c r="AL978" s="27"/>
      <c r="AM978" s="27"/>
      <c r="AN978" s="27"/>
      <c r="AO978" s="27"/>
      <c r="AP978" s="27"/>
      <c r="AQ978" s="27"/>
      <c r="AR978" s="27"/>
      <c r="AS978" s="27"/>
      <c r="AT978" s="27"/>
      <c r="AU978" s="27"/>
      <c r="AV978" s="27"/>
      <c r="AW978" s="27"/>
      <c r="AX978" s="27"/>
      <c r="AY978" s="27"/>
      <c r="AZ978" s="27"/>
      <c r="BA978" s="27"/>
      <c r="BB978" s="27"/>
      <c r="BC978" s="27"/>
      <c r="BD978" s="27"/>
      <c r="BE978" s="27"/>
      <c r="BF978" s="27"/>
      <c r="BG978" s="27"/>
      <c r="BH978" s="27"/>
      <c r="BI978" s="27"/>
      <c r="BJ978" s="27"/>
      <c r="BK978" s="27"/>
      <c r="BL978" s="27"/>
      <c r="BM978" s="27"/>
      <c r="BN978" s="27"/>
      <c r="BO978" s="27"/>
      <c r="BP978" s="27"/>
      <c r="BQ978" s="27"/>
      <c r="BR978" s="27"/>
      <c r="BS978" s="27"/>
      <c r="BT978" s="27"/>
      <c r="BU978" s="27"/>
      <c r="BV978" s="27"/>
      <c r="BW978" s="27"/>
      <c r="BX978" s="27"/>
      <c r="BY978" s="27"/>
      <c r="BZ978" s="27"/>
      <c r="CA978" s="27"/>
      <c r="CB978" s="27"/>
      <c r="CC978" s="27"/>
      <c r="CD978" s="27"/>
      <c r="CE978" s="27"/>
      <c r="CF978" s="27"/>
      <c r="CG978" s="27"/>
      <c r="CH978" s="27"/>
      <c r="CI978" s="27"/>
      <c r="CJ978" s="27"/>
      <c r="CK978" s="27"/>
      <c r="CL978" s="27"/>
      <c r="CM978" s="27"/>
      <c r="CN978" s="27"/>
      <c r="CO978" s="27"/>
      <c r="CP978" s="27"/>
      <c r="CQ978" s="27"/>
      <c r="CR978" s="27"/>
      <c r="CS978" s="27"/>
      <c r="CT978" s="27"/>
      <c r="CU978" s="27"/>
      <c r="CV978" s="27"/>
      <c r="CW978" s="27"/>
      <c r="CX978" s="27"/>
      <c r="CY978" s="27"/>
      <c r="CZ978" s="27"/>
      <c r="DA978" s="27"/>
      <c r="DB978" s="27"/>
      <c r="DC978" s="27"/>
      <c r="DD978" s="27"/>
      <c r="DE978" s="27"/>
      <c r="DF978" s="27"/>
      <c r="DG978" s="27"/>
      <c r="DH978" s="27"/>
      <c r="DI978" s="27"/>
      <c r="DJ978" s="27"/>
      <c r="DK978" s="27"/>
      <c r="DL978" s="27"/>
      <c r="DM978" s="27"/>
      <c r="DN978" s="27"/>
      <c r="DO978" s="27"/>
      <c r="DP978" s="27"/>
      <c r="DQ978" s="27"/>
      <c r="DR978" s="27"/>
      <c r="DS978" s="27"/>
      <c r="DT978" s="27"/>
    </row>
    <row r="979" spans="2:124" x14ac:dyDescent="0.2">
      <c r="B979" s="64"/>
      <c r="D979"/>
      <c r="E979"/>
      <c r="F979"/>
      <c r="G979" s="27"/>
      <c r="H979" s="27"/>
      <c r="I979" s="27"/>
      <c r="J979" s="27"/>
      <c r="K979" s="27"/>
      <c r="L979" s="27"/>
      <c r="M979" s="27"/>
      <c r="N979" s="27"/>
      <c r="O979" s="27"/>
      <c r="P979" s="27"/>
      <c r="Q979" s="27"/>
      <c r="R979" s="27"/>
      <c r="S979" s="27"/>
      <c r="T979" s="27"/>
      <c r="U979" s="27"/>
      <c r="V979" s="27"/>
      <c r="W979" s="27"/>
      <c r="X979" s="27"/>
      <c r="Y979" s="27"/>
      <c r="Z979" s="27"/>
      <c r="AA979" s="27"/>
      <c r="AB979" s="27"/>
      <c r="AC979" s="27"/>
      <c r="AD979" s="27"/>
      <c r="AE979" s="27"/>
      <c r="AF979" s="27"/>
      <c r="AG979" s="27"/>
      <c r="AH979" s="27"/>
      <c r="AI979" s="27"/>
      <c r="AJ979" s="27"/>
      <c r="AK979" s="27"/>
      <c r="AL979" s="27"/>
      <c r="AM979" s="27"/>
      <c r="AN979" s="27"/>
      <c r="AO979" s="27"/>
      <c r="AP979" s="27"/>
      <c r="AQ979" s="27"/>
      <c r="AR979" s="27"/>
      <c r="AS979" s="27"/>
      <c r="AT979" s="27"/>
      <c r="AU979" s="27"/>
      <c r="AV979" s="27"/>
      <c r="AW979" s="27"/>
      <c r="AX979" s="27"/>
      <c r="AY979" s="27"/>
      <c r="AZ979" s="27"/>
      <c r="BA979" s="27"/>
      <c r="BB979" s="27"/>
      <c r="BC979" s="27"/>
      <c r="BD979" s="27"/>
      <c r="BE979" s="27"/>
      <c r="BF979" s="27"/>
      <c r="BG979" s="27"/>
      <c r="BH979" s="27"/>
      <c r="BI979" s="27"/>
      <c r="BJ979" s="27"/>
      <c r="BK979" s="27"/>
      <c r="BL979" s="27"/>
      <c r="BM979" s="27"/>
      <c r="BN979" s="27"/>
      <c r="BO979" s="27"/>
      <c r="BP979" s="27"/>
      <c r="BQ979" s="27"/>
      <c r="BR979" s="27"/>
      <c r="BS979" s="27"/>
      <c r="BT979" s="27"/>
      <c r="BU979" s="27"/>
      <c r="BV979" s="27"/>
      <c r="BW979" s="27"/>
      <c r="BX979" s="27"/>
      <c r="BY979" s="27"/>
      <c r="BZ979" s="27"/>
      <c r="CA979" s="27"/>
      <c r="CB979" s="27"/>
      <c r="CC979" s="27"/>
      <c r="CD979" s="27"/>
      <c r="CE979" s="27"/>
      <c r="CF979" s="27"/>
      <c r="CG979" s="27"/>
      <c r="CH979" s="27"/>
      <c r="CI979" s="27"/>
      <c r="CJ979" s="27"/>
      <c r="CK979" s="27"/>
      <c r="CL979" s="27"/>
      <c r="CM979" s="27"/>
      <c r="CN979" s="27"/>
      <c r="CO979" s="27"/>
      <c r="CP979" s="27"/>
      <c r="CQ979" s="27"/>
      <c r="CR979" s="27"/>
      <c r="CS979" s="27"/>
      <c r="CT979" s="27"/>
      <c r="CU979" s="27"/>
      <c r="CV979" s="27"/>
      <c r="CW979" s="27"/>
      <c r="CX979" s="27"/>
      <c r="CY979" s="27"/>
      <c r="CZ979" s="27"/>
      <c r="DA979" s="27"/>
      <c r="DB979" s="27"/>
      <c r="DC979" s="27"/>
      <c r="DD979" s="27"/>
      <c r="DE979" s="27"/>
      <c r="DF979" s="27"/>
      <c r="DG979" s="27"/>
      <c r="DH979" s="27"/>
      <c r="DI979" s="27"/>
      <c r="DJ979" s="27"/>
      <c r="DK979" s="27"/>
      <c r="DL979" s="27"/>
      <c r="DM979" s="27"/>
      <c r="DN979" s="27"/>
      <c r="DO979" s="27"/>
      <c r="DP979" s="27"/>
      <c r="DQ979" s="27"/>
      <c r="DR979" s="27"/>
      <c r="DS979" s="27"/>
      <c r="DT979" s="27"/>
    </row>
    <row r="980" spans="2:124" x14ac:dyDescent="0.2">
      <c r="B980" s="64"/>
      <c r="D980"/>
      <c r="E980"/>
      <c r="F980"/>
      <c r="G980" s="27"/>
      <c r="H980" s="27"/>
      <c r="I980" s="27"/>
      <c r="J980" s="27"/>
      <c r="K980" s="27"/>
      <c r="L980" s="27"/>
      <c r="M980" s="27"/>
      <c r="N980" s="27"/>
      <c r="O980" s="27"/>
      <c r="P980" s="27"/>
      <c r="Q980" s="27"/>
      <c r="R980" s="27"/>
      <c r="S980" s="27"/>
      <c r="T980" s="27"/>
      <c r="U980" s="27"/>
      <c r="V980" s="27"/>
      <c r="W980" s="27"/>
      <c r="X980" s="27"/>
      <c r="Y980" s="27"/>
      <c r="Z980" s="27"/>
      <c r="AA980" s="27"/>
      <c r="AB980" s="27"/>
      <c r="AC980" s="27"/>
      <c r="AD980" s="27"/>
      <c r="AE980" s="27"/>
      <c r="AF980" s="27"/>
      <c r="AG980" s="27"/>
      <c r="AH980" s="27"/>
      <c r="AI980" s="27"/>
      <c r="AJ980" s="27"/>
      <c r="AK980" s="27"/>
      <c r="AL980" s="27"/>
      <c r="AM980" s="27"/>
      <c r="AN980" s="27"/>
      <c r="AO980" s="27"/>
      <c r="AP980" s="27"/>
      <c r="AQ980" s="27"/>
      <c r="AR980" s="27"/>
      <c r="AS980" s="27"/>
      <c r="AT980" s="27"/>
      <c r="AU980" s="27"/>
      <c r="AV980" s="27"/>
      <c r="AW980" s="27"/>
      <c r="AX980" s="27"/>
      <c r="AY980" s="27"/>
      <c r="AZ980" s="27"/>
      <c r="BA980" s="27"/>
      <c r="BB980" s="27"/>
      <c r="BC980" s="27"/>
      <c r="BD980" s="27"/>
      <c r="BE980" s="27"/>
      <c r="BF980" s="27"/>
      <c r="BG980" s="27"/>
      <c r="BH980" s="27"/>
      <c r="BI980" s="27"/>
      <c r="BJ980" s="27"/>
      <c r="BK980" s="27"/>
      <c r="BL980" s="27"/>
      <c r="BM980" s="27"/>
      <c r="BN980" s="27"/>
      <c r="BO980" s="27"/>
      <c r="BP980" s="27"/>
      <c r="BQ980" s="27"/>
      <c r="BR980" s="27"/>
      <c r="BS980" s="27"/>
      <c r="BT980" s="27"/>
      <c r="BU980" s="27"/>
      <c r="BV980" s="27"/>
      <c r="BW980" s="27"/>
      <c r="BX980" s="27"/>
      <c r="BY980" s="27"/>
      <c r="BZ980" s="27"/>
      <c r="CA980" s="27"/>
      <c r="CB980" s="27"/>
      <c r="CC980" s="27"/>
      <c r="CD980" s="27"/>
      <c r="CE980" s="27"/>
      <c r="CF980" s="27"/>
      <c r="CG980" s="27"/>
      <c r="CH980" s="27"/>
      <c r="CI980" s="27"/>
      <c r="CJ980" s="27"/>
      <c r="CK980" s="27"/>
      <c r="CL980" s="27"/>
      <c r="CM980" s="27"/>
      <c r="CN980" s="27"/>
      <c r="CO980" s="27"/>
      <c r="CP980" s="27"/>
      <c r="CQ980" s="27"/>
      <c r="CR980" s="27"/>
      <c r="CS980" s="27"/>
      <c r="CT980" s="27"/>
      <c r="CU980" s="27"/>
      <c r="CV980" s="27"/>
      <c r="CW980" s="27"/>
      <c r="CX980" s="27"/>
      <c r="CY980" s="27"/>
      <c r="CZ980" s="27"/>
      <c r="DA980" s="27"/>
      <c r="DB980" s="27"/>
      <c r="DC980" s="27"/>
      <c r="DD980" s="27"/>
      <c r="DE980" s="27"/>
      <c r="DF980" s="27"/>
      <c r="DG980" s="27"/>
      <c r="DH980" s="27"/>
      <c r="DI980" s="27"/>
      <c r="DJ980" s="27"/>
      <c r="DK980" s="27"/>
      <c r="DL980" s="27"/>
      <c r="DM980" s="27"/>
      <c r="DN980" s="27"/>
      <c r="DO980" s="27"/>
      <c r="DP980" s="27"/>
      <c r="DQ980" s="27"/>
      <c r="DR980" s="27"/>
      <c r="DS980" s="27"/>
      <c r="DT980" s="27"/>
    </row>
    <row r="981" spans="2:124" x14ac:dyDescent="0.2">
      <c r="B981" s="64"/>
      <c r="D981"/>
      <c r="E981"/>
      <c r="F981"/>
      <c r="G981" s="27"/>
      <c r="H981" s="27"/>
      <c r="I981" s="27"/>
      <c r="J981" s="27"/>
      <c r="K981" s="27"/>
      <c r="L981" s="27"/>
      <c r="M981" s="27"/>
      <c r="N981" s="27"/>
      <c r="O981" s="27"/>
      <c r="P981" s="27"/>
      <c r="Q981" s="27"/>
      <c r="R981" s="27"/>
      <c r="S981" s="27"/>
      <c r="T981" s="27"/>
      <c r="U981" s="27"/>
      <c r="V981" s="27"/>
      <c r="W981" s="27"/>
      <c r="X981" s="27"/>
      <c r="Y981" s="27"/>
      <c r="Z981" s="27"/>
      <c r="AA981" s="27"/>
      <c r="AB981" s="27"/>
      <c r="AC981" s="27"/>
      <c r="AD981" s="27"/>
      <c r="AE981" s="27"/>
      <c r="AF981" s="27"/>
      <c r="AG981" s="27"/>
      <c r="AH981" s="27"/>
      <c r="AI981" s="27"/>
      <c r="AJ981" s="27"/>
      <c r="AK981" s="27"/>
      <c r="AL981" s="27"/>
      <c r="AM981" s="27"/>
      <c r="AN981" s="27"/>
      <c r="AO981" s="27"/>
      <c r="AP981" s="27"/>
      <c r="AQ981" s="27"/>
      <c r="AR981" s="27"/>
      <c r="AS981" s="27"/>
      <c r="AT981" s="27"/>
      <c r="AU981" s="27"/>
      <c r="AV981" s="27"/>
      <c r="AW981" s="27"/>
      <c r="AX981" s="27"/>
      <c r="AY981" s="27"/>
      <c r="AZ981" s="27"/>
      <c r="BA981" s="27"/>
      <c r="BB981" s="27"/>
      <c r="BC981" s="27"/>
      <c r="BD981" s="27"/>
      <c r="BE981" s="27"/>
      <c r="BF981" s="27"/>
      <c r="BG981" s="27"/>
      <c r="BH981" s="27"/>
      <c r="BI981" s="27"/>
      <c r="BJ981" s="27"/>
      <c r="BK981" s="27"/>
      <c r="BL981" s="27"/>
      <c r="BM981" s="27"/>
      <c r="BN981" s="27"/>
      <c r="BO981" s="27"/>
      <c r="BP981" s="27"/>
      <c r="BQ981" s="27"/>
      <c r="BR981" s="27"/>
      <c r="BS981" s="27"/>
      <c r="BT981" s="27"/>
      <c r="BU981" s="27"/>
      <c r="BV981" s="27"/>
      <c r="BW981" s="27"/>
      <c r="BX981" s="27"/>
      <c r="BY981" s="27"/>
      <c r="BZ981" s="27"/>
      <c r="CA981" s="27"/>
      <c r="CB981" s="27"/>
      <c r="CC981" s="27"/>
      <c r="CD981" s="27"/>
      <c r="CE981" s="27"/>
      <c r="CF981" s="27"/>
      <c r="CG981" s="27"/>
      <c r="CH981" s="27"/>
      <c r="CI981" s="27"/>
      <c r="CJ981" s="27"/>
      <c r="CK981" s="27"/>
      <c r="CL981" s="27"/>
      <c r="CM981" s="27"/>
      <c r="CN981" s="27"/>
      <c r="CO981" s="27"/>
      <c r="CP981" s="27"/>
      <c r="CQ981" s="27"/>
      <c r="CR981" s="27"/>
      <c r="CS981" s="27"/>
      <c r="CT981" s="27"/>
      <c r="CU981" s="27"/>
      <c r="CV981" s="27"/>
      <c r="CW981" s="27"/>
      <c r="CX981" s="27"/>
      <c r="CY981" s="27"/>
      <c r="CZ981" s="27"/>
      <c r="DA981" s="27"/>
      <c r="DB981" s="27"/>
      <c r="DC981" s="27"/>
      <c r="DD981" s="27"/>
      <c r="DE981" s="27"/>
      <c r="DF981" s="27"/>
      <c r="DG981" s="27"/>
      <c r="DH981" s="27"/>
      <c r="DI981" s="27"/>
      <c r="DJ981" s="27"/>
      <c r="DK981" s="27"/>
      <c r="DL981" s="27"/>
      <c r="DM981" s="27"/>
      <c r="DN981" s="27"/>
      <c r="DO981" s="27"/>
      <c r="DP981" s="27"/>
      <c r="DQ981" s="27"/>
      <c r="DR981" s="27"/>
      <c r="DS981" s="27"/>
      <c r="DT981" s="27"/>
    </row>
    <row r="982" spans="2:124" x14ac:dyDescent="0.2">
      <c r="B982" s="64"/>
      <c r="D982"/>
      <c r="E982"/>
      <c r="F982"/>
      <c r="G982" s="27"/>
      <c r="H982" s="27"/>
      <c r="I982" s="27"/>
      <c r="J982" s="27"/>
      <c r="K982" s="27"/>
      <c r="L982" s="27"/>
      <c r="M982" s="27"/>
      <c r="N982" s="27"/>
      <c r="O982" s="27"/>
      <c r="P982" s="27"/>
      <c r="Q982" s="27"/>
      <c r="R982" s="27"/>
      <c r="S982" s="27"/>
      <c r="T982" s="27"/>
      <c r="U982" s="27"/>
      <c r="V982" s="27"/>
      <c r="W982" s="27"/>
      <c r="X982" s="27"/>
      <c r="Y982" s="27"/>
      <c r="Z982" s="27"/>
      <c r="AA982" s="27"/>
      <c r="AB982" s="27"/>
      <c r="AC982" s="27"/>
      <c r="AD982" s="27"/>
      <c r="AE982" s="27"/>
      <c r="AF982" s="27"/>
      <c r="AG982" s="27"/>
      <c r="AH982" s="27"/>
      <c r="AI982" s="27"/>
      <c r="AJ982" s="27"/>
      <c r="AK982" s="27"/>
      <c r="AL982" s="27"/>
      <c r="AM982" s="27"/>
      <c r="AN982" s="27"/>
      <c r="AO982" s="27"/>
      <c r="AP982" s="27"/>
      <c r="AQ982" s="27"/>
      <c r="AR982" s="27"/>
      <c r="AS982" s="27"/>
      <c r="AT982" s="27"/>
      <c r="AU982" s="27"/>
      <c r="AV982" s="27"/>
      <c r="AW982" s="27"/>
      <c r="AX982" s="27"/>
      <c r="AY982" s="27"/>
      <c r="AZ982" s="27"/>
      <c r="BA982" s="27"/>
      <c r="BB982" s="27"/>
      <c r="BC982" s="27"/>
      <c r="BD982" s="27"/>
      <c r="BE982" s="27"/>
      <c r="BF982" s="27"/>
      <c r="BG982" s="27"/>
      <c r="BH982" s="27"/>
      <c r="BI982" s="27"/>
      <c r="BJ982" s="27"/>
      <c r="BK982" s="27"/>
      <c r="BL982" s="27"/>
      <c r="BM982" s="27"/>
      <c r="BN982" s="27"/>
      <c r="BO982" s="27"/>
      <c r="BP982" s="27"/>
      <c r="BQ982" s="27"/>
      <c r="BR982" s="27"/>
      <c r="BS982" s="27"/>
      <c r="BT982" s="27"/>
      <c r="BU982" s="27"/>
      <c r="BV982" s="27"/>
      <c r="BW982" s="27"/>
      <c r="BX982" s="27"/>
      <c r="BY982" s="27"/>
      <c r="BZ982" s="27"/>
      <c r="CA982" s="27"/>
      <c r="CB982" s="27"/>
      <c r="CC982" s="27"/>
      <c r="CD982" s="27"/>
      <c r="CE982" s="27"/>
      <c r="CF982" s="27"/>
      <c r="CG982" s="27"/>
      <c r="CH982" s="27"/>
      <c r="CI982" s="27"/>
      <c r="CJ982" s="27"/>
      <c r="CK982" s="27"/>
      <c r="CL982" s="27"/>
      <c r="CM982" s="27"/>
      <c r="CN982" s="27"/>
      <c r="CO982" s="27"/>
      <c r="CP982" s="27"/>
      <c r="CQ982" s="27"/>
      <c r="CR982" s="27"/>
      <c r="CS982" s="27"/>
      <c r="CT982" s="27"/>
      <c r="CU982" s="27"/>
      <c r="CV982" s="27"/>
      <c r="CW982" s="27"/>
      <c r="CX982" s="27"/>
      <c r="CY982" s="27"/>
      <c r="CZ982" s="27"/>
      <c r="DA982" s="27"/>
      <c r="DB982" s="27"/>
      <c r="DC982" s="27"/>
      <c r="DD982" s="27"/>
      <c r="DE982" s="27"/>
      <c r="DF982" s="27"/>
      <c r="DG982" s="27"/>
      <c r="DH982" s="27"/>
      <c r="DI982" s="27"/>
      <c r="DJ982" s="27"/>
      <c r="DK982" s="27"/>
      <c r="DL982" s="27"/>
      <c r="DM982" s="27"/>
      <c r="DN982" s="27"/>
      <c r="DO982" s="27"/>
      <c r="DP982" s="27"/>
      <c r="DQ982" s="27"/>
      <c r="DR982" s="27"/>
      <c r="DS982" s="27"/>
      <c r="DT982" s="27"/>
    </row>
    <row r="983" spans="2:124" x14ac:dyDescent="0.2">
      <c r="B983" s="64"/>
      <c r="D983"/>
      <c r="E983"/>
      <c r="F983"/>
      <c r="G983" s="27"/>
      <c r="H983" s="27"/>
      <c r="I983" s="27"/>
      <c r="J983" s="27"/>
      <c r="K983" s="27"/>
      <c r="L983" s="27"/>
      <c r="M983" s="27"/>
      <c r="N983" s="27"/>
      <c r="O983" s="27"/>
      <c r="P983" s="27"/>
      <c r="Q983" s="27"/>
      <c r="R983" s="27"/>
      <c r="S983" s="27"/>
      <c r="T983" s="27"/>
      <c r="U983" s="27"/>
      <c r="V983" s="27"/>
      <c r="W983" s="27"/>
      <c r="X983" s="27"/>
      <c r="Y983" s="27"/>
      <c r="Z983" s="27"/>
      <c r="AA983" s="27"/>
      <c r="AB983" s="27"/>
      <c r="AC983" s="27"/>
      <c r="AD983" s="27"/>
      <c r="AE983" s="27"/>
      <c r="AF983" s="27"/>
      <c r="AG983" s="27"/>
      <c r="AH983" s="27"/>
      <c r="AI983" s="27"/>
      <c r="AJ983" s="27"/>
      <c r="AK983" s="27"/>
      <c r="AL983" s="27"/>
      <c r="AM983" s="27"/>
      <c r="AN983" s="27"/>
      <c r="AO983" s="27"/>
      <c r="AP983" s="27"/>
      <c r="AQ983" s="27"/>
      <c r="AR983" s="27"/>
      <c r="AS983" s="27"/>
      <c r="AT983" s="27"/>
      <c r="AU983" s="27"/>
      <c r="AV983" s="27"/>
      <c r="AW983" s="27"/>
      <c r="AX983" s="27"/>
      <c r="AY983" s="27"/>
      <c r="AZ983" s="27"/>
      <c r="BA983" s="27"/>
      <c r="BB983" s="27"/>
      <c r="BC983" s="27"/>
      <c r="BD983" s="27"/>
      <c r="BE983" s="27"/>
      <c r="BF983" s="27"/>
      <c r="BG983" s="27"/>
      <c r="BH983" s="27"/>
      <c r="BI983" s="27"/>
      <c r="BJ983" s="27"/>
      <c r="BK983" s="27"/>
      <c r="BL983" s="27"/>
      <c r="BM983" s="27"/>
      <c r="BN983" s="27"/>
      <c r="BO983" s="27"/>
      <c r="BP983" s="27"/>
      <c r="BQ983" s="27"/>
      <c r="BR983" s="27"/>
      <c r="BS983" s="27"/>
      <c r="BT983" s="27"/>
      <c r="BU983" s="27"/>
      <c r="BV983" s="27"/>
      <c r="BW983" s="27"/>
      <c r="BX983" s="27"/>
      <c r="BY983" s="27"/>
      <c r="BZ983" s="27"/>
      <c r="CA983" s="27"/>
      <c r="CB983" s="27"/>
      <c r="CC983" s="27"/>
      <c r="CD983" s="27"/>
      <c r="CE983" s="27"/>
      <c r="CF983" s="27"/>
      <c r="CG983" s="27"/>
      <c r="CH983" s="27"/>
      <c r="CI983" s="27"/>
      <c r="CJ983" s="27"/>
      <c r="CK983" s="27"/>
      <c r="CL983" s="27"/>
      <c r="CM983" s="27"/>
      <c r="CN983" s="27"/>
      <c r="CO983" s="27"/>
      <c r="CP983" s="27"/>
      <c r="CQ983" s="27"/>
      <c r="CR983" s="27"/>
      <c r="CS983" s="27"/>
      <c r="CT983" s="27"/>
      <c r="CU983" s="27"/>
      <c r="CV983" s="27"/>
      <c r="CW983" s="27"/>
      <c r="CX983" s="27"/>
      <c r="CY983" s="27"/>
      <c r="CZ983" s="27"/>
      <c r="DA983" s="27"/>
      <c r="DB983" s="27"/>
      <c r="DC983" s="27"/>
      <c r="DD983" s="27"/>
      <c r="DE983" s="27"/>
      <c r="DF983" s="27"/>
      <c r="DG983" s="27"/>
      <c r="DH983" s="27"/>
      <c r="DI983" s="27"/>
      <c r="DJ983" s="27"/>
      <c r="DK983" s="27"/>
      <c r="DL983" s="27"/>
      <c r="DM983" s="27"/>
      <c r="DN983" s="27"/>
      <c r="DO983" s="27"/>
      <c r="DP983" s="27"/>
      <c r="DQ983" s="27"/>
      <c r="DR983" s="27"/>
      <c r="DS983" s="27"/>
      <c r="DT983" s="27"/>
    </row>
    <row r="984" spans="2:124" x14ac:dyDescent="0.2">
      <c r="B984" s="64"/>
      <c r="D984"/>
      <c r="E984"/>
      <c r="F984"/>
      <c r="G984" s="27"/>
      <c r="H984" s="27"/>
      <c r="I984" s="27"/>
      <c r="J984" s="27"/>
      <c r="K984" s="27"/>
      <c r="L984" s="27"/>
      <c r="M984" s="27"/>
      <c r="N984" s="27"/>
      <c r="O984" s="27"/>
      <c r="P984" s="27"/>
      <c r="Q984" s="27"/>
      <c r="R984" s="27"/>
      <c r="S984" s="27"/>
      <c r="T984" s="27"/>
      <c r="U984" s="27"/>
      <c r="V984" s="27"/>
      <c r="W984" s="27"/>
      <c r="X984" s="27"/>
      <c r="Y984" s="27"/>
      <c r="Z984" s="27"/>
      <c r="AA984" s="27"/>
      <c r="AB984" s="27"/>
      <c r="AC984" s="27"/>
      <c r="AD984" s="27"/>
      <c r="AE984" s="27"/>
      <c r="AF984" s="27"/>
      <c r="AG984" s="27"/>
      <c r="AH984" s="27"/>
      <c r="AI984" s="27"/>
      <c r="AJ984" s="27"/>
      <c r="AK984" s="27"/>
      <c r="AL984" s="27"/>
      <c r="AM984" s="27"/>
      <c r="AN984" s="27"/>
      <c r="AO984" s="27"/>
      <c r="AP984" s="27"/>
      <c r="AQ984" s="27"/>
      <c r="AR984" s="27"/>
      <c r="AS984" s="27"/>
      <c r="AT984" s="27"/>
      <c r="AU984" s="27"/>
      <c r="AV984" s="27"/>
      <c r="AW984" s="27"/>
      <c r="AX984" s="27"/>
      <c r="AY984" s="27"/>
      <c r="AZ984" s="27"/>
      <c r="BA984" s="27"/>
      <c r="BB984" s="27"/>
      <c r="BC984" s="27"/>
      <c r="BD984" s="27"/>
      <c r="BE984" s="27"/>
      <c r="BF984" s="27"/>
      <c r="BG984" s="27"/>
      <c r="BH984" s="27"/>
      <c r="BI984" s="27"/>
      <c r="BJ984" s="27"/>
      <c r="BK984" s="27"/>
      <c r="BL984" s="27"/>
      <c r="BM984" s="27"/>
      <c r="BN984" s="27"/>
      <c r="BO984" s="27"/>
      <c r="BP984" s="27"/>
      <c r="BQ984" s="27"/>
      <c r="BR984" s="27"/>
      <c r="BS984" s="27"/>
      <c r="BT984" s="27"/>
      <c r="BU984" s="27"/>
      <c r="BV984" s="27"/>
      <c r="BW984" s="27"/>
      <c r="BX984" s="27"/>
      <c r="BY984" s="27"/>
      <c r="BZ984" s="27"/>
      <c r="CA984" s="27"/>
      <c r="CB984" s="27"/>
      <c r="CC984" s="27"/>
      <c r="CD984" s="27"/>
      <c r="CE984" s="27"/>
      <c r="CF984" s="27"/>
      <c r="CG984" s="27"/>
      <c r="CH984" s="27"/>
      <c r="CI984" s="27"/>
      <c r="CJ984" s="27"/>
      <c r="CK984" s="27"/>
      <c r="CL984" s="27"/>
      <c r="CM984" s="27"/>
      <c r="CN984" s="27"/>
      <c r="CO984" s="27"/>
      <c r="CP984" s="27"/>
      <c r="CQ984" s="27"/>
      <c r="CR984" s="27"/>
      <c r="CS984" s="27"/>
      <c r="CT984" s="27"/>
      <c r="CU984" s="27"/>
      <c r="CV984" s="27"/>
      <c r="CW984" s="27"/>
      <c r="CX984" s="27"/>
      <c r="CY984" s="27"/>
      <c r="CZ984" s="27"/>
      <c r="DA984" s="27"/>
      <c r="DB984" s="27"/>
      <c r="DC984" s="27"/>
      <c r="DD984" s="27"/>
      <c r="DE984" s="27"/>
      <c r="DF984" s="27"/>
      <c r="DG984" s="27"/>
      <c r="DH984" s="27"/>
      <c r="DI984" s="27"/>
      <c r="DJ984" s="27"/>
      <c r="DK984" s="27"/>
      <c r="DL984" s="27"/>
      <c r="DM984" s="27"/>
      <c r="DN984" s="27"/>
      <c r="DO984" s="27"/>
      <c r="DP984" s="27"/>
      <c r="DQ984" s="27"/>
      <c r="DR984" s="27"/>
      <c r="DS984" s="27"/>
      <c r="DT984" s="27"/>
    </row>
  </sheetData>
  <sheetProtection sheet="1" objects="1" scenarios="1"/>
  <mergeCells count="13">
    <mergeCell ref="D11:E11"/>
    <mergeCell ref="D12:E12"/>
    <mergeCell ref="D13:E13"/>
    <mergeCell ref="D14:E14"/>
    <mergeCell ref="D9:E9"/>
    <mergeCell ref="D33:E33"/>
    <mergeCell ref="B35:C35"/>
    <mergeCell ref="D15:E15"/>
    <mergeCell ref="D16:E16"/>
    <mergeCell ref="D18:E18"/>
    <mergeCell ref="D19:E19"/>
    <mergeCell ref="D20:E20"/>
    <mergeCell ref="D21:E21"/>
  </mergeCells>
  <conditionalFormatting sqref="Y724:Y725 Y728:Y731">
    <cfRule type="expression" dxfId="184" priority="133" stopIfTrue="1">
      <formula>AND(#REF!&lt;#REF!,#REF!&lt;#REF!)</formula>
    </cfRule>
  </conditionalFormatting>
  <conditionalFormatting sqref="E901 R779">
    <cfRule type="expression" dxfId="183" priority="132" stopIfTrue="1">
      <formula>$G$906&lt;&gt;0</formula>
    </cfRule>
  </conditionalFormatting>
  <conditionalFormatting sqref="BA784">
    <cfRule type="expression" dxfId="182" priority="131" stopIfTrue="1">
      <formula>$BB$784&lt;0</formula>
    </cfRule>
  </conditionalFormatting>
  <conditionalFormatting sqref="BA785">
    <cfRule type="expression" dxfId="181" priority="130" stopIfTrue="1">
      <formula>$BB$785&lt;0</formula>
    </cfRule>
  </conditionalFormatting>
  <conditionalFormatting sqref="E930:E945">
    <cfRule type="cellIs" dxfId="180" priority="129" stopIfTrue="1" operator="equal">
      <formula>0</formula>
    </cfRule>
  </conditionalFormatting>
  <conditionalFormatting sqref="L777 G956 F957">
    <cfRule type="expression" dxfId="179" priority="128" stopIfTrue="1">
      <formula>$E$110&gt;0</formula>
    </cfRule>
  </conditionalFormatting>
  <conditionalFormatting sqref="E968:E969">
    <cfRule type="expression" dxfId="178" priority="127" stopIfTrue="1">
      <formula>$E$969&lt;0</formula>
    </cfRule>
  </conditionalFormatting>
  <conditionalFormatting sqref="E972:E974 D974">
    <cfRule type="expression" dxfId="177" priority="126" stopIfTrue="1">
      <formula>$E$974&lt;=0</formula>
    </cfRule>
  </conditionalFormatting>
  <conditionalFormatting sqref="B906:E906 B910:E910">
    <cfRule type="expression" dxfId="176" priority="125" stopIfTrue="1">
      <formula>$W$742=$S$735</formula>
    </cfRule>
  </conditionalFormatting>
  <conditionalFormatting sqref="B912:E913">
    <cfRule type="expression" dxfId="175" priority="124" stopIfTrue="1">
      <formula>$E$913=0</formula>
    </cfRule>
  </conditionalFormatting>
  <conditionalFormatting sqref="C900:D900 T745:W745">
    <cfRule type="expression" dxfId="174" priority="123" stopIfTrue="1">
      <formula>$W$742=$S$735</formula>
    </cfRule>
  </conditionalFormatting>
  <conditionalFormatting sqref="C915:F916">
    <cfRule type="expression" dxfId="173" priority="122" stopIfTrue="1">
      <formula>$F$915=0</formula>
    </cfRule>
  </conditionalFormatting>
  <conditionalFormatting sqref="S834:S860 T746:W746 H878 G915">
    <cfRule type="expression" dxfId="172" priority="121" stopIfTrue="1">
      <formula>$V$745&lt;=0</formula>
    </cfRule>
  </conditionalFormatting>
  <conditionalFormatting sqref="H924:H925 H879 G916">
    <cfRule type="expression" dxfId="171" priority="120" stopIfTrue="1">
      <formula>$Z$717&lt;100%</formula>
    </cfRule>
  </conditionalFormatting>
  <conditionalFormatting sqref="K806">
    <cfRule type="expression" dxfId="170" priority="119" stopIfTrue="1">
      <formula>$BB$783=0</formula>
    </cfRule>
  </conditionalFormatting>
  <conditionalFormatting sqref="J881 I891 J879 I889 J877 H887:I887 H888 G925 F926">
    <cfRule type="expression" dxfId="169" priority="118" stopIfTrue="1">
      <formula>$R$718=1</formula>
    </cfRule>
  </conditionalFormatting>
  <conditionalFormatting sqref="K884:K886 K876:K879 K882 W814:W860 M744:M745 T806:U813 T832:U833 AW718:BA719 BD802:BE812 BC802:BC814 BD814:BE814 BM737:BM739 Z753:AC809 W764:W795 AD753 BN721 BN732:BN739 BI724:BI739 BG739 Z751:AA752 BN723 X741:Y741 AC749:AE750 AX724:AX737 BH721:BM723 W759:W762 AF796:AI796 BJ732:BJ738 BK724:BK739 BC800:BE800 AY735:AY737 Z732:Z743 AF736:AF759 AE717:AG717 BC815:BF860 BH724:BH740 X758:X759 AQ717 Z745:Z750 BP737:BP740 BO737:BO738 BM740:BO740 W757 BA788:BA795 BG741:BK860 AF798:AG860 AH799:AI860 AK721:AL722 AD755:AD860 AE753:AE860 AZ797:BA860 AX754:AX759 AE736:AE748 AV724:AW759 AT798:AX860 AY724:AY733 BF800:BF814 AZ723:AZ737 BD739:BF754 AY754:AY860 W797:W812 K890:K904 K888 AK733:AL860 AZ754:AZ795 BA752:BA767 BB788:BB860 Z828:AC860 AA810:AC827 AA721:AA750 AC721:AC747 AB721:AB749 Z721:Z723 BC721:BC754 BD718:BK719 BD721:BG738 AT721:AU759 BA721:BA741 AV719 AV721:AW721 BD720:BE720 AI719 AG721:AI759 AD721:AD748 Z718:AH719 AE721:AF723 AJ721:AJ860 AH720:AR720 AJ718:AU719 AM721:AS860 AU720:BA720 BB718:BC720 BB721:BB767 BI720:BO720 L877:L904 O806:S833 M840:N867">
    <cfRule type="expression" dxfId="168" priority="117" stopIfTrue="1">
      <formula>$R$718=1</formula>
    </cfRule>
  </conditionalFormatting>
  <conditionalFormatting sqref="K781">
    <cfRule type="expression" dxfId="167" priority="116" stopIfTrue="1">
      <formula>$L$781=0</formula>
    </cfRule>
  </conditionalFormatting>
  <conditionalFormatting sqref="S747">
    <cfRule type="expression" dxfId="166" priority="115" stopIfTrue="1">
      <formula>$T$747=0</formula>
    </cfRule>
  </conditionalFormatting>
  <conditionalFormatting sqref="T747 L785:L790 L792:L806 T720">
    <cfRule type="cellIs" dxfId="165" priority="114" stopIfTrue="1" operator="equal">
      <formula>0</formula>
    </cfRule>
  </conditionalFormatting>
  <conditionalFormatting sqref="K803">
    <cfRule type="expression" dxfId="164" priority="113" stopIfTrue="1">
      <formula>$W$719=0</formula>
    </cfRule>
  </conditionalFormatting>
  <conditionalFormatting sqref="K804">
    <cfRule type="expression" dxfId="163" priority="112" stopIfTrue="1">
      <formula>$W$739=0</formula>
    </cfRule>
  </conditionalFormatting>
  <conditionalFormatting sqref="K794">
    <cfRule type="expression" dxfId="162" priority="111" stopIfTrue="1">
      <formula>$BB$778=0</formula>
    </cfRule>
  </conditionalFormatting>
  <conditionalFormatting sqref="S720">
    <cfRule type="expression" dxfId="161" priority="110" stopIfTrue="1">
      <formula>#REF!=0</formula>
    </cfRule>
  </conditionalFormatting>
  <conditionalFormatting sqref="K793">
    <cfRule type="expression" dxfId="160" priority="109" stopIfTrue="1">
      <formula>$Y$714=0</formula>
    </cfRule>
  </conditionalFormatting>
  <conditionalFormatting sqref="K790">
    <cfRule type="expression" dxfId="159" priority="108" stopIfTrue="1">
      <formula>$BB$775=$S$709</formula>
    </cfRule>
  </conditionalFormatting>
  <conditionalFormatting sqref="K788">
    <cfRule type="expression" dxfId="158" priority="107" stopIfTrue="1">
      <formula>#REF!=0</formula>
    </cfRule>
  </conditionalFormatting>
  <conditionalFormatting sqref="K786">
    <cfRule type="expression" dxfId="157" priority="106" stopIfTrue="1">
      <formula>#REF!=0</formula>
    </cfRule>
  </conditionalFormatting>
  <conditionalFormatting sqref="K785">
    <cfRule type="expression" dxfId="156" priority="105" stopIfTrue="1">
      <formula>$S$705=0</formula>
    </cfRule>
  </conditionalFormatting>
  <conditionalFormatting sqref="K787">
    <cfRule type="expression" dxfId="155" priority="104" stopIfTrue="1">
      <formula>$S$706=0</formula>
    </cfRule>
  </conditionalFormatting>
  <conditionalFormatting sqref="K795:K802">
    <cfRule type="expression" dxfId="154" priority="103" stopIfTrue="1">
      <formula>$AW$722=0</formula>
    </cfRule>
  </conditionalFormatting>
  <conditionalFormatting sqref="H868:H870 G905 F906">
    <cfRule type="expression" dxfId="153" priority="102" stopIfTrue="1">
      <formula>$V$745&gt;0</formula>
    </cfRule>
  </conditionalFormatting>
  <conditionalFormatting sqref="F907">
    <cfRule type="expression" dxfId="152" priority="101" stopIfTrue="1">
      <formula>$BB$786=0</formula>
    </cfRule>
  </conditionalFormatting>
  <conditionalFormatting sqref="G906">
    <cfRule type="expression" dxfId="151" priority="100" stopIfTrue="1">
      <formula>$G$906=0</formula>
    </cfRule>
  </conditionalFormatting>
  <conditionalFormatting sqref="V756:Y756">
    <cfRule type="expression" dxfId="150" priority="99" stopIfTrue="1">
      <formula>#REF!=0</formula>
    </cfRule>
  </conditionalFormatting>
  <conditionalFormatting sqref="Y722">
    <cfRule type="expression" dxfId="149" priority="98" stopIfTrue="1">
      <formula>AND(#REF!&lt;#REF!,#REF!&lt;#REF!)</formula>
    </cfRule>
  </conditionalFormatting>
  <conditionalFormatting sqref="Y723">
    <cfRule type="expression" dxfId="148" priority="97" stopIfTrue="1">
      <formula>AND(#REF!&lt;#REF!,#REF!&lt;#REF!)</formula>
    </cfRule>
  </conditionalFormatting>
  <conditionalFormatting sqref="S757">
    <cfRule type="cellIs" dxfId="147" priority="96" stopIfTrue="1" operator="greaterThan">
      <formula>0</formula>
    </cfRule>
  </conditionalFormatting>
  <conditionalFormatting sqref="E904:F904">
    <cfRule type="expression" dxfId="146" priority="95" stopIfTrue="1">
      <formula>$F$904&lt;64</formula>
    </cfRule>
  </conditionalFormatting>
  <conditionalFormatting sqref="H876 G913 F914">
    <cfRule type="expression" dxfId="145" priority="94" stopIfTrue="1">
      <formula>$W$742=$S$735</formula>
    </cfRule>
  </conditionalFormatting>
  <conditionalFormatting sqref="G911 F912">
    <cfRule type="expression" dxfId="144" priority="93" stopIfTrue="1">
      <formula>$W$742=$S$735</formula>
    </cfRule>
  </conditionalFormatting>
  <conditionalFormatting sqref="G901 E902:F902">
    <cfRule type="expression" dxfId="143" priority="92" stopIfTrue="1">
      <formula>$W$742=$S$735</formula>
    </cfRule>
  </conditionalFormatting>
  <conditionalFormatting sqref="G909 F910">
    <cfRule type="expression" dxfId="142" priority="91" stopIfTrue="1">
      <formula>$W$742=$S$735</formula>
    </cfRule>
  </conditionalFormatting>
  <conditionalFormatting sqref="K792">
    <cfRule type="expression" dxfId="141" priority="90" stopIfTrue="1">
      <formula>$BB$776=0</formula>
    </cfRule>
  </conditionalFormatting>
  <conditionalFormatting sqref="K789">
    <cfRule type="expression" dxfId="140" priority="89" stopIfTrue="1">
      <formula>$BB$774=0</formula>
    </cfRule>
  </conditionalFormatting>
  <conditionalFormatting sqref="C919:E920">
    <cfRule type="expression" dxfId="139" priority="88" stopIfTrue="1">
      <formula>$E$913=0</formula>
    </cfRule>
  </conditionalFormatting>
  <conditionalFormatting sqref="B917:F918">
    <cfRule type="expression" dxfId="138" priority="86" stopIfTrue="1">
      <formula>#REF!=0</formula>
    </cfRule>
    <cfRule type="expression" dxfId="137" priority="87" stopIfTrue="1">
      <formula>#REF!=0</formula>
    </cfRule>
  </conditionalFormatting>
  <conditionalFormatting sqref="E903:F903 F958:F959">
    <cfRule type="expression" dxfId="136" priority="85" stopIfTrue="1">
      <formula>$F$905&gt;67</formula>
    </cfRule>
  </conditionalFormatting>
  <conditionalFormatting sqref="N754 X824:Y825 X821:X823 X826:X827 X810:Y820 Z810:Z827 H779:H791 H797 I29:I31">
    <cfRule type="expression" dxfId="135" priority="83" stopIfTrue="1">
      <formula>$C$59=0</formula>
    </cfRule>
  </conditionalFormatting>
  <conditionalFormatting sqref="V732">
    <cfRule type="expression" dxfId="134" priority="82" stopIfTrue="1">
      <formula>$AF$707=AC754</formula>
    </cfRule>
  </conditionalFormatting>
  <conditionalFormatting sqref="C905">
    <cfRule type="expression" dxfId="133" priority="76" stopIfTrue="1">
      <formula>$AF$707=AC754</formula>
    </cfRule>
  </conditionalFormatting>
  <conditionalFormatting sqref="D905">
    <cfRule type="expression" dxfId="132" priority="75" stopIfTrue="1">
      <formula>$AF$707=AC754</formula>
    </cfRule>
  </conditionalFormatting>
  <conditionalFormatting sqref="E905 B905">
    <cfRule type="expression" dxfId="131" priority="74" stopIfTrue="1">
      <formula>$AF$707=Z754</formula>
    </cfRule>
  </conditionalFormatting>
  <conditionalFormatting sqref="G904">
    <cfRule type="expression" dxfId="130" priority="73" stopIfTrue="1">
      <formula>$AF$707=AC754</formula>
    </cfRule>
  </conditionalFormatting>
  <conditionalFormatting sqref="F905">
    <cfRule type="expression" dxfId="129" priority="72" stopIfTrue="1">
      <formula>$AF$707=AC754</formula>
    </cfRule>
  </conditionalFormatting>
  <conditionalFormatting sqref="H867">
    <cfRule type="expression" dxfId="128" priority="71" stopIfTrue="1">
      <formula>$AF$707=AC754</formula>
    </cfRule>
  </conditionalFormatting>
  <conditionalFormatting sqref="B2">
    <cfRule type="expression" dxfId="127" priority="70" stopIfTrue="1">
      <formula>$AB$17=AE44</formula>
    </cfRule>
  </conditionalFormatting>
  <conditionalFormatting sqref="Z810:Z827 H779:H796">
    <cfRule type="expression" dxfId="126" priority="69" stopIfTrue="1">
      <formula>$C$54=1</formula>
    </cfRule>
  </conditionalFormatting>
  <conditionalFormatting sqref="H778">
    <cfRule type="expression" dxfId="125" priority="67" stopIfTrue="1">
      <formula>$C$59=1</formula>
    </cfRule>
    <cfRule type="expression" dxfId="124" priority="68" stopIfTrue="1">
      <formula>$C$59=0</formula>
    </cfRule>
  </conditionalFormatting>
  <conditionalFormatting sqref="H792:H796">
    <cfRule type="expression" dxfId="123" priority="66" stopIfTrue="1">
      <formula>$C$58=0</formula>
    </cfRule>
  </conditionalFormatting>
  <conditionalFormatting sqref="H873 G910 F911">
    <cfRule type="expression" dxfId="122" priority="65" stopIfTrue="1">
      <formula>$E$110&lt;&gt;0</formula>
    </cfRule>
  </conditionalFormatting>
  <conditionalFormatting sqref="I34 I26:I32 H24 H23:I23 J21:J26 H21:H22 H26:H30">
    <cfRule type="expression" dxfId="121" priority="64" stopIfTrue="1">
      <formula>$C$39=0</formula>
    </cfRule>
  </conditionalFormatting>
  <conditionalFormatting sqref="H871">
    <cfRule type="expression" dxfId="120" priority="51" stopIfTrue="1">
      <formula>ROUND($H$871,2)=ROUND($G$908,2)</formula>
    </cfRule>
  </conditionalFormatting>
  <conditionalFormatting sqref="I206:J206 L205:L223 I207:I223">
    <cfRule type="expression" dxfId="119" priority="49" stopIfTrue="1">
      <formula>$Q$2=$M168</formula>
    </cfRule>
    <cfRule type="expression" dxfId="118" priority="50" stopIfTrue="1">
      <formula>$C$39=0</formula>
    </cfRule>
  </conditionalFormatting>
  <conditionalFormatting sqref="J126:K135 K118:K125">
    <cfRule type="expression" dxfId="117" priority="46" stopIfTrue="1">
      <formula>$CC$12&lt;&gt;$C$5</formula>
    </cfRule>
    <cfRule type="expression" dxfId="116" priority="47" stopIfTrue="1">
      <formula>$Q$2=$M81</formula>
    </cfRule>
    <cfRule type="expression" dxfId="115" priority="48" stopIfTrue="1">
      <formula>$C$39=0</formula>
    </cfRule>
  </conditionalFormatting>
  <conditionalFormatting sqref="M80:N98 M168:M186">
    <cfRule type="expression" dxfId="114" priority="44" stopIfTrue="1">
      <formula>$Q$2=$M80</formula>
    </cfRule>
    <cfRule type="expression" dxfId="113" priority="45" stopIfTrue="1">
      <formula>$C$39=0</formula>
    </cfRule>
  </conditionalFormatting>
  <conditionalFormatting sqref="Q61:AC106 S60:AC60">
    <cfRule type="expression" dxfId="112" priority="42" stopIfTrue="1">
      <formula>$Q$2=$M94</formula>
    </cfRule>
    <cfRule type="expression" dxfId="111" priority="43" stopIfTrue="1">
      <formula>$C$39=0</formula>
    </cfRule>
  </conditionalFormatting>
  <conditionalFormatting sqref="F24">
    <cfRule type="expression" dxfId="110" priority="40" stopIfTrue="1">
      <formula>$C$39=0</formula>
    </cfRule>
  </conditionalFormatting>
  <conditionalFormatting sqref="F28">
    <cfRule type="expression" dxfId="109" priority="39" stopIfTrue="1">
      <formula>$C$39=0</formula>
    </cfRule>
  </conditionalFormatting>
  <conditionalFormatting sqref="F33">
    <cfRule type="expression" dxfId="108" priority="37" stopIfTrue="1">
      <formula>$C$39=0</formula>
    </cfRule>
  </conditionalFormatting>
  <conditionalFormatting sqref="C23:E23 C24:F24 B25:F26">
    <cfRule type="expression" dxfId="107" priority="36" stopIfTrue="1">
      <formula>$C$19=$F$19</formula>
    </cfRule>
  </conditionalFormatting>
  <conditionalFormatting sqref="B27:F33">
    <cfRule type="expression" dxfId="106" priority="35" stopIfTrue="1">
      <formula>$C$19=$F$18</formula>
    </cfRule>
  </conditionalFormatting>
  <conditionalFormatting sqref="AO705:AP714">
    <cfRule type="expression" dxfId="105" priority="31" stopIfTrue="1">
      <formula>$L$776=$AO705</formula>
    </cfRule>
    <cfRule type="expression" dxfId="104" priority="32" stopIfTrue="1">
      <formula>$I$29=0</formula>
    </cfRule>
  </conditionalFormatting>
  <conditionalFormatting sqref="S27:S34">
    <cfRule type="expression" dxfId="103" priority="13" stopIfTrue="1">
      <formula>$C$39=0</formula>
    </cfRule>
  </conditionalFormatting>
  <conditionalFormatting sqref="B35:C35">
    <cfRule type="expression" dxfId="102" priority="12" stopIfTrue="1">
      <formula>$C$19=$F$18</formula>
    </cfRule>
  </conditionalFormatting>
  <conditionalFormatting sqref="J21:J26 S27:S34">
    <cfRule type="expression" dxfId="101" priority="11" stopIfTrue="1">
      <formula>$C$9=1</formula>
    </cfRule>
  </conditionalFormatting>
  <conditionalFormatting sqref="C24:E24 C28:E28">
    <cfRule type="expression" dxfId="100" priority="6" stopIfTrue="1">
      <formula>$C$10="חטיבת ביניים"</formula>
    </cfRule>
    <cfRule type="expression" dxfId="99" priority="7" stopIfTrue="1">
      <formula>$C$10="ז-ח"</formula>
    </cfRule>
    <cfRule type="expression" dxfId="98" priority="8" stopIfTrue="1">
      <formula>$C$10="א-ו"</formula>
    </cfRule>
  </conditionalFormatting>
  <conditionalFormatting sqref="G25:H25">
    <cfRule type="expression" dxfId="97" priority="5" stopIfTrue="1">
      <formula>$C$39=0</formula>
    </cfRule>
  </conditionalFormatting>
  <conditionalFormatting sqref="J31:J32 J27:J29">
    <cfRule type="expression" dxfId="96" priority="4" stopIfTrue="1">
      <formula>$C$39=0</formula>
    </cfRule>
  </conditionalFormatting>
  <conditionalFormatting sqref="J30">
    <cfRule type="expression" dxfId="95" priority="3" stopIfTrue="1">
      <formula>$C$39=0</formula>
    </cfRule>
  </conditionalFormatting>
  <conditionalFormatting sqref="J30 J27:J28">
    <cfRule type="expression" dxfId="94" priority="2" stopIfTrue="1">
      <formula>$C$9=1</formula>
    </cfRule>
  </conditionalFormatting>
  <conditionalFormatting sqref="J29">
    <cfRule type="expression" dxfId="93" priority="1" stopIfTrue="1">
      <formula>$C$59=0</formula>
    </cfRule>
  </conditionalFormatting>
  <dataValidations count="48">
    <dataValidation allowBlank="1" showErrorMessage="1" sqref="AF735 KB735 TX735 ADT735 ANP735 AXL735 BHH735 BRD735 CAZ735 CKV735 CUR735 DEN735 DOJ735 DYF735 EIB735 ERX735 FBT735 FLP735 FVL735 GFH735 GPD735 GYZ735 HIV735 HSR735 ICN735 IMJ735 IWF735 JGB735 JPX735 JZT735 KJP735 KTL735 LDH735 LND735 LWZ735 MGV735 MQR735 NAN735 NKJ735 NUF735 OEB735 ONX735 OXT735 PHP735 PRL735 QBH735 QLD735 QUZ735 REV735 ROR735 RYN735 SIJ735 SSF735 TCB735 TLX735 TVT735 UFP735 UPL735 UZH735 VJD735 VSZ735 WCV735 WMR735 WWN735 AF66271 KB66271 TX66271 ADT66271 ANP66271 AXL66271 BHH66271 BRD66271 CAZ66271 CKV66271 CUR66271 DEN66271 DOJ66271 DYF66271 EIB66271 ERX66271 FBT66271 FLP66271 FVL66271 GFH66271 GPD66271 GYZ66271 HIV66271 HSR66271 ICN66271 IMJ66271 IWF66271 JGB66271 JPX66271 JZT66271 KJP66271 KTL66271 LDH66271 LND66271 LWZ66271 MGV66271 MQR66271 NAN66271 NKJ66271 NUF66271 OEB66271 ONX66271 OXT66271 PHP66271 PRL66271 QBH66271 QLD66271 QUZ66271 REV66271 ROR66271 RYN66271 SIJ66271 SSF66271 TCB66271 TLX66271 TVT66271 UFP66271 UPL66271 UZH66271 VJD66271 VSZ66271 WCV66271 WMR66271 WWN66271 AF131807 KB131807 TX131807 ADT131807 ANP131807 AXL131807 BHH131807 BRD131807 CAZ131807 CKV131807 CUR131807 DEN131807 DOJ131807 DYF131807 EIB131807 ERX131807 FBT131807 FLP131807 FVL131807 GFH131807 GPD131807 GYZ131807 HIV131807 HSR131807 ICN131807 IMJ131807 IWF131807 JGB131807 JPX131807 JZT131807 KJP131807 KTL131807 LDH131807 LND131807 LWZ131807 MGV131807 MQR131807 NAN131807 NKJ131807 NUF131807 OEB131807 ONX131807 OXT131807 PHP131807 PRL131807 QBH131807 QLD131807 QUZ131807 REV131807 ROR131807 RYN131807 SIJ131807 SSF131807 TCB131807 TLX131807 TVT131807 UFP131807 UPL131807 UZH131807 VJD131807 VSZ131807 WCV131807 WMR131807 WWN131807 AF197343 KB197343 TX197343 ADT197343 ANP197343 AXL197343 BHH197343 BRD197343 CAZ197343 CKV197343 CUR197343 DEN197343 DOJ197343 DYF197343 EIB197343 ERX197343 FBT197343 FLP197343 FVL197343 GFH197343 GPD197343 GYZ197343 HIV197343 HSR197343 ICN197343 IMJ197343 IWF197343 JGB197343 JPX197343 JZT197343 KJP197343 KTL197343 LDH197343 LND197343 LWZ197343 MGV197343 MQR197343 NAN197343 NKJ197343 NUF197343 OEB197343 ONX197343 OXT197343 PHP197343 PRL197343 QBH197343 QLD197343 QUZ197343 REV197343 ROR197343 RYN197343 SIJ197343 SSF197343 TCB197343 TLX197343 TVT197343 UFP197343 UPL197343 UZH197343 VJD197343 VSZ197343 WCV197343 WMR197343 WWN197343 AF262879 KB262879 TX262879 ADT262879 ANP262879 AXL262879 BHH262879 BRD262879 CAZ262879 CKV262879 CUR262879 DEN262879 DOJ262879 DYF262879 EIB262879 ERX262879 FBT262879 FLP262879 FVL262879 GFH262879 GPD262879 GYZ262879 HIV262879 HSR262879 ICN262879 IMJ262879 IWF262879 JGB262879 JPX262879 JZT262879 KJP262879 KTL262879 LDH262879 LND262879 LWZ262879 MGV262879 MQR262879 NAN262879 NKJ262879 NUF262879 OEB262879 ONX262879 OXT262879 PHP262879 PRL262879 QBH262879 QLD262879 QUZ262879 REV262879 ROR262879 RYN262879 SIJ262879 SSF262879 TCB262879 TLX262879 TVT262879 UFP262879 UPL262879 UZH262879 VJD262879 VSZ262879 WCV262879 WMR262879 WWN262879 AF328415 KB328415 TX328415 ADT328415 ANP328415 AXL328415 BHH328415 BRD328415 CAZ328415 CKV328415 CUR328415 DEN328415 DOJ328415 DYF328415 EIB328415 ERX328415 FBT328415 FLP328415 FVL328415 GFH328415 GPD328415 GYZ328415 HIV328415 HSR328415 ICN328415 IMJ328415 IWF328415 JGB328415 JPX328415 JZT328415 KJP328415 KTL328415 LDH328415 LND328415 LWZ328415 MGV328415 MQR328415 NAN328415 NKJ328415 NUF328415 OEB328415 ONX328415 OXT328415 PHP328415 PRL328415 QBH328415 QLD328415 QUZ328415 REV328415 ROR328415 RYN328415 SIJ328415 SSF328415 TCB328415 TLX328415 TVT328415 UFP328415 UPL328415 UZH328415 VJD328415 VSZ328415 WCV328415 WMR328415 WWN328415 AF393951 KB393951 TX393951 ADT393951 ANP393951 AXL393951 BHH393951 BRD393951 CAZ393951 CKV393951 CUR393951 DEN393951 DOJ393951 DYF393951 EIB393951 ERX393951 FBT393951 FLP393951 FVL393951 GFH393951 GPD393951 GYZ393951 HIV393951 HSR393951 ICN393951 IMJ393951 IWF393951 JGB393951 JPX393951 JZT393951 KJP393951 KTL393951 LDH393951 LND393951 LWZ393951 MGV393951 MQR393951 NAN393951 NKJ393951 NUF393951 OEB393951 ONX393951 OXT393951 PHP393951 PRL393951 QBH393951 QLD393951 QUZ393951 REV393951 ROR393951 RYN393951 SIJ393951 SSF393951 TCB393951 TLX393951 TVT393951 UFP393951 UPL393951 UZH393951 VJD393951 VSZ393951 WCV393951 WMR393951 WWN393951 AF459487 KB459487 TX459487 ADT459487 ANP459487 AXL459487 BHH459487 BRD459487 CAZ459487 CKV459487 CUR459487 DEN459487 DOJ459487 DYF459487 EIB459487 ERX459487 FBT459487 FLP459487 FVL459487 GFH459487 GPD459487 GYZ459487 HIV459487 HSR459487 ICN459487 IMJ459487 IWF459487 JGB459487 JPX459487 JZT459487 KJP459487 KTL459487 LDH459487 LND459487 LWZ459487 MGV459487 MQR459487 NAN459487 NKJ459487 NUF459487 OEB459487 ONX459487 OXT459487 PHP459487 PRL459487 QBH459487 QLD459487 QUZ459487 REV459487 ROR459487 RYN459487 SIJ459487 SSF459487 TCB459487 TLX459487 TVT459487 UFP459487 UPL459487 UZH459487 VJD459487 VSZ459487 WCV459487 WMR459487 WWN459487 AF525023 KB525023 TX525023 ADT525023 ANP525023 AXL525023 BHH525023 BRD525023 CAZ525023 CKV525023 CUR525023 DEN525023 DOJ525023 DYF525023 EIB525023 ERX525023 FBT525023 FLP525023 FVL525023 GFH525023 GPD525023 GYZ525023 HIV525023 HSR525023 ICN525023 IMJ525023 IWF525023 JGB525023 JPX525023 JZT525023 KJP525023 KTL525023 LDH525023 LND525023 LWZ525023 MGV525023 MQR525023 NAN525023 NKJ525023 NUF525023 OEB525023 ONX525023 OXT525023 PHP525023 PRL525023 QBH525023 QLD525023 QUZ525023 REV525023 ROR525023 RYN525023 SIJ525023 SSF525023 TCB525023 TLX525023 TVT525023 UFP525023 UPL525023 UZH525023 VJD525023 VSZ525023 WCV525023 WMR525023 WWN525023 AF590559 KB590559 TX590559 ADT590559 ANP590559 AXL590559 BHH590559 BRD590559 CAZ590559 CKV590559 CUR590559 DEN590559 DOJ590559 DYF590559 EIB590559 ERX590559 FBT590559 FLP590559 FVL590559 GFH590559 GPD590559 GYZ590559 HIV590559 HSR590559 ICN590559 IMJ590559 IWF590559 JGB590559 JPX590559 JZT590559 KJP590559 KTL590559 LDH590559 LND590559 LWZ590559 MGV590559 MQR590559 NAN590559 NKJ590559 NUF590559 OEB590559 ONX590559 OXT590559 PHP590559 PRL590559 QBH590559 QLD590559 QUZ590559 REV590559 ROR590559 RYN590559 SIJ590559 SSF590559 TCB590559 TLX590559 TVT590559 UFP590559 UPL590559 UZH590559 VJD590559 VSZ590559 WCV590559 WMR590559 WWN590559 AF656095 KB656095 TX656095 ADT656095 ANP656095 AXL656095 BHH656095 BRD656095 CAZ656095 CKV656095 CUR656095 DEN656095 DOJ656095 DYF656095 EIB656095 ERX656095 FBT656095 FLP656095 FVL656095 GFH656095 GPD656095 GYZ656095 HIV656095 HSR656095 ICN656095 IMJ656095 IWF656095 JGB656095 JPX656095 JZT656095 KJP656095 KTL656095 LDH656095 LND656095 LWZ656095 MGV656095 MQR656095 NAN656095 NKJ656095 NUF656095 OEB656095 ONX656095 OXT656095 PHP656095 PRL656095 QBH656095 QLD656095 QUZ656095 REV656095 ROR656095 RYN656095 SIJ656095 SSF656095 TCB656095 TLX656095 TVT656095 UFP656095 UPL656095 UZH656095 VJD656095 VSZ656095 WCV656095 WMR656095 WWN656095 AF721631 KB721631 TX721631 ADT721631 ANP721631 AXL721631 BHH721631 BRD721631 CAZ721631 CKV721631 CUR721631 DEN721631 DOJ721631 DYF721631 EIB721631 ERX721631 FBT721631 FLP721631 FVL721631 GFH721631 GPD721631 GYZ721631 HIV721631 HSR721631 ICN721631 IMJ721631 IWF721631 JGB721631 JPX721631 JZT721631 KJP721631 KTL721631 LDH721631 LND721631 LWZ721631 MGV721631 MQR721631 NAN721631 NKJ721631 NUF721631 OEB721631 ONX721631 OXT721631 PHP721631 PRL721631 QBH721631 QLD721631 QUZ721631 REV721631 ROR721631 RYN721631 SIJ721631 SSF721631 TCB721631 TLX721631 TVT721631 UFP721631 UPL721631 UZH721631 VJD721631 VSZ721631 WCV721631 WMR721631 WWN721631 AF787167 KB787167 TX787167 ADT787167 ANP787167 AXL787167 BHH787167 BRD787167 CAZ787167 CKV787167 CUR787167 DEN787167 DOJ787167 DYF787167 EIB787167 ERX787167 FBT787167 FLP787167 FVL787167 GFH787167 GPD787167 GYZ787167 HIV787167 HSR787167 ICN787167 IMJ787167 IWF787167 JGB787167 JPX787167 JZT787167 KJP787167 KTL787167 LDH787167 LND787167 LWZ787167 MGV787167 MQR787167 NAN787167 NKJ787167 NUF787167 OEB787167 ONX787167 OXT787167 PHP787167 PRL787167 QBH787167 QLD787167 QUZ787167 REV787167 ROR787167 RYN787167 SIJ787167 SSF787167 TCB787167 TLX787167 TVT787167 UFP787167 UPL787167 UZH787167 VJD787167 VSZ787167 WCV787167 WMR787167 WWN787167 AF852703 KB852703 TX852703 ADT852703 ANP852703 AXL852703 BHH852703 BRD852703 CAZ852703 CKV852703 CUR852703 DEN852703 DOJ852703 DYF852703 EIB852703 ERX852703 FBT852703 FLP852703 FVL852703 GFH852703 GPD852703 GYZ852703 HIV852703 HSR852703 ICN852703 IMJ852703 IWF852703 JGB852703 JPX852703 JZT852703 KJP852703 KTL852703 LDH852703 LND852703 LWZ852703 MGV852703 MQR852703 NAN852703 NKJ852703 NUF852703 OEB852703 ONX852703 OXT852703 PHP852703 PRL852703 QBH852703 QLD852703 QUZ852703 REV852703 ROR852703 RYN852703 SIJ852703 SSF852703 TCB852703 TLX852703 TVT852703 UFP852703 UPL852703 UZH852703 VJD852703 VSZ852703 WCV852703 WMR852703 WWN852703 AF918239 KB918239 TX918239 ADT918239 ANP918239 AXL918239 BHH918239 BRD918239 CAZ918239 CKV918239 CUR918239 DEN918239 DOJ918239 DYF918239 EIB918239 ERX918239 FBT918239 FLP918239 FVL918239 GFH918239 GPD918239 GYZ918239 HIV918239 HSR918239 ICN918239 IMJ918239 IWF918239 JGB918239 JPX918239 JZT918239 KJP918239 KTL918239 LDH918239 LND918239 LWZ918239 MGV918239 MQR918239 NAN918239 NKJ918239 NUF918239 OEB918239 ONX918239 OXT918239 PHP918239 PRL918239 QBH918239 QLD918239 QUZ918239 REV918239 ROR918239 RYN918239 SIJ918239 SSF918239 TCB918239 TLX918239 TVT918239 UFP918239 UPL918239 UZH918239 VJD918239 VSZ918239 WCV918239 WMR918239 WWN918239 AF983775 KB983775 TX983775 ADT983775 ANP983775 AXL983775 BHH983775 BRD983775 CAZ983775 CKV983775 CUR983775 DEN983775 DOJ983775 DYF983775 EIB983775 ERX983775 FBT983775 FLP983775 FVL983775 GFH983775 GPD983775 GYZ983775 HIV983775 HSR983775 ICN983775 IMJ983775 IWF983775 JGB983775 JPX983775 JZT983775 KJP983775 KTL983775 LDH983775 LND983775 LWZ983775 MGV983775 MQR983775 NAN983775 NKJ983775 NUF983775 OEB983775 ONX983775 OXT983775 PHP983775 PRL983775 QBH983775 QLD983775 QUZ983775 REV983775 ROR983775 RYN983775 SIJ983775 SSF983775 TCB983775 TLX983775 TVT983775 UFP983775 UPL983775 UZH983775 VJD983775 VSZ983775 WCV983775 WMR983775 WWN983775 AK25 KG25 UC25 ADY25 ANU25 AXQ25 BHM25 BRI25 CBE25 CLA25 CUW25 DES25 DOO25 DYK25 EIG25 ESC25 FBY25 FLU25 FVQ25 GFM25 GPI25 GZE25 HJA25 HSW25 ICS25 IMO25 IWK25 JGG25 JQC25 JZY25 KJU25 KTQ25 LDM25 LNI25 LXE25 MHA25 MQW25 NAS25 NKO25 NUK25 OEG25 OOC25 OXY25 PHU25 PRQ25 QBM25 QLI25 QVE25 RFA25 ROW25 RYS25 SIO25 SSK25 TCG25 TMC25 TVY25 UFU25 UPQ25 UZM25 VJI25 VTE25 WDA25 WMW25 WWS25 AK65561 KG65561 UC65561 ADY65561 ANU65561 AXQ65561 BHM65561 BRI65561 CBE65561 CLA65561 CUW65561 DES65561 DOO65561 DYK65561 EIG65561 ESC65561 FBY65561 FLU65561 FVQ65561 GFM65561 GPI65561 GZE65561 HJA65561 HSW65561 ICS65561 IMO65561 IWK65561 JGG65561 JQC65561 JZY65561 KJU65561 KTQ65561 LDM65561 LNI65561 LXE65561 MHA65561 MQW65561 NAS65561 NKO65561 NUK65561 OEG65561 OOC65561 OXY65561 PHU65561 PRQ65561 QBM65561 QLI65561 QVE65561 RFA65561 ROW65561 RYS65561 SIO65561 SSK65561 TCG65561 TMC65561 TVY65561 UFU65561 UPQ65561 UZM65561 VJI65561 VTE65561 WDA65561 WMW65561 WWS65561 AK131097 KG131097 UC131097 ADY131097 ANU131097 AXQ131097 BHM131097 BRI131097 CBE131097 CLA131097 CUW131097 DES131097 DOO131097 DYK131097 EIG131097 ESC131097 FBY131097 FLU131097 FVQ131097 GFM131097 GPI131097 GZE131097 HJA131097 HSW131097 ICS131097 IMO131097 IWK131097 JGG131097 JQC131097 JZY131097 KJU131097 KTQ131097 LDM131097 LNI131097 LXE131097 MHA131097 MQW131097 NAS131097 NKO131097 NUK131097 OEG131097 OOC131097 OXY131097 PHU131097 PRQ131097 QBM131097 QLI131097 QVE131097 RFA131097 ROW131097 RYS131097 SIO131097 SSK131097 TCG131097 TMC131097 TVY131097 UFU131097 UPQ131097 UZM131097 VJI131097 VTE131097 WDA131097 WMW131097 WWS131097 AK196633 KG196633 UC196633 ADY196633 ANU196633 AXQ196633 BHM196633 BRI196633 CBE196633 CLA196633 CUW196633 DES196633 DOO196633 DYK196633 EIG196633 ESC196633 FBY196633 FLU196633 FVQ196633 GFM196633 GPI196633 GZE196633 HJA196633 HSW196633 ICS196633 IMO196633 IWK196633 JGG196633 JQC196633 JZY196633 KJU196633 KTQ196633 LDM196633 LNI196633 LXE196633 MHA196633 MQW196633 NAS196633 NKO196633 NUK196633 OEG196633 OOC196633 OXY196633 PHU196633 PRQ196633 QBM196633 QLI196633 QVE196633 RFA196633 ROW196633 RYS196633 SIO196633 SSK196633 TCG196633 TMC196633 TVY196633 UFU196633 UPQ196633 UZM196633 VJI196633 VTE196633 WDA196633 WMW196633 WWS196633 AK262169 KG262169 UC262169 ADY262169 ANU262169 AXQ262169 BHM262169 BRI262169 CBE262169 CLA262169 CUW262169 DES262169 DOO262169 DYK262169 EIG262169 ESC262169 FBY262169 FLU262169 FVQ262169 GFM262169 GPI262169 GZE262169 HJA262169 HSW262169 ICS262169 IMO262169 IWK262169 JGG262169 JQC262169 JZY262169 KJU262169 KTQ262169 LDM262169 LNI262169 LXE262169 MHA262169 MQW262169 NAS262169 NKO262169 NUK262169 OEG262169 OOC262169 OXY262169 PHU262169 PRQ262169 QBM262169 QLI262169 QVE262169 RFA262169 ROW262169 RYS262169 SIO262169 SSK262169 TCG262169 TMC262169 TVY262169 UFU262169 UPQ262169 UZM262169 VJI262169 VTE262169 WDA262169 WMW262169 WWS262169 AK327705 KG327705 UC327705 ADY327705 ANU327705 AXQ327705 BHM327705 BRI327705 CBE327705 CLA327705 CUW327705 DES327705 DOO327705 DYK327705 EIG327705 ESC327705 FBY327705 FLU327705 FVQ327705 GFM327705 GPI327705 GZE327705 HJA327705 HSW327705 ICS327705 IMO327705 IWK327705 JGG327705 JQC327705 JZY327705 KJU327705 KTQ327705 LDM327705 LNI327705 LXE327705 MHA327705 MQW327705 NAS327705 NKO327705 NUK327705 OEG327705 OOC327705 OXY327705 PHU327705 PRQ327705 QBM327705 QLI327705 QVE327705 RFA327705 ROW327705 RYS327705 SIO327705 SSK327705 TCG327705 TMC327705 TVY327705 UFU327705 UPQ327705 UZM327705 VJI327705 VTE327705 WDA327705 WMW327705 WWS327705 AK393241 KG393241 UC393241 ADY393241 ANU393241 AXQ393241 BHM393241 BRI393241 CBE393241 CLA393241 CUW393241 DES393241 DOO393241 DYK393241 EIG393241 ESC393241 FBY393241 FLU393241 FVQ393241 GFM393241 GPI393241 GZE393241 HJA393241 HSW393241 ICS393241 IMO393241 IWK393241 JGG393241 JQC393241 JZY393241 KJU393241 KTQ393241 LDM393241 LNI393241 LXE393241 MHA393241 MQW393241 NAS393241 NKO393241 NUK393241 OEG393241 OOC393241 OXY393241 PHU393241 PRQ393241 QBM393241 QLI393241 QVE393241 RFA393241 ROW393241 RYS393241 SIO393241 SSK393241 TCG393241 TMC393241 TVY393241 UFU393241 UPQ393241 UZM393241 VJI393241 VTE393241 WDA393241 WMW393241 WWS393241 AK458777 KG458777 UC458777 ADY458777 ANU458777 AXQ458777 BHM458777 BRI458777 CBE458777 CLA458777 CUW458777 DES458777 DOO458777 DYK458777 EIG458777 ESC458777 FBY458777 FLU458777 FVQ458777 GFM458777 GPI458777 GZE458777 HJA458777 HSW458777 ICS458777 IMO458777 IWK458777 JGG458777 JQC458777 JZY458777 KJU458777 KTQ458777 LDM458777 LNI458777 LXE458777 MHA458777 MQW458777 NAS458777 NKO458777 NUK458777 OEG458777 OOC458777 OXY458777 PHU458777 PRQ458777 QBM458777 QLI458777 QVE458777 RFA458777 ROW458777 RYS458777 SIO458777 SSK458777 TCG458777 TMC458777 TVY458777 UFU458777 UPQ458777 UZM458777 VJI458777 VTE458777 WDA458777 WMW458777 WWS458777 AK524313 KG524313 UC524313 ADY524313 ANU524313 AXQ524313 BHM524313 BRI524313 CBE524313 CLA524313 CUW524313 DES524313 DOO524313 DYK524313 EIG524313 ESC524313 FBY524313 FLU524313 FVQ524313 GFM524313 GPI524313 GZE524313 HJA524313 HSW524313 ICS524313 IMO524313 IWK524313 JGG524313 JQC524313 JZY524313 KJU524313 KTQ524313 LDM524313 LNI524313 LXE524313 MHA524313 MQW524313 NAS524313 NKO524313 NUK524313 OEG524313 OOC524313 OXY524313 PHU524313 PRQ524313 QBM524313 QLI524313 QVE524313 RFA524313 ROW524313 RYS524313 SIO524313 SSK524313 TCG524313 TMC524313 TVY524313 UFU524313 UPQ524313 UZM524313 VJI524313 VTE524313 WDA524313 WMW524313 WWS524313 AK589849 KG589849 UC589849 ADY589849 ANU589849 AXQ589849 BHM589849 BRI589849 CBE589849 CLA589849 CUW589849 DES589849 DOO589849 DYK589849 EIG589849 ESC589849 FBY589849 FLU589849 FVQ589849 GFM589849 GPI589849 GZE589849 HJA589849 HSW589849 ICS589849 IMO589849 IWK589849 JGG589849 JQC589849 JZY589849 KJU589849 KTQ589849 LDM589849 LNI589849 LXE589849 MHA589849 MQW589849 NAS589849 NKO589849 NUK589849 OEG589849 OOC589849 OXY589849 PHU589849 PRQ589849 QBM589849 QLI589849 QVE589849 RFA589849 ROW589849 RYS589849 SIO589849 SSK589849 TCG589849 TMC589849 TVY589849 UFU589849 UPQ589849 UZM589849 VJI589849 VTE589849 WDA589849 WMW589849 WWS589849 AK655385 KG655385 UC655385 ADY655385 ANU655385 AXQ655385 BHM655385 BRI655385 CBE655385 CLA655385 CUW655385 DES655385 DOO655385 DYK655385 EIG655385 ESC655385 FBY655385 FLU655385 FVQ655385 GFM655385 GPI655385 GZE655385 HJA655385 HSW655385 ICS655385 IMO655385 IWK655385 JGG655385 JQC655385 JZY655385 KJU655385 KTQ655385 LDM655385 LNI655385 LXE655385 MHA655385 MQW655385 NAS655385 NKO655385 NUK655385 OEG655385 OOC655385 OXY655385 PHU655385 PRQ655385 QBM655385 QLI655385 QVE655385 RFA655385 ROW655385 RYS655385 SIO655385 SSK655385 TCG655385 TMC655385 TVY655385 UFU655385 UPQ655385 UZM655385 VJI655385 VTE655385 WDA655385 WMW655385 WWS655385 AK720921 KG720921 UC720921 ADY720921 ANU720921 AXQ720921 BHM720921 BRI720921 CBE720921 CLA720921 CUW720921 DES720921 DOO720921 DYK720921 EIG720921 ESC720921 FBY720921 FLU720921 FVQ720921 GFM720921 GPI720921 GZE720921 HJA720921 HSW720921 ICS720921 IMO720921 IWK720921 JGG720921 JQC720921 JZY720921 KJU720921 KTQ720921 LDM720921 LNI720921 LXE720921 MHA720921 MQW720921 NAS720921 NKO720921 NUK720921 OEG720921 OOC720921 OXY720921 PHU720921 PRQ720921 QBM720921 QLI720921 QVE720921 RFA720921 ROW720921 RYS720921 SIO720921 SSK720921 TCG720921 TMC720921 TVY720921 UFU720921 UPQ720921 UZM720921 VJI720921 VTE720921 WDA720921 WMW720921 WWS720921 AK786457 KG786457 UC786457 ADY786457 ANU786457 AXQ786457 BHM786457 BRI786457 CBE786457 CLA786457 CUW786457 DES786457 DOO786457 DYK786457 EIG786457 ESC786457 FBY786457 FLU786457 FVQ786457 GFM786457 GPI786457 GZE786457 HJA786457 HSW786457 ICS786457 IMO786457 IWK786457 JGG786457 JQC786457 JZY786457 KJU786457 KTQ786457 LDM786457 LNI786457 LXE786457 MHA786457 MQW786457 NAS786457 NKO786457 NUK786457 OEG786457 OOC786457 OXY786457 PHU786457 PRQ786457 QBM786457 QLI786457 QVE786457 RFA786457 ROW786457 RYS786457 SIO786457 SSK786457 TCG786457 TMC786457 TVY786457 UFU786457 UPQ786457 UZM786457 VJI786457 VTE786457 WDA786457 WMW786457 WWS786457 AK851993 KG851993 UC851993 ADY851993 ANU851993 AXQ851993 BHM851993 BRI851993 CBE851993 CLA851993 CUW851993 DES851993 DOO851993 DYK851993 EIG851993 ESC851993 FBY851993 FLU851993 FVQ851993 GFM851993 GPI851993 GZE851993 HJA851993 HSW851993 ICS851993 IMO851993 IWK851993 JGG851993 JQC851993 JZY851993 KJU851993 KTQ851993 LDM851993 LNI851993 LXE851993 MHA851993 MQW851993 NAS851993 NKO851993 NUK851993 OEG851993 OOC851993 OXY851993 PHU851993 PRQ851993 QBM851993 QLI851993 QVE851993 RFA851993 ROW851993 RYS851993 SIO851993 SSK851993 TCG851993 TMC851993 TVY851993 UFU851993 UPQ851993 UZM851993 VJI851993 VTE851993 WDA851993 WMW851993 WWS851993 AK917529 KG917529 UC917529 ADY917529 ANU917529 AXQ917529 BHM917529 BRI917529 CBE917529 CLA917529 CUW917529 DES917529 DOO917529 DYK917529 EIG917529 ESC917529 FBY917529 FLU917529 FVQ917529 GFM917529 GPI917529 GZE917529 HJA917529 HSW917529 ICS917529 IMO917529 IWK917529 JGG917529 JQC917529 JZY917529 KJU917529 KTQ917529 LDM917529 LNI917529 LXE917529 MHA917529 MQW917529 NAS917529 NKO917529 NUK917529 OEG917529 OOC917529 OXY917529 PHU917529 PRQ917529 QBM917529 QLI917529 QVE917529 RFA917529 ROW917529 RYS917529 SIO917529 SSK917529 TCG917529 TMC917529 TVY917529 UFU917529 UPQ917529 UZM917529 VJI917529 VTE917529 WDA917529 WMW917529 WWS917529 AK983065 KG983065 UC983065 ADY983065 ANU983065 AXQ983065 BHM983065 BRI983065 CBE983065 CLA983065 CUW983065 DES983065 DOO983065 DYK983065 EIG983065 ESC983065 FBY983065 FLU983065 FVQ983065 GFM983065 GPI983065 GZE983065 HJA983065 HSW983065 ICS983065 IMO983065 IWK983065 JGG983065 JQC983065 JZY983065 KJU983065 KTQ983065 LDM983065 LNI983065 LXE983065 MHA983065 MQW983065 NAS983065 NKO983065 NUK983065 OEG983065 OOC983065 OXY983065 PHU983065 PRQ983065 QBM983065 QLI983065 QVE983065 RFA983065 ROW983065 RYS983065 SIO983065 SSK983065 TCG983065 TMC983065 TVY983065 UFU983065 UPQ983065 UZM983065 VJI983065 VTE983065 WDA983065 WMW983065 WWS983065" xr:uid="{0EFE5AD8-9350-464E-9757-CA4C4210EB39}"/>
    <dataValidation type="list" allowBlank="1" showInputMessage="1" showErrorMessage="1" sqref="C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xr:uid="{30F1DF91-7C89-4D82-A76C-C98051362147}">
      <formula1>$G$19:$G$20</formula1>
    </dataValidation>
    <dataValidation type="list" allowBlank="1" showInputMessage="1" showErrorMessage="1" sqref="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173 JB173 SX173 ACT173 AMP173 AWL173 BGH173 BQD173 BZZ173 CJV173 CTR173 DDN173 DNJ173 DXF173 EHB173 EQX173 FAT173 FKP173 FUL173 GEH173 GOD173 GXZ173 HHV173 HRR173 IBN173 ILJ173 IVF173 JFB173 JOX173 JYT173 KIP173 KSL173 LCH173 LMD173 LVZ173 MFV173 MPR173 MZN173 NJJ173 NTF173 ODB173 OMX173 OWT173 PGP173 PQL173 QAH173 QKD173 QTZ173 RDV173 RNR173 RXN173 SHJ173 SRF173 TBB173 TKX173 TUT173 UEP173 UOL173 UYH173 VID173 VRZ173 WBV173 WLR173 WVN173 F65709 JB65709 SX65709 ACT65709 AMP65709 AWL65709 BGH65709 BQD65709 BZZ65709 CJV65709 CTR65709 DDN65709 DNJ65709 DXF65709 EHB65709 EQX65709 FAT65709 FKP65709 FUL65709 GEH65709 GOD65709 GXZ65709 HHV65709 HRR65709 IBN65709 ILJ65709 IVF65709 JFB65709 JOX65709 JYT65709 KIP65709 KSL65709 LCH65709 LMD65709 LVZ65709 MFV65709 MPR65709 MZN65709 NJJ65709 NTF65709 ODB65709 OMX65709 OWT65709 PGP65709 PQL65709 QAH65709 QKD65709 QTZ65709 RDV65709 RNR65709 RXN65709 SHJ65709 SRF65709 TBB65709 TKX65709 TUT65709 UEP65709 UOL65709 UYH65709 VID65709 VRZ65709 WBV65709 WLR65709 WVN65709 F131245 JB131245 SX131245 ACT131245 AMP131245 AWL131245 BGH131245 BQD131245 BZZ131245 CJV131245 CTR131245 DDN131245 DNJ131245 DXF131245 EHB131245 EQX131245 FAT131245 FKP131245 FUL131245 GEH131245 GOD131245 GXZ131245 HHV131245 HRR131245 IBN131245 ILJ131245 IVF131245 JFB131245 JOX131245 JYT131245 KIP131245 KSL131245 LCH131245 LMD131245 LVZ131245 MFV131245 MPR131245 MZN131245 NJJ131245 NTF131245 ODB131245 OMX131245 OWT131245 PGP131245 PQL131245 QAH131245 QKD131245 QTZ131245 RDV131245 RNR131245 RXN131245 SHJ131245 SRF131245 TBB131245 TKX131245 TUT131245 UEP131245 UOL131245 UYH131245 VID131245 VRZ131245 WBV131245 WLR131245 WVN131245 F196781 JB196781 SX196781 ACT196781 AMP196781 AWL196781 BGH196781 BQD196781 BZZ196781 CJV196781 CTR196781 DDN196781 DNJ196781 DXF196781 EHB196781 EQX196781 FAT196781 FKP196781 FUL196781 GEH196781 GOD196781 GXZ196781 HHV196781 HRR196781 IBN196781 ILJ196781 IVF196781 JFB196781 JOX196781 JYT196781 KIP196781 KSL196781 LCH196781 LMD196781 LVZ196781 MFV196781 MPR196781 MZN196781 NJJ196781 NTF196781 ODB196781 OMX196781 OWT196781 PGP196781 PQL196781 QAH196781 QKD196781 QTZ196781 RDV196781 RNR196781 RXN196781 SHJ196781 SRF196781 TBB196781 TKX196781 TUT196781 UEP196781 UOL196781 UYH196781 VID196781 VRZ196781 WBV196781 WLR196781 WVN196781 F262317 JB262317 SX262317 ACT262317 AMP262317 AWL262317 BGH262317 BQD262317 BZZ262317 CJV262317 CTR262317 DDN262317 DNJ262317 DXF262317 EHB262317 EQX262317 FAT262317 FKP262317 FUL262317 GEH262317 GOD262317 GXZ262317 HHV262317 HRR262317 IBN262317 ILJ262317 IVF262317 JFB262317 JOX262317 JYT262317 KIP262317 KSL262317 LCH262317 LMD262317 LVZ262317 MFV262317 MPR262317 MZN262317 NJJ262317 NTF262317 ODB262317 OMX262317 OWT262317 PGP262317 PQL262317 QAH262317 QKD262317 QTZ262317 RDV262317 RNR262317 RXN262317 SHJ262317 SRF262317 TBB262317 TKX262317 TUT262317 UEP262317 UOL262317 UYH262317 VID262317 VRZ262317 WBV262317 WLR262317 WVN262317 F327853 JB327853 SX327853 ACT327853 AMP327853 AWL327853 BGH327853 BQD327853 BZZ327853 CJV327853 CTR327853 DDN327853 DNJ327853 DXF327853 EHB327853 EQX327853 FAT327853 FKP327853 FUL327853 GEH327853 GOD327853 GXZ327853 HHV327853 HRR327853 IBN327853 ILJ327853 IVF327853 JFB327853 JOX327853 JYT327853 KIP327853 KSL327853 LCH327853 LMD327853 LVZ327853 MFV327853 MPR327853 MZN327853 NJJ327853 NTF327853 ODB327853 OMX327853 OWT327853 PGP327853 PQL327853 QAH327853 QKD327853 QTZ327853 RDV327853 RNR327853 RXN327853 SHJ327853 SRF327853 TBB327853 TKX327853 TUT327853 UEP327853 UOL327853 UYH327853 VID327853 VRZ327853 WBV327853 WLR327853 WVN327853 F393389 JB393389 SX393389 ACT393389 AMP393389 AWL393389 BGH393389 BQD393389 BZZ393389 CJV393389 CTR393389 DDN393389 DNJ393389 DXF393389 EHB393389 EQX393389 FAT393389 FKP393389 FUL393389 GEH393389 GOD393389 GXZ393389 HHV393389 HRR393389 IBN393389 ILJ393389 IVF393389 JFB393389 JOX393389 JYT393389 KIP393389 KSL393389 LCH393389 LMD393389 LVZ393389 MFV393389 MPR393389 MZN393389 NJJ393389 NTF393389 ODB393389 OMX393389 OWT393389 PGP393389 PQL393389 QAH393389 QKD393389 QTZ393389 RDV393389 RNR393389 RXN393389 SHJ393389 SRF393389 TBB393389 TKX393389 TUT393389 UEP393389 UOL393389 UYH393389 VID393389 VRZ393389 WBV393389 WLR393389 WVN393389 F458925 JB458925 SX458925 ACT458925 AMP458925 AWL458925 BGH458925 BQD458925 BZZ458925 CJV458925 CTR458925 DDN458925 DNJ458925 DXF458925 EHB458925 EQX458925 FAT458925 FKP458925 FUL458925 GEH458925 GOD458925 GXZ458925 HHV458925 HRR458925 IBN458925 ILJ458925 IVF458925 JFB458925 JOX458925 JYT458925 KIP458925 KSL458925 LCH458925 LMD458925 LVZ458925 MFV458925 MPR458925 MZN458925 NJJ458925 NTF458925 ODB458925 OMX458925 OWT458925 PGP458925 PQL458925 QAH458925 QKD458925 QTZ458925 RDV458925 RNR458925 RXN458925 SHJ458925 SRF458925 TBB458925 TKX458925 TUT458925 UEP458925 UOL458925 UYH458925 VID458925 VRZ458925 WBV458925 WLR458925 WVN458925 F524461 JB524461 SX524461 ACT524461 AMP524461 AWL524461 BGH524461 BQD524461 BZZ524461 CJV524461 CTR524461 DDN524461 DNJ524461 DXF524461 EHB524461 EQX524461 FAT524461 FKP524461 FUL524461 GEH524461 GOD524461 GXZ524461 HHV524461 HRR524461 IBN524461 ILJ524461 IVF524461 JFB524461 JOX524461 JYT524461 KIP524461 KSL524461 LCH524461 LMD524461 LVZ524461 MFV524461 MPR524461 MZN524461 NJJ524461 NTF524461 ODB524461 OMX524461 OWT524461 PGP524461 PQL524461 QAH524461 QKD524461 QTZ524461 RDV524461 RNR524461 RXN524461 SHJ524461 SRF524461 TBB524461 TKX524461 TUT524461 UEP524461 UOL524461 UYH524461 VID524461 VRZ524461 WBV524461 WLR524461 WVN524461 F589997 JB589997 SX589997 ACT589997 AMP589997 AWL589997 BGH589997 BQD589997 BZZ589997 CJV589997 CTR589997 DDN589997 DNJ589997 DXF589997 EHB589997 EQX589997 FAT589997 FKP589997 FUL589997 GEH589997 GOD589997 GXZ589997 HHV589997 HRR589997 IBN589997 ILJ589997 IVF589997 JFB589997 JOX589997 JYT589997 KIP589997 KSL589997 LCH589997 LMD589997 LVZ589997 MFV589997 MPR589997 MZN589997 NJJ589997 NTF589997 ODB589997 OMX589997 OWT589997 PGP589997 PQL589997 QAH589997 QKD589997 QTZ589997 RDV589997 RNR589997 RXN589997 SHJ589997 SRF589997 TBB589997 TKX589997 TUT589997 UEP589997 UOL589997 UYH589997 VID589997 VRZ589997 WBV589997 WLR589997 WVN589997 F655533 JB655533 SX655533 ACT655533 AMP655533 AWL655533 BGH655533 BQD655533 BZZ655533 CJV655533 CTR655533 DDN655533 DNJ655533 DXF655533 EHB655533 EQX655533 FAT655533 FKP655533 FUL655533 GEH655533 GOD655533 GXZ655533 HHV655533 HRR655533 IBN655533 ILJ655533 IVF655533 JFB655533 JOX655533 JYT655533 KIP655533 KSL655533 LCH655533 LMD655533 LVZ655533 MFV655533 MPR655533 MZN655533 NJJ655533 NTF655533 ODB655533 OMX655533 OWT655533 PGP655533 PQL655533 QAH655533 QKD655533 QTZ655533 RDV655533 RNR655533 RXN655533 SHJ655533 SRF655533 TBB655533 TKX655533 TUT655533 UEP655533 UOL655533 UYH655533 VID655533 VRZ655533 WBV655533 WLR655533 WVN655533 F721069 JB721069 SX721069 ACT721069 AMP721069 AWL721069 BGH721069 BQD721069 BZZ721069 CJV721069 CTR721069 DDN721069 DNJ721069 DXF721069 EHB721069 EQX721069 FAT721069 FKP721069 FUL721069 GEH721069 GOD721069 GXZ721069 HHV721069 HRR721069 IBN721069 ILJ721069 IVF721069 JFB721069 JOX721069 JYT721069 KIP721069 KSL721069 LCH721069 LMD721069 LVZ721069 MFV721069 MPR721069 MZN721069 NJJ721069 NTF721069 ODB721069 OMX721069 OWT721069 PGP721069 PQL721069 QAH721069 QKD721069 QTZ721069 RDV721069 RNR721069 RXN721069 SHJ721069 SRF721069 TBB721069 TKX721069 TUT721069 UEP721069 UOL721069 UYH721069 VID721069 VRZ721069 WBV721069 WLR721069 WVN721069 F786605 JB786605 SX786605 ACT786605 AMP786605 AWL786605 BGH786605 BQD786605 BZZ786605 CJV786605 CTR786605 DDN786605 DNJ786605 DXF786605 EHB786605 EQX786605 FAT786605 FKP786605 FUL786605 GEH786605 GOD786605 GXZ786605 HHV786605 HRR786605 IBN786605 ILJ786605 IVF786605 JFB786605 JOX786605 JYT786605 KIP786605 KSL786605 LCH786605 LMD786605 LVZ786605 MFV786605 MPR786605 MZN786605 NJJ786605 NTF786605 ODB786605 OMX786605 OWT786605 PGP786605 PQL786605 QAH786605 QKD786605 QTZ786605 RDV786605 RNR786605 RXN786605 SHJ786605 SRF786605 TBB786605 TKX786605 TUT786605 UEP786605 UOL786605 UYH786605 VID786605 VRZ786605 WBV786605 WLR786605 WVN786605 F852141 JB852141 SX852141 ACT852141 AMP852141 AWL852141 BGH852141 BQD852141 BZZ852141 CJV852141 CTR852141 DDN852141 DNJ852141 DXF852141 EHB852141 EQX852141 FAT852141 FKP852141 FUL852141 GEH852141 GOD852141 GXZ852141 HHV852141 HRR852141 IBN852141 ILJ852141 IVF852141 JFB852141 JOX852141 JYT852141 KIP852141 KSL852141 LCH852141 LMD852141 LVZ852141 MFV852141 MPR852141 MZN852141 NJJ852141 NTF852141 ODB852141 OMX852141 OWT852141 PGP852141 PQL852141 QAH852141 QKD852141 QTZ852141 RDV852141 RNR852141 RXN852141 SHJ852141 SRF852141 TBB852141 TKX852141 TUT852141 UEP852141 UOL852141 UYH852141 VID852141 VRZ852141 WBV852141 WLR852141 WVN852141 F917677 JB917677 SX917677 ACT917677 AMP917677 AWL917677 BGH917677 BQD917677 BZZ917677 CJV917677 CTR917677 DDN917677 DNJ917677 DXF917677 EHB917677 EQX917677 FAT917677 FKP917677 FUL917677 GEH917677 GOD917677 GXZ917677 HHV917677 HRR917677 IBN917677 ILJ917677 IVF917677 JFB917677 JOX917677 JYT917677 KIP917677 KSL917677 LCH917677 LMD917677 LVZ917677 MFV917677 MPR917677 MZN917677 NJJ917677 NTF917677 ODB917677 OMX917677 OWT917677 PGP917677 PQL917677 QAH917677 QKD917677 QTZ917677 RDV917677 RNR917677 RXN917677 SHJ917677 SRF917677 TBB917677 TKX917677 TUT917677 UEP917677 UOL917677 UYH917677 VID917677 VRZ917677 WBV917677 WLR917677 WVN917677 F983213 JB983213 SX983213 ACT983213 AMP983213 AWL983213 BGH983213 BQD983213 BZZ983213 CJV983213 CTR983213 DDN983213 DNJ983213 DXF983213 EHB983213 EQX983213 FAT983213 FKP983213 FUL983213 GEH983213 GOD983213 GXZ983213 HHV983213 HRR983213 IBN983213 ILJ983213 IVF983213 JFB983213 JOX983213 JYT983213 KIP983213 KSL983213 LCH983213 LMD983213 LVZ983213 MFV983213 MPR983213 MZN983213 NJJ983213 NTF983213 ODB983213 OMX983213 OWT983213 PGP983213 PQL983213 QAH983213 QKD983213 QTZ983213 RDV983213 RNR983213 RXN983213 SHJ983213 SRF983213 TBB983213 TKX983213 TUT983213 UEP983213 UOL983213 UYH983213 VID983213 VRZ983213 WBV983213 WLR983213 WVN983213 AB17 JX17 TT17 ADP17 ANL17 AXH17 BHD17 BQZ17 CAV17 CKR17 CUN17 DEJ17 DOF17 DYB17 EHX17 ERT17 FBP17 FLL17 FVH17 GFD17 GOZ17 GYV17 HIR17 HSN17 ICJ17 IMF17 IWB17 JFX17 JPT17 JZP17 KJL17 KTH17 LDD17 LMZ17 LWV17 MGR17 MQN17 NAJ17 NKF17 NUB17 ODX17 ONT17 OXP17 PHL17 PRH17 QBD17 QKZ17 QUV17 RER17 RON17 RYJ17 SIF17 SSB17 TBX17 TLT17 TVP17 UFL17 UPH17 UZD17 VIZ17 VSV17 WCR17 WMN17 WWJ17 AB65553 JX65553 TT65553 ADP65553 ANL65553 AXH65553 BHD65553 BQZ65553 CAV65553 CKR65553 CUN65553 DEJ65553 DOF65553 DYB65553 EHX65553 ERT65553 FBP65553 FLL65553 FVH65553 GFD65553 GOZ65553 GYV65553 HIR65553 HSN65553 ICJ65553 IMF65553 IWB65553 JFX65553 JPT65553 JZP65553 KJL65553 KTH65553 LDD65553 LMZ65553 LWV65553 MGR65553 MQN65553 NAJ65553 NKF65553 NUB65553 ODX65553 ONT65553 OXP65553 PHL65553 PRH65553 QBD65553 QKZ65553 QUV65553 RER65553 RON65553 RYJ65553 SIF65553 SSB65553 TBX65553 TLT65553 TVP65553 UFL65553 UPH65553 UZD65553 VIZ65553 VSV65553 WCR65553 WMN65553 WWJ65553 AB131089 JX131089 TT131089 ADP131089 ANL131089 AXH131089 BHD131089 BQZ131089 CAV131089 CKR131089 CUN131089 DEJ131089 DOF131089 DYB131089 EHX131089 ERT131089 FBP131089 FLL131089 FVH131089 GFD131089 GOZ131089 GYV131089 HIR131089 HSN131089 ICJ131089 IMF131089 IWB131089 JFX131089 JPT131089 JZP131089 KJL131089 KTH131089 LDD131089 LMZ131089 LWV131089 MGR131089 MQN131089 NAJ131089 NKF131089 NUB131089 ODX131089 ONT131089 OXP131089 PHL131089 PRH131089 QBD131089 QKZ131089 QUV131089 RER131089 RON131089 RYJ131089 SIF131089 SSB131089 TBX131089 TLT131089 TVP131089 UFL131089 UPH131089 UZD131089 VIZ131089 VSV131089 WCR131089 WMN131089 WWJ131089 AB196625 JX196625 TT196625 ADP196625 ANL196625 AXH196625 BHD196625 BQZ196625 CAV196625 CKR196625 CUN196625 DEJ196625 DOF196625 DYB196625 EHX196625 ERT196625 FBP196625 FLL196625 FVH196625 GFD196625 GOZ196625 GYV196625 HIR196625 HSN196625 ICJ196625 IMF196625 IWB196625 JFX196625 JPT196625 JZP196625 KJL196625 KTH196625 LDD196625 LMZ196625 LWV196625 MGR196625 MQN196625 NAJ196625 NKF196625 NUB196625 ODX196625 ONT196625 OXP196625 PHL196625 PRH196625 QBD196625 QKZ196625 QUV196625 RER196625 RON196625 RYJ196625 SIF196625 SSB196625 TBX196625 TLT196625 TVP196625 UFL196625 UPH196625 UZD196625 VIZ196625 VSV196625 WCR196625 WMN196625 WWJ196625 AB262161 JX262161 TT262161 ADP262161 ANL262161 AXH262161 BHD262161 BQZ262161 CAV262161 CKR262161 CUN262161 DEJ262161 DOF262161 DYB262161 EHX262161 ERT262161 FBP262161 FLL262161 FVH262161 GFD262161 GOZ262161 GYV262161 HIR262161 HSN262161 ICJ262161 IMF262161 IWB262161 JFX262161 JPT262161 JZP262161 KJL262161 KTH262161 LDD262161 LMZ262161 LWV262161 MGR262161 MQN262161 NAJ262161 NKF262161 NUB262161 ODX262161 ONT262161 OXP262161 PHL262161 PRH262161 QBD262161 QKZ262161 QUV262161 RER262161 RON262161 RYJ262161 SIF262161 SSB262161 TBX262161 TLT262161 TVP262161 UFL262161 UPH262161 UZD262161 VIZ262161 VSV262161 WCR262161 WMN262161 WWJ262161 AB327697 JX327697 TT327697 ADP327697 ANL327697 AXH327697 BHD327697 BQZ327697 CAV327697 CKR327697 CUN327697 DEJ327697 DOF327697 DYB327697 EHX327697 ERT327697 FBP327697 FLL327697 FVH327697 GFD327697 GOZ327697 GYV327697 HIR327697 HSN327697 ICJ327697 IMF327697 IWB327697 JFX327697 JPT327697 JZP327697 KJL327697 KTH327697 LDD327697 LMZ327697 LWV327697 MGR327697 MQN327697 NAJ327697 NKF327697 NUB327697 ODX327697 ONT327697 OXP327697 PHL327697 PRH327697 QBD327697 QKZ327697 QUV327697 RER327697 RON327697 RYJ327697 SIF327697 SSB327697 TBX327697 TLT327697 TVP327697 UFL327697 UPH327697 UZD327697 VIZ327697 VSV327697 WCR327697 WMN327697 WWJ327697 AB393233 JX393233 TT393233 ADP393233 ANL393233 AXH393233 BHD393233 BQZ393233 CAV393233 CKR393233 CUN393233 DEJ393233 DOF393233 DYB393233 EHX393233 ERT393233 FBP393233 FLL393233 FVH393233 GFD393233 GOZ393233 GYV393233 HIR393233 HSN393233 ICJ393233 IMF393233 IWB393233 JFX393233 JPT393233 JZP393233 KJL393233 KTH393233 LDD393233 LMZ393233 LWV393233 MGR393233 MQN393233 NAJ393233 NKF393233 NUB393233 ODX393233 ONT393233 OXP393233 PHL393233 PRH393233 QBD393233 QKZ393233 QUV393233 RER393233 RON393233 RYJ393233 SIF393233 SSB393233 TBX393233 TLT393233 TVP393233 UFL393233 UPH393233 UZD393233 VIZ393233 VSV393233 WCR393233 WMN393233 WWJ393233 AB458769 JX458769 TT458769 ADP458769 ANL458769 AXH458769 BHD458769 BQZ458769 CAV458769 CKR458769 CUN458769 DEJ458769 DOF458769 DYB458769 EHX458769 ERT458769 FBP458769 FLL458769 FVH458769 GFD458769 GOZ458769 GYV458769 HIR458769 HSN458769 ICJ458769 IMF458769 IWB458769 JFX458769 JPT458769 JZP458769 KJL458769 KTH458769 LDD458769 LMZ458769 LWV458769 MGR458769 MQN458769 NAJ458769 NKF458769 NUB458769 ODX458769 ONT458769 OXP458769 PHL458769 PRH458769 QBD458769 QKZ458769 QUV458769 RER458769 RON458769 RYJ458769 SIF458769 SSB458769 TBX458769 TLT458769 TVP458769 UFL458769 UPH458769 UZD458769 VIZ458769 VSV458769 WCR458769 WMN458769 WWJ458769 AB524305 JX524305 TT524305 ADP524305 ANL524305 AXH524305 BHD524305 BQZ524305 CAV524305 CKR524305 CUN524305 DEJ524305 DOF524305 DYB524305 EHX524305 ERT524305 FBP524305 FLL524305 FVH524305 GFD524305 GOZ524305 GYV524305 HIR524305 HSN524305 ICJ524305 IMF524305 IWB524305 JFX524305 JPT524305 JZP524305 KJL524305 KTH524305 LDD524305 LMZ524305 LWV524305 MGR524305 MQN524305 NAJ524305 NKF524305 NUB524305 ODX524305 ONT524305 OXP524305 PHL524305 PRH524305 QBD524305 QKZ524305 QUV524305 RER524305 RON524305 RYJ524305 SIF524305 SSB524305 TBX524305 TLT524305 TVP524305 UFL524305 UPH524305 UZD524305 VIZ524305 VSV524305 WCR524305 WMN524305 WWJ524305 AB589841 JX589841 TT589841 ADP589841 ANL589841 AXH589841 BHD589841 BQZ589841 CAV589841 CKR589841 CUN589841 DEJ589841 DOF589841 DYB589841 EHX589841 ERT589841 FBP589841 FLL589841 FVH589841 GFD589841 GOZ589841 GYV589841 HIR589841 HSN589841 ICJ589841 IMF589841 IWB589841 JFX589841 JPT589841 JZP589841 KJL589841 KTH589841 LDD589841 LMZ589841 LWV589841 MGR589841 MQN589841 NAJ589841 NKF589841 NUB589841 ODX589841 ONT589841 OXP589841 PHL589841 PRH589841 QBD589841 QKZ589841 QUV589841 RER589841 RON589841 RYJ589841 SIF589841 SSB589841 TBX589841 TLT589841 TVP589841 UFL589841 UPH589841 UZD589841 VIZ589841 VSV589841 WCR589841 WMN589841 WWJ589841 AB655377 JX655377 TT655377 ADP655377 ANL655377 AXH655377 BHD655377 BQZ655377 CAV655377 CKR655377 CUN655377 DEJ655377 DOF655377 DYB655377 EHX655377 ERT655377 FBP655377 FLL655377 FVH655377 GFD655377 GOZ655377 GYV655377 HIR655377 HSN655377 ICJ655377 IMF655377 IWB655377 JFX655377 JPT655377 JZP655377 KJL655377 KTH655377 LDD655377 LMZ655377 LWV655377 MGR655377 MQN655377 NAJ655377 NKF655377 NUB655377 ODX655377 ONT655377 OXP655377 PHL655377 PRH655377 QBD655377 QKZ655377 QUV655377 RER655377 RON655377 RYJ655377 SIF655377 SSB655377 TBX655377 TLT655377 TVP655377 UFL655377 UPH655377 UZD655377 VIZ655377 VSV655377 WCR655377 WMN655377 WWJ655377 AB720913 JX720913 TT720913 ADP720913 ANL720913 AXH720913 BHD720913 BQZ720913 CAV720913 CKR720913 CUN720913 DEJ720913 DOF720913 DYB720913 EHX720913 ERT720913 FBP720913 FLL720913 FVH720913 GFD720913 GOZ720913 GYV720913 HIR720913 HSN720913 ICJ720913 IMF720913 IWB720913 JFX720913 JPT720913 JZP720913 KJL720913 KTH720913 LDD720913 LMZ720913 LWV720913 MGR720913 MQN720913 NAJ720913 NKF720913 NUB720913 ODX720913 ONT720913 OXP720913 PHL720913 PRH720913 QBD720913 QKZ720913 QUV720913 RER720913 RON720913 RYJ720913 SIF720913 SSB720913 TBX720913 TLT720913 TVP720913 UFL720913 UPH720913 UZD720913 VIZ720913 VSV720913 WCR720913 WMN720913 WWJ720913 AB786449 JX786449 TT786449 ADP786449 ANL786449 AXH786449 BHD786449 BQZ786449 CAV786449 CKR786449 CUN786449 DEJ786449 DOF786449 DYB786449 EHX786449 ERT786449 FBP786449 FLL786449 FVH786449 GFD786449 GOZ786449 GYV786449 HIR786449 HSN786449 ICJ786449 IMF786449 IWB786449 JFX786449 JPT786449 JZP786449 KJL786449 KTH786449 LDD786449 LMZ786449 LWV786449 MGR786449 MQN786449 NAJ786449 NKF786449 NUB786449 ODX786449 ONT786449 OXP786449 PHL786449 PRH786449 QBD786449 QKZ786449 QUV786449 RER786449 RON786449 RYJ786449 SIF786449 SSB786449 TBX786449 TLT786449 TVP786449 UFL786449 UPH786449 UZD786449 VIZ786449 VSV786449 WCR786449 WMN786449 WWJ786449 AB851985 JX851985 TT851985 ADP851985 ANL851985 AXH851985 BHD851985 BQZ851985 CAV851985 CKR851985 CUN851985 DEJ851985 DOF851985 DYB851985 EHX851985 ERT851985 FBP851985 FLL851985 FVH851985 GFD851985 GOZ851985 GYV851985 HIR851985 HSN851985 ICJ851985 IMF851985 IWB851985 JFX851985 JPT851985 JZP851985 KJL851985 KTH851985 LDD851985 LMZ851985 LWV851985 MGR851985 MQN851985 NAJ851985 NKF851985 NUB851985 ODX851985 ONT851985 OXP851985 PHL851985 PRH851985 QBD851985 QKZ851985 QUV851985 RER851985 RON851985 RYJ851985 SIF851985 SSB851985 TBX851985 TLT851985 TVP851985 UFL851985 UPH851985 UZD851985 VIZ851985 VSV851985 WCR851985 WMN851985 WWJ851985 AB917521 JX917521 TT917521 ADP917521 ANL917521 AXH917521 BHD917521 BQZ917521 CAV917521 CKR917521 CUN917521 DEJ917521 DOF917521 DYB917521 EHX917521 ERT917521 FBP917521 FLL917521 FVH917521 GFD917521 GOZ917521 GYV917521 HIR917521 HSN917521 ICJ917521 IMF917521 IWB917521 JFX917521 JPT917521 JZP917521 KJL917521 KTH917521 LDD917521 LMZ917521 LWV917521 MGR917521 MQN917521 NAJ917521 NKF917521 NUB917521 ODX917521 ONT917521 OXP917521 PHL917521 PRH917521 QBD917521 QKZ917521 QUV917521 RER917521 RON917521 RYJ917521 SIF917521 SSB917521 TBX917521 TLT917521 TVP917521 UFL917521 UPH917521 UZD917521 VIZ917521 VSV917521 WCR917521 WMN917521 WWJ917521 AB983057 JX983057 TT983057 ADP983057 ANL983057 AXH983057 BHD983057 BQZ983057 CAV983057 CKR983057 CUN983057 DEJ983057 DOF983057 DYB983057 EHX983057 ERT983057 FBP983057 FLL983057 FVH983057 GFD983057 GOZ983057 GYV983057 HIR983057 HSN983057 ICJ983057 IMF983057 IWB983057 JFX983057 JPT983057 JZP983057 KJL983057 KTH983057 LDD983057 LMZ983057 LWV983057 MGR983057 MQN983057 NAJ983057 NKF983057 NUB983057 ODX983057 ONT983057 OXP983057 PHL983057 PRH983057 QBD983057 QKZ983057 QUV983057 RER983057 RON983057 RYJ983057 SIF983057 SSB983057 TBX983057 TLT983057 TVP983057 UFL983057 UPH983057 UZD983057 VIZ983057 VSV983057 WCR983057 WMN983057 WWJ983057 AB20 JX20 TT20 ADP20 ANL20 AXH20 BHD20 BQZ20 CAV20 CKR20 CUN20 DEJ20 DOF20 DYB20 EHX20 ERT20 FBP20 FLL20 FVH20 GFD20 GOZ20 GYV20 HIR20 HSN20 ICJ20 IMF20 IWB20 JFX20 JPT20 JZP20 KJL20 KTH20 LDD20 LMZ20 LWV20 MGR20 MQN20 NAJ20 NKF20 NUB20 ODX20 ONT20 OXP20 PHL20 PRH20 QBD20 QKZ20 QUV20 RER20 RON20 RYJ20 SIF20 SSB20 TBX20 TLT20 TVP20 UFL20 UPH20 UZD20 VIZ20 VSV20 WCR20 WMN20 WWJ20 AB65556 JX65556 TT65556 ADP65556 ANL65556 AXH65556 BHD65556 BQZ65556 CAV65556 CKR65556 CUN65556 DEJ65556 DOF65556 DYB65556 EHX65556 ERT65556 FBP65556 FLL65556 FVH65556 GFD65556 GOZ65556 GYV65556 HIR65556 HSN65556 ICJ65556 IMF65556 IWB65556 JFX65556 JPT65556 JZP65556 KJL65556 KTH65556 LDD65556 LMZ65556 LWV65556 MGR65556 MQN65556 NAJ65556 NKF65556 NUB65556 ODX65556 ONT65556 OXP65556 PHL65556 PRH65556 QBD65556 QKZ65556 QUV65556 RER65556 RON65556 RYJ65556 SIF65556 SSB65556 TBX65556 TLT65556 TVP65556 UFL65556 UPH65556 UZD65556 VIZ65556 VSV65556 WCR65556 WMN65556 WWJ65556 AB131092 JX131092 TT131092 ADP131092 ANL131092 AXH131092 BHD131092 BQZ131092 CAV131092 CKR131092 CUN131092 DEJ131092 DOF131092 DYB131092 EHX131092 ERT131092 FBP131092 FLL131092 FVH131092 GFD131092 GOZ131092 GYV131092 HIR131092 HSN131092 ICJ131092 IMF131092 IWB131092 JFX131092 JPT131092 JZP131092 KJL131092 KTH131092 LDD131092 LMZ131092 LWV131092 MGR131092 MQN131092 NAJ131092 NKF131092 NUB131092 ODX131092 ONT131092 OXP131092 PHL131092 PRH131092 QBD131092 QKZ131092 QUV131092 RER131092 RON131092 RYJ131092 SIF131092 SSB131092 TBX131092 TLT131092 TVP131092 UFL131092 UPH131092 UZD131092 VIZ131092 VSV131092 WCR131092 WMN131092 WWJ131092 AB196628 JX196628 TT196628 ADP196628 ANL196628 AXH196628 BHD196628 BQZ196628 CAV196628 CKR196628 CUN196628 DEJ196628 DOF196628 DYB196628 EHX196628 ERT196628 FBP196628 FLL196628 FVH196628 GFD196628 GOZ196628 GYV196628 HIR196628 HSN196628 ICJ196628 IMF196628 IWB196628 JFX196628 JPT196628 JZP196628 KJL196628 KTH196628 LDD196628 LMZ196628 LWV196628 MGR196628 MQN196628 NAJ196628 NKF196628 NUB196628 ODX196628 ONT196628 OXP196628 PHL196628 PRH196628 QBD196628 QKZ196628 QUV196628 RER196628 RON196628 RYJ196628 SIF196628 SSB196628 TBX196628 TLT196628 TVP196628 UFL196628 UPH196628 UZD196628 VIZ196628 VSV196628 WCR196628 WMN196628 WWJ196628 AB262164 JX262164 TT262164 ADP262164 ANL262164 AXH262164 BHD262164 BQZ262164 CAV262164 CKR262164 CUN262164 DEJ262164 DOF262164 DYB262164 EHX262164 ERT262164 FBP262164 FLL262164 FVH262164 GFD262164 GOZ262164 GYV262164 HIR262164 HSN262164 ICJ262164 IMF262164 IWB262164 JFX262164 JPT262164 JZP262164 KJL262164 KTH262164 LDD262164 LMZ262164 LWV262164 MGR262164 MQN262164 NAJ262164 NKF262164 NUB262164 ODX262164 ONT262164 OXP262164 PHL262164 PRH262164 QBD262164 QKZ262164 QUV262164 RER262164 RON262164 RYJ262164 SIF262164 SSB262164 TBX262164 TLT262164 TVP262164 UFL262164 UPH262164 UZD262164 VIZ262164 VSV262164 WCR262164 WMN262164 WWJ262164 AB327700 JX327700 TT327700 ADP327700 ANL327700 AXH327700 BHD327700 BQZ327700 CAV327700 CKR327700 CUN327700 DEJ327700 DOF327700 DYB327700 EHX327700 ERT327700 FBP327700 FLL327700 FVH327700 GFD327700 GOZ327700 GYV327700 HIR327700 HSN327700 ICJ327700 IMF327700 IWB327700 JFX327700 JPT327700 JZP327700 KJL327700 KTH327700 LDD327700 LMZ327700 LWV327700 MGR327700 MQN327700 NAJ327700 NKF327700 NUB327700 ODX327700 ONT327700 OXP327700 PHL327700 PRH327700 QBD327700 QKZ327700 QUV327700 RER327700 RON327700 RYJ327700 SIF327700 SSB327700 TBX327700 TLT327700 TVP327700 UFL327700 UPH327700 UZD327700 VIZ327700 VSV327700 WCR327700 WMN327700 WWJ327700 AB393236 JX393236 TT393236 ADP393236 ANL393236 AXH393236 BHD393236 BQZ393236 CAV393236 CKR393236 CUN393236 DEJ393236 DOF393236 DYB393236 EHX393236 ERT393236 FBP393236 FLL393236 FVH393236 GFD393236 GOZ393236 GYV393236 HIR393236 HSN393236 ICJ393236 IMF393236 IWB393236 JFX393236 JPT393236 JZP393236 KJL393236 KTH393236 LDD393236 LMZ393236 LWV393236 MGR393236 MQN393236 NAJ393236 NKF393236 NUB393236 ODX393236 ONT393236 OXP393236 PHL393236 PRH393236 QBD393236 QKZ393236 QUV393236 RER393236 RON393236 RYJ393236 SIF393236 SSB393236 TBX393236 TLT393236 TVP393236 UFL393236 UPH393236 UZD393236 VIZ393236 VSV393236 WCR393236 WMN393236 WWJ393236 AB458772 JX458772 TT458772 ADP458772 ANL458772 AXH458772 BHD458772 BQZ458772 CAV458772 CKR458772 CUN458772 DEJ458772 DOF458772 DYB458772 EHX458772 ERT458772 FBP458772 FLL458772 FVH458772 GFD458772 GOZ458772 GYV458772 HIR458772 HSN458772 ICJ458772 IMF458772 IWB458772 JFX458772 JPT458772 JZP458772 KJL458772 KTH458772 LDD458772 LMZ458772 LWV458772 MGR458772 MQN458772 NAJ458772 NKF458772 NUB458772 ODX458772 ONT458772 OXP458772 PHL458772 PRH458772 QBD458772 QKZ458772 QUV458772 RER458772 RON458772 RYJ458772 SIF458772 SSB458772 TBX458772 TLT458772 TVP458772 UFL458772 UPH458772 UZD458772 VIZ458772 VSV458772 WCR458772 WMN458772 WWJ458772 AB524308 JX524308 TT524308 ADP524308 ANL524308 AXH524308 BHD524308 BQZ524308 CAV524308 CKR524308 CUN524308 DEJ524308 DOF524308 DYB524308 EHX524308 ERT524308 FBP524308 FLL524308 FVH524308 GFD524308 GOZ524308 GYV524308 HIR524308 HSN524308 ICJ524308 IMF524308 IWB524308 JFX524308 JPT524308 JZP524308 KJL524308 KTH524308 LDD524308 LMZ524308 LWV524308 MGR524308 MQN524308 NAJ524308 NKF524308 NUB524308 ODX524308 ONT524308 OXP524308 PHL524308 PRH524308 QBD524308 QKZ524308 QUV524308 RER524308 RON524308 RYJ524308 SIF524308 SSB524308 TBX524308 TLT524308 TVP524308 UFL524308 UPH524308 UZD524308 VIZ524308 VSV524308 WCR524308 WMN524308 WWJ524308 AB589844 JX589844 TT589844 ADP589844 ANL589844 AXH589844 BHD589844 BQZ589844 CAV589844 CKR589844 CUN589844 DEJ589844 DOF589844 DYB589844 EHX589844 ERT589844 FBP589844 FLL589844 FVH589844 GFD589844 GOZ589844 GYV589844 HIR589844 HSN589844 ICJ589844 IMF589844 IWB589844 JFX589844 JPT589844 JZP589844 KJL589844 KTH589844 LDD589844 LMZ589844 LWV589844 MGR589844 MQN589844 NAJ589844 NKF589844 NUB589844 ODX589844 ONT589844 OXP589844 PHL589844 PRH589844 QBD589844 QKZ589844 QUV589844 RER589844 RON589844 RYJ589844 SIF589844 SSB589844 TBX589844 TLT589844 TVP589844 UFL589844 UPH589844 UZD589844 VIZ589844 VSV589844 WCR589844 WMN589844 WWJ589844 AB655380 JX655380 TT655380 ADP655380 ANL655380 AXH655380 BHD655380 BQZ655380 CAV655380 CKR655380 CUN655380 DEJ655380 DOF655380 DYB655380 EHX655380 ERT655380 FBP655380 FLL655380 FVH655380 GFD655380 GOZ655380 GYV655380 HIR655380 HSN655380 ICJ655380 IMF655380 IWB655380 JFX655380 JPT655380 JZP655380 KJL655380 KTH655380 LDD655380 LMZ655380 LWV655380 MGR655380 MQN655380 NAJ655380 NKF655380 NUB655380 ODX655380 ONT655380 OXP655380 PHL655380 PRH655380 QBD655380 QKZ655380 QUV655380 RER655380 RON655380 RYJ655380 SIF655380 SSB655380 TBX655380 TLT655380 TVP655380 UFL655380 UPH655380 UZD655380 VIZ655380 VSV655380 WCR655380 WMN655380 WWJ655380 AB720916 JX720916 TT720916 ADP720916 ANL720916 AXH720916 BHD720916 BQZ720916 CAV720916 CKR720916 CUN720916 DEJ720916 DOF720916 DYB720916 EHX720916 ERT720916 FBP720916 FLL720916 FVH720916 GFD720916 GOZ720916 GYV720916 HIR720916 HSN720916 ICJ720916 IMF720916 IWB720916 JFX720916 JPT720916 JZP720916 KJL720916 KTH720916 LDD720916 LMZ720916 LWV720916 MGR720916 MQN720916 NAJ720916 NKF720916 NUB720916 ODX720916 ONT720916 OXP720916 PHL720916 PRH720916 QBD720916 QKZ720916 QUV720916 RER720916 RON720916 RYJ720916 SIF720916 SSB720916 TBX720916 TLT720916 TVP720916 UFL720916 UPH720916 UZD720916 VIZ720916 VSV720916 WCR720916 WMN720916 WWJ720916 AB786452 JX786452 TT786452 ADP786452 ANL786452 AXH786452 BHD786452 BQZ786452 CAV786452 CKR786452 CUN786452 DEJ786452 DOF786452 DYB786452 EHX786452 ERT786452 FBP786452 FLL786452 FVH786452 GFD786452 GOZ786452 GYV786452 HIR786452 HSN786452 ICJ786452 IMF786452 IWB786452 JFX786452 JPT786452 JZP786452 KJL786452 KTH786452 LDD786452 LMZ786452 LWV786452 MGR786452 MQN786452 NAJ786452 NKF786452 NUB786452 ODX786452 ONT786452 OXP786452 PHL786452 PRH786452 QBD786452 QKZ786452 QUV786452 RER786452 RON786452 RYJ786452 SIF786452 SSB786452 TBX786452 TLT786452 TVP786452 UFL786452 UPH786452 UZD786452 VIZ786452 VSV786452 WCR786452 WMN786452 WWJ786452 AB851988 JX851988 TT851988 ADP851988 ANL851988 AXH851988 BHD851988 BQZ851988 CAV851988 CKR851988 CUN851988 DEJ851988 DOF851988 DYB851988 EHX851988 ERT851988 FBP851988 FLL851988 FVH851988 GFD851988 GOZ851988 GYV851988 HIR851988 HSN851988 ICJ851988 IMF851988 IWB851988 JFX851988 JPT851988 JZP851988 KJL851988 KTH851988 LDD851988 LMZ851988 LWV851988 MGR851988 MQN851988 NAJ851988 NKF851988 NUB851988 ODX851988 ONT851988 OXP851988 PHL851988 PRH851988 QBD851988 QKZ851988 QUV851988 RER851988 RON851988 RYJ851988 SIF851988 SSB851988 TBX851988 TLT851988 TVP851988 UFL851988 UPH851988 UZD851988 VIZ851988 VSV851988 WCR851988 WMN851988 WWJ851988 AB917524 JX917524 TT917524 ADP917524 ANL917524 AXH917524 BHD917524 BQZ917524 CAV917524 CKR917524 CUN917524 DEJ917524 DOF917524 DYB917524 EHX917524 ERT917524 FBP917524 FLL917524 FVH917524 GFD917524 GOZ917524 GYV917524 HIR917524 HSN917524 ICJ917524 IMF917524 IWB917524 JFX917524 JPT917524 JZP917524 KJL917524 KTH917524 LDD917524 LMZ917524 LWV917524 MGR917524 MQN917524 NAJ917524 NKF917524 NUB917524 ODX917524 ONT917524 OXP917524 PHL917524 PRH917524 QBD917524 QKZ917524 QUV917524 RER917524 RON917524 RYJ917524 SIF917524 SSB917524 TBX917524 TLT917524 TVP917524 UFL917524 UPH917524 UZD917524 VIZ917524 VSV917524 WCR917524 WMN917524 WWJ917524 AB983060 JX983060 TT983060 ADP983060 ANL983060 AXH983060 BHD983060 BQZ983060 CAV983060 CKR983060 CUN983060 DEJ983060 DOF983060 DYB983060 EHX983060 ERT983060 FBP983060 FLL983060 FVH983060 GFD983060 GOZ983060 GYV983060 HIR983060 HSN983060 ICJ983060 IMF983060 IWB983060 JFX983060 JPT983060 JZP983060 KJL983060 KTH983060 LDD983060 LMZ983060 LWV983060 MGR983060 MQN983060 NAJ983060 NKF983060 NUB983060 ODX983060 ONT983060 OXP983060 PHL983060 PRH983060 QBD983060 QKZ983060 QUV983060 RER983060 RON983060 RYJ983060 SIF983060 SSB983060 TBX983060 TLT983060 TVP983060 UFL983060 UPH983060 UZD983060 VIZ983060 VSV983060 WCR983060 WMN983060 WWJ983060 B169 IX169 ST169 ACP169 AML169 AWH169 BGD169 BPZ169 BZV169 CJR169 CTN169 DDJ169 DNF169 DXB169 EGX169 EQT169 FAP169 FKL169 FUH169 GED169 GNZ169 GXV169 HHR169 HRN169 IBJ169 ILF169 IVB169 JEX169 JOT169 JYP169 KIL169 KSH169 LCD169 LLZ169 LVV169 MFR169 MPN169 MZJ169 NJF169 NTB169 OCX169 OMT169 OWP169 PGL169 PQH169 QAD169 QJZ169 QTV169 RDR169 RNN169 RXJ169 SHF169 SRB169 TAX169 TKT169 TUP169 UEL169 UOH169 UYD169 VHZ169 VRV169 WBR169 WLN169 WVJ169 B65705 IX65705 ST65705 ACP65705 AML65705 AWH65705 BGD65705 BPZ65705 BZV65705 CJR65705 CTN65705 DDJ65705 DNF65705 DXB65705 EGX65705 EQT65705 FAP65705 FKL65705 FUH65705 GED65705 GNZ65705 GXV65705 HHR65705 HRN65705 IBJ65705 ILF65705 IVB65705 JEX65705 JOT65705 JYP65705 KIL65705 KSH65705 LCD65705 LLZ65705 LVV65705 MFR65705 MPN65705 MZJ65705 NJF65705 NTB65705 OCX65705 OMT65705 OWP65705 PGL65705 PQH65705 QAD65705 QJZ65705 QTV65705 RDR65705 RNN65705 RXJ65705 SHF65705 SRB65705 TAX65705 TKT65705 TUP65705 UEL65705 UOH65705 UYD65705 VHZ65705 VRV65705 WBR65705 WLN65705 WVJ65705 B131241 IX131241 ST131241 ACP131241 AML131241 AWH131241 BGD131241 BPZ131241 BZV131241 CJR131241 CTN131241 DDJ131241 DNF131241 DXB131241 EGX131241 EQT131241 FAP131241 FKL131241 FUH131241 GED131241 GNZ131241 GXV131241 HHR131241 HRN131241 IBJ131241 ILF131241 IVB131241 JEX131241 JOT131241 JYP131241 KIL131241 KSH131241 LCD131241 LLZ131241 LVV131241 MFR131241 MPN131241 MZJ131241 NJF131241 NTB131241 OCX131241 OMT131241 OWP131241 PGL131241 PQH131241 QAD131241 QJZ131241 QTV131241 RDR131241 RNN131241 RXJ131241 SHF131241 SRB131241 TAX131241 TKT131241 TUP131241 UEL131241 UOH131241 UYD131241 VHZ131241 VRV131241 WBR131241 WLN131241 WVJ131241 B196777 IX196777 ST196777 ACP196777 AML196777 AWH196777 BGD196777 BPZ196777 BZV196777 CJR196777 CTN196777 DDJ196777 DNF196777 DXB196777 EGX196777 EQT196777 FAP196777 FKL196777 FUH196777 GED196777 GNZ196777 GXV196777 HHR196777 HRN196777 IBJ196777 ILF196777 IVB196777 JEX196777 JOT196777 JYP196777 KIL196777 KSH196777 LCD196777 LLZ196777 LVV196777 MFR196777 MPN196777 MZJ196777 NJF196777 NTB196777 OCX196777 OMT196777 OWP196777 PGL196777 PQH196777 QAD196777 QJZ196777 QTV196777 RDR196777 RNN196777 RXJ196777 SHF196777 SRB196777 TAX196777 TKT196777 TUP196777 UEL196777 UOH196777 UYD196777 VHZ196777 VRV196777 WBR196777 WLN196777 WVJ196777 B262313 IX262313 ST262313 ACP262313 AML262313 AWH262313 BGD262313 BPZ262313 BZV262313 CJR262313 CTN262313 DDJ262313 DNF262313 DXB262313 EGX262313 EQT262313 FAP262313 FKL262313 FUH262313 GED262313 GNZ262313 GXV262313 HHR262313 HRN262313 IBJ262313 ILF262313 IVB262313 JEX262313 JOT262313 JYP262313 KIL262313 KSH262313 LCD262313 LLZ262313 LVV262313 MFR262313 MPN262313 MZJ262313 NJF262313 NTB262313 OCX262313 OMT262313 OWP262313 PGL262313 PQH262313 QAD262313 QJZ262313 QTV262313 RDR262313 RNN262313 RXJ262313 SHF262313 SRB262313 TAX262313 TKT262313 TUP262313 UEL262313 UOH262313 UYD262313 VHZ262313 VRV262313 WBR262313 WLN262313 WVJ262313 B327849 IX327849 ST327849 ACP327849 AML327849 AWH327849 BGD327849 BPZ327849 BZV327849 CJR327849 CTN327849 DDJ327849 DNF327849 DXB327849 EGX327849 EQT327849 FAP327849 FKL327849 FUH327849 GED327849 GNZ327849 GXV327849 HHR327849 HRN327849 IBJ327849 ILF327849 IVB327849 JEX327849 JOT327849 JYP327849 KIL327849 KSH327849 LCD327849 LLZ327849 LVV327849 MFR327849 MPN327849 MZJ327849 NJF327849 NTB327849 OCX327849 OMT327849 OWP327849 PGL327849 PQH327849 QAD327849 QJZ327849 QTV327849 RDR327849 RNN327849 RXJ327849 SHF327849 SRB327849 TAX327849 TKT327849 TUP327849 UEL327849 UOH327849 UYD327849 VHZ327849 VRV327849 WBR327849 WLN327849 WVJ327849 B393385 IX393385 ST393385 ACP393385 AML393385 AWH393385 BGD393385 BPZ393385 BZV393385 CJR393385 CTN393385 DDJ393385 DNF393385 DXB393385 EGX393385 EQT393385 FAP393385 FKL393385 FUH393385 GED393385 GNZ393385 GXV393385 HHR393385 HRN393385 IBJ393385 ILF393385 IVB393385 JEX393385 JOT393385 JYP393385 KIL393385 KSH393385 LCD393385 LLZ393385 LVV393385 MFR393385 MPN393385 MZJ393385 NJF393385 NTB393385 OCX393385 OMT393385 OWP393385 PGL393385 PQH393385 QAD393385 QJZ393385 QTV393385 RDR393385 RNN393385 RXJ393385 SHF393385 SRB393385 TAX393385 TKT393385 TUP393385 UEL393385 UOH393385 UYD393385 VHZ393385 VRV393385 WBR393385 WLN393385 WVJ393385 B458921 IX458921 ST458921 ACP458921 AML458921 AWH458921 BGD458921 BPZ458921 BZV458921 CJR458921 CTN458921 DDJ458921 DNF458921 DXB458921 EGX458921 EQT458921 FAP458921 FKL458921 FUH458921 GED458921 GNZ458921 GXV458921 HHR458921 HRN458921 IBJ458921 ILF458921 IVB458921 JEX458921 JOT458921 JYP458921 KIL458921 KSH458921 LCD458921 LLZ458921 LVV458921 MFR458921 MPN458921 MZJ458921 NJF458921 NTB458921 OCX458921 OMT458921 OWP458921 PGL458921 PQH458921 QAD458921 QJZ458921 QTV458921 RDR458921 RNN458921 RXJ458921 SHF458921 SRB458921 TAX458921 TKT458921 TUP458921 UEL458921 UOH458921 UYD458921 VHZ458921 VRV458921 WBR458921 WLN458921 WVJ458921 B524457 IX524457 ST524457 ACP524457 AML524457 AWH524457 BGD524457 BPZ524457 BZV524457 CJR524457 CTN524457 DDJ524457 DNF524457 DXB524457 EGX524457 EQT524457 FAP524457 FKL524457 FUH524457 GED524457 GNZ524457 GXV524457 HHR524457 HRN524457 IBJ524457 ILF524457 IVB524457 JEX524457 JOT524457 JYP524457 KIL524457 KSH524457 LCD524457 LLZ524457 LVV524457 MFR524457 MPN524457 MZJ524457 NJF524457 NTB524457 OCX524457 OMT524457 OWP524457 PGL524457 PQH524457 QAD524457 QJZ524457 QTV524457 RDR524457 RNN524457 RXJ524457 SHF524457 SRB524457 TAX524457 TKT524457 TUP524457 UEL524457 UOH524457 UYD524457 VHZ524457 VRV524457 WBR524457 WLN524457 WVJ524457 B589993 IX589993 ST589993 ACP589993 AML589993 AWH589993 BGD589993 BPZ589993 BZV589993 CJR589993 CTN589993 DDJ589993 DNF589993 DXB589993 EGX589993 EQT589993 FAP589993 FKL589993 FUH589993 GED589993 GNZ589993 GXV589993 HHR589993 HRN589993 IBJ589993 ILF589993 IVB589993 JEX589993 JOT589993 JYP589993 KIL589993 KSH589993 LCD589993 LLZ589993 LVV589993 MFR589993 MPN589993 MZJ589993 NJF589993 NTB589993 OCX589993 OMT589993 OWP589993 PGL589993 PQH589993 QAD589993 QJZ589993 QTV589993 RDR589993 RNN589993 RXJ589993 SHF589993 SRB589993 TAX589993 TKT589993 TUP589993 UEL589993 UOH589993 UYD589993 VHZ589993 VRV589993 WBR589993 WLN589993 WVJ589993 B655529 IX655529 ST655529 ACP655529 AML655529 AWH655529 BGD655529 BPZ655529 BZV655529 CJR655529 CTN655529 DDJ655529 DNF655529 DXB655529 EGX655529 EQT655529 FAP655529 FKL655529 FUH655529 GED655529 GNZ655529 GXV655529 HHR655529 HRN655529 IBJ655529 ILF655529 IVB655529 JEX655529 JOT655529 JYP655529 KIL655529 KSH655529 LCD655529 LLZ655529 LVV655529 MFR655529 MPN655529 MZJ655529 NJF655529 NTB655529 OCX655529 OMT655529 OWP655529 PGL655529 PQH655529 QAD655529 QJZ655529 QTV655529 RDR655529 RNN655529 RXJ655529 SHF655529 SRB655529 TAX655529 TKT655529 TUP655529 UEL655529 UOH655529 UYD655529 VHZ655529 VRV655529 WBR655529 WLN655529 WVJ655529 B721065 IX721065 ST721065 ACP721065 AML721065 AWH721065 BGD721065 BPZ721065 BZV721065 CJR721065 CTN721065 DDJ721065 DNF721065 DXB721065 EGX721065 EQT721065 FAP721065 FKL721065 FUH721065 GED721065 GNZ721065 GXV721065 HHR721065 HRN721065 IBJ721065 ILF721065 IVB721065 JEX721065 JOT721065 JYP721065 KIL721065 KSH721065 LCD721065 LLZ721065 LVV721065 MFR721065 MPN721065 MZJ721065 NJF721065 NTB721065 OCX721065 OMT721065 OWP721065 PGL721065 PQH721065 QAD721065 QJZ721065 QTV721065 RDR721065 RNN721065 RXJ721065 SHF721065 SRB721065 TAX721065 TKT721065 TUP721065 UEL721065 UOH721065 UYD721065 VHZ721065 VRV721065 WBR721065 WLN721065 WVJ721065 B786601 IX786601 ST786601 ACP786601 AML786601 AWH786601 BGD786601 BPZ786601 BZV786601 CJR786601 CTN786601 DDJ786601 DNF786601 DXB786601 EGX786601 EQT786601 FAP786601 FKL786601 FUH786601 GED786601 GNZ786601 GXV786601 HHR786601 HRN786601 IBJ786601 ILF786601 IVB786601 JEX786601 JOT786601 JYP786601 KIL786601 KSH786601 LCD786601 LLZ786601 LVV786601 MFR786601 MPN786601 MZJ786601 NJF786601 NTB786601 OCX786601 OMT786601 OWP786601 PGL786601 PQH786601 QAD786601 QJZ786601 QTV786601 RDR786601 RNN786601 RXJ786601 SHF786601 SRB786601 TAX786601 TKT786601 TUP786601 UEL786601 UOH786601 UYD786601 VHZ786601 VRV786601 WBR786601 WLN786601 WVJ786601 B852137 IX852137 ST852137 ACP852137 AML852137 AWH852137 BGD852137 BPZ852137 BZV852137 CJR852137 CTN852137 DDJ852137 DNF852137 DXB852137 EGX852137 EQT852137 FAP852137 FKL852137 FUH852137 GED852137 GNZ852137 GXV852137 HHR852137 HRN852137 IBJ852137 ILF852137 IVB852137 JEX852137 JOT852137 JYP852137 KIL852137 KSH852137 LCD852137 LLZ852137 LVV852137 MFR852137 MPN852137 MZJ852137 NJF852137 NTB852137 OCX852137 OMT852137 OWP852137 PGL852137 PQH852137 QAD852137 QJZ852137 QTV852137 RDR852137 RNN852137 RXJ852137 SHF852137 SRB852137 TAX852137 TKT852137 TUP852137 UEL852137 UOH852137 UYD852137 VHZ852137 VRV852137 WBR852137 WLN852137 WVJ852137 B917673 IX917673 ST917673 ACP917673 AML917673 AWH917673 BGD917673 BPZ917673 BZV917673 CJR917673 CTN917673 DDJ917673 DNF917673 DXB917673 EGX917673 EQT917673 FAP917673 FKL917673 FUH917673 GED917673 GNZ917673 GXV917673 HHR917673 HRN917673 IBJ917673 ILF917673 IVB917673 JEX917673 JOT917673 JYP917673 KIL917673 KSH917673 LCD917673 LLZ917673 LVV917673 MFR917673 MPN917673 MZJ917673 NJF917673 NTB917673 OCX917673 OMT917673 OWP917673 PGL917673 PQH917673 QAD917673 QJZ917673 QTV917673 RDR917673 RNN917673 RXJ917673 SHF917673 SRB917673 TAX917673 TKT917673 TUP917673 UEL917673 UOH917673 UYD917673 VHZ917673 VRV917673 WBR917673 WLN917673 WVJ917673 B983209 IX983209 ST983209 ACP983209 AML983209 AWH983209 BGD983209 BPZ983209 BZV983209 CJR983209 CTN983209 DDJ983209 DNF983209 DXB983209 EGX983209 EQT983209 FAP983209 FKL983209 FUH983209 GED983209 GNZ983209 GXV983209 HHR983209 HRN983209 IBJ983209 ILF983209 IVB983209 JEX983209 JOT983209 JYP983209 KIL983209 KSH983209 LCD983209 LLZ983209 LVV983209 MFR983209 MPN983209 MZJ983209 NJF983209 NTB983209 OCX983209 OMT983209 OWP983209 PGL983209 PQH983209 QAD983209 QJZ983209 QTV983209 RDR983209 RNN983209 RXJ983209 SHF983209 SRB983209 TAX983209 TKT983209 TUP983209 UEL983209 UOH983209 UYD983209 VHZ983209 VRV983209 WBR983209 WLN983209 WVJ983209 C155 IY155 SU155 ACQ155 AMM155 AWI155 BGE155 BQA155 BZW155 CJS155 CTO155 DDK155 DNG155 DXC155 EGY155 EQU155 FAQ155 FKM155 FUI155 GEE155 GOA155 GXW155 HHS155 HRO155 IBK155 ILG155 IVC155 JEY155 JOU155 JYQ155 KIM155 KSI155 LCE155 LMA155 LVW155 MFS155 MPO155 MZK155 NJG155 NTC155 OCY155 OMU155 OWQ155 PGM155 PQI155 QAE155 QKA155 QTW155 RDS155 RNO155 RXK155 SHG155 SRC155 TAY155 TKU155 TUQ155 UEM155 UOI155 UYE155 VIA155 VRW155 WBS155 WLO155 WVK155 C65691 IY65691 SU65691 ACQ65691 AMM65691 AWI65691 BGE65691 BQA65691 BZW65691 CJS65691 CTO65691 DDK65691 DNG65691 DXC65691 EGY65691 EQU65691 FAQ65691 FKM65691 FUI65691 GEE65691 GOA65691 GXW65691 HHS65691 HRO65691 IBK65691 ILG65691 IVC65691 JEY65691 JOU65691 JYQ65691 KIM65691 KSI65691 LCE65691 LMA65691 LVW65691 MFS65691 MPO65691 MZK65691 NJG65691 NTC65691 OCY65691 OMU65691 OWQ65691 PGM65691 PQI65691 QAE65691 QKA65691 QTW65691 RDS65691 RNO65691 RXK65691 SHG65691 SRC65691 TAY65691 TKU65691 TUQ65691 UEM65691 UOI65691 UYE65691 VIA65691 VRW65691 WBS65691 WLO65691 WVK65691 C131227 IY131227 SU131227 ACQ131227 AMM131227 AWI131227 BGE131227 BQA131227 BZW131227 CJS131227 CTO131227 DDK131227 DNG131227 DXC131227 EGY131227 EQU131227 FAQ131227 FKM131227 FUI131227 GEE131227 GOA131227 GXW131227 HHS131227 HRO131227 IBK131227 ILG131227 IVC131227 JEY131227 JOU131227 JYQ131227 KIM131227 KSI131227 LCE131227 LMA131227 LVW131227 MFS131227 MPO131227 MZK131227 NJG131227 NTC131227 OCY131227 OMU131227 OWQ131227 PGM131227 PQI131227 QAE131227 QKA131227 QTW131227 RDS131227 RNO131227 RXK131227 SHG131227 SRC131227 TAY131227 TKU131227 TUQ131227 UEM131227 UOI131227 UYE131227 VIA131227 VRW131227 WBS131227 WLO131227 WVK131227 C196763 IY196763 SU196763 ACQ196763 AMM196763 AWI196763 BGE196763 BQA196763 BZW196763 CJS196763 CTO196763 DDK196763 DNG196763 DXC196763 EGY196763 EQU196763 FAQ196763 FKM196763 FUI196763 GEE196763 GOA196763 GXW196763 HHS196763 HRO196763 IBK196763 ILG196763 IVC196763 JEY196763 JOU196763 JYQ196763 KIM196763 KSI196763 LCE196763 LMA196763 LVW196763 MFS196763 MPO196763 MZK196763 NJG196763 NTC196763 OCY196763 OMU196763 OWQ196763 PGM196763 PQI196763 QAE196763 QKA196763 QTW196763 RDS196763 RNO196763 RXK196763 SHG196763 SRC196763 TAY196763 TKU196763 TUQ196763 UEM196763 UOI196763 UYE196763 VIA196763 VRW196763 WBS196763 WLO196763 WVK196763 C262299 IY262299 SU262299 ACQ262299 AMM262299 AWI262299 BGE262299 BQA262299 BZW262299 CJS262299 CTO262299 DDK262299 DNG262299 DXC262299 EGY262299 EQU262299 FAQ262299 FKM262299 FUI262299 GEE262299 GOA262299 GXW262299 HHS262299 HRO262299 IBK262299 ILG262299 IVC262299 JEY262299 JOU262299 JYQ262299 KIM262299 KSI262299 LCE262299 LMA262299 LVW262299 MFS262299 MPO262299 MZK262299 NJG262299 NTC262299 OCY262299 OMU262299 OWQ262299 PGM262299 PQI262299 QAE262299 QKA262299 QTW262299 RDS262299 RNO262299 RXK262299 SHG262299 SRC262299 TAY262299 TKU262299 TUQ262299 UEM262299 UOI262299 UYE262299 VIA262299 VRW262299 WBS262299 WLO262299 WVK262299 C327835 IY327835 SU327835 ACQ327835 AMM327835 AWI327835 BGE327835 BQA327835 BZW327835 CJS327835 CTO327835 DDK327835 DNG327835 DXC327835 EGY327835 EQU327835 FAQ327835 FKM327835 FUI327835 GEE327835 GOA327835 GXW327835 HHS327835 HRO327835 IBK327835 ILG327835 IVC327835 JEY327835 JOU327835 JYQ327835 KIM327835 KSI327835 LCE327835 LMA327835 LVW327835 MFS327835 MPO327835 MZK327835 NJG327835 NTC327835 OCY327835 OMU327835 OWQ327835 PGM327835 PQI327835 QAE327835 QKA327835 QTW327835 RDS327835 RNO327835 RXK327835 SHG327835 SRC327835 TAY327835 TKU327835 TUQ327835 UEM327835 UOI327835 UYE327835 VIA327835 VRW327835 WBS327835 WLO327835 WVK327835 C393371 IY393371 SU393371 ACQ393371 AMM393371 AWI393371 BGE393371 BQA393371 BZW393371 CJS393371 CTO393371 DDK393371 DNG393371 DXC393371 EGY393371 EQU393371 FAQ393371 FKM393371 FUI393371 GEE393371 GOA393371 GXW393371 HHS393371 HRO393371 IBK393371 ILG393371 IVC393371 JEY393371 JOU393371 JYQ393371 KIM393371 KSI393371 LCE393371 LMA393371 LVW393371 MFS393371 MPO393371 MZK393371 NJG393371 NTC393371 OCY393371 OMU393371 OWQ393371 PGM393371 PQI393371 QAE393371 QKA393371 QTW393371 RDS393371 RNO393371 RXK393371 SHG393371 SRC393371 TAY393371 TKU393371 TUQ393371 UEM393371 UOI393371 UYE393371 VIA393371 VRW393371 WBS393371 WLO393371 WVK393371 C458907 IY458907 SU458907 ACQ458907 AMM458907 AWI458907 BGE458907 BQA458907 BZW458907 CJS458907 CTO458907 DDK458907 DNG458907 DXC458907 EGY458907 EQU458907 FAQ458907 FKM458907 FUI458907 GEE458907 GOA458907 GXW458907 HHS458907 HRO458907 IBK458907 ILG458907 IVC458907 JEY458907 JOU458907 JYQ458907 KIM458907 KSI458907 LCE458907 LMA458907 LVW458907 MFS458907 MPO458907 MZK458907 NJG458907 NTC458907 OCY458907 OMU458907 OWQ458907 PGM458907 PQI458907 QAE458907 QKA458907 QTW458907 RDS458907 RNO458907 RXK458907 SHG458907 SRC458907 TAY458907 TKU458907 TUQ458907 UEM458907 UOI458907 UYE458907 VIA458907 VRW458907 WBS458907 WLO458907 WVK458907 C524443 IY524443 SU524443 ACQ524443 AMM524443 AWI524443 BGE524443 BQA524443 BZW524443 CJS524443 CTO524443 DDK524443 DNG524443 DXC524443 EGY524443 EQU524443 FAQ524443 FKM524443 FUI524443 GEE524443 GOA524443 GXW524443 HHS524443 HRO524443 IBK524443 ILG524443 IVC524443 JEY524443 JOU524443 JYQ524443 KIM524443 KSI524443 LCE524443 LMA524443 LVW524443 MFS524443 MPO524443 MZK524443 NJG524443 NTC524443 OCY524443 OMU524443 OWQ524443 PGM524443 PQI524443 QAE524443 QKA524443 QTW524443 RDS524443 RNO524443 RXK524443 SHG524443 SRC524443 TAY524443 TKU524443 TUQ524443 UEM524443 UOI524443 UYE524443 VIA524443 VRW524443 WBS524443 WLO524443 WVK524443 C589979 IY589979 SU589979 ACQ589979 AMM589979 AWI589979 BGE589979 BQA589979 BZW589979 CJS589979 CTO589979 DDK589979 DNG589979 DXC589979 EGY589979 EQU589979 FAQ589979 FKM589979 FUI589979 GEE589979 GOA589979 GXW589979 HHS589979 HRO589979 IBK589979 ILG589979 IVC589979 JEY589979 JOU589979 JYQ589979 KIM589979 KSI589979 LCE589979 LMA589979 LVW589979 MFS589979 MPO589979 MZK589979 NJG589979 NTC589979 OCY589979 OMU589979 OWQ589979 PGM589979 PQI589979 QAE589979 QKA589979 QTW589979 RDS589979 RNO589979 RXK589979 SHG589979 SRC589979 TAY589979 TKU589979 TUQ589979 UEM589979 UOI589979 UYE589979 VIA589979 VRW589979 WBS589979 WLO589979 WVK589979 C655515 IY655515 SU655515 ACQ655515 AMM655515 AWI655515 BGE655515 BQA655515 BZW655515 CJS655515 CTO655515 DDK655515 DNG655515 DXC655515 EGY655515 EQU655515 FAQ655515 FKM655515 FUI655515 GEE655515 GOA655515 GXW655515 HHS655515 HRO655515 IBK655515 ILG655515 IVC655515 JEY655515 JOU655515 JYQ655515 KIM655515 KSI655515 LCE655515 LMA655515 LVW655515 MFS655515 MPO655515 MZK655515 NJG655515 NTC655515 OCY655515 OMU655515 OWQ655515 PGM655515 PQI655515 QAE655515 QKA655515 QTW655515 RDS655515 RNO655515 RXK655515 SHG655515 SRC655515 TAY655515 TKU655515 TUQ655515 UEM655515 UOI655515 UYE655515 VIA655515 VRW655515 WBS655515 WLO655515 WVK655515 C721051 IY721051 SU721051 ACQ721051 AMM721051 AWI721051 BGE721051 BQA721051 BZW721051 CJS721051 CTO721051 DDK721051 DNG721051 DXC721051 EGY721051 EQU721051 FAQ721051 FKM721051 FUI721051 GEE721051 GOA721051 GXW721051 HHS721051 HRO721051 IBK721051 ILG721051 IVC721051 JEY721051 JOU721051 JYQ721051 KIM721051 KSI721051 LCE721051 LMA721051 LVW721051 MFS721051 MPO721051 MZK721051 NJG721051 NTC721051 OCY721051 OMU721051 OWQ721051 PGM721051 PQI721051 QAE721051 QKA721051 QTW721051 RDS721051 RNO721051 RXK721051 SHG721051 SRC721051 TAY721051 TKU721051 TUQ721051 UEM721051 UOI721051 UYE721051 VIA721051 VRW721051 WBS721051 WLO721051 WVK721051 C786587 IY786587 SU786587 ACQ786587 AMM786587 AWI786587 BGE786587 BQA786587 BZW786587 CJS786587 CTO786587 DDK786587 DNG786587 DXC786587 EGY786587 EQU786587 FAQ786587 FKM786587 FUI786587 GEE786587 GOA786587 GXW786587 HHS786587 HRO786587 IBK786587 ILG786587 IVC786587 JEY786587 JOU786587 JYQ786587 KIM786587 KSI786587 LCE786587 LMA786587 LVW786587 MFS786587 MPO786587 MZK786587 NJG786587 NTC786587 OCY786587 OMU786587 OWQ786587 PGM786587 PQI786587 QAE786587 QKA786587 QTW786587 RDS786587 RNO786587 RXK786587 SHG786587 SRC786587 TAY786587 TKU786587 TUQ786587 UEM786587 UOI786587 UYE786587 VIA786587 VRW786587 WBS786587 WLO786587 WVK786587 C852123 IY852123 SU852123 ACQ852123 AMM852123 AWI852123 BGE852123 BQA852123 BZW852123 CJS852123 CTO852123 DDK852123 DNG852123 DXC852123 EGY852123 EQU852123 FAQ852123 FKM852123 FUI852123 GEE852123 GOA852123 GXW852123 HHS852123 HRO852123 IBK852123 ILG852123 IVC852123 JEY852123 JOU852123 JYQ852123 KIM852123 KSI852123 LCE852123 LMA852123 LVW852123 MFS852123 MPO852123 MZK852123 NJG852123 NTC852123 OCY852123 OMU852123 OWQ852123 PGM852123 PQI852123 QAE852123 QKA852123 QTW852123 RDS852123 RNO852123 RXK852123 SHG852123 SRC852123 TAY852123 TKU852123 TUQ852123 UEM852123 UOI852123 UYE852123 VIA852123 VRW852123 WBS852123 WLO852123 WVK852123 C917659 IY917659 SU917659 ACQ917659 AMM917659 AWI917659 BGE917659 BQA917659 BZW917659 CJS917659 CTO917659 DDK917659 DNG917659 DXC917659 EGY917659 EQU917659 FAQ917659 FKM917659 FUI917659 GEE917659 GOA917659 GXW917659 HHS917659 HRO917659 IBK917659 ILG917659 IVC917659 JEY917659 JOU917659 JYQ917659 KIM917659 KSI917659 LCE917659 LMA917659 LVW917659 MFS917659 MPO917659 MZK917659 NJG917659 NTC917659 OCY917659 OMU917659 OWQ917659 PGM917659 PQI917659 QAE917659 QKA917659 QTW917659 RDS917659 RNO917659 RXK917659 SHG917659 SRC917659 TAY917659 TKU917659 TUQ917659 UEM917659 UOI917659 UYE917659 VIA917659 VRW917659 WBS917659 WLO917659 WVK917659 C983195 IY983195 SU983195 ACQ983195 AMM983195 AWI983195 BGE983195 BQA983195 BZW983195 CJS983195 CTO983195 DDK983195 DNG983195 DXC983195 EGY983195 EQU983195 FAQ983195 FKM983195 FUI983195 GEE983195 GOA983195 GXW983195 HHS983195 HRO983195 IBK983195 ILG983195 IVC983195 JEY983195 JOU983195 JYQ983195 KIM983195 KSI983195 LCE983195 LMA983195 LVW983195 MFS983195 MPO983195 MZK983195 NJG983195 NTC983195 OCY983195 OMU983195 OWQ983195 PGM983195 PQI983195 QAE983195 QKA983195 QTW983195 RDS983195 RNO983195 RXK983195 SHG983195 SRC983195 TAY983195 TKU983195 TUQ983195 UEM983195 UOI983195 UYE983195 VIA983195 VRW983195 WBS983195 WLO983195 WVK983195" xr:uid="{D89CB14D-6E61-4AA2-A78E-384E4284CA88}">
      <formula1>$AH$44:$AH$45</formula1>
    </dataValidation>
    <dataValidation type="list" allowBlank="1" showInputMessage="1" showErrorMessage="1" sqref="C5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C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C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C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C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C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C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C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C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C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C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C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C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C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C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C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xr:uid="{2CE24FA6-C27E-4AB2-9581-7A6DD201BAAB}">
      <formula1>$CB$16:$CO$16</formula1>
    </dataValidation>
    <dataValidation type="list" allowBlank="1" showInputMessage="1" showErrorMessage="1" sqref="BG60 LC60 UY60 AEU60 AOQ60 AYM60 BII60 BSE60 CCA60 CLW60 CVS60 DFO60 DPK60 DZG60 EJC60 ESY60 FCU60 FMQ60 FWM60 GGI60 GQE60 HAA60 HJW60 HTS60 IDO60 INK60 IXG60 JHC60 JQY60 KAU60 KKQ60 KUM60 LEI60 LOE60 LYA60 MHW60 MRS60 NBO60 NLK60 NVG60 OFC60 OOY60 OYU60 PIQ60 PSM60 QCI60 QME60 QWA60 RFW60 RPS60 RZO60 SJK60 STG60 TDC60 TMY60 TWU60 UGQ60 UQM60 VAI60 VKE60 VUA60 WDW60 WNS60 WXO60 BG65596 LC65596 UY65596 AEU65596 AOQ65596 AYM65596 BII65596 BSE65596 CCA65596 CLW65596 CVS65596 DFO65596 DPK65596 DZG65596 EJC65596 ESY65596 FCU65596 FMQ65596 FWM65596 GGI65596 GQE65596 HAA65596 HJW65596 HTS65596 IDO65596 INK65596 IXG65596 JHC65596 JQY65596 KAU65596 KKQ65596 KUM65596 LEI65596 LOE65596 LYA65596 MHW65596 MRS65596 NBO65596 NLK65596 NVG65596 OFC65596 OOY65596 OYU65596 PIQ65596 PSM65596 QCI65596 QME65596 QWA65596 RFW65596 RPS65596 RZO65596 SJK65596 STG65596 TDC65596 TMY65596 TWU65596 UGQ65596 UQM65596 VAI65596 VKE65596 VUA65596 WDW65596 WNS65596 WXO65596 BG131132 LC131132 UY131132 AEU131132 AOQ131132 AYM131132 BII131132 BSE131132 CCA131132 CLW131132 CVS131132 DFO131132 DPK131132 DZG131132 EJC131132 ESY131132 FCU131132 FMQ131132 FWM131132 GGI131132 GQE131132 HAA131132 HJW131132 HTS131132 IDO131132 INK131132 IXG131132 JHC131132 JQY131132 KAU131132 KKQ131132 KUM131132 LEI131132 LOE131132 LYA131132 MHW131132 MRS131132 NBO131132 NLK131132 NVG131132 OFC131132 OOY131132 OYU131132 PIQ131132 PSM131132 QCI131132 QME131132 QWA131132 RFW131132 RPS131132 RZO131132 SJK131132 STG131132 TDC131132 TMY131132 TWU131132 UGQ131132 UQM131132 VAI131132 VKE131132 VUA131132 WDW131132 WNS131132 WXO131132 BG196668 LC196668 UY196668 AEU196668 AOQ196668 AYM196668 BII196668 BSE196668 CCA196668 CLW196668 CVS196668 DFO196668 DPK196668 DZG196668 EJC196668 ESY196668 FCU196668 FMQ196668 FWM196668 GGI196668 GQE196668 HAA196668 HJW196668 HTS196668 IDO196668 INK196668 IXG196668 JHC196668 JQY196668 KAU196668 KKQ196668 KUM196668 LEI196668 LOE196668 LYA196668 MHW196668 MRS196668 NBO196668 NLK196668 NVG196668 OFC196668 OOY196668 OYU196668 PIQ196668 PSM196668 QCI196668 QME196668 QWA196668 RFW196668 RPS196668 RZO196668 SJK196668 STG196668 TDC196668 TMY196668 TWU196668 UGQ196668 UQM196668 VAI196668 VKE196668 VUA196668 WDW196668 WNS196668 WXO196668 BG262204 LC262204 UY262204 AEU262204 AOQ262204 AYM262204 BII262204 BSE262204 CCA262204 CLW262204 CVS262204 DFO262204 DPK262204 DZG262204 EJC262204 ESY262204 FCU262204 FMQ262204 FWM262204 GGI262204 GQE262204 HAA262204 HJW262204 HTS262204 IDO262204 INK262204 IXG262204 JHC262204 JQY262204 KAU262204 KKQ262204 KUM262204 LEI262204 LOE262204 LYA262204 MHW262204 MRS262204 NBO262204 NLK262204 NVG262204 OFC262204 OOY262204 OYU262204 PIQ262204 PSM262204 QCI262204 QME262204 QWA262204 RFW262204 RPS262204 RZO262204 SJK262204 STG262204 TDC262204 TMY262204 TWU262204 UGQ262204 UQM262204 VAI262204 VKE262204 VUA262204 WDW262204 WNS262204 WXO262204 BG327740 LC327740 UY327740 AEU327740 AOQ327740 AYM327740 BII327740 BSE327740 CCA327740 CLW327740 CVS327740 DFO327740 DPK327740 DZG327740 EJC327740 ESY327740 FCU327740 FMQ327740 FWM327740 GGI327740 GQE327740 HAA327740 HJW327740 HTS327740 IDO327740 INK327740 IXG327740 JHC327740 JQY327740 KAU327740 KKQ327740 KUM327740 LEI327740 LOE327740 LYA327740 MHW327740 MRS327740 NBO327740 NLK327740 NVG327740 OFC327740 OOY327740 OYU327740 PIQ327740 PSM327740 QCI327740 QME327740 QWA327740 RFW327740 RPS327740 RZO327740 SJK327740 STG327740 TDC327740 TMY327740 TWU327740 UGQ327740 UQM327740 VAI327740 VKE327740 VUA327740 WDW327740 WNS327740 WXO327740 BG393276 LC393276 UY393276 AEU393276 AOQ393276 AYM393276 BII393276 BSE393276 CCA393276 CLW393276 CVS393276 DFO393276 DPK393276 DZG393276 EJC393276 ESY393276 FCU393276 FMQ393276 FWM393276 GGI393276 GQE393276 HAA393276 HJW393276 HTS393276 IDO393276 INK393276 IXG393276 JHC393276 JQY393276 KAU393276 KKQ393276 KUM393276 LEI393276 LOE393276 LYA393276 MHW393276 MRS393276 NBO393276 NLK393276 NVG393276 OFC393276 OOY393276 OYU393276 PIQ393276 PSM393276 QCI393276 QME393276 QWA393276 RFW393276 RPS393276 RZO393276 SJK393276 STG393276 TDC393276 TMY393276 TWU393276 UGQ393276 UQM393276 VAI393276 VKE393276 VUA393276 WDW393276 WNS393276 WXO393276 BG458812 LC458812 UY458812 AEU458812 AOQ458812 AYM458812 BII458812 BSE458812 CCA458812 CLW458812 CVS458812 DFO458812 DPK458812 DZG458812 EJC458812 ESY458812 FCU458812 FMQ458812 FWM458812 GGI458812 GQE458812 HAA458812 HJW458812 HTS458812 IDO458812 INK458812 IXG458812 JHC458812 JQY458812 KAU458812 KKQ458812 KUM458812 LEI458812 LOE458812 LYA458812 MHW458812 MRS458812 NBO458812 NLK458812 NVG458812 OFC458812 OOY458812 OYU458812 PIQ458812 PSM458812 QCI458812 QME458812 QWA458812 RFW458812 RPS458812 RZO458812 SJK458812 STG458812 TDC458812 TMY458812 TWU458812 UGQ458812 UQM458812 VAI458812 VKE458812 VUA458812 WDW458812 WNS458812 WXO458812 BG524348 LC524348 UY524348 AEU524348 AOQ524348 AYM524348 BII524348 BSE524348 CCA524348 CLW524348 CVS524348 DFO524348 DPK524348 DZG524348 EJC524348 ESY524348 FCU524348 FMQ524348 FWM524348 GGI524348 GQE524348 HAA524348 HJW524348 HTS524348 IDO524348 INK524348 IXG524348 JHC524348 JQY524348 KAU524348 KKQ524348 KUM524348 LEI524348 LOE524348 LYA524348 MHW524348 MRS524348 NBO524348 NLK524348 NVG524348 OFC524348 OOY524348 OYU524348 PIQ524348 PSM524348 QCI524348 QME524348 QWA524348 RFW524348 RPS524348 RZO524348 SJK524348 STG524348 TDC524348 TMY524348 TWU524348 UGQ524348 UQM524348 VAI524348 VKE524348 VUA524348 WDW524348 WNS524348 WXO524348 BG589884 LC589884 UY589884 AEU589884 AOQ589884 AYM589884 BII589884 BSE589884 CCA589884 CLW589884 CVS589884 DFO589884 DPK589884 DZG589884 EJC589884 ESY589884 FCU589884 FMQ589884 FWM589884 GGI589884 GQE589884 HAA589884 HJW589884 HTS589884 IDO589884 INK589884 IXG589884 JHC589884 JQY589884 KAU589884 KKQ589884 KUM589884 LEI589884 LOE589884 LYA589884 MHW589884 MRS589884 NBO589884 NLK589884 NVG589884 OFC589884 OOY589884 OYU589884 PIQ589884 PSM589884 QCI589884 QME589884 QWA589884 RFW589884 RPS589884 RZO589884 SJK589884 STG589884 TDC589884 TMY589884 TWU589884 UGQ589884 UQM589884 VAI589884 VKE589884 VUA589884 WDW589884 WNS589884 WXO589884 BG655420 LC655420 UY655420 AEU655420 AOQ655420 AYM655420 BII655420 BSE655420 CCA655420 CLW655420 CVS655420 DFO655420 DPK655420 DZG655420 EJC655420 ESY655420 FCU655420 FMQ655420 FWM655420 GGI655420 GQE655420 HAA655420 HJW655420 HTS655420 IDO655420 INK655420 IXG655420 JHC655420 JQY655420 KAU655420 KKQ655420 KUM655420 LEI655420 LOE655420 LYA655420 MHW655420 MRS655420 NBO655420 NLK655420 NVG655420 OFC655420 OOY655420 OYU655420 PIQ655420 PSM655420 QCI655420 QME655420 QWA655420 RFW655420 RPS655420 RZO655420 SJK655420 STG655420 TDC655420 TMY655420 TWU655420 UGQ655420 UQM655420 VAI655420 VKE655420 VUA655420 WDW655420 WNS655420 WXO655420 BG720956 LC720956 UY720956 AEU720956 AOQ720956 AYM720956 BII720956 BSE720956 CCA720956 CLW720956 CVS720956 DFO720956 DPK720956 DZG720956 EJC720956 ESY720956 FCU720956 FMQ720956 FWM720956 GGI720956 GQE720956 HAA720956 HJW720956 HTS720956 IDO720956 INK720956 IXG720956 JHC720956 JQY720956 KAU720956 KKQ720956 KUM720956 LEI720956 LOE720956 LYA720956 MHW720956 MRS720956 NBO720956 NLK720956 NVG720956 OFC720956 OOY720956 OYU720956 PIQ720956 PSM720956 QCI720956 QME720956 QWA720956 RFW720956 RPS720956 RZO720956 SJK720956 STG720956 TDC720956 TMY720956 TWU720956 UGQ720956 UQM720956 VAI720956 VKE720956 VUA720956 WDW720956 WNS720956 WXO720956 BG786492 LC786492 UY786492 AEU786492 AOQ786492 AYM786492 BII786492 BSE786492 CCA786492 CLW786492 CVS786492 DFO786492 DPK786492 DZG786492 EJC786492 ESY786492 FCU786492 FMQ786492 FWM786492 GGI786492 GQE786492 HAA786492 HJW786492 HTS786492 IDO786492 INK786492 IXG786492 JHC786492 JQY786492 KAU786492 KKQ786492 KUM786492 LEI786492 LOE786492 LYA786492 MHW786492 MRS786492 NBO786492 NLK786492 NVG786492 OFC786492 OOY786492 OYU786492 PIQ786492 PSM786492 QCI786492 QME786492 QWA786492 RFW786492 RPS786492 RZO786492 SJK786492 STG786492 TDC786492 TMY786492 TWU786492 UGQ786492 UQM786492 VAI786492 VKE786492 VUA786492 WDW786492 WNS786492 WXO786492 BG852028 LC852028 UY852028 AEU852028 AOQ852028 AYM852028 BII852028 BSE852028 CCA852028 CLW852028 CVS852028 DFO852028 DPK852028 DZG852028 EJC852028 ESY852028 FCU852028 FMQ852028 FWM852028 GGI852028 GQE852028 HAA852028 HJW852028 HTS852028 IDO852028 INK852028 IXG852028 JHC852028 JQY852028 KAU852028 KKQ852028 KUM852028 LEI852028 LOE852028 LYA852028 MHW852028 MRS852028 NBO852028 NLK852028 NVG852028 OFC852028 OOY852028 OYU852028 PIQ852028 PSM852028 QCI852028 QME852028 QWA852028 RFW852028 RPS852028 RZO852028 SJK852028 STG852028 TDC852028 TMY852028 TWU852028 UGQ852028 UQM852028 VAI852028 VKE852028 VUA852028 WDW852028 WNS852028 WXO852028 BG917564 LC917564 UY917564 AEU917564 AOQ917564 AYM917564 BII917564 BSE917564 CCA917564 CLW917564 CVS917564 DFO917564 DPK917564 DZG917564 EJC917564 ESY917564 FCU917564 FMQ917564 FWM917564 GGI917564 GQE917564 HAA917564 HJW917564 HTS917564 IDO917564 INK917564 IXG917564 JHC917564 JQY917564 KAU917564 KKQ917564 KUM917564 LEI917564 LOE917564 LYA917564 MHW917564 MRS917564 NBO917564 NLK917564 NVG917564 OFC917564 OOY917564 OYU917564 PIQ917564 PSM917564 QCI917564 QME917564 QWA917564 RFW917564 RPS917564 RZO917564 SJK917564 STG917564 TDC917564 TMY917564 TWU917564 UGQ917564 UQM917564 VAI917564 VKE917564 VUA917564 WDW917564 WNS917564 WXO917564 BG983100 LC983100 UY983100 AEU983100 AOQ983100 AYM983100 BII983100 BSE983100 CCA983100 CLW983100 CVS983100 DFO983100 DPK983100 DZG983100 EJC983100 ESY983100 FCU983100 FMQ983100 FWM983100 GGI983100 GQE983100 HAA983100 HJW983100 HTS983100 IDO983100 INK983100 IXG983100 JHC983100 JQY983100 KAU983100 KKQ983100 KUM983100 LEI983100 LOE983100 LYA983100 MHW983100 MRS983100 NBO983100 NLK983100 NVG983100 OFC983100 OOY983100 OYU983100 PIQ983100 PSM983100 QCI983100 QME983100 QWA983100 RFW983100 RPS983100 RZO983100 SJK983100 STG983100 TDC983100 TMY983100 TWU983100 UGQ983100 UQM983100 VAI983100 VKE983100 VUA983100 WDW983100 WNS983100 WXO983100 D162:E162 IZ162:JA162 SV162:SW162 ACR162:ACS162 AMN162:AMO162 AWJ162:AWK162 BGF162:BGG162 BQB162:BQC162 BZX162:BZY162 CJT162:CJU162 CTP162:CTQ162 DDL162:DDM162 DNH162:DNI162 DXD162:DXE162 EGZ162:EHA162 EQV162:EQW162 FAR162:FAS162 FKN162:FKO162 FUJ162:FUK162 GEF162:GEG162 GOB162:GOC162 GXX162:GXY162 HHT162:HHU162 HRP162:HRQ162 IBL162:IBM162 ILH162:ILI162 IVD162:IVE162 JEZ162:JFA162 JOV162:JOW162 JYR162:JYS162 KIN162:KIO162 KSJ162:KSK162 LCF162:LCG162 LMB162:LMC162 LVX162:LVY162 MFT162:MFU162 MPP162:MPQ162 MZL162:MZM162 NJH162:NJI162 NTD162:NTE162 OCZ162:ODA162 OMV162:OMW162 OWR162:OWS162 PGN162:PGO162 PQJ162:PQK162 QAF162:QAG162 QKB162:QKC162 QTX162:QTY162 RDT162:RDU162 RNP162:RNQ162 RXL162:RXM162 SHH162:SHI162 SRD162:SRE162 TAZ162:TBA162 TKV162:TKW162 TUR162:TUS162 UEN162:UEO162 UOJ162:UOK162 UYF162:UYG162 VIB162:VIC162 VRX162:VRY162 WBT162:WBU162 WLP162:WLQ162 WVL162:WVM162 D65698:E65698 IZ65698:JA65698 SV65698:SW65698 ACR65698:ACS65698 AMN65698:AMO65698 AWJ65698:AWK65698 BGF65698:BGG65698 BQB65698:BQC65698 BZX65698:BZY65698 CJT65698:CJU65698 CTP65698:CTQ65698 DDL65698:DDM65698 DNH65698:DNI65698 DXD65698:DXE65698 EGZ65698:EHA65698 EQV65698:EQW65698 FAR65698:FAS65698 FKN65698:FKO65698 FUJ65698:FUK65698 GEF65698:GEG65698 GOB65698:GOC65698 GXX65698:GXY65698 HHT65698:HHU65698 HRP65698:HRQ65698 IBL65698:IBM65698 ILH65698:ILI65698 IVD65698:IVE65698 JEZ65698:JFA65698 JOV65698:JOW65698 JYR65698:JYS65698 KIN65698:KIO65698 KSJ65698:KSK65698 LCF65698:LCG65698 LMB65698:LMC65698 LVX65698:LVY65698 MFT65698:MFU65698 MPP65698:MPQ65698 MZL65698:MZM65698 NJH65698:NJI65698 NTD65698:NTE65698 OCZ65698:ODA65698 OMV65698:OMW65698 OWR65698:OWS65698 PGN65698:PGO65698 PQJ65698:PQK65698 QAF65698:QAG65698 QKB65698:QKC65698 QTX65698:QTY65698 RDT65698:RDU65698 RNP65698:RNQ65698 RXL65698:RXM65698 SHH65698:SHI65698 SRD65698:SRE65698 TAZ65698:TBA65698 TKV65698:TKW65698 TUR65698:TUS65698 UEN65698:UEO65698 UOJ65698:UOK65698 UYF65698:UYG65698 VIB65698:VIC65698 VRX65698:VRY65698 WBT65698:WBU65698 WLP65698:WLQ65698 WVL65698:WVM65698 D131234:E131234 IZ131234:JA131234 SV131234:SW131234 ACR131234:ACS131234 AMN131234:AMO131234 AWJ131234:AWK131234 BGF131234:BGG131234 BQB131234:BQC131234 BZX131234:BZY131234 CJT131234:CJU131234 CTP131234:CTQ131234 DDL131234:DDM131234 DNH131234:DNI131234 DXD131234:DXE131234 EGZ131234:EHA131234 EQV131234:EQW131234 FAR131234:FAS131234 FKN131234:FKO131234 FUJ131234:FUK131234 GEF131234:GEG131234 GOB131234:GOC131234 GXX131234:GXY131234 HHT131234:HHU131234 HRP131234:HRQ131234 IBL131234:IBM131234 ILH131234:ILI131234 IVD131234:IVE131234 JEZ131234:JFA131234 JOV131234:JOW131234 JYR131234:JYS131234 KIN131234:KIO131234 KSJ131234:KSK131234 LCF131234:LCG131234 LMB131234:LMC131234 LVX131234:LVY131234 MFT131234:MFU131234 MPP131234:MPQ131234 MZL131234:MZM131234 NJH131234:NJI131234 NTD131234:NTE131234 OCZ131234:ODA131234 OMV131234:OMW131234 OWR131234:OWS131234 PGN131234:PGO131234 PQJ131234:PQK131234 QAF131234:QAG131234 QKB131234:QKC131234 QTX131234:QTY131234 RDT131234:RDU131234 RNP131234:RNQ131234 RXL131234:RXM131234 SHH131234:SHI131234 SRD131234:SRE131234 TAZ131234:TBA131234 TKV131234:TKW131234 TUR131234:TUS131234 UEN131234:UEO131234 UOJ131234:UOK131234 UYF131234:UYG131234 VIB131234:VIC131234 VRX131234:VRY131234 WBT131234:WBU131234 WLP131234:WLQ131234 WVL131234:WVM131234 D196770:E196770 IZ196770:JA196770 SV196770:SW196770 ACR196770:ACS196770 AMN196770:AMO196770 AWJ196770:AWK196770 BGF196770:BGG196770 BQB196770:BQC196770 BZX196770:BZY196770 CJT196770:CJU196770 CTP196770:CTQ196770 DDL196770:DDM196770 DNH196770:DNI196770 DXD196770:DXE196770 EGZ196770:EHA196770 EQV196770:EQW196770 FAR196770:FAS196770 FKN196770:FKO196770 FUJ196770:FUK196770 GEF196770:GEG196770 GOB196770:GOC196770 GXX196770:GXY196770 HHT196770:HHU196770 HRP196770:HRQ196770 IBL196770:IBM196770 ILH196770:ILI196770 IVD196770:IVE196770 JEZ196770:JFA196770 JOV196770:JOW196770 JYR196770:JYS196770 KIN196770:KIO196770 KSJ196770:KSK196770 LCF196770:LCG196770 LMB196770:LMC196770 LVX196770:LVY196770 MFT196770:MFU196770 MPP196770:MPQ196770 MZL196770:MZM196770 NJH196770:NJI196770 NTD196770:NTE196770 OCZ196770:ODA196770 OMV196770:OMW196770 OWR196770:OWS196770 PGN196770:PGO196770 PQJ196770:PQK196770 QAF196770:QAG196770 QKB196770:QKC196770 QTX196770:QTY196770 RDT196770:RDU196770 RNP196770:RNQ196770 RXL196770:RXM196770 SHH196770:SHI196770 SRD196770:SRE196770 TAZ196770:TBA196770 TKV196770:TKW196770 TUR196770:TUS196770 UEN196770:UEO196770 UOJ196770:UOK196770 UYF196770:UYG196770 VIB196770:VIC196770 VRX196770:VRY196770 WBT196770:WBU196770 WLP196770:WLQ196770 WVL196770:WVM196770 D262306:E262306 IZ262306:JA262306 SV262306:SW262306 ACR262306:ACS262306 AMN262306:AMO262306 AWJ262306:AWK262306 BGF262306:BGG262306 BQB262306:BQC262306 BZX262306:BZY262306 CJT262306:CJU262306 CTP262306:CTQ262306 DDL262306:DDM262306 DNH262306:DNI262306 DXD262306:DXE262306 EGZ262306:EHA262306 EQV262306:EQW262306 FAR262306:FAS262306 FKN262306:FKO262306 FUJ262306:FUK262306 GEF262306:GEG262306 GOB262306:GOC262306 GXX262306:GXY262306 HHT262306:HHU262306 HRP262306:HRQ262306 IBL262306:IBM262306 ILH262306:ILI262306 IVD262306:IVE262306 JEZ262306:JFA262306 JOV262306:JOW262306 JYR262306:JYS262306 KIN262306:KIO262306 KSJ262306:KSK262306 LCF262306:LCG262306 LMB262306:LMC262306 LVX262306:LVY262306 MFT262306:MFU262306 MPP262306:MPQ262306 MZL262306:MZM262306 NJH262306:NJI262306 NTD262306:NTE262306 OCZ262306:ODA262306 OMV262306:OMW262306 OWR262306:OWS262306 PGN262306:PGO262306 PQJ262306:PQK262306 QAF262306:QAG262306 QKB262306:QKC262306 QTX262306:QTY262306 RDT262306:RDU262306 RNP262306:RNQ262306 RXL262306:RXM262306 SHH262306:SHI262306 SRD262306:SRE262306 TAZ262306:TBA262306 TKV262306:TKW262306 TUR262306:TUS262306 UEN262306:UEO262306 UOJ262306:UOK262306 UYF262306:UYG262306 VIB262306:VIC262306 VRX262306:VRY262306 WBT262306:WBU262306 WLP262306:WLQ262306 WVL262306:WVM262306 D327842:E327842 IZ327842:JA327842 SV327842:SW327842 ACR327842:ACS327842 AMN327842:AMO327842 AWJ327842:AWK327842 BGF327842:BGG327842 BQB327842:BQC327842 BZX327842:BZY327842 CJT327842:CJU327842 CTP327842:CTQ327842 DDL327842:DDM327842 DNH327842:DNI327842 DXD327842:DXE327842 EGZ327842:EHA327842 EQV327842:EQW327842 FAR327842:FAS327842 FKN327842:FKO327842 FUJ327842:FUK327842 GEF327842:GEG327842 GOB327842:GOC327842 GXX327842:GXY327842 HHT327842:HHU327842 HRP327842:HRQ327842 IBL327842:IBM327842 ILH327842:ILI327842 IVD327842:IVE327842 JEZ327842:JFA327842 JOV327842:JOW327842 JYR327842:JYS327842 KIN327842:KIO327842 KSJ327842:KSK327842 LCF327842:LCG327842 LMB327842:LMC327842 LVX327842:LVY327842 MFT327842:MFU327842 MPP327842:MPQ327842 MZL327842:MZM327842 NJH327842:NJI327842 NTD327842:NTE327842 OCZ327842:ODA327842 OMV327842:OMW327842 OWR327842:OWS327842 PGN327842:PGO327842 PQJ327842:PQK327842 QAF327842:QAG327842 QKB327842:QKC327842 QTX327842:QTY327842 RDT327842:RDU327842 RNP327842:RNQ327842 RXL327842:RXM327842 SHH327842:SHI327842 SRD327842:SRE327842 TAZ327842:TBA327842 TKV327842:TKW327842 TUR327842:TUS327842 UEN327842:UEO327842 UOJ327842:UOK327842 UYF327842:UYG327842 VIB327842:VIC327842 VRX327842:VRY327842 WBT327842:WBU327842 WLP327842:WLQ327842 WVL327842:WVM327842 D393378:E393378 IZ393378:JA393378 SV393378:SW393378 ACR393378:ACS393378 AMN393378:AMO393378 AWJ393378:AWK393378 BGF393378:BGG393378 BQB393378:BQC393378 BZX393378:BZY393378 CJT393378:CJU393378 CTP393378:CTQ393378 DDL393378:DDM393378 DNH393378:DNI393378 DXD393378:DXE393378 EGZ393378:EHA393378 EQV393378:EQW393378 FAR393378:FAS393378 FKN393378:FKO393378 FUJ393378:FUK393378 GEF393378:GEG393378 GOB393378:GOC393378 GXX393378:GXY393378 HHT393378:HHU393378 HRP393378:HRQ393378 IBL393378:IBM393378 ILH393378:ILI393378 IVD393378:IVE393378 JEZ393378:JFA393378 JOV393378:JOW393378 JYR393378:JYS393378 KIN393378:KIO393378 KSJ393378:KSK393378 LCF393378:LCG393378 LMB393378:LMC393378 LVX393378:LVY393378 MFT393378:MFU393378 MPP393378:MPQ393378 MZL393378:MZM393378 NJH393378:NJI393378 NTD393378:NTE393378 OCZ393378:ODA393378 OMV393378:OMW393378 OWR393378:OWS393378 PGN393378:PGO393378 PQJ393378:PQK393378 QAF393378:QAG393378 QKB393378:QKC393378 QTX393378:QTY393378 RDT393378:RDU393378 RNP393378:RNQ393378 RXL393378:RXM393378 SHH393378:SHI393378 SRD393378:SRE393378 TAZ393378:TBA393378 TKV393378:TKW393378 TUR393378:TUS393378 UEN393378:UEO393378 UOJ393378:UOK393378 UYF393378:UYG393378 VIB393378:VIC393378 VRX393378:VRY393378 WBT393378:WBU393378 WLP393378:WLQ393378 WVL393378:WVM393378 D458914:E458914 IZ458914:JA458914 SV458914:SW458914 ACR458914:ACS458914 AMN458914:AMO458914 AWJ458914:AWK458914 BGF458914:BGG458914 BQB458914:BQC458914 BZX458914:BZY458914 CJT458914:CJU458914 CTP458914:CTQ458914 DDL458914:DDM458914 DNH458914:DNI458914 DXD458914:DXE458914 EGZ458914:EHA458914 EQV458914:EQW458914 FAR458914:FAS458914 FKN458914:FKO458914 FUJ458914:FUK458914 GEF458914:GEG458914 GOB458914:GOC458914 GXX458914:GXY458914 HHT458914:HHU458914 HRP458914:HRQ458914 IBL458914:IBM458914 ILH458914:ILI458914 IVD458914:IVE458914 JEZ458914:JFA458914 JOV458914:JOW458914 JYR458914:JYS458914 KIN458914:KIO458914 KSJ458914:KSK458914 LCF458914:LCG458914 LMB458914:LMC458914 LVX458914:LVY458914 MFT458914:MFU458914 MPP458914:MPQ458914 MZL458914:MZM458914 NJH458914:NJI458914 NTD458914:NTE458914 OCZ458914:ODA458914 OMV458914:OMW458914 OWR458914:OWS458914 PGN458914:PGO458914 PQJ458914:PQK458914 QAF458914:QAG458914 QKB458914:QKC458914 QTX458914:QTY458914 RDT458914:RDU458914 RNP458914:RNQ458914 RXL458914:RXM458914 SHH458914:SHI458914 SRD458914:SRE458914 TAZ458914:TBA458914 TKV458914:TKW458914 TUR458914:TUS458914 UEN458914:UEO458914 UOJ458914:UOK458914 UYF458914:UYG458914 VIB458914:VIC458914 VRX458914:VRY458914 WBT458914:WBU458914 WLP458914:WLQ458914 WVL458914:WVM458914 D524450:E524450 IZ524450:JA524450 SV524450:SW524450 ACR524450:ACS524450 AMN524450:AMO524450 AWJ524450:AWK524450 BGF524450:BGG524450 BQB524450:BQC524450 BZX524450:BZY524450 CJT524450:CJU524450 CTP524450:CTQ524450 DDL524450:DDM524450 DNH524450:DNI524450 DXD524450:DXE524450 EGZ524450:EHA524450 EQV524450:EQW524450 FAR524450:FAS524450 FKN524450:FKO524450 FUJ524450:FUK524450 GEF524450:GEG524450 GOB524450:GOC524450 GXX524450:GXY524450 HHT524450:HHU524450 HRP524450:HRQ524450 IBL524450:IBM524450 ILH524450:ILI524450 IVD524450:IVE524450 JEZ524450:JFA524450 JOV524450:JOW524450 JYR524450:JYS524450 KIN524450:KIO524450 KSJ524450:KSK524450 LCF524450:LCG524450 LMB524450:LMC524450 LVX524450:LVY524450 MFT524450:MFU524450 MPP524450:MPQ524450 MZL524450:MZM524450 NJH524450:NJI524450 NTD524450:NTE524450 OCZ524450:ODA524450 OMV524450:OMW524450 OWR524450:OWS524450 PGN524450:PGO524450 PQJ524450:PQK524450 QAF524450:QAG524450 QKB524450:QKC524450 QTX524450:QTY524450 RDT524450:RDU524450 RNP524450:RNQ524450 RXL524450:RXM524450 SHH524450:SHI524450 SRD524450:SRE524450 TAZ524450:TBA524450 TKV524450:TKW524450 TUR524450:TUS524450 UEN524450:UEO524450 UOJ524450:UOK524450 UYF524450:UYG524450 VIB524450:VIC524450 VRX524450:VRY524450 WBT524450:WBU524450 WLP524450:WLQ524450 WVL524450:WVM524450 D589986:E589986 IZ589986:JA589986 SV589986:SW589986 ACR589986:ACS589986 AMN589986:AMO589986 AWJ589986:AWK589986 BGF589986:BGG589986 BQB589986:BQC589986 BZX589986:BZY589986 CJT589986:CJU589986 CTP589986:CTQ589986 DDL589986:DDM589986 DNH589986:DNI589986 DXD589986:DXE589986 EGZ589986:EHA589986 EQV589986:EQW589986 FAR589986:FAS589986 FKN589986:FKO589986 FUJ589986:FUK589986 GEF589986:GEG589986 GOB589986:GOC589986 GXX589986:GXY589986 HHT589986:HHU589986 HRP589986:HRQ589986 IBL589986:IBM589986 ILH589986:ILI589986 IVD589986:IVE589986 JEZ589986:JFA589986 JOV589986:JOW589986 JYR589986:JYS589986 KIN589986:KIO589986 KSJ589986:KSK589986 LCF589986:LCG589986 LMB589986:LMC589986 LVX589986:LVY589986 MFT589986:MFU589986 MPP589986:MPQ589986 MZL589986:MZM589986 NJH589986:NJI589986 NTD589986:NTE589986 OCZ589986:ODA589986 OMV589986:OMW589986 OWR589986:OWS589986 PGN589986:PGO589986 PQJ589986:PQK589986 QAF589986:QAG589986 QKB589986:QKC589986 QTX589986:QTY589986 RDT589986:RDU589986 RNP589986:RNQ589986 RXL589986:RXM589986 SHH589986:SHI589986 SRD589986:SRE589986 TAZ589986:TBA589986 TKV589986:TKW589986 TUR589986:TUS589986 UEN589986:UEO589986 UOJ589986:UOK589986 UYF589986:UYG589986 VIB589986:VIC589986 VRX589986:VRY589986 WBT589986:WBU589986 WLP589986:WLQ589986 WVL589986:WVM589986 D655522:E655522 IZ655522:JA655522 SV655522:SW655522 ACR655522:ACS655522 AMN655522:AMO655522 AWJ655522:AWK655522 BGF655522:BGG655522 BQB655522:BQC655522 BZX655522:BZY655522 CJT655522:CJU655522 CTP655522:CTQ655522 DDL655522:DDM655522 DNH655522:DNI655522 DXD655522:DXE655522 EGZ655522:EHA655522 EQV655522:EQW655522 FAR655522:FAS655522 FKN655522:FKO655522 FUJ655522:FUK655522 GEF655522:GEG655522 GOB655522:GOC655522 GXX655522:GXY655522 HHT655522:HHU655522 HRP655522:HRQ655522 IBL655522:IBM655522 ILH655522:ILI655522 IVD655522:IVE655522 JEZ655522:JFA655522 JOV655522:JOW655522 JYR655522:JYS655522 KIN655522:KIO655522 KSJ655522:KSK655522 LCF655522:LCG655522 LMB655522:LMC655522 LVX655522:LVY655522 MFT655522:MFU655522 MPP655522:MPQ655522 MZL655522:MZM655522 NJH655522:NJI655522 NTD655522:NTE655522 OCZ655522:ODA655522 OMV655522:OMW655522 OWR655522:OWS655522 PGN655522:PGO655522 PQJ655522:PQK655522 QAF655522:QAG655522 QKB655522:QKC655522 QTX655522:QTY655522 RDT655522:RDU655522 RNP655522:RNQ655522 RXL655522:RXM655522 SHH655522:SHI655522 SRD655522:SRE655522 TAZ655522:TBA655522 TKV655522:TKW655522 TUR655522:TUS655522 UEN655522:UEO655522 UOJ655522:UOK655522 UYF655522:UYG655522 VIB655522:VIC655522 VRX655522:VRY655522 WBT655522:WBU655522 WLP655522:WLQ655522 WVL655522:WVM655522 D721058:E721058 IZ721058:JA721058 SV721058:SW721058 ACR721058:ACS721058 AMN721058:AMO721058 AWJ721058:AWK721058 BGF721058:BGG721058 BQB721058:BQC721058 BZX721058:BZY721058 CJT721058:CJU721058 CTP721058:CTQ721058 DDL721058:DDM721058 DNH721058:DNI721058 DXD721058:DXE721058 EGZ721058:EHA721058 EQV721058:EQW721058 FAR721058:FAS721058 FKN721058:FKO721058 FUJ721058:FUK721058 GEF721058:GEG721058 GOB721058:GOC721058 GXX721058:GXY721058 HHT721058:HHU721058 HRP721058:HRQ721058 IBL721058:IBM721058 ILH721058:ILI721058 IVD721058:IVE721058 JEZ721058:JFA721058 JOV721058:JOW721058 JYR721058:JYS721058 KIN721058:KIO721058 KSJ721058:KSK721058 LCF721058:LCG721058 LMB721058:LMC721058 LVX721058:LVY721058 MFT721058:MFU721058 MPP721058:MPQ721058 MZL721058:MZM721058 NJH721058:NJI721058 NTD721058:NTE721058 OCZ721058:ODA721058 OMV721058:OMW721058 OWR721058:OWS721058 PGN721058:PGO721058 PQJ721058:PQK721058 QAF721058:QAG721058 QKB721058:QKC721058 QTX721058:QTY721058 RDT721058:RDU721058 RNP721058:RNQ721058 RXL721058:RXM721058 SHH721058:SHI721058 SRD721058:SRE721058 TAZ721058:TBA721058 TKV721058:TKW721058 TUR721058:TUS721058 UEN721058:UEO721058 UOJ721058:UOK721058 UYF721058:UYG721058 VIB721058:VIC721058 VRX721058:VRY721058 WBT721058:WBU721058 WLP721058:WLQ721058 WVL721058:WVM721058 D786594:E786594 IZ786594:JA786594 SV786594:SW786594 ACR786594:ACS786594 AMN786594:AMO786594 AWJ786594:AWK786594 BGF786594:BGG786594 BQB786594:BQC786594 BZX786594:BZY786594 CJT786594:CJU786594 CTP786594:CTQ786594 DDL786594:DDM786594 DNH786594:DNI786594 DXD786594:DXE786594 EGZ786594:EHA786594 EQV786594:EQW786594 FAR786594:FAS786594 FKN786594:FKO786594 FUJ786594:FUK786594 GEF786594:GEG786594 GOB786594:GOC786594 GXX786594:GXY786594 HHT786594:HHU786594 HRP786594:HRQ786594 IBL786594:IBM786594 ILH786594:ILI786594 IVD786594:IVE786594 JEZ786594:JFA786594 JOV786594:JOW786594 JYR786594:JYS786594 KIN786594:KIO786594 KSJ786594:KSK786594 LCF786594:LCG786594 LMB786594:LMC786594 LVX786594:LVY786594 MFT786594:MFU786594 MPP786594:MPQ786594 MZL786594:MZM786594 NJH786594:NJI786594 NTD786594:NTE786594 OCZ786594:ODA786594 OMV786594:OMW786594 OWR786594:OWS786594 PGN786594:PGO786594 PQJ786594:PQK786594 QAF786594:QAG786594 QKB786594:QKC786594 QTX786594:QTY786594 RDT786594:RDU786594 RNP786594:RNQ786594 RXL786594:RXM786594 SHH786594:SHI786594 SRD786594:SRE786594 TAZ786594:TBA786594 TKV786594:TKW786594 TUR786594:TUS786594 UEN786594:UEO786594 UOJ786594:UOK786594 UYF786594:UYG786594 VIB786594:VIC786594 VRX786594:VRY786594 WBT786594:WBU786594 WLP786594:WLQ786594 WVL786594:WVM786594 D852130:E852130 IZ852130:JA852130 SV852130:SW852130 ACR852130:ACS852130 AMN852130:AMO852130 AWJ852130:AWK852130 BGF852130:BGG852130 BQB852130:BQC852130 BZX852130:BZY852130 CJT852130:CJU852130 CTP852130:CTQ852130 DDL852130:DDM852130 DNH852130:DNI852130 DXD852130:DXE852130 EGZ852130:EHA852130 EQV852130:EQW852130 FAR852130:FAS852130 FKN852130:FKO852130 FUJ852130:FUK852130 GEF852130:GEG852130 GOB852130:GOC852130 GXX852130:GXY852130 HHT852130:HHU852130 HRP852130:HRQ852130 IBL852130:IBM852130 ILH852130:ILI852130 IVD852130:IVE852130 JEZ852130:JFA852130 JOV852130:JOW852130 JYR852130:JYS852130 KIN852130:KIO852130 KSJ852130:KSK852130 LCF852130:LCG852130 LMB852130:LMC852130 LVX852130:LVY852130 MFT852130:MFU852130 MPP852130:MPQ852130 MZL852130:MZM852130 NJH852130:NJI852130 NTD852130:NTE852130 OCZ852130:ODA852130 OMV852130:OMW852130 OWR852130:OWS852130 PGN852130:PGO852130 PQJ852130:PQK852130 QAF852130:QAG852130 QKB852130:QKC852130 QTX852130:QTY852130 RDT852130:RDU852130 RNP852130:RNQ852130 RXL852130:RXM852130 SHH852130:SHI852130 SRD852130:SRE852130 TAZ852130:TBA852130 TKV852130:TKW852130 TUR852130:TUS852130 UEN852130:UEO852130 UOJ852130:UOK852130 UYF852130:UYG852130 VIB852130:VIC852130 VRX852130:VRY852130 WBT852130:WBU852130 WLP852130:WLQ852130 WVL852130:WVM852130 D917666:E917666 IZ917666:JA917666 SV917666:SW917666 ACR917666:ACS917666 AMN917666:AMO917666 AWJ917666:AWK917666 BGF917666:BGG917666 BQB917666:BQC917666 BZX917666:BZY917666 CJT917666:CJU917666 CTP917666:CTQ917666 DDL917666:DDM917666 DNH917666:DNI917666 DXD917666:DXE917666 EGZ917666:EHA917666 EQV917666:EQW917666 FAR917666:FAS917666 FKN917666:FKO917666 FUJ917666:FUK917666 GEF917666:GEG917666 GOB917666:GOC917666 GXX917666:GXY917666 HHT917666:HHU917666 HRP917666:HRQ917666 IBL917666:IBM917666 ILH917666:ILI917666 IVD917666:IVE917666 JEZ917666:JFA917666 JOV917666:JOW917666 JYR917666:JYS917666 KIN917666:KIO917666 KSJ917666:KSK917666 LCF917666:LCG917666 LMB917666:LMC917666 LVX917666:LVY917666 MFT917666:MFU917666 MPP917666:MPQ917666 MZL917666:MZM917666 NJH917666:NJI917666 NTD917666:NTE917666 OCZ917666:ODA917666 OMV917666:OMW917666 OWR917666:OWS917666 PGN917666:PGO917666 PQJ917666:PQK917666 QAF917666:QAG917666 QKB917666:QKC917666 QTX917666:QTY917666 RDT917666:RDU917666 RNP917666:RNQ917666 RXL917666:RXM917666 SHH917666:SHI917666 SRD917666:SRE917666 TAZ917666:TBA917666 TKV917666:TKW917666 TUR917666:TUS917666 UEN917666:UEO917666 UOJ917666:UOK917666 UYF917666:UYG917666 VIB917666:VIC917666 VRX917666:VRY917666 WBT917666:WBU917666 WLP917666:WLQ917666 WVL917666:WVM917666 D983202:E983202 IZ983202:JA983202 SV983202:SW983202 ACR983202:ACS983202 AMN983202:AMO983202 AWJ983202:AWK983202 BGF983202:BGG983202 BQB983202:BQC983202 BZX983202:BZY983202 CJT983202:CJU983202 CTP983202:CTQ983202 DDL983202:DDM983202 DNH983202:DNI983202 DXD983202:DXE983202 EGZ983202:EHA983202 EQV983202:EQW983202 FAR983202:FAS983202 FKN983202:FKO983202 FUJ983202:FUK983202 GEF983202:GEG983202 GOB983202:GOC983202 GXX983202:GXY983202 HHT983202:HHU983202 HRP983202:HRQ983202 IBL983202:IBM983202 ILH983202:ILI983202 IVD983202:IVE983202 JEZ983202:JFA983202 JOV983202:JOW983202 JYR983202:JYS983202 KIN983202:KIO983202 KSJ983202:KSK983202 LCF983202:LCG983202 LMB983202:LMC983202 LVX983202:LVY983202 MFT983202:MFU983202 MPP983202:MPQ983202 MZL983202:MZM983202 NJH983202:NJI983202 NTD983202:NTE983202 OCZ983202:ODA983202 OMV983202:OMW983202 OWR983202:OWS983202 PGN983202:PGO983202 PQJ983202:PQK983202 QAF983202:QAG983202 QKB983202:QKC983202 QTX983202:QTY983202 RDT983202:RDU983202 RNP983202:RNQ983202 RXL983202:RXM983202 SHH983202:SHI983202 SRD983202:SRE983202 TAZ983202:TBA983202 TKV983202:TKW983202 TUR983202:TUS983202 UEN983202:UEO983202 UOJ983202:UOK983202 UYF983202:UYG983202 VIB983202:VIC983202 VRX983202:VRY983202 WBT983202:WBU983202 WLP983202:WLQ983202 WVL983202:WVM983202" xr:uid="{03386117-6E45-4D31-AFDD-61B573B7DC0E}">
      <formula1>$AN$3:$AN$19</formula1>
    </dataValidation>
    <dataValidation type="list" allowBlank="1" showInputMessage="1" showErrorMessage="1" sqref="BG59 LC59 UY59 AEU59 AOQ59 AYM59 BII59 BSE59 CCA59 CLW59 CVS59 DFO59 DPK59 DZG59 EJC59 ESY59 FCU59 FMQ59 FWM59 GGI59 GQE59 HAA59 HJW59 HTS59 IDO59 INK59 IXG59 JHC59 JQY59 KAU59 KKQ59 KUM59 LEI59 LOE59 LYA59 MHW59 MRS59 NBO59 NLK59 NVG59 OFC59 OOY59 OYU59 PIQ59 PSM59 QCI59 QME59 QWA59 RFW59 RPS59 RZO59 SJK59 STG59 TDC59 TMY59 TWU59 UGQ59 UQM59 VAI59 VKE59 VUA59 WDW59 WNS59 WXO59 BG65595 LC65595 UY65595 AEU65595 AOQ65595 AYM65595 BII65595 BSE65595 CCA65595 CLW65595 CVS65595 DFO65595 DPK65595 DZG65595 EJC65595 ESY65595 FCU65595 FMQ65595 FWM65595 GGI65595 GQE65595 HAA65595 HJW65595 HTS65595 IDO65595 INK65595 IXG65595 JHC65595 JQY65595 KAU65595 KKQ65595 KUM65595 LEI65595 LOE65595 LYA65595 MHW65595 MRS65595 NBO65595 NLK65595 NVG65595 OFC65595 OOY65595 OYU65595 PIQ65595 PSM65595 QCI65595 QME65595 QWA65595 RFW65595 RPS65595 RZO65595 SJK65595 STG65595 TDC65595 TMY65595 TWU65595 UGQ65595 UQM65595 VAI65595 VKE65595 VUA65595 WDW65595 WNS65595 WXO65595 BG131131 LC131131 UY131131 AEU131131 AOQ131131 AYM131131 BII131131 BSE131131 CCA131131 CLW131131 CVS131131 DFO131131 DPK131131 DZG131131 EJC131131 ESY131131 FCU131131 FMQ131131 FWM131131 GGI131131 GQE131131 HAA131131 HJW131131 HTS131131 IDO131131 INK131131 IXG131131 JHC131131 JQY131131 KAU131131 KKQ131131 KUM131131 LEI131131 LOE131131 LYA131131 MHW131131 MRS131131 NBO131131 NLK131131 NVG131131 OFC131131 OOY131131 OYU131131 PIQ131131 PSM131131 QCI131131 QME131131 QWA131131 RFW131131 RPS131131 RZO131131 SJK131131 STG131131 TDC131131 TMY131131 TWU131131 UGQ131131 UQM131131 VAI131131 VKE131131 VUA131131 WDW131131 WNS131131 WXO131131 BG196667 LC196667 UY196667 AEU196667 AOQ196667 AYM196667 BII196667 BSE196667 CCA196667 CLW196667 CVS196667 DFO196667 DPK196667 DZG196667 EJC196667 ESY196667 FCU196667 FMQ196667 FWM196667 GGI196667 GQE196667 HAA196667 HJW196667 HTS196667 IDO196667 INK196667 IXG196667 JHC196667 JQY196667 KAU196667 KKQ196667 KUM196667 LEI196667 LOE196667 LYA196667 MHW196667 MRS196667 NBO196667 NLK196667 NVG196667 OFC196667 OOY196667 OYU196667 PIQ196667 PSM196667 QCI196667 QME196667 QWA196667 RFW196667 RPS196667 RZO196667 SJK196667 STG196667 TDC196667 TMY196667 TWU196667 UGQ196667 UQM196667 VAI196667 VKE196667 VUA196667 WDW196667 WNS196667 WXO196667 BG262203 LC262203 UY262203 AEU262203 AOQ262203 AYM262203 BII262203 BSE262203 CCA262203 CLW262203 CVS262203 DFO262203 DPK262203 DZG262203 EJC262203 ESY262203 FCU262203 FMQ262203 FWM262203 GGI262203 GQE262203 HAA262203 HJW262203 HTS262203 IDO262203 INK262203 IXG262203 JHC262203 JQY262203 KAU262203 KKQ262203 KUM262203 LEI262203 LOE262203 LYA262203 MHW262203 MRS262203 NBO262203 NLK262203 NVG262203 OFC262203 OOY262203 OYU262203 PIQ262203 PSM262203 QCI262203 QME262203 QWA262203 RFW262203 RPS262203 RZO262203 SJK262203 STG262203 TDC262203 TMY262203 TWU262203 UGQ262203 UQM262203 VAI262203 VKE262203 VUA262203 WDW262203 WNS262203 WXO262203 BG327739 LC327739 UY327739 AEU327739 AOQ327739 AYM327739 BII327739 BSE327739 CCA327739 CLW327739 CVS327739 DFO327739 DPK327739 DZG327739 EJC327739 ESY327739 FCU327739 FMQ327739 FWM327739 GGI327739 GQE327739 HAA327739 HJW327739 HTS327739 IDO327739 INK327739 IXG327739 JHC327739 JQY327739 KAU327739 KKQ327739 KUM327739 LEI327739 LOE327739 LYA327739 MHW327739 MRS327739 NBO327739 NLK327739 NVG327739 OFC327739 OOY327739 OYU327739 PIQ327739 PSM327739 QCI327739 QME327739 QWA327739 RFW327739 RPS327739 RZO327739 SJK327739 STG327739 TDC327739 TMY327739 TWU327739 UGQ327739 UQM327739 VAI327739 VKE327739 VUA327739 WDW327739 WNS327739 WXO327739 BG393275 LC393275 UY393275 AEU393275 AOQ393275 AYM393275 BII393275 BSE393275 CCA393275 CLW393275 CVS393275 DFO393275 DPK393275 DZG393275 EJC393275 ESY393275 FCU393275 FMQ393275 FWM393275 GGI393275 GQE393275 HAA393275 HJW393275 HTS393275 IDO393275 INK393275 IXG393275 JHC393275 JQY393275 KAU393275 KKQ393275 KUM393275 LEI393275 LOE393275 LYA393275 MHW393275 MRS393275 NBO393275 NLK393275 NVG393275 OFC393275 OOY393275 OYU393275 PIQ393275 PSM393275 QCI393275 QME393275 QWA393275 RFW393275 RPS393275 RZO393275 SJK393275 STG393275 TDC393275 TMY393275 TWU393275 UGQ393275 UQM393275 VAI393275 VKE393275 VUA393275 WDW393275 WNS393275 WXO393275 BG458811 LC458811 UY458811 AEU458811 AOQ458811 AYM458811 BII458811 BSE458811 CCA458811 CLW458811 CVS458811 DFO458811 DPK458811 DZG458811 EJC458811 ESY458811 FCU458811 FMQ458811 FWM458811 GGI458811 GQE458811 HAA458811 HJW458811 HTS458811 IDO458811 INK458811 IXG458811 JHC458811 JQY458811 KAU458811 KKQ458811 KUM458811 LEI458811 LOE458811 LYA458811 MHW458811 MRS458811 NBO458811 NLK458811 NVG458811 OFC458811 OOY458811 OYU458811 PIQ458811 PSM458811 QCI458811 QME458811 QWA458811 RFW458811 RPS458811 RZO458811 SJK458811 STG458811 TDC458811 TMY458811 TWU458811 UGQ458811 UQM458811 VAI458811 VKE458811 VUA458811 WDW458811 WNS458811 WXO458811 BG524347 LC524347 UY524347 AEU524347 AOQ524347 AYM524347 BII524347 BSE524347 CCA524347 CLW524347 CVS524347 DFO524347 DPK524347 DZG524347 EJC524347 ESY524347 FCU524347 FMQ524347 FWM524347 GGI524347 GQE524347 HAA524347 HJW524347 HTS524347 IDO524347 INK524347 IXG524347 JHC524347 JQY524347 KAU524347 KKQ524347 KUM524347 LEI524347 LOE524347 LYA524347 MHW524347 MRS524347 NBO524347 NLK524347 NVG524347 OFC524347 OOY524347 OYU524347 PIQ524347 PSM524347 QCI524347 QME524347 QWA524347 RFW524347 RPS524347 RZO524347 SJK524347 STG524347 TDC524347 TMY524347 TWU524347 UGQ524347 UQM524347 VAI524347 VKE524347 VUA524347 WDW524347 WNS524347 WXO524347 BG589883 LC589883 UY589883 AEU589883 AOQ589883 AYM589883 BII589883 BSE589883 CCA589883 CLW589883 CVS589883 DFO589883 DPK589883 DZG589883 EJC589883 ESY589883 FCU589883 FMQ589883 FWM589883 GGI589883 GQE589883 HAA589883 HJW589883 HTS589883 IDO589883 INK589883 IXG589883 JHC589883 JQY589883 KAU589883 KKQ589883 KUM589883 LEI589883 LOE589883 LYA589883 MHW589883 MRS589883 NBO589883 NLK589883 NVG589883 OFC589883 OOY589883 OYU589883 PIQ589883 PSM589883 QCI589883 QME589883 QWA589883 RFW589883 RPS589883 RZO589883 SJK589883 STG589883 TDC589883 TMY589883 TWU589883 UGQ589883 UQM589883 VAI589883 VKE589883 VUA589883 WDW589883 WNS589883 WXO589883 BG655419 LC655419 UY655419 AEU655419 AOQ655419 AYM655419 BII655419 BSE655419 CCA655419 CLW655419 CVS655419 DFO655419 DPK655419 DZG655419 EJC655419 ESY655419 FCU655419 FMQ655419 FWM655419 GGI655419 GQE655419 HAA655419 HJW655419 HTS655419 IDO655419 INK655419 IXG655419 JHC655419 JQY655419 KAU655419 KKQ655419 KUM655419 LEI655419 LOE655419 LYA655419 MHW655419 MRS655419 NBO655419 NLK655419 NVG655419 OFC655419 OOY655419 OYU655419 PIQ655419 PSM655419 QCI655419 QME655419 QWA655419 RFW655419 RPS655419 RZO655419 SJK655419 STG655419 TDC655419 TMY655419 TWU655419 UGQ655419 UQM655419 VAI655419 VKE655419 VUA655419 WDW655419 WNS655419 WXO655419 BG720955 LC720955 UY720955 AEU720955 AOQ720955 AYM720955 BII720955 BSE720955 CCA720955 CLW720955 CVS720955 DFO720955 DPK720955 DZG720955 EJC720955 ESY720955 FCU720955 FMQ720955 FWM720955 GGI720955 GQE720955 HAA720955 HJW720955 HTS720955 IDO720955 INK720955 IXG720955 JHC720955 JQY720955 KAU720955 KKQ720955 KUM720955 LEI720955 LOE720955 LYA720955 MHW720955 MRS720955 NBO720955 NLK720955 NVG720955 OFC720955 OOY720955 OYU720955 PIQ720955 PSM720955 QCI720955 QME720955 QWA720955 RFW720955 RPS720955 RZO720955 SJK720955 STG720955 TDC720955 TMY720955 TWU720955 UGQ720955 UQM720955 VAI720955 VKE720955 VUA720955 WDW720955 WNS720955 WXO720955 BG786491 LC786491 UY786491 AEU786491 AOQ786491 AYM786491 BII786491 BSE786491 CCA786491 CLW786491 CVS786491 DFO786491 DPK786491 DZG786491 EJC786491 ESY786491 FCU786491 FMQ786491 FWM786491 GGI786491 GQE786491 HAA786491 HJW786491 HTS786491 IDO786491 INK786491 IXG786491 JHC786491 JQY786491 KAU786491 KKQ786491 KUM786491 LEI786491 LOE786491 LYA786491 MHW786491 MRS786491 NBO786491 NLK786491 NVG786491 OFC786491 OOY786491 OYU786491 PIQ786491 PSM786491 QCI786491 QME786491 QWA786491 RFW786491 RPS786491 RZO786491 SJK786491 STG786491 TDC786491 TMY786491 TWU786491 UGQ786491 UQM786491 VAI786491 VKE786491 VUA786491 WDW786491 WNS786491 WXO786491 BG852027 LC852027 UY852027 AEU852027 AOQ852027 AYM852027 BII852027 BSE852027 CCA852027 CLW852027 CVS852027 DFO852027 DPK852027 DZG852027 EJC852027 ESY852027 FCU852027 FMQ852027 FWM852027 GGI852027 GQE852027 HAA852027 HJW852027 HTS852027 IDO852027 INK852027 IXG852027 JHC852027 JQY852027 KAU852027 KKQ852027 KUM852027 LEI852027 LOE852027 LYA852027 MHW852027 MRS852027 NBO852027 NLK852027 NVG852027 OFC852027 OOY852027 OYU852027 PIQ852027 PSM852027 QCI852027 QME852027 QWA852027 RFW852027 RPS852027 RZO852027 SJK852027 STG852027 TDC852027 TMY852027 TWU852027 UGQ852027 UQM852027 VAI852027 VKE852027 VUA852027 WDW852027 WNS852027 WXO852027 BG917563 LC917563 UY917563 AEU917563 AOQ917563 AYM917563 BII917563 BSE917563 CCA917563 CLW917563 CVS917563 DFO917563 DPK917563 DZG917563 EJC917563 ESY917563 FCU917563 FMQ917563 FWM917563 GGI917563 GQE917563 HAA917563 HJW917563 HTS917563 IDO917563 INK917563 IXG917563 JHC917563 JQY917563 KAU917563 KKQ917563 KUM917563 LEI917563 LOE917563 LYA917563 MHW917563 MRS917563 NBO917563 NLK917563 NVG917563 OFC917563 OOY917563 OYU917563 PIQ917563 PSM917563 QCI917563 QME917563 QWA917563 RFW917563 RPS917563 RZO917563 SJK917563 STG917563 TDC917563 TMY917563 TWU917563 UGQ917563 UQM917563 VAI917563 VKE917563 VUA917563 WDW917563 WNS917563 WXO917563 BG983099 LC983099 UY983099 AEU983099 AOQ983099 AYM983099 BII983099 BSE983099 CCA983099 CLW983099 CVS983099 DFO983099 DPK983099 DZG983099 EJC983099 ESY983099 FCU983099 FMQ983099 FWM983099 GGI983099 GQE983099 HAA983099 HJW983099 HTS983099 IDO983099 INK983099 IXG983099 JHC983099 JQY983099 KAU983099 KKQ983099 KUM983099 LEI983099 LOE983099 LYA983099 MHW983099 MRS983099 NBO983099 NLK983099 NVG983099 OFC983099 OOY983099 OYU983099 PIQ983099 PSM983099 QCI983099 QME983099 QWA983099 RFW983099 RPS983099 RZO983099 SJK983099 STG983099 TDC983099 TMY983099 TWU983099 UGQ983099 UQM983099 VAI983099 VKE983099 VUA983099 WDW983099 WNS983099 WXO983099" xr:uid="{2B4C1593-13B9-40EC-822E-42A4E4241104}">
      <formula1>$CB$12:$CD$12</formula1>
    </dataValidation>
    <dataValidation type="list" allowBlank="1" showInputMessage="1" showErrorMessage="1" sqref="BG65 LC65 UY65 AEU65 AOQ65 AYM65 BII65 BSE65 CCA65 CLW65 CVS65 DFO65 DPK65 DZG65 EJC65 ESY65 FCU65 FMQ65 FWM65 GGI65 GQE65 HAA65 HJW65 HTS65 IDO65 INK65 IXG65 JHC65 JQY65 KAU65 KKQ65 KUM65 LEI65 LOE65 LYA65 MHW65 MRS65 NBO65 NLK65 NVG65 OFC65 OOY65 OYU65 PIQ65 PSM65 QCI65 QME65 QWA65 RFW65 RPS65 RZO65 SJK65 STG65 TDC65 TMY65 TWU65 UGQ65 UQM65 VAI65 VKE65 VUA65 WDW65 WNS65 WXO65 BG65601 LC65601 UY65601 AEU65601 AOQ65601 AYM65601 BII65601 BSE65601 CCA65601 CLW65601 CVS65601 DFO65601 DPK65601 DZG65601 EJC65601 ESY65601 FCU65601 FMQ65601 FWM65601 GGI65601 GQE65601 HAA65601 HJW65601 HTS65601 IDO65601 INK65601 IXG65601 JHC65601 JQY65601 KAU65601 KKQ65601 KUM65601 LEI65601 LOE65601 LYA65601 MHW65601 MRS65601 NBO65601 NLK65601 NVG65601 OFC65601 OOY65601 OYU65601 PIQ65601 PSM65601 QCI65601 QME65601 QWA65601 RFW65601 RPS65601 RZO65601 SJK65601 STG65601 TDC65601 TMY65601 TWU65601 UGQ65601 UQM65601 VAI65601 VKE65601 VUA65601 WDW65601 WNS65601 WXO65601 BG131137 LC131137 UY131137 AEU131137 AOQ131137 AYM131137 BII131137 BSE131137 CCA131137 CLW131137 CVS131137 DFO131137 DPK131137 DZG131137 EJC131137 ESY131137 FCU131137 FMQ131137 FWM131137 GGI131137 GQE131137 HAA131137 HJW131137 HTS131137 IDO131137 INK131137 IXG131137 JHC131137 JQY131137 KAU131137 KKQ131137 KUM131137 LEI131137 LOE131137 LYA131137 MHW131137 MRS131137 NBO131137 NLK131137 NVG131137 OFC131137 OOY131137 OYU131137 PIQ131137 PSM131137 QCI131137 QME131137 QWA131137 RFW131137 RPS131137 RZO131137 SJK131137 STG131137 TDC131137 TMY131137 TWU131137 UGQ131137 UQM131137 VAI131137 VKE131137 VUA131137 WDW131137 WNS131137 WXO131137 BG196673 LC196673 UY196673 AEU196673 AOQ196673 AYM196673 BII196673 BSE196673 CCA196673 CLW196673 CVS196673 DFO196673 DPK196673 DZG196673 EJC196673 ESY196673 FCU196673 FMQ196673 FWM196673 GGI196673 GQE196673 HAA196673 HJW196673 HTS196673 IDO196673 INK196673 IXG196673 JHC196673 JQY196673 KAU196673 KKQ196673 KUM196673 LEI196673 LOE196673 LYA196673 MHW196673 MRS196673 NBO196673 NLK196673 NVG196673 OFC196673 OOY196673 OYU196673 PIQ196673 PSM196673 QCI196673 QME196673 QWA196673 RFW196673 RPS196673 RZO196673 SJK196673 STG196673 TDC196673 TMY196673 TWU196673 UGQ196673 UQM196673 VAI196673 VKE196673 VUA196673 WDW196673 WNS196673 WXO196673 BG262209 LC262209 UY262209 AEU262209 AOQ262209 AYM262209 BII262209 BSE262209 CCA262209 CLW262209 CVS262209 DFO262209 DPK262209 DZG262209 EJC262209 ESY262209 FCU262209 FMQ262209 FWM262209 GGI262209 GQE262209 HAA262209 HJW262209 HTS262209 IDO262209 INK262209 IXG262209 JHC262209 JQY262209 KAU262209 KKQ262209 KUM262209 LEI262209 LOE262209 LYA262209 MHW262209 MRS262209 NBO262209 NLK262209 NVG262209 OFC262209 OOY262209 OYU262209 PIQ262209 PSM262209 QCI262209 QME262209 QWA262209 RFW262209 RPS262209 RZO262209 SJK262209 STG262209 TDC262209 TMY262209 TWU262209 UGQ262209 UQM262209 VAI262209 VKE262209 VUA262209 WDW262209 WNS262209 WXO262209 BG327745 LC327745 UY327745 AEU327745 AOQ327745 AYM327745 BII327745 BSE327745 CCA327745 CLW327745 CVS327745 DFO327745 DPK327745 DZG327745 EJC327745 ESY327745 FCU327745 FMQ327745 FWM327745 GGI327745 GQE327745 HAA327745 HJW327745 HTS327745 IDO327745 INK327745 IXG327745 JHC327745 JQY327745 KAU327745 KKQ327745 KUM327745 LEI327745 LOE327745 LYA327745 MHW327745 MRS327745 NBO327745 NLK327745 NVG327745 OFC327745 OOY327745 OYU327745 PIQ327745 PSM327745 QCI327745 QME327745 QWA327745 RFW327745 RPS327745 RZO327745 SJK327745 STG327745 TDC327745 TMY327745 TWU327745 UGQ327745 UQM327745 VAI327745 VKE327745 VUA327745 WDW327745 WNS327745 WXO327745 BG393281 LC393281 UY393281 AEU393281 AOQ393281 AYM393281 BII393281 BSE393281 CCA393281 CLW393281 CVS393281 DFO393281 DPK393281 DZG393281 EJC393281 ESY393281 FCU393281 FMQ393281 FWM393281 GGI393281 GQE393281 HAA393281 HJW393281 HTS393281 IDO393281 INK393281 IXG393281 JHC393281 JQY393281 KAU393281 KKQ393281 KUM393281 LEI393281 LOE393281 LYA393281 MHW393281 MRS393281 NBO393281 NLK393281 NVG393281 OFC393281 OOY393281 OYU393281 PIQ393281 PSM393281 QCI393281 QME393281 QWA393281 RFW393281 RPS393281 RZO393281 SJK393281 STG393281 TDC393281 TMY393281 TWU393281 UGQ393281 UQM393281 VAI393281 VKE393281 VUA393281 WDW393281 WNS393281 WXO393281 BG458817 LC458817 UY458817 AEU458817 AOQ458817 AYM458817 BII458817 BSE458817 CCA458817 CLW458817 CVS458817 DFO458817 DPK458817 DZG458817 EJC458817 ESY458817 FCU458817 FMQ458817 FWM458817 GGI458817 GQE458817 HAA458817 HJW458817 HTS458817 IDO458817 INK458817 IXG458817 JHC458817 JQY458817 KAU458817 KKQ458817 KUM458817 LEI458817 LOE458817 LYA458817 MHW458817 MRS458817 NBO458817 NLK458817 NVG458817 OFC458817 OOY458817 OYU458817 PIQ458817 PSM458817 QCI458817 QME458817 QWA458817 RFW458817 RPS458817 RZO458817 SJK458817 STG458817 TDC458817 TMY458817 TWU458817 UGQ458817 UQM458817 VAI458817 VKE458817 VUA458817 WDW458817 WNS458817 WXO458817 BG524353 LC524353 UY524353 AEU524353 AOQ524353 AYM524353 BII524353 BSE524353 CCA524353 CLW524353 CVS524353 DFO524353 DPK524353 DZG524353 EJC524353 ESY524353 FCU524353 FMQ524353 FWM524353 GGI524353 GQE524353 HAA524353 HJW524353 HTS524353 IDO524353 INK524353 IXG524353 JHC524353 JQY524353 KAU524353 KKQ524353 KUM524353 LEI524353 LOE524353 LYA524353 MHW524353 MRS524353 NBO524353 NLK524353 NVG524353 OFC524353 OOY524353 OYU524353 PIQ524353 PSM524353 QCI524353 QME524353 QWA524353 RFW524353 RPS524353 RZO524353 SJK524353 STG524353 TDC524353 TMY524353 TWU524353 UGQ524353 UQM524353 VAI524353 VKE524353 VUA524353 WDW524353 WNS524353 WXO524353 BG589889 LC589889 UY589889 AEU589889 AOQ589889 AYM589889 BII589889 BSE589889 CCA589889 CLW589889 CVS589889 DFO589889 DPK589889 DZG589889 EJC589889 ESY589889 FCU589889 FMQ589889 FWM589889 GGI589889 GQE589889 HAA589889 HJW589889 HTS589889 IDO589889 INK589889 IXG589889 JHC589889 JQY589889 KAU589889 KKQ589889 KUM589889 LEI589889 LOE589889 LYA589889 MHW589889 MRS589889 NBO589889 NLK589889 NVG589889 OFC589889 OOY589889 OYU589889 PIQ589889 PSM589889 QCI589889 QME589889 QWA589889 RFW589889 RPS589889 RZO589889 SJK589889 STG589889 TDC589889 TMY589889 TWU589889 UGQ589889 UQM589889 VAI589889 VKE589889 VUA589889 WDW589889 WNS589889 WXO589889 BG655425 LC655425 UY655425 AEU655425 AOQ655425 AYM655425 BII655425 BSE655425 CCA655425 CLW655425 CVS655425 DFO655425 DPK655425 DZG655425 EJC655425 ESY655425 FCU655425 FMQ655425 FWM655425 GGI655425 GQE655425 HAA655425 HJW655425 HTS655425 IDO655425 INK655425 IXG655425 JHC655425 JQY655425 KAU655425 KKQ655425 KUM655425 LEI655425 LOE655425 LYA655425 MHW655425 MRS655425 NBO655425 NLK655425 NVG655425 OFC655425 OOY655425 OYU655425 PIQ655425 PSM655425 QCI655425 QME655425 QWA655425 RFW655425 RPS655425 RZO655425 SJK655425 STG655425 TDC655425 TMY655425 TWU655425 UGQ655425 UQM655425 VAI655425 VKE655425 VUA655425 WDW655425 WNS655425 WXO655425 BG720961 LC720961 UY720961 AEU720961 AOQ720961 AYM720961 BII720961 BSE720961 CCA720961 CLW720961 CVS720961 DFO720961 DPK720961 DZG720961 EJC720961 ESY720961 FCU720961 FMQ720961 FWM720961 GGI720961 GQE720961 HAA720961 HJW720961 HTS720961 IDO720961 INK720961 IXG720961 JHC720961 JQY720961 KAU720961 KKQ720961 KUM720961 LEI720961 LOE720961 LYA720961 MHW720961 MRS720961 NBO720961 NLK720961 NVG720961 OFC720961 OOY720961 OYU720961 PIQ720961 PSM720961 QCI720961 QME720961 QWA720961 RFW720961 RPS720961 RZO720961 SJK720961 STG720961 TDC720961 TMY720961 TWU720961 UGQ720961 UQM720961 VAI720961 VKE720961 VUA720961 WDW720961 WNS720961 WXO720961 BG786497 LC786497 UY786497 AEU786497 AOQ786497 AYM786497 BII786497 BSE786497 CCA786497 CLW786497 CVS786497 DFO786497 DPK786497 DZG786497 EJC786497 ESY786497 FCU786497 FMQ786497 FWM786497 GGI786497 GQE786497 HAA786497 HJW786497 HTS786497 IDO786497 INK786497 IXG786497 JHC786497 JQY786497 KAU786497 KKQ786497 KUM786497 LEI786497 LOE786497 LYA786497 MHW786497 MRS786497 NBO786497 NLK786497 NVG786497 OFC786497 OOY786497 OYU786497 PIQ786497 PSM786497 QCI786497 QME786497 QWA786497 RFW786497 RPS786497 RZO786497 SJK786497 STG786497 TDC786497 TMY786497 TWU786497 UGQ786497 UQM786497 VAI786497 VKE786497 VUA786497 WDW786497 WNS786497 WXO786497 BG852033 LC852033 UY852033 AEU852033 AOQ852033 AYM852033 BII852033 BSE852033 CCA852033 CLW852033 CVS852033 DFO852033 DPK852033 DZG852033 EJC852033 ESY852033 FCU852033 FMQ852033 FWM852033 GGI852033 GQE852033 HAA852033 HJW852033 HTS852033 IDO852033 INK852033 IXG852033 JHC852033 JQY852033 KAU852033 KKQ852033 KUM852033 LEI852033 LOE852033 LYA852033 MHW852033 MRS852033 NBO852033 NLK852033 NVG852033 OFC852033 OOY852033 OYU852033 PIQ852033 PSM852033 QCI852033 QME852033 QWA852033 RFW852033 RPS852033 RZO852033 SJK852033 STG852033 TDC852033 TMY852033 TWU852033 UGQ852033 UQM852033 VAI852033 VKE852033 VUA852033 WDW852033 WNS852033 WXO852033 BG917569 LC917569 UY917569 AEU917569 AOQ917569 AYM917569 BII917569 BSE917569 CCA917569 CLW917569 CVS917569 DFO917569 DPK917569 DZG917569 EJC917569 ESY917569 FCU917569 FMQ917569 FWM917569 GGI917569 GQE917569 HAA917569 HJW917569 HTS917569 IDO917569 INK917569 IXG917569 JHC917569 JQY917569 KAU917569 KKQ917569 KUM917569 LEI917569 LOE917569 LYA917569 MHW917569 MRS917569 NBO917569 NLK917569 NVG917569 OFC917569 OOY917569 OYU917569 PIQ917569 PSM917569 QCI917569 QME917569 QWA917569 RFW917569 RPS917569 RZO917569 SJK917569 STG917569 TDC917569 TMY917569 TWU917569 UGQ917569 UQM917569 VAI917569 VKE917569 VUA917569 WDW917569 WNS917569 WXO917569 BG983105 LC983105 UY983105 AEU983105 AOQ983105 AYM983105 BII983105 BSE983105 CCA983105 CLW983105 CVS983105 DFO983105 DPK983105 DZG983105 EJC983105 ESY983105 FCU983105 FMQ983105 FWM983105 GGI983105 GQE983105 HAA983105 HJW983105 HTS983105 IDO983105 INK983105 IXG983105 JHC983105 JQY983105 KAU983105 KKQ983105 KUM983105 LEI983105 LOE983105 LYA983105 MHW983105 MRS983105 NBO983105 NLK983105 NVG983105 OFC983105 OOY983105 OYU983105 PIQ983105 PSM983105 QCI983105 QME983105 QWA983105 RFW983105 RPS983105 RZO983105 SJK983105 STG983105 TDC983105 TMY983105 TWU983105 UGQ983105 UQM983105 VAI983105 VKE983105 VUA983105 WDW983105 WNS983105 WXO983105" xr:uid="{ED8277B2-D1E7-4441-82FD-2277D4B44EB8}">
      <formula1>$X$6:$X$9</formula1>
    </dataValidation>
    <dataValidation type="list" allowBlank="1" showInputMessage="1" showErrorMessage="1" sqref="BG67 LC67 UY67 AEU67 AOQ67 AYM67 BII67 BSE67 CCA67 CLW67 CVS67 DFO67 DPK67 DZG67 EJC67 ESY67 FCU67 FMQ67 FWM67 GGI67 GQE67 HAA67 HJW67 HTS67 IDO67 INK67 IXG67 JHC67 JQY67 KAU67 KKQ67 KUM67 LEI67 LOE67 LYA67 MHW67 MRS67 NBO67 NLK67 NVG67 OFC67 OOY67 OYU67 PIQ67 PSM67 QCI67 QME67 QWA67 RFW67 RPS67 RZO67 SJK67 STG67 TDC67 TMY67 TWU67 UGQ67 UQM67 VAI67 VKE67 VUA67 WDW67 WNS67 WXO67 BG65603 LC65603 UY65603 AEU65603 AOQ65603 AYM65603 BII65603 BSE65603 CCA65603 CLW65603 CVS65603 DFO65603 DPK65603 DZG65603 EJC65603 ESY65603 FCU65603 FMQ65603 FWM65603 GGI65603 GQE65603 HAA65603 HJW65603 HTS65603 IDO65603 INK65603 IXG65603 JHC65603 JQY65603 KAU65603 KKQ65603 KUM65603 LEI65603 LOE65603 LYA65603 MHW65603 MRS65603 NBO65603 NLK65603 NVG65603 OFC65603 OOY65603 OYU65603 PIQ65603 PSM65603 QCI65603 QME65603 QWA65603 RFW65603 RPS65603 RZO65603 SJK65603 STG65603 TDC65603 TMY65603 TWU65603 UGQ65603 UQM65603 VAI65603 VKE65603 VUA65603 WDW65603 WNS65603 WXO65603 BG131139 LC131139 UY131139 AEU131139 AOQ131139 AYM131139 BII131139 BSE131139 CCA131139 CLW131139 CVS131139 DFO131139 DPK131139 DZG131139 EJC131139 ESY131139 FCU131139 FMQ131139 FWM131139 GGI131139 GQE131139 HAA131139 HJW131139 HTS131139 IDO131139 INK131139 IXG131139 JHC131139 JQY131139 KAU131139 KKQ131139 KUM131139 LEI131139 LOE131139 LYA131139 MHW131139 MRS131139 NBO131139 NLK131139 NVG131139 OFC131139 OOY131139 OYU131139 PIQ131139 PSM131139 QCI131139 QME131139 QWA131139 RFW131139 RPS131139 RZO131139 SJK131139 STG131139 TDC131139 TMY131139 TWU131139 UGQ131139 UQM131139 VAI131139 VKE131139 VUA131139 WDW131139 WNS131139 WXO131139 BG196675 LC196675 UY196675 AEU196675 AOQ196675 AYM196675 BII196675 BSE196675 CCA196675 CLW196675 CVS196675 DFO196675 DPK196675 DZG196675 EJC196675 ESY196675 FCU196675 FMQ196675 FWM196675 GGI196675 GQE196675 HAA196675 HJW196675 HTS196675 IDO196675 INK196675 IXG196675 JHC196675 JQY196675 KAU196675 KKQ196675 KUM196675 LEI196675 LOE196675 LYA196675 MHW196675 MRS196675 NBO196675 NLK196675 NVG196675 OFC196675 OOY196675 OYU196675 PIQ196675 PSM196675 QCI196675 QME196675 QWA196675 RFW196675 RPS196675 RZO196675 SJK196675 STG196675 TDC196675 TMY196675 TWU196675 UGQ196675 UQM196675 VAI196675 VKE196675 VUA196675 WDW196675 WNS196675 WXO196675 BG262211 LC262211 UY262211 AEU262211 AOQ262211 AYM262211 BII262211 BSE262211 CCA262211 CLW262211 CVS262211 DFO262211 DPK262211 DZG262211 EJC262211 ESY262211 FCU262211 FMQ262211 FWM262211 GGI262211 GQE262211 HAA262211 HJW262211 HTS262211 IDO262211 INK262211 IXG262211 JHC262211 JQY262211 KAU262211 KKQ262211 KUM262211 LEI262211 LOE262211 LYA262211 MHW262211 MRS262211 NBO262211 NLK262211 NVG262211 OFC262211 OOY262211 OYU262211 PIQ262211 PSM262211 QCI262211 QME262211 QWA262211 RFW262211 RPS262211 RZO262211 SJK262211 STG262211 TDC262211 TMY262211 TWU262211 UGQ262211 UQM262211 VAI262211 VKE262211 VUA262211 WDW262211 WNS262211 WXO262211 BG327747 LC327747 UY327747 AEU327747 AOQ327747 AYM327747 BII327747 BSE327747 CCA327747 CLW327747 CVS327747 DFO327747 DPK327747 DZG327747 EJC327747 ESY327747 FCU327747 FMQ327747 FWM327747 GGI327747 GQE327747 HAA327747 HJW327747 HTS327747 IDO327747 INK327747 IXG327747 JHC327747 JQY327747 KAU327747 KKQ327747 KUM327747 LEI327747 LOE327747 LYA327747 MHW327747 MRS327747 NBO327747 NLK327747 NVG327747 OFC327747 OOY327747 OYU327747 PIQ327747 PSM327747 QCI327747 QME327747 QWA327747 RFW327747 RPS327747 RZO327747 SJK327747 STG327747 TDC327747 TMY327747 TWU327747 UGQ327747 UQM327747 VAI327747 VKE327747 VUA327747 WDW327747 WNS327747 WXO327747 BG393283 LC393283 UY393283 AEU393283 AOQ393283 AYM393283 BII393283 BSE393283 CCA393283 CLW393283 CVS393283 DFO393283 DPK393283 DZG393283 EJC393283 ESY393283 FCU393283 FMQ393283 FWM393283 GGI393283 GQE393283 HAA393283 HJW393283 HTS393283 IDO393283 INK393283 IXG393283 JHC393283 JQY393283 KAU393283 KKQ393283 KUM393283 LEI393283 LOE393283 LYA393283 MHW393283 MRS393283 NBO393283 NLK393283 NVG393283 OFC393283 OOY393283 OYU393283 PIQ393283 PSM393283 QCI393283 QME393283 QWA393283 RFW393283 RPS393283 RZO393283 SJK393283 STG393283 TDC393283 TMY393283 TWU393283 UGQ393283 UQM393283 VAI393283 VKE393283 VUA393283 WDW393283 WNS393283 WXO393283 BG458819 LC458819 UY458819 AEU458819 AOQ458819 AYM458819 BII458819 BSE458819 CCA458819 CLW458819 CVS458819 DFO458819 DPK458819 DZG458819 EJC458819 ESY458819 FCU458819 FMQ458819 FWM458819 GGI458819 GQE458819 HAA458819 HJW458819 HTS458819 IDO458819 INK458819 IXG458819 JHC458819 JQY458819 KAU458819 KKQ458819 KUM458819 LEI458819 LOE458819 LYA458819 MHW458819 MRS458819 NBO458819 NLK458819 NVG458819 OFC458819 OOY458819 OYU458819 PIQ458819 PSM458819 QCI458819 QME458819 QWA458819 RFW458819 RPS458819 RZO458819 SJK458819 STG458819 TDC458819 TMY458819 TWU458819 UGQ458819 UQM458819 VAI458819 VKE458819 VUA458819 WDW458819 WNS458819 WXO458819 BG524355 LC524355 UY524355 AEU524355 AOQ524355 AYM524355 BII524355 BSE524355 CCA524355 CLW524355 CVS524355 DFO524355 DPK524355 DZG524355 EJC524355 ESY524355 FCU524355 FMQ524355 FWM524355 GGI524355 GQE524355 HAA524355 HJW524355 HTS524355 IDO524355 INK524355 IXG524355 JHC524355 JQY524355 KAU524355 KKQ524355 KUM524355 LEI524355 LOE524355 LYA524355 MHW524355 MRS524355 NBO524355 NLK524355 NVG524355 OFC524355 OOY524355 OYU524355 PIQ524355 PSM524355 QCI524355 QME524355 QWA524355 RFW524355 RPS524355 RZO524355 SJK524355 STG524355 TDC524355 TMY524355 TWU524355 UGQ524355 UQM524355 VAI524355 VKE524355 VUA524355 WDW524355 WNS524355 WXO524355 BG589891 LC589891 UY589891 AEU589891 AOQ589891 AYM589891 BII589891 BSE589891 CCA589891 CLW589891 CVS589891 DFO589891 DPK589891 DZG589891 EJC589891 ESY589891 FCU589891 FMQ589891 FWM589891 GGI589891 GQE589891 HAA589891 HJW589891 HTS589891 IDO589891 INK589891 IXG589891 JHC589891 JQY589891 KAU589891 KKQ589891 KUM589891 LEI589891 LOE589891 LYA589891 MHW589891 MRS589891 NBO589891 NLK589891 NVG589891 OFC589891 OOY589891 OYU589891 PIQ589891 PSM589891 QCI589891 QME589891 QWA589891 RFW589891 RPS589891 RZO589891 SJK589891 STG589891 TDC589891 TMY589891 TWU589891 UGQ589891 UQM589891 VAI589891 VKE589891 VUA589891 WDW589891 WNS589891 WXO589891 BG655427 LC655427 UY655427 AEU655427 AOQ655427 AYM655427 BII655427 BSE655427 CCA655427 CLW655427 CVS655427 DFO655427 DPK655427 DZG655427 EJC655427 ESY655427 FCU655427 FMQ655427 FWM655427 GGI655427 GQE655427 HAA655427 HJW655427 HTS655427 IDO655427 INK655427 IXG655427 JHC655427 JQY655427 KAU655427 KKQ655427 KUM655427 LEI655427 LOE655427 LYA655427 MHW655427 MRS655427 NBO655427 NLK655427 NVG655427 OFC655427 OOY655427 OYU655427 PIQ655427 PSM655427 QCI655427 QME655427 QWA655427 RFW655427 RPS655427 RZO655427 SJK655427 STG655427 TDC655427 TMY655427 TWU655427 UGQ655427 UQM655427 VAI655427 VKE655427 VUA655427 WDW655427 WNS655427 WXO655427 BG720963 LC720963 UY720963 AEU720963 AOQ720963 AYM720963 BII720963 BSE720963 CCA720963 CLW720963 CVS720963 DFO720963 DPK720963 DZG720963 EJC720963 ESY720963 FCU720963 FMQ720963 FWM720963 GGI720963 GQE720963 HAA720963 HJW720963 HTS720963 IDO720963 INK720963 IXG720963 JHC720963 JQY720963 KAU720963 KKQ720963 KUM720963 LEI720963 LOE720963 LYA720963 MHW720963 MRS720963 NBO720963 NLK720963 NVG720963 OFC720963 OOY720963 OYU720963 PIQ720963 PSM720963 QCI720963 QME720963 QWA720963 RFW720963 RPS720963 RZO720963 SJK720963 STG720963 TDC720963 TMY720963 TWU720963 UGQ720963 UQM720963 VAI720963 VKE720963 VUA720963 WDW720963 WNS720963 WXO720963 BG786499 LC786499 UY786499 AEU786499 AOQ786499 AYM786499 BII786499 BSE786499 CCA786499 CLW786499 CVS786499 DFO786499 DPK786499 DZG786499 EJC786499 ESY786499 FCU786499 FMQ786499 FWM786499 GGI786499 GQE786499 HAA786499 HJW786499 HTS786499 IDO786499 INK786499 IXG786499 JHC786499 JQY786499 KAU786499 KKQ786499 KUM786499 LEI786499 LOE786499 LYA786499 MHW786499 MRS786499 NBO786499 NLK786499 NVG786499 OFC786499 OOY786499 OYU786499 PIQ786499 PSM786499 QCI786499 QME786499 QWA786499 RFW786499 RPS786499 RZO786499 SJK786499 STG786499 TDC786499 TMY786499 TWU786499 UGQ786499 UQM786499 VAI786499 VKE786499 VUA786499 WDW786499 WNS786499 WXO786499 BG852035 LC852035 UY852035 AEU852035 AOQ852035 AYM852035 BII852035 BSE852035 CCA852035 CLW852035 CVS852035 DFO852035 DPK852035 DZG852035 EJC852035 ESY852035 FCU852035 FMQ852035 FWM852035 GGI852035 GQE852035 HAA852035 HJW852035 HTS852035 IDO852035 INK852035 IXG852035 JHC852035 JQY852035 KAU852035 KKQ852035 KUM852035 LEI852035 LOE852035 LYA852035 MHW852035 MRS852035 NBO852035 NLK852035 NVG852035 OFC852035 OOY852035 OYU852035 PIQ852035 PSM852035 QCI852035 QME852035 QWA852035 RFW852035 RPS852035 RZO852035 SJK852035 STG852035 TDC852035 TMY852035 TWU852035 UGQ852035 UQM852035 VAI852035 VKE852035 VUA852035 WDW852035 WNS852035 WXO852035 BG917571 LC917571 UY917571 AEU917571 AOQ917571 AYM917571 BII917571 BSE917571 CCA917571 CLW917571 CVS917571 DFO917571 DPK917571 DZG917571 EJC917571 ESY917571 FCU917571 FMQ917571 FWM917571 GGI917571 GQE917571 HAA917571 HJW917571 HTS917571 IDO917571 INK917571 IXG917571 JHC917571 JQY917571 KAU917571 KKQ917571 KUM917571 LEI917571 LOE917571 LYA917571 MHW917571 MRS917571 NBO917571 NLK917571 NVG917571 OFC917571 OOY917571 OYU917571 PIQ917571 PSM917571 QCI917571 QME917571 QWA917571 RFW917571 RPS917571 RZO917571 SJK917571 STG917571 TDC917571 TMY917571 TWU917571 UGQ917571 UQM917571 VAI917571 VKE917571 VUA917571 WDW917571 WNS917571 WXO917571 BG983107 LC983107 UY983107 AEU983107 AOQ983107 AYM983107 BII983107 BSE983107 CCA983107 CLW983107 CVS983107 DFO983107 DPK983107 DZG983107 EJC983107 ESY983107 FCU983107 FMQ983107 FWM983107 GGI983107 GQE983107 HAA983107 HJW983107 HTS983107 IDO983107 INK983107 IXG983107 JHC983107 JQY983107 KAU983107 KKQ983107 KUM983107 LEI983107 LOE983107 LYA983107 MHW983107 MRS983107 NBO983107 NLK983107 NVG983107 OFC983107 OOY983107 OYU983107 PIQ983107 PSM983107 QCI983107 QME983107 QWA983107 RFW983107 RPS983107 RZO983107 SJK983107 STG983107 TDC983107 TMY983107 TWU983107 UGQ983107 UQM983107 VAI983107 VKE983107 VUA983107 WDW983107 WNS983107 WXO983107" xr:uid="{3455CE21-A5F2-4D89-B94F-D99F2D9AD6B5}">
      <formula1>$AE$3:$AE$10</formula1>
    </dataValidation>
    <dataValidation type="list" allowBlank="1" showInputMessage="1" showErrorMessage="1" sqref="AQ21 KM21 UI21 AEE21 AOA21 AXW21 BHS21 BRO21 CBK21 CLG21 CVC21 DEY21 DOU21 DYQ21 EIM21 ESI21 FCE21 FMA21 FVW21 GFS21 GPO21 GZK21 HJG21 HTC21 ICY21 IMU21 IWQ21 JGM21 JQI21 KAE21 KKA21 KTW21 LDS21 LNO21 LXK21 MHG21 MRC21 NAY21 NKU21 NUQ21 OEM21 OOI21 OYE21 PIA21 PRW21 QBS21 QLO21 QVK21 RFG21 RPC21 RYY21 SIU21 SSQ21 TCM21 TMI21 TWE21 UGA21 UPW21 UZS21 VJO21 VTK21 WDG21 WNC21 WWY21 AQ65557 KM65557 UI65557 AEE65557 AOA65557 AXW65557 BHS65557 BRO65557 CBK65557 CLG65557 CVC65557 DEY65557 DOU65557 DYQ65557 EIM65557 ESI65557 FCE65557 FMA65557 FVW65557 GFS65557 GPO65557 GZK65557 HJG65557 HTC65557 ICY65557 IMU65557 IWQ65557 JGM65557 JQI65557 KAE65557 KKA65557 KTW65557 LDS65557 LNO65557 LXK65557 MHG65557 MRC65557 NAY65557 NKU65557 NUQ65557 OEM65557 OOI65557 OYE65557 PIA65557 PRW65557 QBS65557 QLO65557 QVK65557 RFG65557 RPC65557 RYY65557 SIU65557 SSQ65557 TCM65557 TMI65557 TWE65557 UGA65557 UPW65557 UZS65557 VJO65557 VTK65557 WDG65557 WNC65557 WWY65557 AQ131093 KM131093 UI131093 AEE131093 AOA131093 AXW131093 BHS131093 BRO131093 CBK131093 CLG131093 CVC131093 DEY131093 DOU131093 DYQ131093 EIM131093 ESI131093 FCE131093 FMA131093 FVW131093 GFS131093 GPO131093 GZK131093 HJG131093 HTC131093 ICY131093 IMU131093 IWQ131093 JGM131093 JQI131093 KAE131093 KKA131093 KTW131093 LDS131093 LNO131093 LXK131093 MHG131093 MRC131093 NAY131093 NKU131093 NUQ131093 OEM131093 OOI131093 OYE131093 PIA131093 PRW131093 QBS131093 QLO131093 QVK131093 RFG131093 RPC131093 RYY131093 SIU131093 SSQ131093 TCM131093 TMI131093 TWE131093 UGA131093 UPW131093 UZS131093 VJO131093 VTK131093 WDG131093 WNC131093 WWY131093 AQ196629 KM196629 UI196629 AEE196629 AOA196629 AXW196629 BHS196629 BRO196629 CBK196629 CLG196629 CVC196629 DEY196629 DOU196629 DYQ196629 EIM196629 ESI196629 FCE196629 FMA196629 FVW196629 GFS196629 GPO196629 GZK196629 HJG196629 HTC196629 ICY196629 IMU196629 IWQ196629 JGM196629 JQI196629 KAE196629 KKA196629 KTW196629 LDS196629 LNO196629 LXK196629 MHG196629 MRC196629 NAY196629 NKU196629 NUQ196629 OEM196629 OOI196629 OYE196629 PIA196629 PRW196629 QBS196629 QLO196629 QVK196629 RFG196629 RPC196629 RYY196629 SIU196629 SSQ196629 TCM196629 TMI196629 TWE196629 UGA196629 UPW196629 UZS196629 VJO196629 VTK196629 WDG196629 WNC196629 WWY196629 AQ262165 KM262165 UI262165 AEE262165 AOA262165 AXW262165 BHS262165 BRO262165 CBK262165 CLG262165 CVC262165 DEY262165 DOU262165 DYQ262165 EIM262165 ESI262165 FCE262165 FMA262165 FVW262165 GFS262165 GPO262165 GZK262165 HJG262165 HTC262165 ICY262165 IMU262165 IWQ262165 JGM262165 JQI262165 KAE262165 KKA262165 KTW262165 LDS262165 LNO262165 LXK262165 MHG262165 MRC262165 NAY262165 NKU262165 NUQ262165 OEM262165 OOI262165 OYE262165 PIA262165 PRW262165 QBS262165 QLO262165 QVK262165 RFG262165 RPC262165 RYY262165 SIU262165 SSQ262165 TCM262165 TMI262165 TWE262165 UGA262165 UPW262165 UZS262165 VJO262165 VTK262165 WDG262165 WNC262165 WWY262165 AQ327701 KM327701 UI327701 AEE327701 AOA327701 AXW327701 BHS327701 BRO327701 CBK327701 CLG327701 CVC327701 DEY327701 DOU327701 DYQ327701 EIM327701 ESI327701 FCE327701 FMA327701 FVW327701 GFS327701 GPO327701 GZK327701 HJG327701 HTC327701 ICY327701 IMU327701 IWQ327701 JGM327701 JQI327701 KAE327701 KKA327701 KTW327701 LDS327701 LNO327701 LXK327701 MHG327701 MRC327701 NAY327701 NKU327701 NUQ327701 OEM327701 OOI327701 OYE327701 PIA327701 PRW327701 QBS327701 QLO327701 QVK327701 RFG327701 RPC327701 RYY327701 SIU327701 SSQ327701 TCM327701 TMI327701 TWE327701 UGA327701 UPW327701 UZS327701 VJO327701 VTK327701 WDG327701 WNC327701 WWY327701 AQ393237 KM393237 UI393237 AEE393237 AOA393237 AXW393237 BHS393237 BRO393237 CBK393237 CLG393237 CVC393237 DEY393237 DOU393237 DYQ393237 EIM393237 ESI393237 FCE393237 FMA393237 FVW393237 GFS393237 GPO393237 GZK393237 HJG393237 HTC393237 ICY393237 IMU393237 IWQ393237 JGM393237 JQI393237 KAE393237 KKA393237 KTW393237 LDS393237 LNO393237 LXK393237 MHG393237 MRC393237 NAY393237 NKU393237 NUQ393237 OEM393237 OOI393237 OYE393237 PIA393237 PRW393237 QBS393237 QLO393237 QVK393237 RFG393237 RPC393237 RYY393237 SIU393237 SSQ393237 TCM393237 TMI393237 TWE393237 UGA393237 UPW393237 UZS393237 VJO393237 VTK393237 WDG393237 WNC393237 WWY393237 AQ458773 KM458773 UI458773 AEE458773 AOA458773 AXW458773 BHS458773 BRO458773 CBK458773 CLG458773 CVC458773 DEY458773 DOU458773 DYQ458773 EIM458773 ESI458773 FCE458773 FMA458773 FVW458773 GFS458773 GPO458773 GZK458773 HJG458773 HTC458773 ICY458773 IMU458773 IWQ458773 JGM458773 JQI458773 KAE458773 KKA458773 KTW458773 LDS458773 LNO458773 LXK458773 MHG458773 MRC458773 NAY458773 NKU458773 NUQ458773 OEM458773 OOI458773 OYE458773 PIA458773 PRW458773 QBS458773 QLO458773 QVK458773 RFG458773 RPC458773 RYY458773 SIU458773 SSQ458773 TCM458773 TMI458773 TWE458773 UGA458773 UPW458773 UZS458773 VJO458773 VTK458773 WDG458773 WNC458773 WWY458773 AQ524309 KM524309 UI524309 AEE524309 AOA524309 AXW524309 BHS524309 BRO524309 CBK524309 CLG524309 CVC524309 DEY524309 DOU524309 DYQ524309 EIM524309 ESI524309 FCE524309 FMA524309 FVW524309 GFS524309 GPO524309 GZK524309 HJG524309 HTC524309 ICY524309 IMU524309 IWQ524309 JGM524309 JQI524309 KAE524309 KKA524309 KTW524309 LDS524309 LNO524309 LXK524309 MHG524309 MRC524309 NAY524309 NKU524309 NUQ524309 OEM524309 OOI524309 OYE524309 PIA524309 PRW524309 QBS524309 QLO524309 QVK524309 RFG524309 RPC524309 RYY524309 SIU524309 SSQ524309 TCM524309 TMI524309 TWE524309 UGA524309 UPW524309 UZS524309 VJO524309 VTK524309 WDG524309 WNC524309 WWY524309 AQ589845 KM589845 UI589845 AEE589845 AOA589845 AXW589845 BHS589845 BRO589845 CBK589845 CLG589845 CVC589845 DEY589845 DOU589845 DYQ589845 EIM589845 ESI589845 FCE589845 FMA589845 FVW589845 GFS589845 GPO589845 GZK589845 HJG589845 HTC589845 ICY589845 IMU589845 IWQ589845 JGM589845 JQI589845 KAE589845 KKA589845 KTW589845 LDS589845 LNO589845 LXK589845 MHG589845 MRC589845 NAY589845 NKU589845 NUQ589845 OEM589845 OOI589845 OYE589845 PIA589845 PRW589845 QBS589845 QLO589845 QVK589845 RFG589845 RPC589845 RYY589845 SIU589845 SSQ589845 TCM589845 TMI589845 TWE589845 UGA589845 UPW589845 UZS589845 VJO589845 VTK589845 WDG589845 WNC589845 WWY589845 AQ655381 KM655381 UI655381 AEE655381 AOA655381 AXW655381 BHS655381 BRO655381 CBK655381 CLG655381 CVC655381 DEY655381 DOU655381 DYQ655381 EIM655381 ESI655381 FCE655381 FMA655381 FVW655381 GFS655381 GPO655381 GZK655381 HJG655381 HTC655381 ICY655381 IMU655381 IWQ655381 JGM655381 JQI655381 KAE655381 KKA655381 KTW655381 LDS655381 LNO655381 LXK655381 MHG655381 MRC655381 NAY655381 NKU655381 NUQ655381 OEM655381 OOI655381 OYE655381 PIA655381 PRW655381 QBS655381 QLO655381 QVK655381 RFG655381 RPC655381 RYY655381 SIU655381 SSQ655381 TCM655381 TMI655381 TWE655381 UGA655381 UPW655381 UZS655381 VJO655381 VTK655381 WDG655381 WNC655381 WWY655381 AQ720917 KM720917 UI720917 AEE720917 AOA720917 AXW720917 BHS720917 BRO720917 CBK720917 CLG720917 CVC720917 DEY720917 DOU720917 DYQ720917 EIM720917 ESI720917 FCE720917 FMA720917 FVW720917 GFS720917 GPO720917 GZK720917 HJG720917 HTC720917 ICY720917 IMU720917 IWQ720917 JGM720917 JQI720917 KAE720917 KKA720917 KTW720917 LDS720917 LNO720917 LXK720917 MHG720917 MRC720917 NAY720917 NKU720917 NUQ720917 OEM720917 OOI720917 OYE720917 PIA720917 PRW720917 QBS720917 QLO720917 QVK720917 RFG720917 RPC720917 RYY720917 SIU720917 SSQ720917 TCM720917 TMI720917 TWE720917 UGA720917 UPW720917 UZS720917 VJO720917 VTK720917 WDG720917 WNC720917 WWY720917 AQ786453 KM786453 UI786453 AEE786453 AOA786453 AXW786453 BHS786453 BRO786453 CBK786453 CLG786453 CVC786453 DEY786453 DOU786453 DYQ786453 EIM786453 ESI786453 FCE786453 FMA786453 FVW786453 GFS786453 GPO786453 GZK786453 HJG786453 HTC786453 ICY786453 IMU786453 IWQ786453 JGM786453 JQI786453 KAE786453 KKA786453 KTW786453 LDS786453 LNO786453 LXK786453 MHG786453 MRC786453 NAY786453 NKU786453 NUQ786453 OEM786453 OOI786453 OYE786453 PIA786453 PRW786453 QBS786453 QLO786453 QVK786453 RFG786453 RPC786453 RYY786453 SIU786453 SSQ786453 TCM786453 TMI786453 TWE786453 UGA786453 UPW786453 UZS786453 VJO786453 VTK786453 WDG786453 WNC786453 WWY786453 AQ851989 KM851989 UI851989 AEE851989 AOA851989 AXW851989 BHS851989 BRO851989 CBK851989 CLG851989 CVC851989 DEY851989 DOU851989 DYQ851989 EIM851989 ESI851989 FCE851989 FMA851989 FVW851989 GFS851989 GPO851989 GZK851989 HJG851989 HTC851989 ICY851989 IMU851989 IWQ851989 JGM851989 JQI851989 KAE851989 KKA851989 KTW851989 LDS851989 LNO851989 LXK851989 MHG851989 MRC851989 NAY851989 NKU851989 NUQ851989 OEM851989 OOI851989 OYE851989 PIA851989 PRW851989 QBS851989 QLO851989 QVK851989 RFG851989 RPC851989 RYY851989 SIU851989 SSQ851989 TCM851989 TMI851989 TWE851989 UGA851989 UPW851989 UZS851989 VJO851989 VTK851989 WDG851989 WNC851989 WWY851989 AQ917525 KM917525 UI917525 AEE917525 AOA917525 AXW917525 BHS917525 BRO917525 CBK917525 CLG917525 CVC917525 DEY917525 DOU917525 DYQ917525 EIM917525 ESI917525 FCE917525 FMA917525 FVW917525 GFS917525 GPO917525 GZK917525 HJG917525 HTC917525 ICY917525 IMU917525 IWQ917525 JGM917525 JQI917525 KAE917525 KKA917525 KTW917525 LDS917525 LNO917525 LXK917525 MHG917525 MRC917525 NAY917525 NKU917525 NUQ917525 OEM917525 OOI917525 OYE917525 PIA917525 PRW917525 QBS917525 QLO917525 QVK917525 RFG917525 RPC917525 RYY917525 SIU917525 SSQ917525 TCM917525 TMI917525 TWE917525 UGA917525 UPW917525 UZS917525 VJO917525 VTK917525 WDG917525 WNC917525 WWY917525 AQ983061 KM983061 UI983061 AEE983061 AOA983061 AXW983061 BHS983061 BRO983061 CBK983061 CLG983061 CVC983061 DEY983061 DOU983061 DYQ983061 EIM983061 ESI983061 FCE983061 FMA983061 FVW983061 GFS983061 GPO983061 GZK983061 HJG983061 HTC983061 ICY983061 IMU983061 IWQ983061 JGM983061 JQI983061 KAE983061 KKA983061 KTW983061 LDS983061 LNO983061 LXK983061 MHG983061 MRC983061 NAY983061 NKU983061 NUQ983061 OEM983061 OOI983061 OYE983061 PIA983061 PRW983061 QBS983061 QLO983061 QVK983061 RFG983061 RPC983061 RYY983061 SIU983061 SSQ983061 TCM983061 TMI983061 TWE983061 UGA983061 UPW983061 UZS983061 VJO983061 VTK983061 WDG983061 WNC983061 WWY983061" xr:uid="{BDCF62FF-C904-49EA-8342-CA681A6C4056}">
      <formula1>$AJ$26:$AJ$26</formula1>
    </dataValidation>
    <dataValidation type="list" allowBlank="1" showInputMessage="1" showErrorMessage="1" sqref="U2 JQ2 TM2 ADI2 ANE2 AXA2 BGW2 BQS2 CAO2 CKK2 CUG2 DEC2 DNY2 DXU2 EHQ2 ERM2 FBI2 FLE2 FVA2 GEW2 GOS2 GYO2 HIK2 HSG2 ICC2 ILY2 IVU2 JFQ2 JPM2 JZI2 KJE2 KTA2 LCW2 LMS2 LWO2 MGK2 MQG2 NAC2 NJY2 NTU2 ODQ2 ONM2 OXI2 PHE2 PRA2 QAW2 QKS2 QUO2 REK2 ROG2 RYC2 SHY2 SRU2 TBQ2 TLM2 TVI2 UFE2 UPA2 UYW2 VIS2 VSO2 WCK2 WMG2 WWC2 U65538 JQ65538 TM65538 ADI65538 ANE65538 AXA65538 BGW65538 BQS65538 CAO65538 CKK65538 CUG65538 DEC65538 DNY65538 DXU65538 EHQ65538 ERM65538 FBI65538 FLE65538 FVA65538 GEW65538 GOS65538 GYO65538 HIK65538 HSG65538 ICC65538 ILY65538 IVU65538 JFQ65538 JPM65538 JZI65538 KJE65538 KTA65538 LCW65538 LMS65538 LWO65538 MGK65538 MQG65538 NAC65538 NJY65538 NTU65538 ODQ65538 ONM65538 OXI65538 PHE65538 PRA65538 QAW65538 QKS65538 QUO65538 REK65538 ROG65538 RYC65538 SHY65538 SRU65538 TBQ65538 TLM65538 TVI65538 UFE65538 UPA65538 UYW65538 VIS65538 VSO65538 WCK65538 WMG65538 WWC65538 U131074 JQ131074 TM131074 ADI131074 ANE131074 AXA131074 BGW131074 BQS131074 CAO131074 CKK131074 CUG131074 DEC131074 DNY131074 DXU131074 EHQ131074 ERM131074 FBI131074 FLE131074 FVA131074 GEW131074 GOS131074 GYO131074 HIK131074 HSG131074 ICC131074 ILY131074 IVU131074 JFQ131074 JPM131074 JZI131074 KJE131074 KTA131074 LCW131074 LMS131074 LWO131074 MGK131074 MQG131074 NAC131074 NJY131074 NTU131074 ODQ131074 ONM131074 OXI131074 PHE131074 PRA131074 QAW131074 QKS131074 QUO131074 REK131074 ROG131074 RYC131074 SHY131074 SRU131074 TBQ131074 TLM131074 TVI131074 UFE131074 UPA131074 UYW131074 VIS131074 VSO131074 WCK131074 WMG131074 WWC131074 U196610 JQ196610 TM196610 ADI196610 ANE196610 AXA196610 BGW196610 BQS196610 CAO196610 CKK196610 CUG196610 DEC196610 DNY196610 DXU196610 EHQ196610 ERM196610 FBI196610 FLE196610 FVA196610 GEW196610 GOS196610 GYO196610 HIK196610 HSG196610 ICC196610 ILY196610 IVU196610 JFQ196610 JPM196610 JZI196610 KJE196610 KTA196610 LCW196610 LMS196610 LWO196610 MGK196610 MQG196610 NAC196610 NJY196610 NTU196610 ODQ196610 ONM196610 OXI196610 PHE196610 PRA196610 QAW196610 QKS196610 QUO196610 REK196610 ROG196610 RYC196610 SHY196610 SRU196610 TBQ196610 TLM196610 TVI196610 UFE196610 UPA196610 UYW196610 VIS196610 VSO196610 WCK196610 WMG196610 WWC196610 U262146 JQ262146 TM262146 ADI262146 ANE262146 AXA262146 BGW262146 BQS262146 CAO262146 CKK262146 CUG262146 DEC262146 DNY262146 DXU262146 EHQ262146 ERM262146 FBI262146 FLE262146 FVA262146 GEW262146 GOS262146 GYO262146 HIK262146 HSG262146 ICC262146 ILY262146 IVU262146 JFQ262146 JPM262146 JZI262146 KJE262146 KTA262146 LCW262146 LMS262146 LWO262146 MGK262146 MQG262146 NAC262146 NJY262146 NTU262146 ODQ262146 ONM262146 OXI262146 PHE262146 PRA262146 QAW262146 QKS262146 QUO262146 REK262146 ROG262146 RYC262146 SHY262146 SRU262146 TBQ262146 TLM262146 TVI262146 UFE262146 UPA262146 UYW262146 VIS262146 VSO262146 WCK262146 WMG262146 WWC262146 U327682 JQ327682 TM327682 ADI327682 ANE327682 AXA327682 BGW327682 BQS327682 CAO327682 CKK327682 CUG327682 DEC327682 DNY327682 DXU327682 EHQ327682 ERM327682 FBI327682 FLE327682 FVA327682 GEW327682 GOS327682 GYO327682 HIK327682 HSG327682 ICC327682 ILY327682 IVU327682 JFQ327682 JPM327682 JZI327682 KJE327682 KTA327682 LCW327682 LMS327682 LWO327682 MGK327682 MQG327682 NAC327682 NJY327682 NTU327682 ODQ327682 ONM327682 OXI327682 PHE327682 PRA327682 QAW327682 QKS327682 QUO327682 REK327682 ROG327682 RYC327682 SHY327682 SRU327682 TBQ327682 TLM327682 TVI327682 UFE327682 UPA327682 UYW327682 VIS327682 VSO327682 WCK327682 WMG327682 WWC327682 U393218 JQ393218 TM393218 ADI393218 ANE393218 AXA393218 BGW393218 BQS393218 CAO393218 CKK393218 CUG393218 DEC393218 DNY393218 DXU393218 EHQ393218 ERM393218 FBI393218 FLE393218 FVA393218 GEW393218 GOS393218 GYO393218 HIK393218 HSG393218 ICC393218 ILY393218 IVU393218 JFQ393218 JPM393218 JZI393218 KJE393218 KTA393218 LCW393218 LMS393218 LWO393218 MGK393218 MQG393218 NAC393218 NJY393218 NTU393218 ODQ393218 ONM393218 OXI393218 PHE393218 PRA393218 QAW393218 QKS393218 QUO393218 REK393218 ROG393218 RYC393218 SHY393218 SRU393218 TBQ393218 TLM393218 TVI393218 UFE393218 UPA393218 UYW393218 VIS393218 VSO393218 WCK393218 WMG393218 WWC393218 U458754 JQ458754 TM458754 ADI458754 ANE458754 AXA458754 BGW458754 BQS458754 CAO458754 CKK458754 CUG458754 DEC458754 DNY458754 DXU458754 EHQ458754 ERM458754 FBI458754 FLE458754 FVA458754 GEW458754 GOS458754 GYO458754 HIK458754 HSG458754 ICC458754 ILY458754 IVU458754 JFQ458754 JPM458754 JZI458754 KJE458754 KTA458754 LCW458754 LMS458754 LWO458754 MGK458754 MQG458754 NAC458754 NJY458754 NTU458754 ODQ458754 ONM458754 OXI458754 PHE458754 PRA458754 QAW458754 QKS458754 QUO458754 REK458754 ROG458754 RYC458754 SHY458754 SRU458754 TBQ458754 TLM458754 TVI458754 UFE458754 UPA458754 UYW458754 VIS458754 VSO458754 WCK458754 WMG458754 WWC458754 U524290 JQ524290 TM524290 ADI524290 ANE524290 AXA524290 BGW524290 BQS524290 CAO524290 CKK524290 CUG524290 DEC524290 DNY524290 DXU524290 EHQ524290 ERM524290 FBI524290 FLE524290 FVA524290 GEW524290 GOS524290 GYO524290 HIK524290 HSG524290 ICC524290 ILY524290 IVU524290 JFQ524290 JPM524290 JZI524290 KJE524290 KTA524290 LCW524290 LMS524290 LWO524290 MGK524290 MQG524290 NAC524290 NJY524290 NTU524290 ODQ524290 ONM524290 OXI524290 PHE524290 PRA524290 QAW524290 QKS524290 QUO524290 REK524290 ROG524290 RYC524290 SHY524290 SRU524290 TBQ524290 TLM524290 TVI524290 UFE524290 UPA524290 UYW524290 VIS524290 VSO524290 WCK524290 WMG524290 WWC524290 U589826 JQ589826 TM589826 ADI589826 ANE589826 AXA589826 BGW589826 BQS589826 CAO589826 CKK589826 CUG589826 DEC589826 DNY589826 DXU589826 EHQ589826 ERM589826 FBI589826 FLE589826 FVA589826 GEW589826 GOS589826 GYO589826 HIK589826 HSG589826 ICC589826 ILY589826 IVU589826 JFQ589826 JPM589826 JZI589826 KJE589826 KTA589826 LCW589826 LMS589826 LWO589826 MGK589826 MQG589826 NAC589826 NJY589826 NTU589826 ODQ589826 ONM589826 OXI589826 PHE589826 PRA589826 QAW589826 QKS589826 QUO589826 REK589826 ROG589826 RYC589826 SHY589826 SRU589826 TBQ589826 TLM589826 TVI589826 UFE589826 UPA589826 UYW589826 VIS589826 VSO589826 WCK589826 WMG589826 WWC589826 U655362 JQ655362 TM655362 ADI655362 ANE655362 AXA655362 BGW655362 BQS655362 CAO655362 CKK655362 CUG655362 DEC655362 DNY655362 DXU655362 EHQ655362 ERM655362 FBI655362 FLE655362 FVA655362 GEW655362 GOS655362 GYO655362 HIK655362 HSG655362 ICC655362 ILY655362 IVU655362 JFQ655362 JPM655362 JZI655362 KJE655362 KTA655362 LCW655362 LMS655362 LWO655362 MGK655362 MQG655362 NAC655362 NJY655362 NTU655362 ODQ655362 ONM655362 OXI655362 PHE655362 PRA655362 QAW655362 QKS655362 QUO655362 REK655362 ROG655362 RYC655362 SHY655362 SRU655362 TBQ655362 TLM655362 TVI655362 UFE655362 UPA655362 UYW655362 VIS655362 VSO655362 WCK655362 WMG655362 WWC655362 U720898 JQ720898 TM720898 ADI720898 ANE720898 AXA720898 BGW720898 BQS720898 CAO720898 CKK720898 CUG720898 DEC720898 DNY720898 DXU720898 EHQ720898 ERM720898 FBI720898 FLE720898 FVA720898 GEW720898 GOS720898 GYO720898 HIK720898 HSG720898 ICC720898 ILY720898 IVU720898 JFQ720898 JPM720898 JZI720898 KJE720898 KTA720898 LCW720898 LMS720898 LWO720898 MGK720898 MQG720898 NAC720898 NJY720898 NTU720898 ODQ720898 ONM720898 OXI720898 PHE720898 PRA720898 QAW720898 QKS720898 QUO720898 REK720898 ROG720898 RYC720898 SHY720898 SRU720898 TBQ720898 TLM720898 TVI720898 UFE720898 UPA720898 UYW720898 VIS720898 VSO720898 WCK720898 WMG720898 WWC720898 U786434 JQ786434 TM786434 ADI786434 ANE786434 AXA786434 BGW786434 BQS786434 CAO786434 CKK786434 CUG786434 DEC786434 DNY786434 DXU786434 EHQ786434 ERM786434 FBI786434 FLE786434 FVA786434 GEW786434 GOS786434 GYO786434 HIK786434 HSG786434 ICC786434 ILY786434 IVU786434 JFQ786434 JPM786434 JZI786434 KJE786434 KTA786434 LCW786434 LMS786434 LWO786434 MGK786434 MQG786434 NAC786434 NJY786434 NTU786434 ODQ786434 ONM786434 OXI786434 PHE786434 PRA786434 QAW786434 QKS786434 QUO786434 REK786434 ROG786434 RYC786434 SHY786434 SRU786434 TBQ786434 TLM786434 TVI786434 UFE786434 UPA786434 UYW786434 VIS786434 VSO786434 WCK786434 WMG786434 WWC786434 U851970 JQ851970 TM851970 ADI851970 ANE851970 AXA851970 BGW851970 BQS851970 CAO851970 CKK851970 CUG851970 DEC851970 DNY851970 DXU851970 EHQ851970 ERM851970 FBI851970 FLE851970 FVA851970 GEW851970 GOS851970 GYO851970 HIK851970 HSG851970 ICC851970 ILY851970 IVU851970 JFQ851970 JPM851970 JZI851970 KJE851970 KTA851970 LCW851970 LMS851970 LWO851970 MGK851970 MQG851970 NAC851970 NJY851970 NTU851970 ODQ851970 ONM851970 OXI851970 PHE851970 PRA851970 QAW851970 QKS851970 QUO851970 REK851970 ROG851970 RYC851970 SHY851970 SRU851970 TBQ851970 TLM851970 TVI851970 UFE851970 UPA851970 UYW851970 VIS851970 VSO851970 WCK851970 WMG851970 WWC851970 U917506 JQ917506 TM917506 ADI917506 ANE917506 AXA917506 BGW917506 BQS917506 CAO917506 CKK917506 CUG917506 DEC917506 DNY917506 DXU917506 EHQ917506 ERM917506 FBI917506 FLE917506 FVA917506 GEW917506 GOS917506 GYO917506 HIK917506 HSG917506 ICC917506 ILY917506 IVU917506 JFQ917506 JPM917506 JZI917506 KJE917506 KTA917506 LCW917506 LMS917506 LWO917506 MGK917506 MQG917506 NAC917506 NJY917506 NTU917506 ODQ917506 ONM917506 OXI917506 PHE917506 PRA917506 QAW917506 QKS917506 QUO917506 REK917506 ROG917506 RYC917506 SHY917506 SRU917506 TBQ917506 TLM917506 TVI917506 UFE917506 UPA917506 UYW917506 VIS917506 VSO917506 WCK917506 WMG917506 WWC917506 U983042 JQ983042 TM983042 ADI983042 ANE983042 AXA983042 BGW983042 BQS983042 CAO983042 CKK983042 CUG983042 DEC983042 DNY983042 DXU983042 EHQ983042 ERM983042 FBI983042 FLE983042 FVA983042 GEW983042 GOS983042 GYO983042 HIK983042 HSG983042 ICC983042 ILY983042 IVU983042 JFQ983042 JPM983042 JZI983042 KJE983042 KTA983042 LCW983042 LMS983042 LWO983042 MGK983042 MQG983042 NAC983042 NJY983042 NTU983042 ODQ983042 ONM983042 OXI983042 PHE983042 PRA983042 QAW983042 QKS983042 QUO983042 REK983042 ROG983042 RYC983042 SHY983042 SRU983042 TBQ983042 TLM983042 TVI983042 UFE983042 UPA983042 UYW983042 VIS983042 VSO983042 WCK983042 WMG983042 WWC983042" xr:uid="{0B50C616-33E4-454A-9D6E-D6586614789F}">
      <formula1>$BH$91:$BH$97</formula1>
    </dataValidation>
    <dataValidation type="list" allowBlank="1" showInputMessage="1" showErrorMessage="1" sqref="AC53 JY53 TU53 ADQ53 ANM53 AXI53 BHE53 BRA53 CAW53 CKS53 CUO53 DEK53 DOG53 DYC53 EHY53 ERU53 FBQ53 FLM53 FVI53 GFE53 GPA53 GYW53 HIS53 HSO53 ICK53 IMG53 IWC53 JFY53 JPU53 JZQ53 KJM53 KTI53 LDE53 LNA53 LWW53 MGS53 MQO53 NAK53 NKG53 NUC53 ODY53 ONU53 OXQ53 PHM53 PRI53 QBE53 QLA53 QUW53 RES53 ROO53 RYK53 SIG53 SSC53 TBY53 TLU53 TVQ53 UFM53 UPI53 UZE53 VJA53 VSW53 WCS53 WMO53 WWK53 AC65589 JY65589 TU65589 ADQ65589 ANM65589 AXI65589 BHE65589 BRA65589 CAW65589 CKS65589 CUO65589 DEK65589 DOG65589 DYC65589 EHY65589 ERU65589 FBQ65589 FLM65589 FVI65589 GFE65589 GPA65589 GYW65589 HIS65589 HSO65589 ICK65589 IMG65589 IWC65589 JFY65589 JPU65589 JZQ65589 KJM65589 KTI65589 LDE65589 LNA65589 LWW65589 MGS65589 MQO65589 NAK65589 NKG65589 NUC65589 ODY65589 ONU65589 OXQ65589 PHM65589 PRI65589 QBE65589 QLA65589 QUW65589 RES65589 ROO65589 RYK65589 SIG65589 SSC65589 TBY65589 TLU65589 TVQ65589 UFM65589 UPI65589 UZE65589 VJA65589 VSW65589 WCS65589 WMO65589 WWK65589 AC131125 JY131125 TU131125 ADQ131125 ANM131125 AXI131125 BHE131125 BRA131125 CAW131125 CKS131125 CUO131125 DEK131125 DOG131125 DYC131125 EHY131125 ERU131125 FBQ131125 FLM131125 FVI131125 GFE131125 GPA131125 GYW131125 HIS131125 HSO131125 ICK131125 IMG131125 IWC131125 JFY131125 JPU131125 JZQ131125 KJM131125 KTI131125 LDE131125 LNA131125 LWW131125 MGS131125 MQO131125 NAK131125 NKG131125 NUC131125 ODY131125 ONU131125 OXQ131125 PHM131125 PRI131125 QBE131125 QLA131125 QUW131125 RES131125 ROO131125 RYK131125 SIG131125 SSC131125 TBY131125 TLU131125 TVQ131125 UFM131125 UPI131125 UZE131125 VJA131125 VSW131125 WCS131125 WMO131125 WWK131125 AC196661 JY196661 TU196661 ADQ196661 ANM196661 AXI196661 BHE196661 BRA196661 CAW196661 CKS196661 CUO196661 DEK196661 DOG196661 DYC196661 EHY196661 ERU196661 FBQ196661 FLM196661 FVI196661 GFE196661 GPA196661 GYW196661 HIS196661 HSO196661 ICK196661 IMG196661 IWC196661 JFY196661 JPU196661 JZQ196661 KJM196661 KTI196661 LDE196661 LNA196661 LWW196661 MGS196661 MQO196661 NAK196661 NKG196661 NUC196661 ODY196661 ONU196661 OXQ196661 PHM196661 PRI196661 QBE196661 QLA196661 QUW196661 RES196661 ROO196661 RYK196661 SIG196661 SSC196661 TBY196661 TLU196661 TVQ196661 UFM196661 UPI196661 UZE196661 VJA196661 VSW196661 WCS196661 WMO196661 WWK196661 AC262197 JY262197 TU262197 ADQ262197 ANM262197 AXI262197 BHE262197 BRA262197 CAW262197 CKS262197 CUO262197 DEK262197 DOG262197 DYC262197 EHY262197 ERU262197 FBQ262197 FLM262197 FVI262197 GFE262197 GPA262197 GYW262197 HIS262197 HSO262197 ICK262197 IMG262197 IWC262197 JFY262197 JPU262197 JZQ262197 KJM262197 KTI262197 LDE262197 LNA262197 LWW262197 MGS262197 MQO262197 NAK262197 NKG262197 NUC262197 ODY262197 ONU262197 OXQ262197 PHM262197 PRI262197 QBE262197 QLA262197 QUW262197 RES262197 ROO262197 RYK262197 SIG262197 SSC262197 TBY262197 TLU262197 TVQ262197 UFM262197 UPI262197 UZE262197 VJA262197 VSW262197 WCS262197 WMO262197 WWK262197 AC327733 JY327733 TU327733 ADQ327733 ANM327733 AXI327733 BHE327733 BRA327733 CAW327733 CKS327733 CUO327733 DEK327733 DOG327733 DYC327733 EHY327733 ERU327733 FBQ327733 FLM327733 FVI327733 GFE327733 GPA327733 GYW327733 HIS327733 HSO327733 ICK327733 IMG327733 IWC327733 JFY327733 JPU327733 JZQ327733 KJM327733 KTI327733 LDE327733 LNA327733 LWW327733 MGS327733 MQO327733 NAK327733 NKG327733 NUC327733 ODY327733 ONU327733 OXQ327733 PHM327733 PRI327733 QBE327733 QLA327733 QUW327733 RES327733 ROO327733 RYK327733 SIG327733 SSC327733 TBY327733 TLU327733 TVQ327733 UFM327733 UPI327733 UZE327733 VJA327733 VSW327733 WCS327733 WMO327733 WWK327733 AC393269 JY393269 TU393269 ADQ393269 ANM393269 AXI393269 BHE393269 BRA393269 CAW393269 CKS393269 CUO393269 DEK393269 DOG393269 DYC393269 EHY393269 ERU393269 FBQ393269 FLM393269 FVI393269 GFE393269 GPA393269 GYW393269 HIS393269 HSO393269 ICK393269 IMG393269 IWC393269 JFY393269 JPU393269 JZQ393269 KJM393269 KTI393269 LDE393269 LNA393269 LWW393269 MGS393269 MQO393269 NAK393269 NKG393269 NUC393269 ODY393269 ONU393269 OXQ393269 PHM393269 PRI393269 QBE393269 QLA393269 QUW393269 RES393269 ROO393269 RYK393269 SIG393269 SSC393269 TBY393269 TLU393269 TVQ393269 UFM393269 UPI393269 UZE393269 VJA393269 VSW393269 WCS393269 WMO393269 WWK393269 AC458805 JY458805 TU458805 ADQ458805 ANM458805 AXI458805 BHE458805 BRA458805 CAW458805 CKS458805 CUO458805 DEK458805 DOG458805 DYC458805 EHY458805 ERU458805 FBQ458805 FLM458805 FVI458805 GFE458805 GPA458805 GYW458805 HIS458805 HSO458805 ICK458805 IMG458805 IWC458805 JFY458805 JPU458805 JZQ458805 KJM458805 KTI458805 LDE458805 LNA458805 LWW458805 MGS458805 MQO458805 NAK458805 NKG458805 NUC458805 ODY458805 ONU458805 OXQ458805 PHM458805 PRI458805 QBE458805 QLA458805 QUW458805 RES458805 ROO458805 RYK458805 SIG458805 SSC458805 TBY458805 TLU458805 TVQ458805 UFM458805 UPI458805 UZE458805 VJA458805 VSW458805 WCS458805 WMO458805 WWK458805 AC524341 JY524341 TU524341 ADQ524341 ANM524341 AXI524341 BHE524341 BRA524341 CAW524341 CKS524341 CUO524341 DEK524341 DOG524341 DYC524341 EHY524341 ERU524341 FBQ524341 FLM524341 FVI524341 GFE524341 GPA524341 GYW524341 HIS524341 HSO524341 ICK524341 IMG524341 IWC524341 JFY524341 JPU524341 JZQ524341 KJM524341 KTI524341 LDE524341 LNA524341 LWW524341 MGS524341 MQO524341 NAK524341 NKG524341 NUC524341 ODY524341 ONU524341 OXQ524341 PHM524341 PRI524341 QBE524341 QLA524341 QUW524341 RES524341 ROO524341 RYK524341 SIG524341 SSC524341 TBY524341 TLU524341 TVQ524341 UFM524341 UPI524341 UZE524341 VJA524341 VSW524341 WCS524341 WMO524341 WWK524341 AC589877 JY589877 TU589877 ADQ589877 ANM589877 AXI589877 BHE589877 BRA589877 CAW589877 CKS589877 CUO589877 DEK589877 DOG589877 DYC589877 EHY589877 ERU589877 FBQ589877 FLM589877 FVI589877 GFE589877 GPA589877 GYW589877 HIS589877 HSO589877 ICK589877 IMG589877 IWC589877 JFY589877 JPU589877 JZQ589877 KJM589877 KTI589877 LDE589877 LNA589877 LWW589877 MGS589877 MQO589877 NAK589877 NKG589877 NUC589877 ODY589877 ONU589877 OXQ589877 PHM589877 PRI589877 QBE589877 QLA589877 QUW589877 RES589877 ROO589877 RYK589877 SIG589877 SSC589877 TBY589877 TLU589877 TVQ589877 UFM589877 UPI589877 UZE589877 VJA589877 VSW589877 WCS589877 WMO589877 WWK589877 AC655413 JY655413 TU655413 ADQ655413 ANM655413 AXI655413 BHE655413 BRA655413 CAW655413 CKS655413 CUO655413 DEK655413 DOG655413 DYC655413 EHY655413 ERU655413 FBQ655413 FLM655413 FVI655413 GFE655413 GPA655413 GYW655413 HIS655413 HSO655413 ICK655413 IMG655413 IWC655413 JFY655413 JPU655413 JZQ655413 KJM655413 KTI655413 LDE655413 LNA655413 LWW655413 MGS655413 MQO655413 NAK655413 NKG655413 NUC655413 ODY655413 ONU655413 OXQ655413 PHM655413 PRI655413 QBE655413 QLA655413 QUW655413 RES655413 ROO655413 RYK655413 SIG655413 SSC655413 TBY655413 TLU655413 TVQ655413 UFM655413 UPI655413 UZE655413 VJA655413 VSW655413 WCS655413 WMO655413 WWK655413 AC720949 JY720949 TU720949 ADQ720949 ANM720949 AXI720949 BHE720949 BRA720949 CAW720949 CKS720949 CUO720949 DEK720949 DOG720949 DYC720949 EHY720949 ERU720949 FBQ720949 FLM720949 FVI720949 GFE720949 GPA720949 GYW720949 HIS720949 HSO720949 ICK720949 IMG720949 IWC720949 JFY720949 JPU720949 JZQ720949 KJM720949 KTI720949 LDE720949 LNA720949 LWW720949 MGS720949 MQO720949 NAK720949 NKG720949 NUC720949 ODY720949 ONU720949 OXQ720949 PHM720949 PRI720949 QBE720949 QLA720949 QUW720949 RES720949 ROO720949 RYK720949 SIG720949 SSC720949 TBY720949 TLU720949 TVQ720949 UFM720949 UPI720949 UZE720949 VJA720949 VSW720949 WCS720949 WMO720949 WWK720949 AC786485 JY786485 TU786485 ADQ786485 ANM786485 AXI786485 BHE786485 BRA786485 CAW786485 CKS786485 CUO786485 DEK786485 DOG786485 DYC786485 EHY786485 ERU786485 FBQ786485 FLM786485 FVI786485 GFE786485 GPA786485 GYW786485 HIS786485 HSO786485 ICK786485 IMG786485 IWC786485 JFY786485 JPU786485 JZQ786485 KJM786485 KTI786485 LDE786485 LNA786485 LWW786485 MGS786485 MQO786485 NAK786485 NKG786485 NUC786485 ODY786485 ONU786485 OXQ786485 PHM786485 PRI786485 QBE786485 QLA786485 QUW786485 RES786485 ROO786485 RYK786485 SIG786485 SSC786485 TBY786485 TLU786485 TVQ786485 UFM786485 UPI786485 UZE786485 VJA786485 VSW786485 WCS786485 WMO786485 WWK786485 AC852021 JY852021 TU852021 ADQ852021 ANM852021 AXI852021 BHE852021 BRA852021 CAW852021 CKS852021 CUO852021 DEK852021 DOG852021 DYC852021 EHY852021 ERU852021 FBQ852021 FLM852021 FVI852021 GFE852021 GPA852021 GYW852021 HIS852021 HSO852021 ICK852021 IMG852021 IWC852021 JFY852021 JPU852021 JZQ852021 KJM852021 KTI852021 LDE852021 LNA852021 LWW852021 MGS852021 MQO852021 NAK852021 NKG852021 NUC852021 ODY852021 ONU852021 OXQ852021 PHM852021 PRI852021 QBE852021 QLA852021 QUW852021 RES852021 ROO852021 RYK852021 SIG852021 SSC852021 TBY852021 TLU852021 TVQ852021 UFM852021 UPI852021 UZE852021 VJA852021 VSW852021 WCS852021 WMO852021 WWK852021 AC917557 JY917557 TU917557 ADQ917557 ANM917557 AXI917557 BHE917557 BRA917557 CAW917557 CKS917557 CUO917557 DEK917557 DOG917557 DYC917557 EHY917557 ERU917557 FBQ917557 FLM917557 FVI917557 GFE917557 GPA917557 GYW917557 HIS917557 HSO917557 ICK917557 IMG917557 IWC917557 JFY917557 JPU917557 JZQ917557 KJM917557 KTI917557 LDE917557 LNA917557 LWW917557 MGS917557 MQO917557 NAK917557 NKG917557 NUC917557 ODY917557 ONU917557 OXQ917557 PHM917557 PRI917557 QBE917557 QLA917557 QUW917557 RES917557 ROO917557 RYK917557 SIG917557 SSC917557 TBY917557 TLU917557 TVQ917557 UFM917557 UPI917557 UZE917557 VJA917557 VSW917557 WCS917557 WMO917557 WWK917557 AC983093 JY983093 TU983093 ADQ983093 ANM983093 AXI983093 BHE983093 BRA983093 CAW983093 CKS983093 CUO983093 DEK983093 DOG983093 DYC983093 EHY983093 ERU983093 FBQ983093 FLM983093 FVI983093 GFE983093 GPA983093 GYW983093 HIS983093 HSO983093 ICK983093 IMG983093 IWC983093 JFY983093 JPU983093 JZQ983093 KJM983093 KTI983093 LDE983093 LNA983093 LWW983093 MGS983093 MQO983093 NAK983093 NKG983093 NUC983093 ODY983093 ONU983093 OXQ983093 PHM983093 PRI983093 QBE983093 QLA983093 QUW983093 RES983093 ROO983093 RYK983093 SIG983093 SSC983093 TBY983093 TLU983093 TVQ983093 UFM983093 UPI983093 UZE983093 VJA983093 VSW983093 WCS983093 WMO983093 WWK983093" xr:uid="{FAA397B1-DB1F-4572-AA0E-ABBD4123B49D}">
      <formula1>$AA$48:$AA$50</formula1>
    </dataValidation>
    <dataValidation type="list" allowBlank="1" showInputMessage="1" showErrorMessage="1" sqref="AB32 JX32 TT32 ADP32 ANL32 AXH32 BHD32 BQZ32 CAV32 CKR32 CUN32 DEJ32 DOF32 DYB32 EHX32 ERT32 FBP32 FLL32 FVH32 GFD32 GOZ32 GYV32 HIR32 HSN32 ICJ32 IMF32 IWB32 JFX32 JPT32 JZP32 KJL32 KTH32 LDD32 LMZ32 LWV32 MGR32 MQN32 NAJ32 NKF32 NUB32 ODX32 ONT32 OXP32 PHL32 PRH32 QBD32 QKZ32 QUV32 RER32 RON32 RYJ32 SIF32 SSB32 TBX32 TLT32 TVP32 UFL32 UPH32 UZD32 VIZ32 VSV32 WCR32 WMN32 WWJ32 AB65568 JX65568 TT65568 ADP65568 ANL65568 AXH65568 BHD65568 BQZ65568 CAV65568 CKR65568 CUN65568 DEJ65568 DOF65568 DYB65568 EHX65568 ERT65568 FBP65568 FLL65568 FVH65568 GFD65568 GOZ65568 GYV65568 HIR65568 HSN65568 ICJ65568 IMF65568 IWB65568 JFX65568 JPT65568 JZP65568 KJL65568 KTH65568 LDD65568 LMZ65568 LWV65568 MGR65568 MQN65568 NAJ65568 NKF65568 NUB65568 ODX65568 ONT65568 OXP65568 PHL65568 PRH65568 QBD65568 QKZ65568 QUV65568 RER65568 RON65568 RYJ65568 SIF65568 SSB65568 TBX65568 TLT65568 TVP65568 UFL65568 UPH65568 UZD65568 VIZ65568 VSV65568 WCR65568 WMN65568 WWJ65568 AB131104 JX131104 TT131104 ADP131104 ANL131104 AXH131104 BHD131104 BQZ131104 CAV131104 CKR131104 CUN131104 DEJ131104 DOF131104 DYB131104 EHX131104 ERT131104 FBP131104 FLL131104 FVH131104 GFD131104 GOZ131104 GYV131104 HIR131104 HSN131104 ICJ131104 IMF131104 IWB131104 JFX131104 JPT131104 JZP131104 KJL131104 KTH131104 LDD131104 LMZ131104 LWV131104 MGR131104 MQN131104 NAJ131104 NKF131104 NUB131104 ODX131104 ONT131104 OXP131104 PHL131104 PRH131104 QBD131104 QKZ131104 QUV131104 RER131104 RON131104 RYJ131104 SIF131104 SSB131104 TBX131104 TLT131104 TVP131104 UFL131104 UPH131104 UZD131104 VIZ131104 VSV131104 WCR131104 WMN131104 WWJ131104 AB196640 JX196640 TT196640 ADP196640 ANL196640 AXH196640 BHD196640 BQZ196640 CAV196640 CKR196640 CUN196640 DEJ196640 DOF196640 DYB196640 EHX196640 ERT196640 FBP196640 FLL196640 FVH196640 GFD196640 GOZ196640 GYV196640 HIR196640 HSN196640 ICJ196640 IMF196640 IWB196640 JFX196640 JPT196640 JZP196640 KJL196640 KTH196640 LDD196640 LMZ196640 LWV196640 MGR196640 MQN196640 NAJ196640 NKF196640 NUB196640 ODX196640 ONT196640 OXP196640 PHL196640 PRH196640 QBD196640 QKZ196640 QUV196640 RER196640 RON196640 RYJ196640 SIF196640 SSB196640 TBX196640 TLT196640 TVP196640 UFL196640 UPH196640 UZD196640 VIZ196640 VSV196640 WCR196640 WMN196640 WWJ196640 AB262176 JX262176 TT262176 ADP262176 ANL262176 AXH262176 BHD262176 BQZ262176 CAV262176 CKR262176 CUN262176 DEJ262176 DOF262176 DYB262176 EHX262176 ERT262176 FBP262176 FLL262176 FVH262176 GFD262176 GOZ262176 GYV262176 HIR262176 HSN262176 ICJ262176 IMF262176 IWB262176 JFX262176 JPT262176 JZP262176 KJL262176 KTH262176 LDD262176 LMZ262176 LWV262176 MGR262176 MQN262176 NAJ262176 NKF262176 NUB262176 ODX262176 ONT262176 OXP262176 PHL262176 PRH262176 QBD262176 QKZ262176 QUV262176 RER262176 RON262176 RYJ262176 SIF262176 SSB262176 TBX262176 TLT262176 TVP262176 UFL262176 UPH262176 UZD262176 VIZ262176 VSV262176 WCR262176 WMN262176 WWJ262176 AB327712 JX327712 TT327712 ADP327712 ANL327712 AXH327712 BHD327712 BQZ327712 CAV327712 CKR327712 CUN327712 DEJ327712 DOF327712 DYB327712 EHX327712 ERT327712 FBP327712 FLL327712 FVH327712 GFD327712 GOZ327712 GYV327712 HIR327712 HSN327712 ICJ327712 IMF327712 IWB327712 JFX327712 JPT327712 JZP327712 KJL327712 KTH327712 LDD327712 LMZ327712 LWV327712 MGR327712 MQN327712 NAJ327712 NKF327712 NUB327712 ODX327712 ONT327712 OXP327712 PHL327712 PRH327712 QBD327712 QKZ327712 QUV327712 RER327712 RON327712 RYJ327712 SIF327712 SSB327712 TBX327712 TLT327712 TVP327712 UFL327712 UPH327712 UZD327712 VIZ327712 VSV327712 WCR327712 WMN327712 WWJ327712 AB393248 JX393248 TT393248 ADP393248 ANL393248 AXH393248 BHD393248 BQZ393248 CAV393248 CKR393248 CUN393248 DEJ393248 DOF393248 DYB393248 EHX393248 ERT393248 FBP393248 FLL393248 FVH393248 GFD393248 GOZ393248 GYV393248 HIR393248 HSN393248 ICJ393248 IMF393248 IWB393248 JFX393248 JPT393248 JZP393248 KJL393248 KTH393248 LDD393248 LMZ393248 LWV393248 MGR393248 MQN393248 NAJ393248 NKF393248 NUB393248 ODX393248 ONT393248 OXP393248 PHL393248 PRH393248 QBD393248 QKZ393248 QUV393248 RER393248 RON393248 RYJ393248 SIF393248 SSB393248 TBX393248 TLT393248 TVP393248 UFL393248 UPH393248 UZD393248 VIZ393248 VSV393248 WCR393248 WMN393248 WWJ393248 AB458784 JX458784 TT458784 ADP458784 ANL458784 AXH458784 BHD458784 BQZ458784 CAV458784 CKR458784 CUN458784 DEJ458784 DOF458784 DYB458784 EHX458784 ERT458784 FBP458784 FLL458784 FVH458784 GFD458784 GOZ458784 GYV458784 HIR458784 HSN458784 ICJ458784 IMF458784 IWB458784 JFX458784 JPT458784 JZP458784 KJL458784 KTH458784 LDD458784 LMZ458784 LWV458784 MGR458784 MQN458784 NAJ458784 NKF458784 NUB458784 ODX458784 ONT458784 OXP458784 PHL458784 PRH458784 QBD458784 QKZ458784 QUV458784 RER458784 RON458784 RYJ458784 SIF458784 SSB458784 TBX458784 TLT458784 TVP458784 UFL458784 UPH458784 UZD458784 VIZ458784 VSV458784 WCR458784 WMN458784 WWJ458784 AB524320 JX524320 TT524320 ADP524320 ANL524320 AXH524320 BHD524320 BQZ524320 CAV524320 CKR524320 CUN524320 DEJ524320 DOF524320 DYB524320 EHX524320 ERT524320 FBP524320 FLL524320 FVH524320 GFD524320 GOZ524320 GYV524320 HIR524320 HSN524320 ICJ524320 IMF524320 IWB524320 JFX524320 JPT524320 JZP524320 KJL524320 KTH524320 LDD524320 LMZ524320 LWV524320 MGR524320 MQN524320 NAJ524320 NKF524320 NUB524320 ODX524320 ONT524320 OXP524320 PHL524320 PRH524320 QBD524320 QKZ524320 QUV524320 RER524320 RON524320 RYJ524320 SIF524320 SSB524320 TBX524320 TLT524320 TVP524320 UFL524320 UPH524320 UZD524320 VIZ524320 VSV524320 WCR524320 WMN524320 WWJ524320 AB589856 JX589856 TT589856 ADP589856 ANL589856 AXH589856 BHD589856 BQZ589856 CAV589856 CKR589856 CUN589856 DEJ589856 DOF589856 DYB589856 EHX589856 ERT589856 FBP589856 FLL589856 FVH589856 GFD589856 GOZ589856 GYV589856 HIR589856 HSN589856 ICJ589856 IMF589856 IWB589856 JFX589856 JPT589856 JZP589856 KJL589856 KTH589856 LDD589856 LMZ589856 LWV589856 MGR589856 MQN589856 NAJ589856 NKF589856 NUB589856 ODX589856 ONT589856 OXP589856 PHL589856 PRH589856 QBD589856 QKZ589856 QUV589856 RER589856 RON589856 RYJ589856 SIF589856 SSB589856 TBX589856 TLT589856 TVP589856 UFL589856 UPH589856 UZD589856 VIZ589856 VSV589856 WCR589856 WMN589856 WWJ589856 AB655392 JX655392 TT655392 ADP655392 ANL655392 AXH655392 BHD655392 BQZ655392 CAV655392 CKR655392 CUN655392 DEJ655392 DOF655392 DYB655392 EHX655392 ERT655392 FBP655392 FLL655392 FVH655392 GFD655392 GOZ655392 GYV655392 HIR655392 HSN655392 ICJ655392 IMF655392 IWB655392 JFX655392 JPT655392 JZP655392 KJL655392 KTH655392 LDD655392 LMZ655392 LWV655392 MGR655392 MQN655392 NAJ655392 NKF655392 NUB655392 ODX655392 ONT655392 OXP655392 PHL655392 PRH655392 QBD655392 QKZ655392 QUV655392 RER655392 RON655392 RYJ655392 SIF655392 SSB655392 TBX655392 TLT655392 TVP655392 UFL655392 UPH655392 UZD655392 VIZ655392 VSV655392 WCR655392 WMN655392 WWJ655392 AB720928 JX720928 TT720928 ADP720928 ANL720928 AXH720928 BHD720928 BQZ720928 CAV720928 CKR720928 CUN720928 DEJ720928 DOF720928 DYB720928 EHX720928 ERT720928 FBP720928 FLL720928 FVH720928 GFD720928 GOZ720928 GYV720928 HIR720928 HSN720928 ICJ720928 IMF720928 IWB720928 JFX720928 JPT720928 JZP720928 KJL720928 KTH720928 LDD720928 LMZ720928 LWV720928 MGR720928 MQN720928 NAJ720928 NKF720928 NUB720928 ODX720928 ONT720928 OXP720928 PHL720928 PRH720928 QBD720928 QKZ720928 QUV720928 RER720928 RON720928 RYJ720928 SIF720928 SSB720928 TBX720928 TLT720928 TVP720928 UFL720928 UPH720928 UZD720928 VIZ720928 VSV720928 WCR720928 WMN720928 WWJ720928 AB786464 JX786464 TT786464 ADP786464 ANL786464 AXH786464 BHD786464 BQZ786464 CAV786464 CKR786464 CUN786464 DEJ786464 DOF786464 DYB786464 EHX786464 ERT786464 FBP786464 FLL786464 FVH786464 GFD786464 GOZ786464 GYV786464 HIR786464 HSN786464 ICJ786464 IMF786464 IWB786464 JFX786464 JPT786464 JZP786464 KJL786464 KTH786464 LDD786464 LMZ786464 LWV786464 MGR786464 MQN786464 NAJ786464 NKF786464 NUB786464 ODX786464 ONT786464 OXP786464 PHL786464 PRH786464 QBD786464 QKZ786464 QUV786464 RER786464 RON786464 RYJ786464 SIF786464 SSB786464 TBX786464 TLT786464 TVP786464 UFL786464 UPH786464 UZD786464 VIZ786464 VSV786464 WCR786464 WMN786464 WWJ786464 AB852000 JX852000 TT852000 ADP852000 ANL852000 AXH852000 BHD852000 BQZ852000 CAV852000 CKR852000 CUN852000 DEJ852000 DOF852000 DYB852000 EHX852000 ERT852000 FBP852000 FLL852000 FVH852000 GFD852000 GOZ852000 GYV852000 HIR852000 HSN852000 ICJ852000 IMF852000 IWB852000 JFX852000 JPT852000 JZP852000 KJL852000 KTH852000 LDD852000 LMZ852000 LWV852000 MGR852000 MQN852000 NAJ852000 NKF852000 NUB852000 ODX852000 ONT852000 OXP852000 PHL852000 PRH852000 QBD852000 QKZ852000 QUV852000 RER852000 RON852000 RYJ852000 SIF852000 SSB852000 TBX852000 TLT852000 TVP852000 UFL852000 UPH852000 UZD852000 VIZ852000 VSV852000 WCR852000 WMN852000 WWJ852000 AB917536 JX917536 TT917536 ADP917536 ANL917536 AXH917536 BHD917536 BQZ917536 CAV917536 CKR917536 CUN917536 DEJ917536 DOF917536 DYB917536 EHX917536 ERT917536 FBP917536 FLL917536 FVH917536 GFD917536 GOZ917536 GYV917536 HIR917536 HSN917536 ICJ917536 IMF917536 IWB917536 JFX917536 JPT917536 JZP917536 KJL917536 KTH917536 LDD917536 LMZ917536 LWV917536 MGR917536 MQN917536 NAJ917536 NKF917536 NUB917536 ODX917536 ONT917536 OXP917536 PHL917536 PRH917536 QBD917536 QKZ917536 QUV917536 RER917536 RON917536 RYJ917536 SIF917536 SSB917536 TBX917536 TLT917536 TVP917536 UFL917536 UPH917536 UZD917536 VIZ917536 VSV917536 WCR917536 WMN917536 WWJ917536 AB983072 JX983072 TT983072 ADP983072 ANL983072 AXH983072 BHD983072 BQZ983072 CAV983072 CKR983072 CUN983072 DEJ983072 DOF983072 DYB983072 EHX983072 ERT983072 FBP983072 FLL983072 FVH983072 GFD983072 GOZ983072 GYV983072 HIR983072 HSN983072 ICJ983072 IMF983072 IWB983072 JFX983072 JPT983072 JZP983072 KJL983072 KTH983072 LDD983072 LMZ983072 LWV983072 MGR983072 MQN983072 NAJ983072 NKF983072 NUB983072 ODX983072 ONT983072 OXP983072 PHL983072 PRH983072 QBD983072 QKZ983072 QUV983072 RER983072 RON983072 RYJ983072 SIF983072 SSB983072 TBX983072 TLT983072 TVP983072 UFL983072 UPH983072 UZD983072 VIZ983072 VSV983072 WCR983072 WMN983072 WWJ983072" xr:uid="{74C98348-F853-4C2D-9B66-951BA63F956E}">
      <formula1>$X$24:$X$25</formula1>
    </dataValidation>
    <dataValidation type="list" allowBlank="1" showInputMessage="1" showErrorMessage="1" sqref="AB33 JX33 TT33 ADP33 ANL33 AXH33 BHD33 BQZ33 CAV33 CKR33 CUN33 DEJ33 DOF33 DYB33 EHX33 ERT33 FBP33 FLL33 FVH33 GFD33 GOZ33 GYV33 HIR33 HSN33 ICJ33 IMF33 IWB33 JFX33 JPT33 JZP33 KJL33 KTH33 LDD33 LMZ33 LWV33 MGR33 MQN33 NAJ33 NKF33 NUB33 ODX33 ONT33 OXP33 PHL33 PRH33 QBD33 QKZ33 QUV33 RER33 RON33 RYJ33 SIF33 SSB33 TBX33 TLT33 TVP33 UFL33 UPH33 UZD33 VIZ33 VSV33 WCR33 WMN33 WWJ33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xr:uid="{1084A7A2-C03C-4B7E-9588-F0BCA974C91B}">
      <formula1>$X$13:$X$14</formula1>
    </dataValidation>
    <dataValidation type="list" allowBlank="1" showInputMessage="1" showErrorMessage="1" sqref="AB23 JX23 TT23 ADP23 ANL23 AXH23 BHD23 BQZ23 CAV23 CKR23 CUN23 DEJ23 DOF23 DYB23 EHX23 ERT23 FBP23 FLL23 FVH23 GFD23 GOZ23 GYV23 HIR23 HSN23 ICJ23 IMF23 IWB23 JFX23 JPT23 JZP23 KJL23 KTH23 LDD23 LMZ23 LWV23 MGR23 MQN23 NAJ23 NKF23 NUB23 ODX23 ONT23 OXP23 PHL23 PRH23 QBD23 QKZ23 QUV23 RER23 RON23 RYJ23 SIF23 SSB23 TBX23 TLT23 TVP23 UFL23 UPH23 UZD23 VIZ23 VSV23 WCR23 WMN23 WWJ23 AB65559 JX65559 TT65559 ADP65559 ANL65559 AXH65559 BHD65559 BQZ65559 CAV65559 CKR65559 CUN65559 DEJ65559 DOF65559 DYB65559 EHX65559 ERT65559 FBP65559 FLL65559 FVH65559 GFD65559 GOZ65559 GYV65559 HIR65559 HSN65559 ICJ65559 IMF65559 IWB65559 JFX65559 JPT65559 JZP65559 KJL65559 KTH65559 LDD65559 LMZ65559 LWV65559 MGR65559 MQN65559 NAJ65559 NKF65559 NUB65559 ODX65559 ONT65559 OXP65559 PHL65559 PRH65559 QBD65559 QKZ65559 QUV65559 RER65559 RON65559 RYJ65559 SIF65559 SSB65559 TBX65559 TLT65559 TVP65559 UFL65559 UPH65559 UZD65559 VIZ65559 VSV65559 WCR65559 WMN65559 WWJ65559 AB131095 JX131095 TT131095 ADP131095 ANL131095 AXH131095 BHD131095 BQZ131095 CAV131095 CKR131095 CUN131095 DEJ131095 DOF131095 DYB131095 EHX131095 ERT131095 FBP131095 FLL131095 FVH131095 GFD131095 GOZ131095 GYV131095 HIR131095 HSN131095 ICJ131095 IMF131095 IWB131095 JFX131095 JPT131095 JZP131095 KJL131095 KTH131095 LDD131095 LMZ131095 LWV131095 MGR131095 MQN131095 NAJ131095 NKF131095 NUB131095 ODX131095 ONT131095 OXP131095 PHL131095 PRH131095 QBD131095 QKZ131095 QUV131095 RER131095 RON131095 RYJ131095 SIF131095 SSB131095 TBX131095 TLT131095 TVP131095 UFL131095 UPH131095 UZD131095 VIZ131095 VSV131095 WCR131095 WMN131095 WWJ131095 AB196631 JX196631 TT196631 ADP196631 ANL196631 AXH196631 BHD196631 BQZ196631 CAV196631 CKR196631 CUN196631 DEJ196631 DOF196631 DYB196631 EHX196631 ERT196631 FBP196631 FLL196631 FVH196631 GFD196631 GOZ196631 GYV196631 HIR196631 HSN196631 ICJ196631 IMF196631 IWB196631 JFX196631 JPT196631 JZP196631 KJL196631 KTH196631 LDD196631 LMZ196631 LWV196631 MGR196631 MQN196631 NAJ196631 NKF196631 NUB196631 ODX196631 ONT196631 OXP196631 PHL196631 PRH196631 QBD196631 QKZ196631 QUV196631 RER196631 RON196631 RYJ196631 SIF196631 SSB196631 TBX196631 TLT196631 TVP196631 UFL196631 UPH196631 UZD196631 VIZ196631 VSV196631 WCR196631 WMN196631 WWJ196631 AB262167 JX262167 TT262167 ADP262167 ANL262167 AXH262167 BHD262167 BQZ262167 CAV262167 CKR262167 CUN262167 DEJ262167 DOF262167 DYB262167 EHX262167 ERT262167 FBP262167 FLL262167 FVH262167 GFD262167 GOZ262167 GYV262167 HIR262167 HSN262167 ICJ262167 IMF262167 IWB262167 JFX262167 JPT262167 JZP262167 KJL262167 KTH262167 LDD262167 LMZ262167 LWV262167 MGR262167 MQN262167 NAJ262167 NKF262167 NUB262167 ODX262167 ONT262167 OXP262167 PHL262167 PRH262167 QBD262167 QKZ262167 QUV262167 RER262167 RON262167 RYJ262167 SIF262167 SSB262167 TBX262167 TLT262167 TVP262167 UFL262167 UPH262167 UZD262167 VIZ262167 VSV262167 WCR262167 WMN262167 WWJ262167 AB327703 JX327703 TT327703 ADP327703 ANL327703 AXH327703 BHD327703 BQZ327703 CAV327703 CKR327703 CUN327703 DEJ327703 DOF327703 DYB327703 EHX327703 ERT327703 FBP327703 FLL327703 FVH327703 GFD327703 GOZ327703 GYV327703 HIR327703 HSN327703 ICJ327703 IMF327703 IWB327703 JFX327703 JPT327703 JZP327703 KJL327703 KTH327703 LDD327703 LMZ327703 LWV327703 MGR327703 MQN327703 NAJ327703 NKF327703 NUB327703 ODX327703 ONT327703 OXP327703 PHL327703 PRH327703 QBD327703 QKZ327703 QUV327703 RER327703 RON327703 RYJ327703 SIF327703 SSB327703 TBX327703 TLT327703 TVP327703 UFL327703 UPH327703 UZD327703 VIZ327703 VSV327703 WCR327703 WMN327703 WWJ327703 AB393239 JX393239 TT393239 ADP393239 ANL393239 AXH393239 BHD393239 BQZ393239 CAV393239 CKR393239 CUN393239 DEJ393239 DOF393239 DYB393239 EHX393239 ERT393239 FBP393239 FLL393239 FVH393239 GFD393239 GOZ393239 GYV393239 HIR393239 HSN393239 ICJ393239 IMF393239 IWB393239 JFX393239 JPT393239 JZP393239 KJL393239 KTH393239 LDD393239 LMZ393239 LWV393239 MGR393239 MQN393239 NAJ393239 NKF393239 NUB393239 ODX393239 ONT393239 OXP393239 PHL393239 PRH393239 QBD393239 QKZ393239 QUV393239 RER393239 RON393239 RYJ393239 SIF393239 SSB393239 TBX393239 TLT393239 TVP393239 UFL393239 UPH393239 UZD393239 VIZ393239 VSV393239 WCR393239 WMN393239 WWJ393239 AB458775 JX458775 TT458775 ADP458775 ANL458775 AXH458775 BHD458775 BQZ458775 CAV458775 CKR458775 CUN458775 DEJ458775 DOF458775 DYB458775 EHX458775 ERT458775 FBP458775 FLL458775 FVH458775 GFD458775 GOZ458775 GYV458775 HIR458775 HSN458775 ICJ458775 IMF458775 IWB458775 JFX458775 JPT458775 JZP458775 KJL458775 KTH458775 LDD458775 LMZ458775 LWV458775 MGR458775 MQN458775 NAJ458775 NKF458775 NUB458775 ODX458775 ONT458775 OXP458775 PHL458775 PRH458775 QBD458775 QKZ458775 QUV458775 RER458775 RON458775 RYJ458775 SIF458775 SSB458775 TBX458775 TLT458775 TVP458775 UFL458775 UPH458775 UZD458775 VIZ458775 VSV458775 WCR458775 WMN458775 WWJ458775 AB524311 JX524311 TT524311 ADP524311 ANL524311 AXH524311 BHD524311 BQZ524311 CAV524311 CKR524311 CUN524311 DEJ524311 DOF524311 DYB524311 EHX524311 ERT524311 FBP524311 FLL524311 FVH524311 GFD524311 GOZ524311 GYV524311 HIR524311 HSN524311 ICJ524311 IMF524311 IWB524311 JFX524311 JPT524311 JZP524311 KJL524311 KTH524311 LDD524311 LMZ524311 LWV524311 MGR524311 MQN524311 NAJ524311 NKF524311 NUB524311 ODX524311 ONT524311 OXP524311 PHL524311 PRH524311 QBD524311 QKZ524311 QUV524311 RER524311 RON524311 RYJ524311 SIF524311 SSB524311 TBX524311 TLT524311 TVP524311 UFL524311 UPH524311 UZD524311 VIZ524311 VSV524311 WCR524311 WMN524311 WWJ524311 AB589847 JX589847 TT589847 ADP589847 ANL589847 AXH589847 BHD589847 BQZ589847 CAV589847 CKR589847 CUN589847 DEJ589847 DOF589847 DYB589847 EHX589847 ERT589847 FBP589847 FLL589847 FVH589847 GFD589847 GOZ589847 GYV589847 HIR589847 HSN589847 ICJ589847 IMF589847 IWB589847 JFX589847 JPT589847 JZP589847 KJL589847 KTH589847 LDD589847 LMZ589847 LWV589847 MGR589847 MQN589847 NAJ589847 NKF589847 NUB589847 ODX589847 ONT589847 OXP589847 PHL589847 PRH589847 QBD589847 QKZ589847 QUV589847 RER589847 RON589847 RYJ589847 SIF589847 SSB589847 TBX589847 TLT589847 TVP589847 UFL589847 UPH589847 UZD589847 VIZ589847 VSV589847 WCR589847 WMN589847 WWJ589847 AB655383 JX655383 TT655383 ADP655383 ANL655383 AXH655383 BHD655383 BQZ655383 CAV655383 CKR655383 CUN655383 DEJ655383 DOF655383 DYB655383 EHX655383 ERT655383 FBP655383 FLL655383 FVH655383 GFD655383 GOZ655383 GYV655383 HIR655383 HSN655383 ICJ655383 IMF655383 IWB655383 JFX655383 JPT655383 JZP655383 KJL655383 KTH655383 LDD655383 LMZ655383 LWV655383 MGR655383 MQN655383 NAJ655383 NKF655383 NUB655383 ODX655383 ONT655383 OXP655383 PHL655383 PRH655383 QBD655383 QKZ655383 QUV655383 RER655383 RON655383 RYJ655383 SIF655383 SSB655383 TBX655383 TLT655383 TVP655383 UFL655383 UPH655383 UZD655383 VIZ655383 VSV655383 WCR655383 WMN655383 WWJ655383 AB720919 JX720919 TT720919 ADP720919 ANL720919 AXH720919 BHD720919 BQZ720919 CAV720919 CKR720919 CUN720919 DEJ720919 DOF720919 DYB720919 EHX720919 ERT720919 FBP720919 FLL720919 FVH720919 GFD720919 GOZ720919 GYV720919 HIR720919 HSN720919 ICJ720919 IMF720919 IWB720919 JFX720919 JPT720919 JZP720919 KJL720919 KTH720919 LDD720919 LMZ720919 LWV720919 MGR720919 MQN720919 NAJ720919 NKF720919 NUB720919 ODX720919 ONT720919 OXP720919 PHL720919 PRH720919 QBD720919 QKZ720919 QUV720919 RER720919 RON720919 RYJ720919 SIF720919 SSB720919 TBX720919 TLT720919 TVP720919 UFL720919 UPH720919 UZD720919 VIZ720919 VSV720919 WCR720919 WMN720919 WWJ720919 AB786455 JX786455 TT786455 ADP786455 ANL786455 AXH786455 BHD786455 BQZ786455 CAV786455 CKR786455 CUN786455 DEJ786455 DOF786455 DYB786455 EHX786455 ERT786455 FBP786455 FLL786455 FVH786455 GFD786455 GOZ786455 GYV786455 HIR786455 HSN786455 ICJ786455 IMF786455 IWB786455 JFX786455 JPT786455 JZP786455 KJL786455 KTH786455 LDD786455 LMZ786455 LWV786455 MGR786455 MQN786455 NAJ786455 NKF786455 NUB786455 ODX786455 ONT786455 OXP786455 PHL786455 PRH786455 QBD786455 QKZ786455 QUV786455 RER786455 RON786455 RYJ786455 SIF786455 SSB786455 TBX786455 TLT786455 TVP786455 UFL786455 UPH786455 UZD786455 VIZ786455 VSV786455 WCR786455 WMN786455 WWJ786455 AB851991 JX851991 TT851991 ADP851991 ANL851991 AXH851991 BHD851991 BQZ851991 CAV851991 CKR851991 CUN851991 DEJ851991 DOF851991 DYB851991 EHX851991 ERT851991 FBP851991 FLL851991 FVH851991 GFD851991 GOZ851991 GYV851991 HIR851991 HSN851991 ICJ851991 IMF851991 IWB851991 JFX851991 JPT851991 JZP851991 KJL851991 KTH851991 LDD851991 LMZ851991 LWV851991 MGR851991 MQN851991 NAJ851991 NKF851991 NUB851991 ODX851991 ONT851991 OXP851991 PHL851991 PRH851991 QBD851991 QKZ851991 QUV851991 RER851991 RON851991 RYJ851991 SIF851991 SSB851991 TBX851991 TLT851991 TVP851991 UFL851991 UPH851991 UZD851991 VIZ851991 VSV851991 WCR851991 WMN851991 WWJ851991 AB917527 JX917527 TT917527 ADP917527 ANL917527 AXH917527 BHD917527 BQZ917527 CAV917527 CKR917527 CUN917527 DEJ917527 DOF917527 DYB917527 EHX917527 ERT917527 FBP917527 FLL917527 FVH917527 GFD917527 GOZ917527 GYV917527 HIR917527 HSN917527 ICJ917527 IMF917527 IWB917527 JFX917527 JPT917527 JZP917527 KJL917527 KTH917527 LDD917527 LMZ917527 LWV917527 MGR917527 MQN917527 NAJ917527 NKF917527 NUB917527 ODX917527 ONT917527 OXP917527 PHL917527 PRH917527 QBD917527 QKZ917527 QUV917527 RER917527 RON917527 RYJ917527 SIF917527 SSB917527 TBX917527 TLT917527 TVP917527 UFL917527 UPH917527 UZD917527 VIZ917527 VSV917527 WCR917527 WMN917527 WWJ917527 AB983063 JX983063 TT983063 ADP983063 ANL983063 AXH983063 BHD983063 BQZ983063 CAV983063 CKR983063 CUN983063 DEJ983063 DOF983063 DYB983063 EHX983063 ERT983063 FBP983063 FLL983063 FVH983063 GFD983063 GOZ983063 GYV983063 HIR983063 HSN983063 ICJ983063 IMF983063 IWB983063 JFX983063 JPT983063 JZP983063 KJL983063 KTH983063 LDD983063 LMZ983063 LWV983063 MGR983063 MQN983063 NAJ983063 NKF983063 NUB983063 ODX983063 ONT983063 OXP983063 PHL983063 PRH983063 QBD983063 QKZ983063 QUV983063 RER983063 RON983063 RYJ983063 SIF983063 SSB983063 TBX983063 TLT983063 TVP983063 UFL983063 UPH983063 UZD983063 VIZ983063 VSV983063 WCR983063 WMN983063 WWJ983063" xr:uid="{51721CC3-6CBC-45D6-8B64-59EE42C8B776}">
      <formula1>$AU$20:$AU$26</formula1>
    </dataValidation>
    <dataValidation type="list" allowBlank="1" showInputMessage="1" showErrorMessage="1" sqref="AB21 JX21 TT21 ADP21 ANL21 AXH21 BHD21 BQZ21 CAV21 CKR21 CUN21 DEJ21 DOF21 DYB21 EHX21 ERT21 FBP21 FLL21 FVH21 GFD21 GOZ21 GYV21 HIR21 HSN21 ICJ21 IMF21 IWB21 JFX21 JPT21 JZP21 KJL21 KTH21 LDD21 LMZ21 LWV21 MGR21 MQN21 NAJ21 NKF21 NUB21 ODX21 ONT21 OXP21 PHL21 PRH21 QBD21 QKZ21 QUV21 RER21 RON21 RYJ21 SIF21 SSB21 TBX21 TLT21 TVP21 UFL21 UPH21 UZD21 VIZ21 VSV21 WCR21 WMN21 WWJ21 AB65557 JX65557 TT65557 ADP65557 ANL65557 AXH65557 BHD65557 BQZ65557 CAV65557 CKR65557 CUN65557 DEJ65557 DOF65557 DYB65557 EHX65557 ERT65557 FBP65557 FLL65557 FVH65557 GFD65557 GOZ65557 GYV65557 HIR65557 HSN65557 ICJ65557 IMF65557 IWB65557 JFX65557 JPT65557 JZP65557 KJL65557 KTH65557 LDD65557 LMZ65557 LWV65557 MGR65557 MQN65557 NAJ65557 NKF65557 NUB65557 ODX65557 ONT65557 OXP65557 PHL65557 PRH65557 QBD65557 QKZ65557 QUV65557 RER65557 RON65557 RYJ65557 SIF65557 SSB65557 TBX65557 TLT65557 TVP65557 UFL65557 UPH65557 UZD65557 VIZ65557 VSV65557 WCR65557 WMN65557 WWJ65557 AB131093 JX131093 TT131093 ADP131093 ANL131093 AXH131093 BHD131093 BQZ131093 CAV131093 CKR131093 CUN131093 DEJ131093 DOF131093 DYB131093 EHX131093 ERT131093 FBP131093 FLL131093 FVH131093 GFD131093 GOZ131093 GYV131093 HIR131093 HSN131093 ICJ131093 IMF131093 IWB131093 JFX131093 JPT131093 JZP131093 KJL131093 KTH131093 LDD131093 LMZ131093 LWV131093 MGR131093 MQN131093 NAJ131093 NKF131093 NUB131093 ODX131093 ONT131093 OXP131093 PHL131093 PRH131093 QBD131093 QKZ131093 QUV131093 RER131093 RON131093 RYJ131093 SIF131093 SSB131093 TBX131093 TLT131093 TVP131093 UFL131093 UPH131093 UZD131093 VIZ131093 VSV131093 WCR131093 WMN131093 WWJ131093 AB196629 JX196629 TT196629 ADP196629 ANL196629 AXH196629 BHD196629 BQZ196629 CAV196629 CKR196629 CUN196629 DEJ196629 DOF196629 DYB196629 EHX196629 ERT196629 FBP196629 FLL196629 FVH196629 GFD196629 GOZ196629 GYV196629 HIR196629 HSN196629 ICJ196629 IMF196629 IWB196629 JFX196629 JPT196629 JZP196629 KJL196629 KTH196629 LDD196629 LMZ196629 LWV196629 MGR196629 MQN196629 NAJ196629 NKF196629 NUB196629 ODX196629 ONT196629 OXP196629 PHL196629 PRH196629 QBD196629 QKZ196629 QUV196629 RER196629 RON196629 RYJ196629 SIF196629 SSB196629 TBX196629 TLT196629 TVP196629 UFL196629 UPH196629 UZD196629 VIZ196629 VSV196629 WCR196629 WMN196629 WWJ196629 AB262165 JX262165 TT262165 ADP262165 ANL262165 AXH262165 BHD262165 BQZ262165 CAV262165 CKR262165 CUN262165 DEJ262165 DOF262165 DYB262165 EHX262165 ERT262165 FBP262165 FLL262165 FVH262165 GFD262165 GOZ262165 GYV262165 HIR262165 HSN262165 ICJ262165 IMF262165 IWB262165 JFX262165 JPT262165 JZP262165 KJL262165 KTH262165 LDD262165 LMZ262165 LWV262165 MGR262165 MQN262165 NAJ262165 NKF262165 NUB262165 ODX262165 ONT262165 OXP262165 PHL262165 PRH262165 QBD262165 QKZ262165 QUV262165 RER262165 RON262165 RYJ262165 SIF262165 SSB262165 TBX262165 TLT262165 TVP262165 UFL262165 UPH262165 UZD262165 VIZ262165 VSV262165 WCR262165 WMN262165 WWJ262165 AB327701 JX327701 TT327701 ADP327701 ANL327701 AXH327701 BHD327701 BQZ327701 CAV327701 CKR327701 CUN327701 DEJ327701 DOF327701 DYB327701 EHX327701 ERT327701 FBP327701 FLL327701 FVH327701 GFD327701 GOZ327701 GYV327701 HIR327701 HSN327701 ICJ327701 IMF327701 IWB327701 JFX327701 JPT327701 JZP327701 KJL327701 KTH327701 LDD327701 LMZ327701 LWV327701 MGR327701 MQN327701 NAJ327701 NKF327701 NUB327701 ODX327701 ONT327701 OXP327701 PHL327701 PRH327701 QBD327701 QKZ327701 QUV327701 RER327701 RON327701 RYJ327701 SIF327701 SSB327701 TBX327701 TLT327701 TVP327701 UFL327701 UPH327701 UZD327701 VIZ327701 VSV327701 WCR327701 WMN327701 WWJ327701 AB393237 JX393237 TT393237 ADP393237 ANL393237 AXH393237 BHD393237 BQZ393237 CAV393237 CKR393237 CUN393237 DEJ393237 DOF393237 DYB393237 EHX393237 ERT393237 FBP393237 FLL393237 FVH393237 GFD393237 GOZ393237 GYV393237 HIR393237 HSN393237 ICJ393237 IMF393237 IWB393237 JFX393237 JPT393237 JZP393237 KJL393237 KTH393237 LDD393237 LMZ393237 LWV393237 MGR393237 MQN393237 NAJ393237 NKF393237 NUB393237 ODX393237 ONT393237 OXP393237 PHL393237 PRH393237 QBD393237 QKZ393237 QUV393237 RER393237 RON393237 RYJ393237 SIF393237 SSB393237 TBX393237 TLT393237 TVP393237 UFL393237 UPH393237 UZD393237 VIZ393237 VSV393237 WCR393237 WMN393237 WWJ393237 AB458773 JX458773 TT458773 ADP458773 ANL458773 AXH458773 BHD458773 BQZ458773 CAV458773 CKR458773 CUN458773 DEJ458773 DOF458773 DYB458773 EHX458773 ERT458773 FBP458773 FLL458773 FVH458773 GFD458773 GOZ458773 GYV458773 HIR458773 HSN458773 ICJ458773 IMF458773 IWB458773 JFX458773 JPT458773 JZP458773 KJL458773 KTH458773 LDD458773 LMZ458773 LWV458773 MGR458773 MQN458773 NAJ458773 NKF458773 NUB458773 ODX458773 ONT458773 OXP458773 PHL458773 PRH458773 QBD458773 QKZ458773 QUV458773 RER458773 RON458773 RYJ458773 SIF458773 SSB458773 TBX458773 TLT458773 TVP458773 UFL458773 UPH458773 UZD458773 VIZ458773 VSV458773 WCR458773 WMN458773 WWJ458773 AB524309 JX524309 TT524309 ADP524309 ANL524309 AXH524309 BHD524309 BQZ524309 CAV524309 CKR524309 CUN524309 DEJ524309 DOF524309 DYB524309 EHX524309 ERT524309 FBP524309 FLL524309 FVH524309 GFD524309 GOZ524309 GYV524309 HIR524309 HSN524309 ICJ524309 IMF524309 IWB524309 JFX524309 JPT524309 JZP524309 KJL524309 KTH524309 LDD524309 LMZ524309 LWV524309 MGR524309 MQN524309 NAJ524309 NKF524309 NUB524309 ODX524309 ONT524309 OXP524309 PHL524309 PRH524309 QBD524309 QKZ524309 QUV524309 RER524309 RON524309 RYJ524309 SIF524309 SSB524309 TBX524309 TLT524309 TVP524309 UFL524309 UPH524309 UZD524309 VIZ524309 VSV524309 WCR524309 WMN524309 WWJ524309 AB589845 JX589845 TT589845 ADP589845 ANL589845 AXH589845 BHD589845 BQZ589845 CAV589845 CKR589845 CUN589845 DEJ589845 DOF589845 DYB589845 EHX589845 ERT589845 FBP589845 FLL589845 FVH589845 GFD589845 GOZ589845 GYV589845 HIR589845 HSN589845 ICJ589845 IMF589845 IWB589845 JFX589845 JPT589845 JZP589845 KJL589845 KTH589845 LDD589845 LMZ589845 LWV589845 MGR589845 MQN589845 NAJ589845 NKF589845 NUB589845 ODX589845 ONT589845 OXP589845 PHL589845 PRH589845 QBD589845 QKZ589845 QUV589845 RER589845 RON589845 RYJ589845 SIF589845 SSB589845 TBX589845 TLT589845 TVP589845 UFL589845 UPH589845 UZD589845 VIZ589845 VSV589845 WCR589845 WMN589845 WWJ589845 AB655381 JX655381 TT655381 ADP655381 ANL655381 AXH655381 BHD655381 BQZ655381 CAV655381 CKR655381 CUN655381 DEJ655381 DOF655381 DYB655381 EHX655381 ERT655381 FBP655381 FLL655381 FVH655381 GFD655381 GOZ655381 GYV655381 HIR655381 HSN655381 ICJ655381 IMF655381 IWB655381 JFX655381 JPT655381 JZP655381 KJL655381 KTH655381 LDD655381 LMZ655381 LWV655381 MGR655381 MQN655381 NAJ655381 NKF655381 NUB655381 ODX655381 ONT655381 OXP655381 PHL655381 PRH655381 QBD655381 QKZ655381 QUV655381 RER655381 RON655381 RYJ655381 SIF655381 SSB655381 TBX655381 TLT655381 TVP655381 UFL655381 UPH655381 UZD655381 VIZ655381 VSV655381 WCR655381 WMN655381 WWJ655381 AB720917 JX720917 TT720917 ADP720917 ANL720917 AXH720917 BHD720917 BQZ720917 CAV720917 CKR720917 CUN720917 DEJ720917 DOF720917 DYB720917 EHX720917 ERT720917 FBP720917 FLL720917 FVH720917 GFD720917 GOZ720917 GYV720917 HIR720917 HSN720917 ICJ720917 IMF720917 IWB720917 JFX720917 JPT720917 JZP720917 KJL720917 KTH720917 LDD720917 LMZ720917 LWV720917 MGR720917 MQN720917 NAJ720917 NKF720917 NUB720917 ODX720917 ONT720917 OXP720917 PHL720917 PRH720917 QBD720917 QKZ720917 QUV720917 RER720917 RON720917 RYJ720917 SIF720917 SSB720917 TBX720917 TLT720917 TVP720917 UFL720917 UPH720917 UZD720917 VIZ720917 VSV720917 WCR720917 WMN720917 WWJ720917 AB786453 JX786453 TT786453 ADP786453 ANL786453 AXH786453 BHD786453 BQZ786453 CAV786453 CKR786453 CUN786453 DEJ786453 DOF786453 DYB786453 EHX786453 ERT786453 FBP786453 FLL786453 FVH786453 GFD786453 GOZ786453 GYV786453 HIR786453 HSN786453 ICJ786453 IMF786453 IWB786453 JFX786453 JPT786453 JZP786453 KJL786453 KTH786453 LDD786453 LMZ786453 LWV786453 MGR786453 MQN786453 NAJ786453 NKF786453 NUB786453 ODX786453 ONT786453 OXP786453 PHL786453 PRH786453 QBD786453 QKZ786453 QUV786453 RER786453 RON786453 RYJ786453 SIF786453 SSB786453 TBX786453 TLT786453 TVP786453 UFL786453 UPH786453 UZD786453 VIZ786453 VSV786453 WCR786453 WMN786453 WWJ786453 AB851989 JX851989 TT851989 ADP851989 ANL851989 AXH851989 BHD851989 BQZ851989 CAV851989 CKR851989 CUN851989 DEJ851989 DOF851989 DYB851989 EHX851989 ERT851989 FBP851989 FLL851989 FVH851989 GFD851989 GOZ851989 GYV851989 HIR851989 HSN851989 ICJ851989 IMF851989 IWB851989 JFX851989 JPT851989 JZP851989 KJL851989 KTH851989 LDD851989 LMZ851989 LWV851989 MGR851989 MQN851989 NAJ851989 NKF851989 NUB851989 ODX851989 ONT851989 OXP851989 PHL851989 PRH851989 QBD851989 QKZ851989 QUV851989 RER851989 RON851989 RYJ851989 SIF851989 SSB851989 TBX851989 TLT851989 TVP851989 UFL851989 UPH851989 UZD851989 VIZ851989 VSV851989 WCR851989 WMN851989 WWJ851989 AB917525 JX917525 TT917525 ADP917525 ANL917525 AXH917525 BHD917525 BQZ917525 CAV917525 CKR917525 CUN917525 DEJ917525 DOF917525 DYB917525 EHX917525 ERT917525 FBP917525 FLL917525 FVH917525 GFD917525 GOZ917525 GYV917525 HIR917525 HSN917525 ICJ917525 IMF917525 IWB917525 JFX917525 JPT917525 JZP917525 KJL917525 KTH917525 LDD917525 LMZ917525 LWV917525 MGR917525 MQN917525 NAJ917525 NKF917525 NUB917525 ODX917525 ONT917525 OXP917525 PHL917525 PRH917525 QBD917525 QKZ917525 QUV917525 RER917525 RON917525 RYJ917525 SIF917525 SSB917525 TBX917525 TLT917525 TVP917525 UFL917525 UPH917525 UZD917525 VIZ917525 VSV917525 WCR917525 WMN917525 WWJ917525 AB983061 JX983061 TT983061 ADP983061 ANL983061 AXH983061 BHD983061 BQZ983061 CAV983061 CKR983061 CUN983061 DEJ983061 DOF983061 DYB983061 EHX983061 ERT983061 FBP983061 FLL983061 FVH983061 GFD983061 GOZ983061 GYV983061 HIR983061 HSN983061 ICJ983061 IMF983061 IWB983061 JFX983061 JPT983061 JZP983061 KJL983061 KTH983061 LDD983061 LMZ983061 LWV983061 MGR983061 MQN983061 NAJ983061 NKF983061 NUB983061 ODX983061 ONT983061 OXP983061 PHL983061 PRH983061 QBD983061 QKZ983061 QUV983061 RER983061 RON983061 RYJ983061 SIF983061 SSB983061 TBX983061 TLT983061 TVP983061 UFL983061 UPH983061 UZD983061 VIZ983061 VSV983061 WCR983061 WMN983061 WWJ983061" xr:uid="{3AAEB50A-C63B-48A1-B3C4-6617F86BD44C}">
      <formula1>$AJ$20:$AJ$20</formula1>
    </dataValidation>
    <dataValidation type="list" allowBlank="1" showInputMessage="1" showErrorMessage="1" sqref="AB19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55 JX65555 TT65555 ADP65555 ANL65555 AXH65555 BHD65555 BQZ65555 CAV65555 CKR65555 CUN65555 DEJ65555 DOF65555 DYB65555 EHX65555 ERT65555 FBP65555 FLL65555 FVH65555 GFD65555 GOZ65555 GYV65555 HIR65555 HSN65555 ICJ65555 IMF65555 IWB65555 JFX65555 JPT65555 JZP65555 KJL65555 KTH65555 LDD65555 LMZ65555 LWV65555 MGR65555 MQN65555 NAJ65555 NKF65555 NUB65555 ODX65555 ONT65555 OXP65555 PHL65555 PRH65555 QBD65555 QKZ65555 QUV65555 RER65555 RON65555 RYJ65555 SIF65555 SSB65555 TBX65555 TLT65555 TVP65555 UFL65555 UPH65555 UZD65555 VIZ65555 VSV65555 WCR65555 WMN65555 WWJ65555 AB131091 JX131091 TT131091 ADP131091 ANL131091 AXH131091 BHD131091 BQZ131091 CAV131091 CKR131091 CUN131091 DEJ131091 DOF131091 DYB131091 EHX131091 ERT131091 FBP131091 FLL131091 FVH131091 GFD131091 GOZ131091 GYV131091 HIR131091 HSN131091 ICJ131091 IMF131091 IWB131091 JFX131091 JPT131091 JZP131091 KJL131091 KTH131091 LDD131091 LMZ131091 LWV131091 MGR131091 MQN131091 NAJ131091 NKF131091 NUB131091 ODX131091 ONT131091 OXP131091 PHL131091 PRH131091 QBD131091 QKZ131091 QUV131091 RER131091 RON131091 RYJ131091 SIF131091 SSB131091 TBX131091 TLT131091 TVP131091 UFL131091 UPH131091 UZD131091 VIZ131091 VSV131091 WCR131091 WMN131091 WWJ131091 AB196627 JX196627 TT196627 ADP196627 ANL196627 AXH196627 BHD196627 BQZ196627 CAV196627 CKR196627 CUN196627 DEJ196627 DOF196627 DYB196627 EHX196627 ERT196627 FBP196627 FLL196627 FVH196627 GFD196627 GOZ196627 GYV196627 HIR196627 HSN196627 ICJ196627 IMF196627 IWB196627 JFX196627 JPT196627 JZP196627 KJL196627 KTH196627 LDD196627 LMZ196627 LWV196627 MGR196627 MQN196627 NAJ196627 NKF196627 NUB196627 ODX196627 ONT196627 OXP196627 PHL196627 PRH196627 QBD196627 QKZ196627 QUV196627 RER196627 RON196627 RYJ196627 SIF196627 SSB196627 TBX196627 TLT196627 TVP196627 UFL196627 UPH196627 UZD196627 VIZ196627 VSV196627 WCR196627 WMN196627 WWJ196627 AB262163 JX262163 TT262163 ADP262163 ANL262163 AXH262163 BHD262163 BQZ262163 CAV262163 CKR262163 CUN262163 DEJ262163 DOF262163 DYB262163 EHX262163 ERT262163 FBP262163 FLL262163 FVH262163 GFD262163 GOZ262163 GYV262163 HIR262163 HSN262163 ICJ262163 IMF262163 IWB262163 JFX262163 JPT262163 JZP262163 KJL262163 KTH262163 LDD262163 LMZ262163 LWV262163 MGR262163 MQN262163 NAJ262163 NKF262163 NUB262163 ODX262163 ONT262163 OXP262163 PHL262163 PRH262163 QBD262163 QKZ262163 QUV262163 RER262163 RON262163 RYJ262163 SIF262163 SSB262163 TBX262163 TLT262163 TVP262163 UFL262163 UPH262163 UZD262163 VIZ262163 VSV262163 WCR262163 WMN262163 WWJ262163 AB327699 JX327699 TT327699 ADP327699 ANL327699 AXH327699 BHD327699 BQZ327699 CAV327699 CKR327699 CUN327699 DEJ327699 DOF327699 DYB327699 EHX327699 ERT327699 FBP327699 FLL327699 FVH327699 GFD327699 GOZ327699 GYV327699 HIR327699 HSN327699 ICJ327699 IMF327699 IWB327699 JFX327699 JPT327699 JZP327699 KJL327699 KTH327699 LDD327699 LMZ327699 LWV327699 MGR327699 MQN327699 NAJ327699 NKF327699 NUB327699 ODX327699 ONT327699 OXP327699 PHL327699 PRH327699 QBD327699 QKZ327699 QUV327699 RER327699 RON327699 RYJ327699 SIF327699 SSB327699 TBX327699 TLT327699 TVP327699 UFL327699 UPH327699 UZD327699 VIZ327699 VSV327699 WCR327699 WMN327699 WWJ327699 AB393235 JX393235 TT393235 ADP393235 ANL393235 AXH393235 BHD393235 BQZ393235 CAV393235 CKR393235 CUN393235 DEJ393235 DOF393235 DYB393235 EHX393235 ERT393235 FBP393235 FLL393235 FVH393235 GFD393235 GOZ393235 GYV393235 HIR393235 HSN393235 ICJ393235 IMF393235 IWB393235 JFX393235 JPT393235 JZP393235 KJL393235 KTH393235 LDD393235 LMZ393235 LWV393235 MGR393235 MQN393235 NAJ393235 NKF393235 NUB393235 ODX393235 ONT393235 OXP393235 PHL393235 PRH393235 QBD393235 QKZ393235 QUV393235 RER393235 RON393235 RYJ393235 SIF393235 SSB393235 TBX393235 TLT393235 TVP393235 UFL393235 UPH393235 UZD393235 VIZ393235 VSV393235 WCR393235 WMN393235 WWJ393235 AB458771 JX458771 TT458771 ADP458771 ANL458771 AXH458771 BHD458771 BQZ458771 CAV458771 CKR458771 CUN458771 DEJ458771 DOF458771 DYB458771 EHX458771 ERT458771 FBP458771 FLL458771 FVH458771 GFD458771 GOZ458771 GYV458771 HIR458771 HSN458771 ICJ458771 IMF458771 IWB458771 JFX458771 JPT458771 JZP458771 KJL458771 KTH458771 LDD458771 LMZ458771 LWV458771 MGR458771 MQN458771 NAJ458771 NKF458771 NUB458771 ODX458771 ONT458771 OXP458771 PHL458771 PRH458771 QBD458771 QKZ458771 QUV458771 RER458771 RON458771 RYJ458771 SIF458771 SSB458771 TBX458771 TLT458771 TVP458771 UFL458771 UPH458771 UZD458771 VIZ458771 VSV458771 WCR458771 WMN458771 WWJ458771 AB524307 JX524307 TT524307 ADP524307 ANL524307 AXH524307 BHD524307 BQZ524307 CAV524307 CKR524307 CUN524307 DEJ524307 DOF524307 DYB524307 EHX524307 ERT524307 FBP524307 FLL524307 FVH524307 GFD524307 GOZ524307 GYV524307 HIR524307 HSN524307 ICJ524307 IMF524307 IWB524307 JFX524307 JPT524307 JZP524307 KJL524307 KTH524307 LDD524307 LMZ524307 LWV524307 MGR524307 MQN524307 NAJ524307 NKF524307 NUB524307 ODX524307 ONT524307 OXP524307 PHL524307 PRH524307 QBD524307 QKZ524307 QUV524307 RER524307 RON524307 RYJ524307 SIF524307 SSB524307 TBX524307 TLT524307 TVP524307 UFL524307 UPH524307 UZD524307 VIZ524307 VSV524307 WCR524307 WMN524307 WWJ524307 AB589843 JX589843 TT589843 ADP589843 ANL589843 AXH589843 BHD589843 BQZ589843 CAV589843 CKR589843 CUN589843 DEJ589843 DOF589843 DYB589843 EHX589843 ERT589843 FBP589843 FLL589843 FVH589843 GFD589843 GOZ589843 GYV589843 HIR589843 HSN589843 ICJ589843 IMF589843 IWB589843 JFX589843 JPT589843 JZP589843 KJL589843 KTH589843 LDD589843 LMZ589843 LWV589843 MGR589843 MQN589843 NAJ589843 NKF589843 NUB589843 ODX589843 ONT589843 OXP589843 PHL589843 PRH589843 QBD589843 QKZ589843 QUV589843 RER589843 RON589843 RYJ589843 SIF589843 SSB589843 TBX589843 TLT589843 TVP589843 UFL589843 UPH589843 UZD589843 VIZ589843 VSV589843 WCR589843 WMN589843 WWJ589843 AB655379 JX655379 TT655379 ADP655379 ANL655379 AXH655379 BHD655379 BQZ655379 CAV655379 CKR655379 CUN655379 DEJ655379 DOF655379 DYB655379 EHX655379 ERT655379 FBP655379 FLL655379 FVH655379 GFD655379 GOZ655379 GYV655379 HIR655379 HSN655379 ICJ655379 IMF655379 IWB655379 JFX655379 JPT655379 JZP655379 KJL655379 KTH655379 LDD655379 LMZ655379 LWV655379 MGR655379 MQN655379 NAJ655379 NKF655379 NUB655379 ODX655379 ONT655379 OXP655379 PHL655379 PRH655379 QBD655379 QKZ655379 QUV655379 RER655379 RON655379 RYJ655379 SIF655379 SSB655379 TBX655379 TLT655379 TVP655379 UFL655379 UPH655379 UZD655379 VIZ655379 VSV655379 WCR655379 WMN655379 WWJ655379 AB720915 JX720915 TT720915 ADP720915 ANL720915 AXH720915 BHD720915 BQZ720915 CAV720915 CKR720915 CUN720915 DEJ720915 DOF720915 DYB720915 EHX720915 ERT720915 FBP720915 FLL720915 FVH720915 GFD720915 GOZ720915 GYV720915 HIR720915 HSN720915 ICJ720915 IMF720915 IWB720915 JFX720915 JPT720915 JZP720915 KJL720915 KTH720915 LDD720915 LMZ720915 LWV720915 MGR720915 MQN720915 NAJ720915 NKF720915 NUB720915 ODX720915 ONT720915 OXP720915 PHL720915 PRH720915 QBD720915 QKZ720915 QUV720915 RER720915 RON720915 RYJ720915 SIF720915 SSB720915 TBX720915 TLT720915 TVP720915 UFL720915 UPH720915 UZD720915 VIZ720915 VSV720915 WCR720915 WMN720915 WWJ720915 AB786451 JX786451 TT786451 ADP786451 ANL786451 AXH786451 BHD786451 BQZ786451 CAV786451 CKR786451 CUN786451 DEJ786451 DOF786451 DYB786451 EHX786451 ERT786451 FBP786451 FLL786451 FVH786451 GFD786451 GOZ786451 GYV786451 HIR786451 HSN786451 ICJ786451 IMF786451 IWB786451 JFX786451 JPT786451 JZP786451 KJL786451 KTH786451 LDD786451 LMZ786451 LWV786451 MGR786451 MQN786451 NAJ786451 NKF786451 NUB786451 ODX786451 ONT786451 OXP786451 PHL786451 PRH786451 QBD786451 QKZ786451 QUV786451 RER786451 RON786451 RYJ786451 SIF786451 SSB786451 TBX786451 TLT786451 TVP786451 UFL786451 UPH786451 UZD786451 VIZ786451 VSV786451 WCR786451 WMN786451 WWJ786451 AB851987 JX851987 TT851987 ADP851987 ANL851987 AXH851987 BHD851987 BQZ851987 CAV851987 CKR851987 CUN851987 DEJ851987 DOF851987 DYB851987 EHX851987 ERT851987 FBP851987 FLL851987 FVH851987 GFD851987 GOZ851987 GYV851987 HIR851987 HSN851987 ICJ851987 IMF851987 IWB851987 JFX851987 JPT851987 JZP851987 KJL851987 KTH851987 LDD851987 LMZ851987 LWV851987 MGR851987 MQN851987 NAJ851987 NKF851987 NUB851987 ODX851987 ONT851987 OXP851987 PHL851987 PRH851987 QBD851987 QKZ851987 QUV851987 RER851987 RON851987 RYJ851987 SIF851987 SSB851987 TBX851987 TLT851987 TVP851987 UFL851987 UPH851987 UZD851987 VIZ851987 VSV851987 WCR851987 WMN851987 WWJ851987 AB917523 JX917523 TT917523 ADP917523 ANL917523 AXH917523 BHD917523 BQZ917523 CAV917523 CKR917523 CUN917523 DEJ917523 DOF917523 DYB917523 EHX917523 ERT917523 FBP917523 FLL917523 FVH917523 GFD917523 GOZ917523 GYV917523 HIR917523 HSN917523 ICJ917523 IMF917523 IWB917523 JFX917523 JPT917523 JZP917523 KJL917523 KTH917523 LDD917523 LMZ917523 LWV917523 MGR917523 MQN917523 NAJ917523 NKF917523 NUB917523 ODX917523 ONT917523 OXP917523 PHL917523 PRH917523 QBD917523 QKZ917523 QUV917523 RER917523 RON917523 RYJ917523 SIF917523 SSB917523 TBX917523 TLT917523 TVP917523 UFL917523 UPH917523 UZD917523 VIZ917523 VSV917523 WCR917523 WMN917523 WWJ917523 AB983059 JX983059 TT983059 ADP983059 ANL983059 AXH983059 BHD983059 BQZ983059 CAV983059 CKR983059 CUN983059 DEJ983059 DOF983059 DYB983059 EHX983059 ERT983059 FBP983059 FLL983059 FVH983059 GFD983059 GOZ983059 GYV983059 HIR983059 HSN983059 ICJ983059 IMF983059 IWB983059 JFX983059 JPT983059 JZP983059 KJL983059 KTH983059 LDD983059 LMZ983059 LWV983059 MGR983059 MQN983059 NAJ983059 NKF983059 NUB983059 ODX983059 ONT983059 OXP983059 PHL983059 PRH983059 QBD983059 QKZ983059 QUV983059 RER983059 RON983059 RYJ983059 SIF983059 SSB983059 TBX983059 TLT983059 TVP983059 UFL983059 UPH983059 UZD983059 VIZ983059 VSV983059 WCR983059 WMN983059 WWJ983059" xr:uid="{A6FA0A9E-E880-4CB5-B0B0-AC90A97F477C}">
      <formula1>$AH$14:$AH$15</formula1>
    </dataValidation>
    <dataValidation type="list" allowBlank="1" showInputMessage="1" showErrorMessage="1" sqref="AT24 KP24 UL24 AEH24 AOD24 AXZ24 BHV24 BRR24 CBN24 CLJ24 CVF24 DFB24 DOX24 DYT24 EIP24 ESL24 FCH24 FMD24 FVZ24 GFV24 GPR24 GZN24 HJJ24 HTF24 IDB24 IMX24 IWT24 JGP24 JQL24 KAH24 KKD24 KTZ24 LDV24 LNR24 LXN24 MHJ24 MRF24 NBB24 NKX24 NUT24 OEP24 OOL24 OYH24 PID24 PRZ24 QBV24 QLR24 QVN24 RFJ24 RPF24 RZB24 SIX24 SST24 TCP24 TML24 TWH24 UGD24 UPZ24 UZV24 VJR24 VTN24 WDJ24 WNF24 WXB24 AT65560 KP65560 UL65560 AEH65560 AOD65560 AXZ65560 BHV65560 BRR65560 CBN65560 CLJ65560 CVF65560 DFB65560 DOX65560 DYT65560 EIP65560 ESL65560 FCH65560 FMD65560 FVZ65560 GFV65560 GPR65560 GZN65560 HJJ65560 HTF65560 IDB65560 IMX65560 IWT65560 JGP65560 JQL65560 KAH65560 KKD65560 KTZ65560 LDV65560 LNR65560 LXN65560 MHJ65560 MRF65560 NBB65560 NKX65560 NUT65560 OEP65560 OOL65560 OYH65560 PID65560 PRZ65560 QBV65560 QLR65560 QVN65560 RFJ65560 RPF65560 RZB65560 SIX65560 SST65560 TCP65560 TML65560 TWH65560 UGD65560 UPZ65560 UZV65560 VJR65560 VTN65560 WDJ65560 WNF65560 WXB65560 AT131096 KP131096 UL131096 AEH131096 AOD131096 AXZ131096 BHV131096 BRR131096 CBN131096 CLJ131096 CVF131096 DFB131096 DOX131096 DYT131096 EIP131096 ESL131096 FCH131096 FMD131096 FVZ131096 GFV131096 GPR131096 GZN131096 HJJ131096 HTF131096 IDB131096 IMX131096 IWT131096 JGP131096 JQL131096 KAH131096 KKD131096 KTZ131096 LDV131096 LNR131096 LXN131096 MHJ131096 MRF131096 NBB131096 NKX131096 NUT131096 OEP131096 OOL131096 OYH131096 PID131096 PRZ131096 QBV131096 QLR131096 QVN131096 RFJ131096 RPF131096 RZB131096 SIX131096 SST131096 TCP131096 TML131096 TWH131096 UGD131096 UPZ131096 UZV131096 VJR131096 VTN131096 WDJ131096 WNF131096 WXB131096 AT196632 KP196632 UL196632 AEH196632 AOD196632 AXZ196632 BHV196632 BRR196632 CBN196632 CLJ196632 CVF196632 DFB196632 DOX196632 DYT196632 EIP196632 ESL196632 FCH196632 FMD196632 FVZ196632 GFV196632 GPR196632 GZN196632 HJJ196632 HTF196632 IDB196632 IMX196632 IWT196632 JGP196632 JQL196632 KAH196632 KKD196632 KTZ196632 LDV196632 LNR196632 LXN196632 MHJ196632 MRF196632 NBB196632 NKX196632 NUT196632 OEP196632 OOL196632 OYH196632 PID196632 PRZ196632 QBV196632 QLR196632 QVN196632 RFJ196632 RPF196632 RZB196632 SIX196632 SST196632 TCP196632 TML196632 TWH196632 UGD196632 UPZ196632 UZV196632 VJR196632 VTN196632 WDJ196632 WNF196632 WXB196632 AT262168 KP262168 UL262168 AEH262168 AOD262168 AXZ262168 BHV262168 BRR262168 CBN262168 CLJ262168 CVF262168 DFB262168 DOX262168 DYT262168 EIP262168 ESL262168 FCH262168 FMD262168 FVZ262168 GFV262168 GPR262168 GZN262168 HJJ262168 HTF262168 IDB262168 IMX262168 IWT262168 JGP262168 JQL262168 KAH262168 KKD262168 KTZ262168 LDV262168 LNR262168 LXN262168 MHJ262168 MRF262168 NBB262168 NKX262168 NUT262168 OEP262168 OOL262168 OYH262168 PID262168 PRZ262168 QBV262168 QLR262168 QVN262168 RFJ262168 RPF262168 RZB262168 SIX262168 SST262168 TCP262168 TML262168 TWH262168 UGD262168 UPZ262168 UZV262168 VJR262168 VTN262168 WDJ262168 WNF262168 WXB262168 AT327704 KP327704 UL327704 AEH327704 AOD327704 AXZ327704 BHV327704 BRR327704 CBN327704 CLJ327704 CVF327704 DFB327704 DOX327704 DYT327704 EIP327704 ESL327704 FCH327704 FMD327704 FVZ327704 GFV327704 GPR327704 GZN327704 HJJ327704 HTF327704 IDB327704 IMX327704 IWT327704 JGP327704 JQL327704 KAH327704 KKD327704 KTZ327704 LDV327704 LNR327704 LXN327704 MHJ327704 MRF327704 NBB327704 NKX327704 NUT327704 OEP327704 OOL327704 OYH327704 PID327704 PRZ327704 QBV327704 QLR327704 QVN327704 RFJ327704 RPF327704 RZB327704 SIX327704 SST327704 TCP327704 TML327704 TWH327704 UGD327704 UPZ327704 UZV327704 VJR327704 VTN327704 WDJ327704 WNF327704 WXB327704 AT393240 KP393240 UL393240 AEH393240 AOD393240 AXZ393240 BHV393240 BRR393240 CBN393240 CLJ393240 CVF393240 DFB393240 DOX393240 DYT393240 EIP393240 ESL393240 FCH393240 FMD393240 FVZ393240 GFV393240 GPR393240 GZN393240 HJJ393240 HTF393240 IDB393240 IMX393240 IWT393240 JGP393240 JQL393240 KAH393240 KKD393240 KTZ393240 LDV393240 LNR393240 LXN393240 MHJ393240 MRF393240 NBB393240 NKX393240 NUT393240 OEP393240 OOL393240 OYH393240 PID393240 PRZ393240 QBV393240 QLR393240 QVN393240 RFJ393240 RPF393240 RZB393240 SIX393240 SST393240 TCP393240 TML393240 TWH393240 UGD393240 UPZ393240 UZV393240 VJR393240 VTN393240 WDJ393240 WNF393240 WXB393240 AT458776 KP458776 UL458776 AEH458776 AOD458776 AXZ458776 BHV458776 BRR458776 CBN458776 CLJ458776 CVF458776 DFB458776 DOX458776 DYT458776 EIP458776 ESL458776 FCH458776 FMD458776 FVZ458776 GFV458776 GPR458776 GZN458776 HJJ458776 HTF458776 IDB458776 IMX458776 IWT458776 JGP458776 JQL458776 KAH458776 KKD458776 KTZ458776 LDV458776 LNR458776 LXN458776 MHJ458776 MRF458776 NBB458776 NKX458776 NUT458776 OEP458776 OOL458776 OYH458776 PID458776 PRZ458776 QBV458776 QLR458776 QVN458776 RFJ458776 RPF458776 RZB458776 SIX458776 SST458776 TCP458776 TML458776 TWH458776 UGD458776 UPZ458776 UZV458776 VJR458776 VTN458776 WDJ458776 WNF458776 WXB458776 AT524312 KP524312 UL524312 AEH524312 AOD524312 AXZ524312 BHV524312 BRR524312 CBN524312 CLJ524312 CVF524312 DFB524312 DOX524312 DYT524312 EIP524312 ESL524312 FCH524312 FMD524312 FVZ524312 GFV524312 GPR524312 GZN524312 HJJ524312 HTF524312 IDB524312 IMX524312 IWT524312 JGP524312 JQL524312 KAH524312 KKD524312 KTZ524312 LDV524312 LNR524312 LXN524312 MHJ524312 MRF524312 NBB524312 NKX524312 NUT524312 OEP524312 OOL524312 OYH524312 PID524312 PRZ524312 QBV524312 QLR524312 QVN524312 RFJ524312 RPF524312 RZB524312 SIX524312 SST524312 TCP524312 TML524312 TWH524312 UGD524312 UPZ524312 UZV524312 VJR524312 VTN524312 WDJ524312 WNF524312 WXB524312 AT589848 KP589848 UL589848 AEH589848 AOD589848 AXZ589848 BHV589848 BRR589848 CBN589848 CLJ589848 CVF589848 DFB589848 DOX589848 DYT589848 EIP589848 ESL589848 FCH589848 FMD589848 FVZ589848 GFV589848 GPR589848 GZN589848 HJJ589848 HTF589848 IDB589848 IMX589848 IWT589848 JGP589848 JQL589848 KAH589848 KKD589848 KTZ589848 LDV589848 LNR589848 LXN589848 MHJ589848 MRF589848 NBB589848 NKX589848 NUT589848 OEP589848 OOL589848 OYH589848 PID589848 PRZ589848 QBV589848 QLR589848 QVN589848 RFJ589848 RPF589848 RZB589848 SIX589848 SST589848 TCP589848 TML589848 TWH589848 UGD589848 UPZ589848 UZV589848 VJR589848 VTN589848 WDJ589848 WNF589848 WXB589848 AT655384 KP655384 UL655384 AEH655384 AOD655384 AXZ655384 BHV655384 BRR655384 CBN655384 CLJ655384 CVF655384 DFB655384 DOX655384 DYT655384 EIP655384 ESL655384 FCH655384 FMD655384 FVZ655384 GFV655384 GPR655384 GZN655384 HJJ655384 HTF655384 IDB655384 IMX655384 IWT655384 JGP655384 JQL655384 KAH655384 KKD655384 KTZ655384 LDV655384 LNR655384 LXN655384 MHJ655384 MRF655384 NBB655384 NKX655384 NUT655384 OEP655384 OOL655384 OYH655384 PID655384 PRZ655384 QBV655384 QLR655384 QVN655384 RFJ655384 RPF655384 RZB655384 SIX655384 SST655384 TCP655384 TML655384 TWH655384 UGD655384 UPZ655384 UZV655384 VJR655384 VTN655384 WDJ655384 WNF655384 WXB655384 AT720920 KP720920 UL720920 AEH720920 AOD720920 AXZ720920 BHV720920 BRR720920 CBN720920 CLJ720920 CVF720920 DFB720920 DOX720920 DYT720920 EIP720920 ESL720920 FCH720920 FMD720920 FVZ720920 GFV720920 GPR720920 GZN720920 HJJ720920 HTF720920 IDB720920 IMX720920 IWT720920 JGP720920 JQL720920 KAH720920 KKD720920 KTZ720920 LDV720920 LNR720920 LXN720920 MHJ720920 MRF720920 NBB720920 NKX720920 NUT720920 OEP720920 OOL720920 OYH720920 PID720920 PRZ720920 QBV720920 QLR720920 QVN720920 RFJ720920 RPF720920 RZB720920 SIX720920 SST720920 TCP720920 TML720920 TWH720920 UGD720920 UPZ720920 UZV720920 VJR720920 VTN720920 WDJ720920 WNF720920 WXB720920 AT786456 KP786456 UL786456 AEH786456 AOD786456 AXZ786456 BHV786456 BRR786456 CBN786456 CLJ786456 CVF786456 DFB786456 DOX786456 DYT786456 EIP786456 ESL786456 FCH786456 FMD786456 FVZ786456 GFV786456 GPR786456 GZN786456 HJJ786456 HTF786456 IDB786456 IMX786456 IWT786456 JGP786456 JQL786456 KAH786456 KKD786456 KTZ786456 LDV786456 LNR786456 LXN786456 MHJ786456 MRF786456 NBB786456 NKX786456 NUT786456 OEP786456 OOL786456 OYH786456 PID786456 PRZ786456 QBV786456 QLR786456 QVN786456 RFJ786456 RPF786456 RZB786456 SIX786456 SST786456 TCP786456 TML786456 TWH786456 UGD786456 UPZ786456 UZV786456 VJR786456 VTN786456 WDJ786456 WNF786456 WXB786456 AT851992 KP851992 UL851992 AEH851992 AOD851992 AXZ851992 BHV851992 BRR851992 CBN851992 CLJ851992 CVF851992 DFB851992 DOX851992 DYT851992 EIP851992 ESL851992 FCH851992 FMD851992 FVZ851992 GFV851992 GPR851992 GZN851992 HJJ851992 HTF851992 IDB851992 IMX851992 IWT851992 JGP851992 JQL851992 KAH851992 KKD851992 KTZ851992 LDV851992 LNR851992 LXN851992 MHJ851992 MRF851992 NBB851992 NKX851992 NUT851992 OEP851992 OOL851992 OYH851992 PID851992 PRZ851992 QBV851992 QLR851992 QVN851992 RFJ851992 RPF851992 RZB851992 SIX851992 SST851992 TCP851992 TML851992 TWH851992 UGD851992 UPZ851992 UZV851992 VJR851992 VTN851992 WDJ851992 WNF851992 WXB851992 AT917528 KP917528 UL917528 AEH917528 AOD917528 AXZ917528 BHV917528 BRR917528 CBN917528 CLJ917528 CVF917528 DFB917528 DOX917528 DYT917528 EIP917528 ESL917528 FCH917528 FMD917528 FVZ917528 GFV917528 GPR917528 GZN917528 HJJ917528 HTF917528 IDB917528 IMX917528 IWT917528 JGP917528 JQL917528 KAH917528 KKD917528 KTZ917528 LDV917528 LNR917528 LXN917528 MHJ917528 MRF917528 NBB917528 NKX917528 NUT917528 OEP917528 OOL917528 OYH917528 PID917528 PRZ917528 QBV917528 QLR917528 QVN917528 RFJ917528 RPF917528 RZB917528 SIX917528 SST917528 TCP917528 TML917528 TWH917528 UGD917528 UPZ917528 UZV917528 VJR917528 VTN917528 WDJ917528 WNF917528 WXB917528 AT983064 KP983064 UL983064 AEH983064 AOD983064 AXZ983064 BHV983064 BRR983064 CBN983064 CLJ983064 CVF983064 DFB983064 DOX983064 DYT983064 EIP983064 ESL983064 FCH983064 FMD983064 FVZ983064 GFV983064 GPR983064 GZN983064 HJJ983064 HTF983064 IDB983064 IMX983064 IWT983064 JGP983064 JQL983064 KAH983064 KKD983064 KTZ983064 LDV983064 LNR983064 LXN983064 MHJ983064 MRF983064 NBB983064 NKX983064 NUT983064 OEP983064 OOL983064 OYH983064 PID983064 PRZ983064 QBV983064 QLR983064 QVN983064 RFJ983064 RPF983064 RZB983064 SIX983064 SST983064 TCP983064 TML983064 TWH983064 UGD983064 UPZ983064 UZV983064 VJR983064 VTN983064 WDJ983064 WNF983064 WXB983064" xr:uid="{7FC6564A-A5E3-48DF-A3B3-ADAAC444AD3A}">
      <formula1>$AT$25:$AT$51</formula1>
    </dataValidation>
    <dataValidation type="list" allowBlank="1" showInputMessage="1" showErrorMessage="1" sqref="AS18 KO18 UK18 AEG18 AOC18 AXY18 BHU18 BRQ18 CBM18 CLI18 CVE18 DFA18 DOW18 DYS18 EIO18 ESK18 FCG18 FMC18 FVY18 GFU18 GPQ18 GZM18 HJI18 HTE18 IDA18 IMW18 IWS18 JGO18 JQK18 KAG18 KKC18 KTY18 LDU18 LNQ18 LXM18 MHI18 MRE18 NBA18 NKW18 NUS18 OEO18 OOK18 OYG18 PIC18 PRY18 QBU18 QLQ18 QVM18 RFI18 RPE18 RZA18 SIW18 SSS18 TCO18 TMK18 TWG18 UGC18 UPY18 UZU18 VJQ18 VTM18 WDI18 WNE18 WXA18 AS65554 KO65554 UK65554 AEG65554 AOC65554 AXY65554 BHU65554 BRQ65554 CBM65554 CLI65554 CVE65554 DFA65554 DOW65554 DYS65554 EIO65554 ESK65554 FCG65554 FMC65554 FVY65554 GFU65554 GPQ65554 GZM65554 HJI65554 HTE65554 IDA65554 IMW65554 IWS65554 JGO65554 JQK65554 KAG65554 KKC65554 KTY65554 LDU65554 LNQ65554 LXM65554 MHI65554 MRE65554 NBA65554 NKW65554 NUS65554 OEO65554 OOK65554 OYG65554 PIC65554 PRY65554 QBU65554 QLQ65554 QVM65554 RFI65554 RPE65554 RZA65554 SIW65554 SSS65554 TCO65554 TMK65554 TWG65554 UGC65554 UPY65554 UZU65554 VJQ65554 VTM65554 WDI65554 WNE65554 WXA65554 AS131090 KO131090 UK131090 AEG131090 AOC131090 AXY131090 BHU131090 BRQ131090 CBM131090 CLI131090 CVE131090 DFA131090 DOW131090 DYS131090 EIO131090 ESK131090 FCG131090 FMC131090 FVY131090 GFU131090 GPQ131090 GZM131090 HJI131090 HTE131090 IDA131090 IMW131090 IWS131090 JGO131090 JQK131090 KAG131090 KKC131090 KTY131090 LDU131090 LNQ131090 LXM131090 MHI131090 MRE131090 NBA131090 NKW131090 NUS131090 OEO131090 OOK131090 OYG131090 PIC131090 PRY131090 QBU131090 QLQ131090 QVM131090 RFI131090 RPE131090 RZA131090 SIW131090 SSS131090 TCO131090 TMK131090 TWG131090 UGC131090 UPY131090 UZU131090 VJQ131090 VTM131090 WDI131090 WNE131090 WXA131090 AS196626 KO196626 UK196626 AEG196626 AOC196626 AXY196626 BHU196626 BRQ196626 CBM196626 CLI196626 CVE196626 DFA196626 DOW196626 DYS196626 EIO196626 ESK196626 FCG196626 FMC196626 FVY196626 GFU196626 GPQ196626 GZM196626 HJI196626 HTE196626 IDA196626 IMW196626 IWS196626 JGO196626 JQK196626 KAG196626 KKC196626 KTY196626 LDU196626 LNQ196626 LXM196626 MHI196626 MRE196626 NBA196626 NKW196626 NUS196626 OEO196626 OOK196626 OYG196626 PIC196626 PRY196626 QBU196626 QLQ196626 QVM196626 RFI196626 RPE196626 RZA196626 SIW196626 SSS196626 TCO196626 TMK196626 TWG196626 UGC196626 UPY196626 UZU196626 VJQ196626 VTM196626 WDI196626 WNE196626 WXA196626 AS262162 KO262162 UK262162 AEG262162 AOC262162 AXY262162 BHU262162 BRQ262162 CBM262162 CLI262162 CVE262162 DFA262162 DOW262162 DYS262162 EIO262162 ESK262162 FCG262162 FMC262162 FVY262162 GFU262162 GPQ262162 GZM262162 HJI262162 HTE262162 IDA262162 IMW262162 IWS262162 JGO262162 JQK262162 KAG262162 KKC262162 KTY262162 LDU262162 LNQ262162 LXM262162 MHI262162 MRE262162 NBA262162 NKW262162 NUS262162 OEO262162 OOK262162 OYG262162 PIC262162 PRY262162 QBU262162 QLQ262162 QVM262162 RFI262162 RPE262162 RZA262162 SIW262162 SSS262162 TCO262162 TMK262162 TWG262162 UGC262162 UPY262162 UZU262162 VJQ262162 VTM262162 WDI262162 WNE262162 WXA262162 AS327698 KO327698 UK327698 AEG327698 AOC327698 AXY327698 BHU327698 BRQ327698 CBM327698 CLI327698 CVE327698 DFA327698 DOW327698 DYS327698 EIO327698 ESK327698 FCG327698 FMC327698 FVY327698 GFU327698 GPQ327698 GZM327698 HJI327698 HTE327698 IDA327698 IMW327698 IWS327698 JGO327698 JQK327698 KAG327698 KKC327698 KTY327698 LDU327698 LNQ327698 LXM327698 MHI327698 MRE327698 NBA327698 NKW327698 NUS327698 OEO327698 OOK327698 OYG327698 PIC327698 PRY327698 QBU327698 QLQ327698 QVM327698 RFI327698 RPE327698 RZA327698 SIW327698 SSS327698 TCO327698 TMK327698 TWG327698 UGC327698 UPY327698 UZU327698 VJQ327698 VTM327698 WDI327698 WNE327698 WXA327698 AS393234 KO393234 UK393234 AEG393234 AOC393234 AXY393234 BHU393234 BRQ393234 CBM393234 CLI393234 CVE393234 DFA393234 DOW393234 DYS393234 EIO393234 ESK393234 FCG393234 FMC393234 FVY393234 GFU393234 GPQ393234 GZM393234 HJI393234 HTE393234 IDA393234 IMW393234 IWS393234 JGO393234 JQK393234 KAG393234 KKC393234 KTY393234 LDU393234 LNQ393234 LXM393234 MHI393234 MRE393234 NBA393234 NKW393234 NUS393234 OEO393234 OOK393234 OYG393234 PIC393234 PRY393234 QBU393234 QLQ393234 QVM393234 RFI393234 RPE393234 RZA393234 SIW393234 SSS393234 TCO393234 TMK393234 TWG393234 UGC393234 UPY393234 UZU393234 VJQ393234 VTM393234 WDI393234 WNE393234 WXA393234 AS458770 KO458770 UK458770 AEG458770 AOC458770 AXY458770 BHU458770 BRQ458770 CBM458770 CLI458770 CVE458770 DFA458770 DOW458770 DYS458770 EIO458770 ESK458770 FCG458770 FMC458770 FVY458770 GFU458770 GPQ458770 GZM458770 HJI458770 HTE458770 IDA458770 IMW458770 IWS458770 JGO458770 JQK458770 KAG458770 KKC458770 KTY458770 LDU458770 LNQ458770 LXM458770 MHI458770 MRE458770 NBA458770 NKW458770 NUS458770 OEO458770 OOK458770 OYG458770 PIC458770 PRY458770 QBU458770 QLQ458770 QVM458770 RFI458770 RPE458770 RZA458770 SIW458770 SSS458770 TCO458770 TMK458770 TWG458770 UGC458770 UPY458770 UZU458770 VJQ458770 VTM458770 WDI458770 WNE458770 WXA458770 AS524306 KO524306 UK524306 AEG524306 AOC524306 AXY524306 BHU524306 BRQ524306 CBM524306 CLI524306 CVE524306 DFA524306 DOW524306 DYS524306 EIO524306 ESK524306 FCG524306 FMC524306 FVY524306 GFU524306 GPQ524306 GZM524306 HJI524306 HTE524306 IDA524306 IMW524306 IWS524306 JGO524306 JQK524306 KAG524306 KKC524306 KTY524306 LDU524306 LNQ524306 LXM524306 MHI524306 MRE524306 NBA524306 NKW524306 NUS524306 OEO524306 OOK524306 OYG524306 PIC524306 PRY524306 QBU524306 QLQ524306 QVM524306 RFI524306 RPE524306 RZA524306 SIW524306 SSS524306 TCO524306 TMK524306 TWG524306 UGC524306 UPY524306 UZU524306 VJQ524306 VTM524306 WDI524306 WNE524306 WXA524306 AS589842 KO589842 UK589842 AEG589842 AOC589842 AXY589842 BHU589842 BRQ589842 CBM589842 CLI589842 CVE589842 DFA589842 DOW589842 DYS589842 EIO589842 ESK589842 FCG589842 FMC589842 FVY589842 GFU589842 GPQ589842 GZM589842 HJI589842 HTE589842 IDA589842 IMW589842 IWS589842 JGO589842 JQK589842 KAG589842 KKC589842 KTY589842 LDU589842 LNQ589842 LXM589842 MHI589842 MRE589842 NBA589842 NKW589842 NUS589842 OEO589842 OOK589842 OYG589842 PIC589842 PRY589842 QBU589842 QLQ589842 QVM589842 RFI589842 RPE589842 RZA589842 SIW589842 SSS589842 TCO589842 TMK589842 TWG589842 UGC589842 UPY589842 UZU589842 VJQ589842 VTM589842 WDI589842 WNE589842 WXA589842 AS655378 KO655378 UK655378 AEG655378 AOC655378 AXY655378 BHU655378 BRQ655378 CBM655378 CLI655378 CVE655378 DFA655378 DOW655378 DYS655378 EIO655378 ESK655378 FCG655378 FMC655378 FVY655378 GFU655378 GPQ655378 GZM655378 HJI655378 HTE655378 IDA655378 IMW655378 IWS655378 JGO655378 JQK655378 KAG655378 KKC655378 KTY655378 LDU655378 LNQ655378 LXM655378 MHI655378 MRE655378 NBA655378 NKW655378 NUS655378 OEO655378 OOK655378 OYG655378 PIC655378 PRY655378 QBU655378 QLQ655378 QVM655378 RFI655378 RPE655378 RZA655378 SIW655378 SSS655378 TCO655378 TMK655378 TWG655378 UGC655378 UPY655378 UZU655378 VJQ655378 VTM655378 WDI655378 WNE655378 WXA655378 AS720914 KO720914 UK720914 AEG720914 AOC720914 AXY720914 BHU720914 BRQ720914 CBM720914 CLI720914 CVE720914 DFA720914 DOW720914 DYS720914 EIO720914 ESK720914 FCG720914 FMC720914 FVY720914 GFU720914 GPQ720914 GZM720914 HJI720914 HTE720914 IDA720914 IMW720914 IWS720914 JGO720914 JQK720914 KAG720914 KKC720914 KTY720914 LDU720914 LNQ720914 LXM720914 MHI720914 MRE720914 NBA720914 NKW720914 NUS720914 OEO720914 OOK720914 OYG720914 PIC720914 PRY720914 QBU720914 QLQ720914 QVM720914 RFI720914 RPE720914 RZA720914 SIW720914 SSS720914 TCO720914 TMK720914 TWG720914 UGC720914 UPY720914 UZU720914 VJQ720914 VTM720914 WDI720914 WNE720914 WXA720914 AS786450 KO786450 UK786450 AEG786450 AOC786450 AXY786450 BHU786450 BRQ786450 CBM786450 CLI786450 CVE786450 DFA786450 DOW786450 DYS786450 EIO786450 ESK786450 FCG786450 FMC786450 FVY786450 GFU786450 GPQ786450 GZM786450 HJI786450 HTE786450 IDA786450 IMW786450 IWS786450 JGO786450 JQK786450 KAG786450 KKC786450 KTY786450 LDU786450 LNQ786450 LXM786450 MHI786450 MRE786450 NBA786450 NKW786450 NUS786450 OEO786450 OOK786450 OYG786450 PIC786450 PRY786450 QBU786450 QLQ786450 QVM786450 RFI786450 RPE786450 RZA786450 SIW786450 SSS786450 TCO786450 TMK786450 TWG786450 UGC786450 UPY786450 UZU786450 VJQ786450 VTM786450 WDI786450 WNE786450 WXA786450 AS851986 KO851986 UK851986 AEG851986 AOC851986 AXY851986 BHU851986 BRQ851986 CBM851986 CLI851986 CVE851986 DFA851986 DOW851986 DYS851986 EIO851986 ESK851986 FCG851986 FMC851986 FVY851986 GFU851986 GPQ851986 GZM851986 HJI851986 HTE851986 IDA851986 IMW851986 IWS851986 JGO851986 JQK851986 KAG851986 KKC851986 KTY851986 LDU851986 LNQ851986 LXM851986 MHI851986 MRE851986 NBA851986 NKW851986 NUS851986 OEO851986 OOK851986 OYG851986 PIC851986 PRY851986 QBU851986 QLQ851986 QVM851986 RFI851986 RPE851986 RZA851986 SIW851986 SSS851986 TCO851986 TMK851986 TWG851986 UGC851986 UPY851986 UZU851986 VJQ851986 VTM851986 WDI851986 WNE851986 WXA851986 AS917522 KO917522 UK917522 AEG917522 AOC917522 AXY917522 BHU917522 BRQ917522 CBM917522 CLI917522 CVE917522 DFA917522 DOW917522 DYS917522 EIO917522 ESK917522 FCG917522 FMC917522 FVY917522 GFU917522 GPQ917522 GZM917522 HJI917522 HTE917522 IDA917522 IMW917522 IWS917522 JGO917522 JQK917522 KAG917522 KKC917522 KTY917522 LDU917522 LNQ917522 LXM917522 MHI917522 MRE917522 NBA917522 NKW917522 NUS917522 OEO917522 OOK917522 OYG917522 PIC917522 PRY917522 QBU917522 QLQ917522 QVM917522 RFI917522 RPE917522 RZA917522 SIW917522 SSS917522 TCO917522 TMK917522 TWG917522 UGC917522 UPY917522 UZU917522 VJQ917522 VTM917522 WDI917522 WNE917522 WXA917522 AS983058 KO983058 UK983058 AEG983058 AOC983058 AXY983058 BHU983058 BRQ983058 CBM983058 CLI983058 CVE983058 DFA983058 DOW983058 DYS983058 EIO983058 ESK983058 FCG983058 FMC983058 FVY983058 GFU983058 GPQ983058 GZM983058 HJI983058 HTE983058 IDA983058 IMW983058 IWS983058 JGO983058 JQK983058 KAG983058 KKC983058 KTY983058 LDU983058 LNQ983058 LXM983058 MHI983058 MRE983058 NBA983058 NKW983058 NUS983058 OEO983058 OOK983058 OYG983058 PIC983058 PRY983058 QBU983058 QLQ983058 QVM983058 RFI983058 RPE983058 RZA983058 SIW983058 SSS983058 TCO983058 TMK983058 TWG983058 UGC983058 UPY983058 UZU983058 VJQ983058 VTM983058 WDI983058 WNE983058 WXA983058" xr:uid="{F3B2091B-D8EE-438F-918E-09694FF57B16}">
      <formula1>$AS$19:$AS$51</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xr:uid="{C7B5E386-E626-4EF3-8452-D4CF364550FC}">
      <formula1>$B$152:$B$165</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xr:uid="{D64211EB-DEB6-419F-99EA-ACB5E4517E60}">
      <formula1>$D$157:$D$160</formula1>
    </dataValidation>
    <dataValidation type="list" allowBlank="1" showInputMessage="1" showErrorMessage="1" sqref="BB781 KX781 UT781 AEP781 AOL781 AYH781 BID781 BRZ781 CBV781 CLR781 CVN781 DFJ781 DPF781 DZB781 EIX781 EST781 FCP781 FML781 FWH781 GGD781 GPZ781 GZV781 HJR781 HTN781 IDJ781 INF781 IXB781 JGX781 JQT781 KAP781 KKL781 KUH781 LED781 LNZ781 LXV781 MHR781 MRN781 NBJ781 NLF781 NVB781 OEX781 OOT781 OYP781 PIL781 PSH781 QCD781 QLZ781 QVV781 RFR781 RPN781 RZJ781 SJF781 STB781 TCX781 TMT781 TWP781 UGL781 UQH781 VAD781 VJZ781 VTV781 WDR781 WNN781 WXJ781 BB66317 KX66317 UT66317 AEP66317 AOL66317 AYH66317 BID66317 BRZ66317 CBV66317 CLR66317 CVN66317 DFJ66317 DPF66317 DZB66317 EIX66317 EST66317 FCP66317 FML66317 FWH66317 GGD66317 GPZ66317 GZV66317 HJR66317 HTN66317 IDJ66317 INF66317 IXB66317 JGX66317 JQT66317 KAP66317 KKL66317 KUH66317 LED66317 LNZ66317 LXV66317 MHR66317 MRN66317 NBJ66317 NLF66317 NVB66317 OEX66317 OOT66317 OYP66317 PIL66317 PSH66317 QCD66317 QLZ66317 QVV66317 RFR66317 RPN66317 RZJ66317 SJF66317 STB66317 TCX66317 TMT66317 TWP66317 UGL66317 UQH66317 VAD66317 VJZ66317 VTV66317 WDR66317 WNN66317 WXJ66317 BB131853 KX131853 UT131853 AEP131853 AOL131853 AYH131853 BID131853 BRZ131853 CBV131853 CLR131853 CVN131853 DFJ131853 DPF131853 DZB131853 EIX131853 EST131853 FCP131853 FML131853 FWH131853 GGD131853 GPZ131853 GZV131853 HJR131853 HTN131853 IDJ131853 INF131853 IXB131853 JGX131853 JQT131853 KAP131853 KKL131853 KUH131853 LED131853 LNZ131853 LXV131853 MHR131853 MRN131853 NBJ131853 NLF131853 NVB131853 OEX131853 OOT131853 OYP131853 PIL131853 PSH131853 QCD131853 QLZ131853 QVV131853 RFR131853 RPN131853 RZJ131853 SJF131853 STB131853 TCX131853 TMT131853 TWP131853 UGL131853 UQH131853 VAD131853 VJZ131853 VTV131853 WDR131853 WNN131853 WXJ131853 BB197389 KX197389 UT197389 AEP197389 AOL197389 AYH197389 BID197389 BRZ197389 CBV197389 CLR197389 CVN197389 DFJ197389 DPF197389 DZB197389 EIX197389 EST197389 FCP197389 FML197389 FWH197389 GGD197389 GPZ197389 GZV197389 HJR197389 HTN197389 IDJ197389 INF197389 IXB197389 JGX197389 JQT197389 KAP197389 KKL197389 KUH197389 LED197389 LNZ197389 LXV197389 MHR197389 MRN197389 NBJ197389 NLF197389 NVB197389 OEX197389 OOT197389 OYP197389 PIL197389 PSH197389 QCD197389 QLZ197389 QVV197389 RFR197389 RPN197389 RZJ197389 SJF197389 STB197389 TCX197389 TMT197389 TWP197389 UGL197389 UQH197389 VAD197389 VJZ197389 VTV197389 WDR197389 WNN197389 WXJ197389 BB262925 KX262925 UT262925 AEP262925 AOL262925 AYH262925 BID262925 BRZ262925 CBV262925 CLR262925 CVN262925 DFJ262925 DPF262925 DZB262925 EIX262925 EST262925 FCP262925 FML262925 FWH262925 GGD262925 GPZ262925 GZV262925 HJR262925 HTN262925 IDJ262925 INF262925 IXB262925 JGX262925 JQT262925 KAP262925 KKL262925 KUH262925 LED262925 LNZ262925 LXV262925 MHR262925 MRN262925 NBJ262925 NLF262925 NVB262925 OEX262925 OOT262925 OYP262925 PIL262925 PSH262925 QCD262925 QLZ262925 QVV262925 RFR262925 RPN262925 RZJ262925 SJF262925 STB262925 TCX262925 TMT262925 TWP262925 UGL262925 UQH262925 VAD262925 VJZ262925 VTV262925 WDR262925 WNN262925 WXJ262925 BB328461 KX328461 UT328461 AEP328461 AOL328461 AYH328461 BID328461 BRZ328461 CBV328461 CLR328461 CVN328461 DFJ328461 DPF328461 DZB328461 EIX328461 EST328461 FCP328461 FML328461 FWH328461 GGD328461 GPZ328461 GZV328461 HJR328461 HTN328461 IDJ328461 INF328461 IXB328461 JGX328461 JQT328461 KAP328461 KKL328461 KUH328461 LED328461 LNZ328461 LXV328461 MHR328461 MRN328461 NBJ328461 NLF328461 NVB328461 OEX328461 OOT328461 OYP328461 PIL328461 PSH328461 QCD328461 QLZ328461 QVV328461 RFR328461 RPN328461 RZJ328461 SJF328461 STB328461 TCX328461 TMT328461 TWP328461 UGL328461 UQH328461 VAD328461 VJZ328461 VTV328461 WDR328461 WNN328461 WXJ328461 BB393997 KX393997 UT393997 AEP393997 AOL393997 AYH393997 BID393997 BRZ393997 CBV393997 CLR393997 CVN393997 DFJ393997 DPF393997 DZB393997 EIX393997 EST393997 FCP393997 FML393997 FWH393997 GGD393997 GPZ393997 GZV393997 HJR393997 HTN393997 IDJ393997 INF393997 IXB393997 JGX393997 JQT393997 KAP393997 KKL393997 KUH393997 LED393997 LNZ393997 LXV393997 MHR393997 MRN393997 NBJ393997 NLF393997 NVB393997 OEX393997 OOT393997 OYP393997 PIL393997 PSH393997 QCD393997 QLZ393997 QVV393997 RFR393997 RPN393997 RZJ393997 SJF393997 STB393997 TCX393997 TMT393997 TWP393997 UGL393997 UQH393997 VAD393997 VJZ393997 VTV393997 WDR393997 WNN393997 WXJ393997 BB459533 KX459533 UT459533 AEP459533 AOL459533 AYH459533 BID459533 BRZ459533 CBV459533 CLR459533 CVN459533 DFJ459533 DPF459533 DZB459533 EIX459533 EST459533 FCP459533 FML459533 FWH459533 GGD459533 GPZ459533 GZV459533 HJR459533 HTN459533 IDJ459533 INF459533 IXB459533 JGX459533 JQT459533 KAP459533 KKL459533 KUH459533 LED459533 LNZ459533 LXV459533 MHR459533 MRN459533 NBJ459533 NLF459533 NVB459533 OEX459533 OOT459533 OYP459533 PIL459533 PSH459533 QCD459533 QLZ459533 QVV459533 RFR459533 RPN459533 RZJ459533 SJF459533 STB459533 TCX459533 TMT459533 TWP459533 UGL459533 UQH459533 VAD459533 VJZ459533 VTV459533 WDR459533 WNN459533 WXJ459533 BB525069 KX525069 UT525069 AEP525069 AOL525069 AYH525069 BID525069 BRZ525069 CBV525069 CLR525069 CVN525069 DFJ525069 DPF525069 DZB525069 EIX525069 EST525069 FCP525069 FML525069 FWH525069 GGD525069 GPZ525069 GZV525069 HJR525069 HTN525069 IDJ525069 INF525069 IXB525069 JGX525069 JQT525069 KAP525069 KKL525069 KUH525069 LED525069 LNZ525069 LXV525069 MHR525069 MRN525069 NBJ525069 NLF525069 NVB525069 OEX525069 OOT525069 OYP525069 PIL525069 PSH525069 QCD525069 QLZ525069 QVV525069 RFR525069 RPN525069 RZJ525069 SJF525069 STB525069 TCX525069 TMT525069 TWP525069 UGL525069 UQH525069 VAD525069 VJZ525069 VTV525069 WDR525069 WNN525069 WXJ525069 BB590605 KX590605 UT590605 AEP590605 AOL590605 AYH590605 BID590605 BRZ590605 CBV590605 CLR590605 CVN590605 DFJ590605 DPF590605 DZB590605 EIX590605 EST590605 FCP590605 FML590605 FWH590605 GGD590605 GPZ590605 GZV590605 HJR590605 HTN590605 IDJ590605 INF590605 IXB590605 JGX590605 JQT590605 KAP590605 KKL590605 KUH590605 LED590605 LNZ590605 LXV590605 MHR590605 MRN590605 NBJ590605 NLF590605 NVB590605 OEX590605 OOT590605 OYP590605 PIL590605 PSH590605 QCD590605 QLZ590605 QVV590605 RFR590605 RPN590605 RZJ590605 SJF590605 STB590605 TCX590605 TMT590605 TWP590605 UGL590605 UQH590605 VAD590605 VJZ590605 VTV590605 WDR590605 WNN590605 WXJ590605 BB656141 KX656141 UT656141 AEP656141 AOL656141 AYH656141 BID656141 BRZ656141 CBV656141 CLR656141 CVN656141 DFJ656141 DPF656141 DZB656141 EIX656141 EST656141 FCP656141 FML656141 FWH656141 GGD656141 GPZ656141 GZV656141 HJR656141 HTN656141 IDJ656141 INF656141 IXB656141 JGX656141 JQT656141 KAP656141 KKL656141 KUH656141 LED656141 LNZ656141 LXV656141 MHR656141 MRN656141 NBJ656141 NLF656141 NVB656141 OEX656141 OOT656141 OYP656141 PIL656141 PSH656141 QCD656141 QLZ656141 QVV656141 RFR656141 RPN656141 RZJ656141 SJF656141 STB656141 TCX656141 TMT656141 TWP656141 UGL656141 UQH656141 VAD656141 VJZ656141 VTV656141 WDR656141 WNN656141 WXJ656141 BB721677 KX721677 UT721677 AEP721677 AOL721677 AYH721677 BID721677 BRZ721677 CBV721677 CLR721677 CVN721677 DFJ721677 DPF721677 DZB721677 EIX721677 EST721677 FCP721677 FML721677 FWH721677 GGD721677 GPZ721677 GZV721677 HJR721677 HTN721677 IDJ721677 INF721677 IXB721677 JGX721677 JQT721677 KAP721677 KKL721677 KUH721677 LED721677 LNZ721677 LXV721677 MHR721677 MRN721677 NBJ721677 NLF721677 NVB721677 OEX721677 OOT721677 OYP721677 PIL721677 PSH721677 QCD721677 QLZ721677 QVV721677 RFR721677 RPN721677 RZJ721677 SJF721677 STB721677 TCX721677 TMT721677 TWP721677 UGL721677 UQH721677 VAD721677 VJZ721677 VTV721677 WDR721677 WNN721677 WXJ721677 BB787213 KX787213 UT787213 AEP787213 AOL787213 AYH787213 BID787213 BRZ787213 CBV787213 CLR787213 CVN787213 DFJ787213 DPF787213 DZB787213 EIX787213 EST787213 FCP787213 FML787213 FWH787213 GGD787213 GPZ787213 GZV787213 HJR787213 HTN787213 IDJ787213 INF787213 IXB787213 JGX787213 JQT787213 KAP787213 KKL787213 KUH787213 LED787213 LNZ787213 LXV787213 MHR787213 MRN787213 NBJ787213 NLF787213 NVB787213 OEX787213 OOT787213 OYP787213 PIL787213 PSH787213 QCD787213 QLZ787213 QVV787213 RFR787213 RPN787213 RZJ787213 SJF787213 STB787213 TCX787213 TMT787213 TWP787213 UGL787213 UQH787213 VAD787213 VJZ787213 VTV787213 WDR787213 WNN787213 WXJ787213 BB852749 KX852749 UT852749 AEP852749 AOL852749 AYH852749 BID852749 BRZ852749 CBV852749 CLR852749 CVN852749 DFJ852749 DPF852749 DZB852749 EIX852749 EST852749 FCP852749 FML852749 FWH852749 GGD852749 GPZ852749 GZV852749 HJR852749 HTN852749 IDJ852749 INF852749 IXB852749 JGX852749 JQT852749 KAP852749 KKL852749 KUH852749 LED852749 LNZ852749 LXV852749 MHR852749 MRN852749 NBJ852749 NLF852749 NVB852749 OEX852749 OOT852749 OYP852749 PIL852749 PSH852749 QCD852749 QLZ852749 QVV852749 RFR852749 RPN852749 RZJ852749 SJF852749 STB852749 TCX852749 TMT852749 TWP852749 UGL852749 UQH852749 VAD852749 VJZ852749 VTV852749 WDR852749 WNN852749 WXJ852749 BB918285 KX918285 UT918285 AEP918285 AOL918285 AYH918285 BID918285 BRZ918285 CBV918285 CLR918285 CVN918285 DFJ918285 DPF918285 DZB918285 EIX918285 EST918285 FCP918285 FML918285 FWH918285 GGD918285 GPZ918285 GZV918285 HJR918285 HTN918285 IDJ918285 INF918285 IXB918285 JGX918285 JQT918285 KAP918285 KKL918285 KUH918285 LED918285 LNZ918285 LXV918285 MHR918285 MRN918285 NBJ918285 NLF918285 NVB918285 OEX918285 OOT918285 OYP918285 PIL918285 PSH918285 QCD918285 QLZ918285 QVV918285 RFR918285 RPN918285 RZJ918285 SJF918285 STB918285 TCX918285 TMT918285 TWP918285 UGL918285 UQH918285 VAD918285 VJZ918285 VTV918285 WDR918285 WNN918285 WXJ918285 BB983821 KX983821 UT983821 AEP983821 AOL983821 AYH983821 BID983821 BRZ983821 CBV983821 CLR983821 CVN983821 DFJ983821 DPF983821 DZB983821 EIX983821 EST983821 FCP983821 FML983821 FWH983821 GGD983821 GPZ983821 GZV983821 HJR983821 HTN983821 IDJ983821 INF983821 IXB983821 JGX983821 JQT983821 KAP983821 KKL983821 KUH983821 LED983821 LNZ983821 LXV983821 MHR983821 MRN983821 NBJ983821 NLF983821 NVB983821 OEX983821 OOT983821 OYP983821 PIL983821 PSH983821 QCD983821 QLZ983821 QVV983821 RFR983821 RPN983821 RZJ983821 SJF983821 STB983821 TCX983821 TMT983821 TWP983821 UGL983821 UQH983821 VAD983821 VJZ983821 VTV983821 WDR983821 WNN983821 WXJ983821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xr:uid="{94AF56E2-5D8A-4538-849F-ABD7A2CFF863}">
      <formula1>$Y$723:$Y$724</formula1>
    </dataValidation>
    <dataValidation type="list" allowBlank="1" showInputMessage="1" showErrorMessage="1" sqref="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7 IY65557 SU65557 ACQ65557 AMM65557 AWI65557 BGE65557 BQA65557 BZW65557 CJS65557 CTO65557 DDK65557 DNG65557 DXC65557 EGY65557 EQU65557 FAQ65557 FKM65557 FUI65557 GEE65557 GOA65557 GXW65557 HHS65557 HRO65557 IBK65557 ILG65557 IVC65557 JEY65557 JOU65557 JYQ65557 KIM65557 KSI65557 LCE65557 LMA65557 LVW65557 MFS65557 MPO65557 MZK65557 NJG65557 NTC65557 OCY65557 OMU65557 OWQ65557 PGM65557 PQI65557 QAE65557 QKA65557 QTW65557 RDS65557 RNO65557 RXK65557 SHG65557 SRC65557 TAY65557 TKU65557 TUQ65557 UEM65557 UOI65557 UYE65557 VIA65557 VRW65557 WBS65557 WLO65557 WVK65557 C131093 IY131093 SU131093 ACQ131093 AMM131093 AWI131093 BGE131093 BQA131093 BZW131093 CJS131093 CTO131093 DDK131093 DNG131093 DXC131093 EGY131093 EQU131093 FAQ131093 FKM131093 FUI131093 GEE131093 GOA131093 GXW131093 HHS131093 HRO131093 IBK131093 ILG131093 IVC131093 JEY131093 JOU131093 JYQ131093 KIM131093 KSI131093 LCE131093 LMA131093 LVW131093 MFS131093 MPO131093 MZK131093 NJG131093 NTC131093 OCY131093 OMU131093 OWQ131093 PGM131093 PQI131093 QAE131093 QKA131093 QTW131093 RDS131093 RNO131093 RXK131093 SHG131093 SRC131093 TAY131093 TKU131093 TUQ131093 UEM131093 UOI131093 UYE131093 VIA131093 VRW131093 WBS131093 WLO131093 WVK131093 C196629 IY196629 SU196629 ACQ196629 AMM196629 AWI196629 BGE196629 BQA196629 BZW196629 CJS196629 CTO196629 DDK196629 DNG196629 DXC196629 EGY196629 EQU196629 FAQ196629 FKM196629 FUI196629 GEE196629 GOA196629 GXW196629 HHS196629 HRO196629 IBK196629 ILG196629 IVC196629 JEY196629 JOU196629 JYQ196629 KIM196629 KSI196629 LCE196629 LMA196629 LVW196629 MFS196629 MPO196629 MZK196629 NJG196629 NTC196629 OCY196629 OMU196629 OWQ196629 PGM196629 PQI196629 QAE196629 QKA196629 QTW196629 RDS196629 RNO196629 RXK196629 SHG196629 SRC196629 TAY196629 TKU196629 TUQ196629 UEM196629 UOI196629 UYE196629 VIA196629 VRW196629 WBS196629 WLO196629 WVK196629 C262165 IY262165 SU262165 ACQ262165 AMM262165 AWI262165 BGE262165 BQA262165 BZW262165 CJS262165 CTO262165 DDK262165 DNG262165 DXC262165 EGY262165 EQU262165 FAQ262165 FKM262165 FUI262165 GEE262165 GOA262165 GXW262165 HHS262165 HRO262165 IBK262165 ILG262165 IVC262165 JEY262165 JOU262165 JYQ262165 KIM262165 KSI262165 LCE262165 LMA262165 LVW262165 MFS262165 MPO262165 MZK262165 NJG262165 NTC262165 OCY262165 OMU262165 OWQ262165 PGM262165 PQI262165 QAE262165 QKA262165 QTW262165 RDS262165 RNO262165 RXK262165 SHG262165 SRC262165 TAY262165 TKU262165 TUQ262165 UEM262165 UOI262165 UYE262165 VIA262165 VRW262165 WBS262165 WLO262165 WVK262165 C327701 IY327701 SU327701 ACQ327701 AMM327701 AWI327701 BGE327701 BQA327701 BZW327701 CJS327701 CTO327701 DDK327701 DNG327701 DXC327701 EGY327701 EQU327701 FAQ327701 FKM327701 FUI327701 GEE327701 GOA327701 GXW327701 HHS327701 HRO327701 IBK327701 ILG327701 IVC327701 JEY327701 JOU327701 JYQ327701 KIM327701 KSI327701 LCE327701 LMA327701 LVW327701 MFS327701 MPO327701 MZK327701 NJG327701 NTC327701 OCY327701 OMU327701 OWQ327701 PGM327701 PQI327701 QAE327701 QKA327701 QTW327701 RDS327701 RNO327701 RXK327701 SHG327701 SRC327701 TAY327701 TKU327701 TUQ327701 UEM327701 UOI327701 UYE327701 VIA327701 VRW327701 WBS327701 WLO327701 WVK327701 C393237 IY393237 SU393237 ACQ393237 AMM393237 AWI393237 BGE393237 BQA393237 BZW393237 CJS393237 CTO393237 DDK393237 DNG393237 DXC393237 EGY393237 EQU393237 FAQ393237 FKM393237 FUI393237 GEE393237 GOA393237 GXW393237 HHS393237 HRO393237 IBK393237 ILG393237 IVC393237 JEY393237 JOU393237 JYQ393237 KIM393237 KSI393237 LCE393237 LMA393237 LVW393237 MFS393237 MPO393237 MZK393237 NJG393237 NTC393237 OCY393237 OMU393237 OWQ393237 PGM393237 PQI393237 QAE393237 QKA393237 QTW393237 RDS393237 RNO393237 RXK393237 SHG393237 SRC393237 TAY393237 TKU393237 TUQ393237 UEM393237 UOI393237 UYE393237 VIA393237 VRW393237 WBS393237 WLO393237 WVK393237 C458773 IY458773 SU458773 ACQ458773 AMM458773 AWI458773 BGE458773 BQA458773 BZW458773 CJS458773 CTO458773 DDK458773 DNG458773 DXC458773 EGY458773 EQU458773 FAQ458773 FKM458773 FUI458773 GEE458773 GOA458773 GXW458773 HHS458773 HRO458773 IBK458773 ILG458773 IVC458773 JEY458773 JOU458773 JYQ458773 KIM458773 KSI458773 LCE458773 LMA458773 LVW458773 MFS458773 MPO458773 MZK458773 NJG458773 NTC458773 OCY458773 OMU458773 OWQ458773 PGM458773 PQI458773 QAE458773 QKA458773 QTW458773 RDS458773 RNO458773 RXK458773 SHG458773 SRC458773 TAY458773 TKU458773 TUQ458773 UEM458773 UOI458773 UYE458773 VIA458773 VRW458773 WBS458773 WLO458773 WVK458773 C524309 IY524309 SU524309 ACQ524309 AMM524309 AWI524309 BGE524309 BQA524309 BZW524309 CJS524309 CTO524309 DDK524309 DNG524309 DXC524309 EGY524309 EQU524309 FAQ524309 FKM524309 FUI524309 GEE524309 GOA524309 GXW524309 HHS524309 HRO524309 IBK524309 ILG524309 IVC524309 JEY524309 JOU524309 JYQ524309 KIM524309 KSI524309 LCE524309 LMA524309 LVW524309 MFS524309 MPO524309 MZK524309 NJG524309 NTC524309 OCY524309 OMU524309 OWQ524309 PGM524309 PQI524309 QAE524309 QKA524309 QTW524309 RDS524309 RNO524309 RXK524309 SHG524309 SRC524309 TAY524309 TKU524309 TUQ524309 UEM524309 UOI524309 UYE524309 VIA524309 VRW524309 WBS524309 WLO524309 WVK524309 C589845 IY589845 SU589845 ACQ589845 AMM589845 AWI589845 BGE589845 BQA589845 BZW589845 CJS589845 CTO589845 DDK589845 DNG589845 DXC589845 EGY589845 EQU589845 FAQ589845 FKM589845 FUI589845 GEE589845 GOA589845 GXW589845 HHS589845 HRO589845 IBK589845 ILG589845 IVC589845 JEY589845 JOU589845 JYQ589845 KIM589845 KSI589845 LCE589845 LMA589845 LVW589845 MFS589845 MPO589845 MZK589845 NJG589845 NTC589845 OCY589845 OMU589845 OWQ589845 PGM589845 PQI589845 QAE589845 QKA589845 QTW589845 RDS589845 RNO589845 RXK589845 SHG589845 SRC589845 TAY589845 TKU589845 TUQ589845 UEM589845 UOI589845 UYE589845 VIA589845 VRW589845 WBS589845 WLO589845 WVK589845 C655381 IY655381 SU655381 ACQ655381 AMM655381 AWI655381 BGE655381 BQA655381 BZW655381 CJS655381 CTO655381 DDK655381 DNG655381 DXC655381 EGY655381 EQU655381 FAQ655381 FKM655381 FUI655381 GEE655381 GOA655381 GXW655381 HHS655381 HRO655381 IBK655381 ILG655381 IVC655381 JEY655381 JOU655381 JYQ655381 KIM655381 KSI655381 LCE655381 LMA655381 LVW655381 MFS655381 MPO655381 MZK655381 NJG655381 NTC655381 OCY655381 OMU655381 OWQ655381 PGM655381 PQI655381 QAE655381 QKA655381 QTW655381 RDS655381 RNO655381 RXK655381 SHG655381 SRC655381 TAY655381 TKU655381 TUQ655381 UEM655381 UOI655381 UYE655381 VIA655381 VRW655381 WBS655381 WLO655381 WVK655381 C720917 IY720917 SU720917 ACQ720917 AMM720917 AWI720917 BGE720917 BQA720917 BZW720917 CJS720917 CTO720917 DDK720917 DNG720917 DXC720917 EGY720917 EQU720917 FAQ720917 FKM720917 FUI720917 GEE720917 GOA720917 GXW720917 HHS720917 HRO720917 IBK720917 ILG720917 IVC720917 JEY720917 JOU720917 JYQ720917 KIM720917 KSI720917 LCE720917 LMA720917 LVW720917 MFS720917 MPO720917 MZK720917 NJG720917 NTC720917 OCY720917 OMU720917 OWQ720917 PGM720917 PQI720917 QAE720917 QKA720917 QTW720917 RDS720917 RNO720917 RXK720917 SHG720917 SRC720917 TAY720917 TKU720917 TUQ720917 UEM720917 UOI720917 UYE720917 VIA720917 VRW720917 WBS720917 WLO720917 WVK720917 C786453 IY786453 SU786453 ACQ786453 AMM786453 AWI786453 BGE786453 BQA786453 BZW786453 CJS786453 CTO786453 DDK786453 DNG786453 DXC786453 EGY786453 EQU786453 FAQ786453 FKM786453 FUI786453 GEE786453 GOA786453 GXW786453 HHS786453 HRO786453 IBK786453 ILG786453 IVC786453 JEY786453 JOU786453 JYQ786453 KIM786453 KSI786453 LCE786453 LMA786453 LVW786453 MFS786453 MPO786453 MZK786453 NJG786453 NTC786453 OCY786453 OMU786453 OWQ786453 PGM786453 PQI786453 QAE786453 QKA786453 QTW786453 RDS786453 RNO786453 RXK786453 SHG786453 SRC786453 TAY786453 TKU786453 TUQ786453 UEM786453 UOI786453 UYE786453 VIA786453 VRW786453 WBS786453 WLO786453 WVK786453 C851989 IY851989 SU851989 ACQ851989 AMM851989 AWI851989 BGE851989 BQA851989 BZW851989 CJS851989 CTO851989 DDK851989 DNG851989 DXC851989 EGY851989 EQU851989 FAQ851989 FKM851989 FUI851989 GEE851989 GOA851989 GXW851989 HHS851989 HRO851989 IBK851989 ILG851989 IVC851989 JEY851989 JOU851989 JYQ851989 KIM851989 KSI851989 LCE851989 LMA851989 LVW851989 MFS851989 MPO851989 MZK851989 NJG851989 NTC851989 OCY851989 OMU851989 OWQ851989 PGM851989 PQI851989 QAE851989 QKA851989 QTW851989 RDS851989 RNO851989 RXK851989 SHG851989 SRC851989 TAY851989 TKU851989 TUQ851989 UEM851989 UOI851989 UYE851989 VIA851989 VRW851989 WBS851989 WLO851989 WVK851989 C917525 IY917525 SU917525 ACQ917525 AMM917525 AWI917525 BGE917525 BQA917525 BZW917525 CJS917525 CTO917525 DDK917525 DNG917525 DXC917525 EGY917525 EQU917525 FAQ917525 FKM917525 FUI917525 GEE917525 GOA917525 GXW917525 HHS917525 HRO917525 IBK917525 ILG917525 IVC917525 JEY917525 JOU917525 JYQ917525 KIM917525 KSI917525 LCE917525 LMA917525 LVW917525 MFS917525 MPO917525 MZK917525 NJG917525 NTC917525 OCY917525 OMU917525 OWQ917525 PGM917525 PQI917525 QAE917525 QKA917525 QTW917525 RDS917525 RNO917525 RXK917525 SHG917525 SRC917525 TAY917525 TKU917525 TUQ917525 UEM917525 UOI917525 UYE917525 VIA917525 VRW917525 WBS917525 WLO917525 WVK917525 C983061 IY983061 SU983061 ACQ983061 AMM983061 AWI983061 BGE983061 BQA983061 BZW983061 CJS983061 CTO983061 DDK983061 DNG983061 DXC983061 EGY983061 EQU983061 FAQ983061 FKM983061 FUI983061 GEE983061 GOA983061 GXW983061 HHS983061 HRO983061 IBK983061 ILG983061 IVC983061 JEY983061 JOU983061 JYQ983061 KIM983061 KSI983061 LCE983061 LMA983061 LVW983061 MFS983061 MPO983061 MZK983061 NJG983061 NTC983061 OCY983061 OMU983061 OWQ983061 PGM983061 PQI983061 QAE983061 QKA983061 QTW983061 RDS983061 RNO983061 RXK983061 SHG983061 SRC983061 TAY983061 TKU983061 TUQ983061 UEM983061 UOI983061 UYE983061 VIA983061 VRW983061 WBS983061 WLO983061 WVK983061" xr:uid="{404C23D0-8CD2-4B1F-A4BA-9E08FF75881F}">
      <formula1>$S$723:$S$726</formula1>
    </dataValidation>
    <dataValidation type="list" allowBlank="1" showInputMessage="1" showErrorMessage="1" sqref="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xr:uid="{832B473B-01E1-4B90-8636-21F7C392B78F}">
      <formula1>$V$705:$V$713</formula1>
    </dataValidation>
    <dataValidation type="list" allowBlank="1" showInputMessage="1" showErrorMessage="1" sqref="C51 IY51 SU51 ACQ51 AMM51 AWI51 BGE51 BQA51 BZW51 CJS51 CTO51 DDK51 DNG51 DXC51 EGY51 EQU51 FAQ51 FKM51 FUI51 GEE51 GOA51 GXW51 HHS51 HRO51 IBK51 ILG51 IVC51 JEY51 JOU51 JYQ51 KIM51 KSI51 LCE51 LMA51 LVW51 MFS51 MPO51 MZK51 NJG51 NTC51 OCY51 OMU51 OWQ51 PGM51 PQI51 QAE51 QKA51 QTW51 RDS51 RNO51 RXK51 SHG51 SRC51 TAY51 TKU51 TUQ51 UEM51 UOI51 UYE51 VIA51 VRW51 WBS51 WLO51 WVK51 C65587 IY65587 SU65587 ACQ65587 AMM65587 AWI65587 BGE65587 BQA65587 BZW65587 CJS65587 CTO65587 DDK65587 DNG65587 DXC65587 EGY65587 EQU65587 FAQ65587 FKM65587 FUI65587 GEE65587 GOA65587 GXW65587 HHS65587 HRO65587 IBK65587 ILG65587 IVC65587 JEY65587 JOU65587 JYQ65587 KIM65587 KSI65587 LCE65587 LMA65587 LVW65587 MFS65587 MPO65587 MZK65587 NJG65587 NTC65587 OCY65587 OMU65587 OWQ65587 PGM65587 PQI65587 QAE65587 QKA65587 QTW65587 RDS65587 RNO65587 RXK65587 SHG65587 SRC65587 TAY65587 TKU65587 TUQ65587 UEM65587 UOI65587 UYE65587 VIA65587 VRW65587 WBS65587 WLO65587 WVK65587 C131123 IY131123 SU131123 ACQ131123 AMM131123 AWI131123 BGE131123 BQA131123 BZW131123 CJS131123 CTO131123 DDK131123 DNG131123 DXC131123 EGY131123 EQU131123 FAQ131123 FKM131123 FUI131123 GEE131123 GOA131123 GXW131123 HHS131123 HRO131123 IBK131123 ILG131123 IVC131123 JEY131123 JOU131123 JYQ131123 KIM131123 KSI131123 LCE131123 LMA131123 LVW131123 MFS131123 MPO131123 MZK131123 NJG131123 NTC131123 OCY131123 OMU131123 OWQ131123 PGM131123 PQI131123 QAE131123 QKA131123 QTW131123 RDS131123 RNO131123 RXK131123 SHG131123 SRC131123 TAY131123 TKU131123 TUQ131123 UEM131123 UOI131123 UYE131123 VIA131123 VRW131123 WBS131123 WLO131123 WVK131123 C196659 IY196659 SU196659 ACQ196659 AMM196659 AWI196659 BGE196659 BQA196659 BZW196659 CJS196659 CTO196659 DDK196659 DNG196659 DXC196659 EGY196659 EQU196659 FAQ196659 FKM196659 FUI196659 GEE196659 GOA196659 GXW196659 HHS196659 HRO196659 IBK196659 ILG196659 IVC196659 JEY196659 JOU196659 JYQ196659 KIM196659 KSI196659 LCE196659 LMA196659 LVW196659 MFS196659 MPO196659 MZK196659 NJG196659 NTC196659 OCY196659 OMU196659 OWQ196659 PGM196659 PQI196659 QAE196659 QKA196659 QTW196659 RDS196659 RNO196659 RXK196659 SHG196659 SRC196659 TAY196659 TKU196659 TUQ196659 UEM196659 UOI196659 UYE196659 VIA196659 VRW196659 WBS196659 WLO196659 WVK196659 C262195 IY262195 SU262195 ACQ262195 AMM262195 AWI262195 BGE262195 BQA262195 BZW262195 CJS262195 CTO262195 DDK262195 DNG262195 DXC262195 EGY262195 EQU262195 FAQ262195 FKM262195 FUI262195 GEE262195 GOA262195 GXW262195 HHS262195 HRO262195 IBK262195 ILG262195 IVC262195 JEY262195 JOU262195 JYQ262195 KIM262195 KSI262195 LCE262195 LMA262195 LVW262195 MFS262195 MPO262195 MZK262195 NJG262195 NTC262195 OCY262195 OMU262195 OWQ262195 PGM262195 PQI262195 QAE262195 QKA262195 QTW262195 RDS262195 RNO262195 RXK262195 SHG262195 SRC262195 TAY262195 TKU262195 TUQ262195 UEM262195 UOI262195 UYE262195 VIA262195 VRW262195 WBS262195 WLO262195 WVK262195 C327731 IY327731 SU327731 ACQ327731 AMM327731 AWI327731 BGE327731 BQA327731 BZW327731 CJS327731 CTO327731 DDK327731 DNG327731 DXC327731 EGY327731 EQU327731 FAQ327731 FKM327731 FUI327731 GEE327731 GOA327731 GXW327731 HHS327731 HRO327731 IBK327731 ILG327731 IVC327731 JEY327731 JOU327731 JYQ327731 KIM327731 KSI327731 LCE327731 LMA327731 LVW327731 MFS327731 MPO327731 MZK327731 NJG327731 NTC327731 OCY327731 OMU327731 OWQ327731 PGM327731 PQI327731 QAE327731 QKA327731 QTW327731 RDS327731 RNO327731 RXK327731 SHG327731 SRC327731 TAY327731 TKU327731 TUQ327731 UEM327731 UOI327731 UYE327731 VIA327731 VRW327731 WBS327731 WLO327731 WVK327731 C393267 IY393267 SU393267 ACQ393267 AMM393267 AWI393267 BGE393267 BQA393267 BZW393267 CJS393267 CTO393267 DDK393267 DNG393267 DXC393267 EGY393267 EQU393267 FAQ393267 FKM393267 FUI393267 GEE393267 GOA393267 GXW393267 HHS393267 HRO393267 IBK393267 ILG393267 IVC393267 JEY393267 JOU393267 JYQ393267 KIM393267 KSI393267 LCE393267 LMA393267 LVW393267 MFS393267 MPO393267 MZK393267 NJG393267 NTC393267 OCY393267 OMU393267 OWQ393267 PGM393267 PQI393267 QAE393267 QKA393267 QTW393267 RDS393267 RNO393267 RXK393267 SHG393267 SRC393267 TAY393267 TKU393267 TUQ393267 UEM393267 UOI393267 UYE393267 VIA393267 VRW393267 WBS393267 WLO393267 WVK393267 C458803 IY458803 SU458803 ACQ458803 AMM458803 AWI458803 BGE458803 BQA458803 BZW458803 CJS458803 CTO458803 DDK458803 DNG458803 DXC458803 EGY458803 EQU458803 FAQ458803 FKM458803 FUI458803 GEE458803 GOA458803 GXW458803 HHS458803 HRO458803 IBK458803 ILG458803 IVC458803 JEY458803 JOU458803 JYQ458803 KIM458803 KSI458803 LCE458803 LMA458803 LVW458803 MFS458803 MPO458803 MZK458803 NJG458803 NTC458803 OCY458803 OMU458803 OWQ458803 PGM458803 PQI458803 QAE458803 QKA458803 QTW458803 RDS458803 RNO458803 RXK458803 SHG458803 SRC458803 TAY458803 TKU458803 TUQ458803 UEM458803 UOI458803 UYE458803 VIA458803 VRW458803 WBS458803 WLO458803 WVK458803 C524339 IY524339 SU524339 ACQ524339 AMM524339 AWI524339 BGE524339 BQA524339 BZW524339 CJS524339 CTO524339 DDK524339 DNG524339 DXC524339 EGY524339 EQU524339 FAQ524339 FKM524339 FUI524339 GEE524339 GOA524339 GXW524339 HHS524339 HRO524339 IBK524339 ILG524339 IVC524339 JEY524339 JOU524339 JYQ524339 KIM524339 KSI524339 LCE524339 LMA524339 LVW524339 MFS524339 MPO524339 MZK524339 NJG524339 NTC524339 OCY524339 OMU524339 OWQ524339 PGM524339 PQI524339 QAE524339 QKA524339 QTW524339 RDS524339 RNO524339 RXK524339 SHG524339 SRC524339 TAY524339 TKU524339 TUQ524339 UEM524339 UOI524339 UYE524339 VIA524339 VRW524339 WBS524339 WLO524339 WVK524339 C589875 IY589875 SU589875 ACQ589875 AMM589875 AWI589875 BGE589875 BQA589875 BZW589875 CJS589875 CTO589875 DDK589875 DNG589875 DXC589875 EGY589875 EQU589875 FAQ589875 FKM589875 FUI589875 GEE589875 GOA589875 GXW589875 HHS589875 HRO589875 IBK589875 ILG589875 IVC589875 JEY589875 JOU589875 JYQ589875 KIM589875 KSI589875 LCE589875 LMA589875 LVW589875 MFS589875 MPO589875 MZK589875 NJG589875 NTC589875 OCY589875 OMU589875 OWQ589875 PGM589875 PQI589875 QAE589875 QKA589875 QTW589875 RDS589875 RNO589875 RXK589875 SHG589875 SRC589875 TAY589875 TKU589875 TUQ589875 UEM589875 UOI589875 UYE589875 VIA589875 VRW589875 WBS589875 WLO589875 WVK589875 C655411 IY655411 SU655411 ACQ655411 AMM655411 AWI655411 BGE655411 BQA655411 BZW655411 CJS655411 CTO655411 DDK655411 DNG655411 DXC655411 EGY655411 EQU655411 FAQ655411 FKM655411 FUI655411 GEE655411 GOA655411 GXW655411 HHS655411 HRO655411 IBK655411 ILG655411 IVC655411 JEY655411 JOU655411 JYQ655411 KIM655411 KSI655411 LCE655411 LMA655411 LVW655411 MFS655411 MPO655411 MZK655411 NJG655411 NTC655411 OCY655411 OMU655411 OWQ655411 PGM655411 PQI655411 QAE655411 QKA655411 QTW655411 RDS655411 RNO655411 RXK655411 SHG655411 SRC655411 TAY655411 TKU655411 TUQ655411 UEM655411 UOI655411 UYE655411 VIA655411 VRW655411 WBS655411 WLO655411 WVK655411 C720947 IY720947 SU720947 ACQ720947 AMM720947 AWI720947 BGE720947 BQA720947 BZW720947 CJS720947 CTO720947 DDK720947 DNG720947 DXC720947 EGY720947 EQU720947 FAQ720947 FKM720947 FUI720947 GEE720947 GOA720947 GXW720947 HHS720947 HRO720947 IBK720947 ILG720947 IVC720947 JEY720947 JOU720947 JYQ720947 KIM720947 KSI720947 LCE720947 LMA720947 LVW720947 MFS720947 MPO720947 MZK720947 NJG720947 NTC720947 OCY720947 OMU720947 OWQ720947 PGM720947 PQI720947 QAE720947 QKA720947 QTW720947 RDS720947 RNO720947 RXK720947 SHG720947 SRC720947 TAY720947 TKU720947 TUQ720947 UEM720947 UOI720947 UYE720947 VIA720947 VRW720947 WBS720947 WLO720947 WVK720947 C786483 IY786483 SU786483 ACQ786483 AMM786483 AWI786483 BGE786483 BQA786483 BZW786483 CJS786483 CTO786483 DDK786483 DNG786483 DXC786483 EGY786483 EQU786483 FAQ786483 FKM786483 FUI786483 GEE786483 GOA786483 GXW786483 HHS786483 HRO786483 IBK786483 ILG786483 IVC786483 JEY786483 JOU786483 JYQ786483 KIM786483 KSI786483 LCE786483 LMA786483 LVW786483 MFS786483 MPO786483 MZK786483 NJG786483 NTC786483 OCY786483 OMU786483 OWQ786483 PGM786483 PQI786483 QAE786483 QKA786483 QTW786483 RDS786483 RNO786483 RXK786483 SHG786483 SRC786483 TAY786483 TKU786483 TUQ786483 UEM786483 UOI786483 UYE786483 VIA786483 VRW786483 WBS786483 WLO786483 WVK786483 C852019 IY852019 SU852019 ACQ852019 AMM852019 AWI852019 BGE852019 BQA852019 BZW852019 CJS852019 CTO852019 DDK852019 DNG852019 DXC852019 EGY852019 EQU852019 FAQ852019 FKM852019 FUI852019 GEE852019 GOA852019 GXW852019 HHS852019 HRO852019 IBK852019 ILG852019 IVC852019 JEY852019 JOU852019 JYQ852019 KIM852019 KSI852019 LCE852019 LMA852019 LVW852019 MFS852019 MPO852019 MZK852019 NJG852019 NTC852019 OCY852019 OMU852019 OWQ852019 PGM852019 PQI852019 QAE852019 QKA852019 QTW852019 RDS852019 RNO852019 RXK852019 SHG852019 SRC852019 TAY852019 TKU852019 TUQ852019 UEM852019 UOI852019 UYE852019 VIA852019 VRW852019 WBS852019 WLO852019 WVK852019 C917555 IY917555 SU917555 ACQ917555 AMM917555 AWI917555 BGE917555 BQA917555 BZW917555 CJS917555 CTO917555 DDK917555 DNG917555 DXC917555 EGY917555 EQU917555 FAQ917555 FKM917555 FUI917555 GEE917555 GOA917555 GXW917555 HHS917555 HRO917555 IBK917555 ILG917555 IVC917555 JEY917555 JOU917555 JYQ917555 KIM917555 KSI917555 LCE917555 LMA917555 LVW917555 MFS917555 MPO917555 MZK917555 NJG917555 NTC917555 OCY917555 OMU917555 OWQ917555 PGM917555 PQI917555 QAE917555 QKA917555 QTW917555 RDS917555 RNO917555 RXK917555 SHG917555 SRC917555 TAY917555 TKU917555 TUQ917555 UEM917555 UOI917555 UYE917555 VIA917555 VRW917555 WBS917555 WLO917555 WVK917555 C983091 IY983091 SU983091 ACQ983091 AMM983091 AWI983091 BGE983091 BQA983091 BZW983091 CJS983091 CTO983091 DDK983091 DNG983091 DXC983091 EGY983091 EQU983091 FAQ983091 FKM983091 FUI983091 GEE983091 GOA983091 GXW983091 HHS983091 HRO983091 IBK983091 ILG983091 IVC983091 JEY983091 JOU983091 JYQ983091 KIM983091 KSI983091 LCE983091 LMA983091 LVW983091 MFS983091 MPO983091 MZK983091 NJG983091 NTC983091 OCY983091 OMU983091 OWQ983091 PGM983091 PQI983091 QAE983091 QKA983091 QTW983091 RDS983091 RNO983091 RXK983091 SHG983091 SRC983091 TAY983091 TKU983091 TUQ983091 UEM983091 UOI983091 UYE983091 VIA983091 VRW983091 WBS983091 WLO983091 WVK983091" xr:uid="{A3AD4CC4-1632-49FE-B6F0-E48B6937159E}">
      <formula1>$BW$719:$BY$719</formula1>
    </dataValidation>
    <dataValidation type="list" allowBlank="1" showInputMessage="1" showErrorMessage="1" sqref="BD711 KZ711 UV711 AER711 AON711 AYJ711 BIF711 BSB711 CBX711 CLT711 CVP711 DFL711 DPH711 DZD711 EIZ711 ESV711 FCR711 FMN711 FWJ711 GGF711 GQB711 GZX711 HJT711 HTP711 IDL711 INH711 IXD711 JGZ711 JQV711 KAR711 KKN711 KUJ711 LEF711 LOB711 LXX711 MHT711 MRP711 NBL711 NLH711 NVD711 OEZ711 OOV711 OYR711 PIN711 PSJ711 QCF711 QMB711 QVX711 RFT711 RPP711 RZL711 SJH711 STD711 TCZ711 TMV711 TWR711 UGN711 UQJ711 VAF711 VKB711 VTX711 WDT711 WNP711 WXL711 BD66247 KZ66247 UV66247 AER66247 AON66247 AYJ66247 BIF66247 BSB66247 CBX66247 CLT66247 CVP66247 DFL66247 DPH66247 DZD66247 EIZ66247 ESV66247 FCR66247 FMN66247 FWJ66247 GGF66247 GQB66247 GZX66247 HJT66247 HTP66247 IDL66247 INH66247 IXD66247 JGZ66247 JQV66247 KAR66247 KKN66247 KUJ66247 LEF66247 LOB66247 LXX66247 MHT66247 MRP66247 NBL66247 NLH66247 NVD66247 OEZ66247 OOV66247 OYR66247 PIN66247 PSJ66247 QCF66247 QMB66247 QVX66247 RFT66247 RPP66247 RZL66247 SJH66247 STD66247 TCZ66247 TMV66247 TWR66247 UGN66247 UQJ66247 VAF66247 VKB66247 VTX66247 WDT66247 WNP66247 WXL66247 BD131783 KZ131783 UV131783 AER131783 AON131783 AYJ131783 BIF131783 BSB131783 CBX131783 CLT131783 CVP131783 DFL131783 DPH131783 DZD131783 EIZ131783 ESV131783 FCR131783 FMN131783 FWJ131783 GGF131783 GQB131783 GZX131783 HJT131783 HTP131783 IDL131783 INH131783 IXD131783 JGZ131783 JQV131783 KAR131783 KKN131783 KUJ131783 LEF131783 LOB131783 LXX131783 MHT131783 MRP131783 NBL131783 NLH131783 NVD131783 OEZ131783 OOV131783 OYR131783 PIN131783 PSJ131783 QCF131783 QMB131783 QVX131783 RFT131783 RPP131783 RZL131783 SJH131783 STD131783 TCZ131783 TMV131783 TWR131783 UGN131783 UQJ131783 VAF131783 VKB131783 VTX131783 WDT131783 WNP131783 WXL131783 BD197319 KZ197319 UV197319 AER197319 AON197319 AYJ197319 BIF197319 BSB197319 CBX197319 CLT197319 CVP197319 DFL197319 DPH197319 DZD197319 EIZ197319 ESV197319 FCR197319 FMN197319 FWJ197319 GGF197319 GQB197319 GZX197319 HJT197319 HTP197319 IDL197319 INH197319 IXD197319 JGZ197319 JQV197319 KAR197319 KKN197319 KUJ197319 LEF197319 LOB197319 LXX197319 MHT197319 MRP197319 NBL197319 NLH197319 NVD197319 OEZ197319 OOV197319 OYR197319 PIN197319 PSJ197319 QCF197319 QMB197319 QVX197319 RFT197319 RPP197319 RZL197319 SJH197319 STD197319 TCZ197319 TMV197319 TWR197319 UGN197319 UQJ197319 VAF197319 VKB197319 VTX197319 WDT197319 WNP197319 WXL197319 BD262855 KZ262855 UV262855 AER262855 AON262855 AYJ262855 BIF262855 BSB262855 CBX262855 CLT262855 CVP262855 DFL262855 DPH262855 DZD262855 EIZ262855 ESV262855 FCR262855 FMN262855 FWJ262855 GGF262855 GQB262855 GZX262855 HJT262855 HTP262855 IDL262855 INH262855 IXD262855 JGZ262855 JQV262855 KAR262855 KKN262855 KUJ262855 LEF262855 LOB262855 LXX262855 MHT262855 MRP262855 NBL262855 NLH262855 NVD262855 OEZ262855 OOV262855 OYR262855 PIN262855 PSJ262855 QCF262855 QMB262855 QVX262855 RFT262855 RPP262855 RZL262855 SJH262855 STD262855 TCZ262855 TMV262855 TWR262855 UGN262855 UQJ262855 VAF262855 VKB262855 VTX262855 WDT262855 WNP262855 WXL262855 BD328391 KZ328391 UV328391 AER328391 AON328391 AYJ328391 BIF328391 BSB328391 CBX328391 CLT328391 CVP328391 DFL328391 DPH328391 DZD328391 EIZ328391 ESV328391 FCR328391 FMN328391 FWJ328391 GGF328391 GQB328391 GZX328391 HJT328391 HTP328391 IDL328391 INH328391 IXD328391 JGZ328391 JQV328391 KAR328391 KKN328391 KUJ328391 LEF328391 LOB328391 LXX328391 MHT328391 MRP328391 NBL328391 NLH328391 NVD328391 OEZ328391 OOV328391 OYR328391 PIN328391 PSJ328391 QCF328391 QMB328391 QVX328391 RFT328391 RPP328391 RZL328391 SJH328391 STD328391 TCZ328391 TMV328391 TWR328391 UGN328391 UQJ328391 VAF328391 VKB328391 VTX328391 WDT328391 WNP328391 WXL328391 BD393927 KZ393927 UV393927 AER393927 AON393927 AYJ393927 BIF393927 BSB393927 CBX393927 CLT393927 CVP393927 DFL393927 DPH393927 DZD393927 EIZ393927 ESV393927 FCR393927 FMN393927 FWJ393927 GGF393927 GQB393927 GZX393927 HJT393927 HTP393927 IDL393927 INH393927 IXD393927 JGZ393927 JQV393927 KAR393927 KKN393927 KUJ393927 LEF393927 LOB393927 LXX393927 MHT393927 MRP393927 NBL393927 NLH393927 NVD393927 OEZ393927 OOV393927 OYR393927 PIN393927 PSJ393927 QCF393927 QMB393927 QVX393927 RFT393927 RPP393927 RZL393927 SJH393927 STD393927 TCZ393927 TMV393927 TWR393927 UGN393927 UQJ393927 VAF393927 VKB393927 VTX393927 WDT393927 WNP393927 WXL393927 BD459463 KZ459463 UV459463 AER459463 AON459463 AYJ459463 BIF459463 BSB459463 CBX459463 CLT459463 CVP459463 DFL459463 DPH459463 DZD459463 EIZ459463 ESV459463 FCR459463 FMN459463 FWJ459463 GGF459463 GQB459463 GZX459463 HJT459463 HTP459463 IDL459463 INH459463 IXD459463 JGZ459463 JQV459463 KAR459463 KKN459463 KUJ459463 LEF459463 LOB459463 LXX459463 MHT459463 MRP459463 NBL459463 NLH459463 NVD459463 OEZ459463 OOV459463 OYR459463 PIN459463 PSJ459463 QCF459463 QMB459463 QVX459463 RFT459463 RPP459463 RZL459463 SJH459463 STD459463 TCZ459463 TMV459463 TWR459463 UGN459463 UQJ459463 VAF459463 VKB459463 VTX459463 WDT459463 WNP459463 WXL459463 BD524999 KZ524999 UV524999 AER524999 AON524999 AYJ524999 BIF524999 BSB524999 CBX524999 CLT524999 CVP524999 DFL524999 DPH524999 DZD524999 EIZ524999 ESV524999 FCR524999 FMN524999 FWJ524999 GGF524999 GQB524999 GZX524999 HJT524999 HTP524999 IDL524999 INH524999 IXD524999 JGZ524999 JQV524999 KAR524999 KKN524999 KUJ524999 LEF524999 LOB524999 LXX524999 MHT524999 MRP524999 NBL524999 NLH524999 NVD524999 OEZ524999 OOV524999 OYR524999 PIN524999 PSJ524999 QCF524999 QMB524999 QVX524999 RFT524999 RPP524999 RZL524999 SJH524999 STD524999 TCZ524999 TMV524999 TWR524999 UGN524999 UQJ524999 VAF524999 VKB524999 VTX524999 WDT524999 WNP524999 WXL524999 BD590535 KZ590535 UV590535 AER590535 AON590535 AYJ590535 BIF590535 BSB590535 CBX590535 CLT590535 CVP590535 DFL590535 DPH590535 DZD590535 EIZ590535 ESV590535 FCR590535 FMN590535 FWJ590535 GGF590535 GQB590535 GZX590535 HJT590535 HTP590535 IDL590535 INH590535 IXD590535 JGZ590535 JQV590535 KAR590535 KKN590535 KUJ590535 LEF590535 LOB590535 LXX590535 MHT590535 MRP590535 NBL590535 NLH590535 NVD590535 OEZ590535 OOV590535 OYR590535 PIN590535 PSJ590535 QCF590535 QMB590535 QVX590535 RFT590535 RPP590535 RZL590535 SJH590535 STD590535 TCZ590535 TMV590535 TWR590535 UGN590535 UQJ590535 VAF590535 VKB590535 VTX590535 WDT590535 WNP590535 WXL590535 BD656071 KZ656071 UV656071 AER656071 AON656071 AYJ656071 BIF656071 BSB656071 CBX656071 CLT656071 CVP656071 DFL656071 DPH656071 DZD656071 EIZ656071 ESV656071 FCR656071 FMN656071 FWJ656071 GGF656071 GQB656071 GZX656071 HJT656071 HTP656071 IDL656071 INH656071 IXD656071 JGZ656071 JQV656071 KAR656071 KKN656071 KUJ656071 LEF656071 LOB656071 LXX656071 MHT656071 MRP656071 NBL656071 NLH656071 NVD656071 OEZ656071 OOV656071 OYR656071 PIN656071 PSJ656071 QCF656071 QMB656071 QVX656071 RFT656071 RPP656071 RZL656071 SJH656071 STD656071 TCZ656071 TMV656071 TWR656071 UGN656071 UQJ656071 VAF656071 VKB656071 VTX656071 WDT656071 WNP656071 WXL656071 BD721607 KZ721607 UV721607 AER721607 AON721607 AYJ721607 BIF721607 BSB721607 CBX721607 CLT721607 CVP721607 DFL721607 DPH721607 DZD721607 EIZ721607 ESV721607 FCR721607 FMN721607 FWJ721607 GGF721607 GQB721607 GZX721607 HJT721607 HTP721607 IDL721607 INH721607 IXD721607 JGZ721607 JQV721607 KAR721607 KKN721607 KUJ721607 LEF721607 LOB721607 LXX721607 MHT721607 MRP721607 NBL721607 NLH721607 NVD721607 OEZ721607 OOV721607 OYR721607 PIN721607 PSJ721607 QCF721607 QMB721607 QVX721607 RFT721607 RPP721607 RZL721607 SJH721607 STD721607 TCZ721607 TMV721607 TWR721607 UGN721607 UQJ721607 VAF721607 VKB721607 VTX721607 WDT721607 WNP721607 WXL721607 BD787143 KZ787143 UV787143 AER787143 AON787143 AYJ787143 BIF787143 BSB787143 CBX787143 CLT787143 CVP787143 DFL787143 DPH787143 DZD787143 EIZ787143 ESV787143 FCR787143 FMN787143 FWJ787143 GGF787143 GQB787143 GZX787143 HJT787143 HTP787143 IDL787143 INH787143 IXD787143 JGZ787143 JQV787143 KAR787143 KKN787143 KUJ787143 LEF787143 LOB787143 LXX787143 MHT787143 MRP787143 NBL787143 NLH787143 NVD787143 OEZ787143 OOV787143 OYR787143 PIN787143 PSJ787143 QCF787143 QMB787143 QVX787143 RFT787143 RPP787143 RZL787143 SJH787143 STD787143 TCZ787143 TMV787143 TWR787143 UGN787143 UQJ787143 VAF787143 VKB787143 VTX787143 WDT787143 WNP787143 WXL787143 BD852679 KZ852679 UV852679 AER852679 AON852679 AYJ852679 BIF852679 BSB852679 CBX852679 CLT852679 CVP852679 DFL852679 DPH852679 DZD852679 EIZ852679 ESV852679 FCR852679 FMN852679 FWJ852679 GGF852679 GQB852679 GZX852679 HJT852679 HTP852679 IDL852679 INH852679 IXD852679 JGZ852679 JQV852679 KAR852679 KKN852679 KUJ852679 LEF852679 LOB852679 LXX852679 MHT852679 MRP852679 NBL852679 NLH852679 NVD852679 OEZ852679 OOV852679 OYR852679 PIN852679 PSJ852679 QCF852679 QMB852679 QVX852679 RFT852679 RPP852679 RZL852679 SJH852679 STD852679 TCZ852679 TMV852679 TWR852679 UGN852679 UQJ852679 VAF852679 VKB852679 VTX852679 WDT852679 WNP852679 WXL852679 BD918215 KZ918215 UV918215 AER918215 AON918215 AYJ918215 BIF918215 BSB918215 CBX918215 CLT918215 CVP918215 DFL918215 DPH918215 DZD918215 EIZ918215 ESV918215 FCR918215 FMN918215 FWJ918215 GGF918215 GQB918215 GZX918215 HJT918215 HTP918215 IDL918215 INH918215 IXD918215 JGZ918215 JQV918215 KAR918215 KKN918215 KUJ918215 LEF918215 LOB918215 LXX918215 MHT918215 MRP918215 NBL918215 NLH918215 NVD918215 OEZ918215 OOV918215 OYR918215 PIN918215 PSJ918215 QCF918215 QMB918215 QVX918215 RFT918215 RPP918215 RZL918215 SJH918215 STD918215 TCZ918215 TMV918215 TWR918215 UGN918215 UQJ918215 VAF918215 VKB918215 VTX918215 WDT918215 WNP918215 WXL918215 BD983751 KZ983751 UV983751 AER983751 AON983751 AYJ983751 BIF983751 BSB983751 CBX983751 CLT983751 CVP983751 DFL983751 DPH983751 DZD983751 EIZ983751 ESV983751 FCR983751 FMN983751 FWJ983751 GGF983751 GQB983751 GZX983751 HJT983751 HTP983751 IDL983751 INH983751 IXD983751 JGZ983751 JQV983751 KAR983751 KKN983751 KUJ983751 LEF983751 LOB983751 LXX983751 MHT983751 MRP983751 NBL983751 NLH983751 NVD983751 OEZ983751 OOV983751 OYR983751 PIN983751 PSJ983751 QCF983751 QMB983751 QVX983751 RFT983751 RPP983751 RZL983751 SJH983751 STD983751 TCZ983751 TMV983751 TWR983751 UGN983751 UQJ983751 VAF983751 VKB983751 VTX983751 WDT983751 WNP983751 WXL983751 P706 JL706 TH706 ADD706 AMZ706 AWV706 BGR706 BQN706 CAJ706 CKF706 CUB706 DDX706 DNT706 DXP706 EHL706 ERH706 FBD706 FKZ706 FUV706 GER706 GON706 GYJ706 HIF706 HSB706 IBX706 ILT706 IVP706 JFL706 JPH706 JZD706 KIZ706 KSV706 LCR706 LMN706 LWJ706 MGF706 MQB706 MZX706 NJT706 NTP706 ODL706 ONH706 OXD706 PGZ706 PQV706 QAR706 QKN706 QUJ706 REF706 ROB706 RXX706 SHT706 SRP706 TBL706 TLH706 TVD706 UEZ706 UOV706 UYR706 VIN706 VSJ706 WCF706 WMB706 WVX706 P66242 JL66242 TH66242 ADD66242 AMZ66242 AWV66242 BGR66242 BQN66242 CAJ66242 CKF66242 CUB66242 DDX66242 DNT66242 DXP66242 EHL66242 ERH66242 FBD66242 FKZ66242 FUV66242 GER66242 GON66242 GYJ66242 HIF66242 HSB66242 IBX66242 ILT66242 IVP66242 JFL66242 JPH66242 JZD66242 KIZ66242 KSV66242 LCR66242 LMN66242 LWJ66242 MGF66242 MQB66242 MZX66242 NJT66242 NTP66242 ODL66242 ONH66242 OXD66242 PGZ66242 PQV66242 QAR66242 QKN66242 QUJ66242 REF66242 ROB66242 RXX66242 SHT66242 SRP66242 TBL66242 TLH66242 TVD66242 UEZ66242 UOV66242 UYR66242 VIN66242 VSJ66242 WCF66242 WMB66242 WVX66242 P131778 JL131778 TH131778 ADD131778 AMZ131778 AWV131778 BGR131778 BQN131778 CAJ131778 CKF131778 CUB131778 DDX131778 DNT131778 DXP131778 EHL131778 ERH131778 FBD131778 FKZ131778 FUV131778 GER131778 GON131778 GYJ131778 HIF131778 HSB131778 IBX131778 ILT131778 IVP131778 JFL131778 JPH131778 JZD131778 KIZ131778 KSV131778 LCR131778 LMN131778 LWJ131778 MGF131778 MQB131778 MZX131778 NJT131778 NTP131778 ODL131778 ONH131778 OXD131778 PGZ131778 PQV131778 QAR131778 QKN131778 QUJ131778 REF131778 ROB131778 RXX131778 SHT131778 SRP131778 TBL131778 TLH131778 TVD131778 UEZ131778 UOV131778 UYR131778 VIN131778 VSJ131778 WCF131778 WMB131778 WVX131778 P197314 JL197314 TH197314 ADD197314 AMZ197314 AWV197314 BGR197314 BQN197314 CAJ197314 CKF197314 CUB197314 DDX197314 DNT197314 DXP197314 EHL197314 ERH197314 FBD197314 FKZ197314 FUV197314 GER197314 GON197314 GYJ197314 HIF197314 HSB197314 IBX197314 ILT197314 IVP197314 JFL197314 JPH197314 JZD197314 KIZ197314 KSV197314 LCR197314 LMN197314 LWJ197314 MGF197314 MQB197314 MZX197314 NJT197314 NTP197314 ODL197314 ONH197314 OXD197314 PGZ197314 PQV197314 QAR197314 QKN197314 QUJ197314 REF197314 ROB197314 RXX197314 SHT197314 SRP197314 TBL197314 TLH197314 TVD197314 UEZ197314 UOV197314 UYR197314 VIN197314 VSJ197314 WCF197314 WMB197314 WVX197314 P262850 JL262850 TH262850 ADD262850 AMZ262850 AWV262850 BGR262850 BQN262850 CAJ262850 CKF262850 CUB262850 DDX262850 DNT262850 DXP262850 EHL262850 ERH262850 FBD262850 FKZ262850 FUV262850 GER262850 GON262850 GYJ262850 HIF262850 HSB262850 IBX262850 ILT262850 IVP262850 JFL262850 JPH262850 JZD262850 KIZ262850 KSV262850 LCR262850 LMN262850 LWJ262850 MGF262850 MQB262850 MZX262850 NJT262850 NTP262850 ODL262850 ONH262850 OXD262850 PGZ262850 PQV262850 QAR262850 QKN262850 QUJ262850 REF262850 ROB262850 RXX262850 SHT262850 SRP262850 TBL262850 TLH262850 TVD262850 UEZ262850 UOV262850 UYR262850 VIN262850 VSJ262850 WCF262850 WMB262850 WVX262850 P328386 JL328386 TH328386 ADD328386 AMZ328386 AWV328386 BGR328386 BQN328386 CAJ328386 CKF328386 CUB328386 DDX328386 DNT328386 DXP328386 EHL328386 ERH328386 FBD328386 FKZ328386 FUV328386 GER328386 GON328386 GYJ328386 HIF328386 HSB328386 IBX328386 ILT328386 IVP328386 JFL328386 JPH328386 JZD328386 KIZ328386 KSV328386 LCR328386 LMN328386 LWJ328386 MGF328386 MQB328386 MZX328386 NJT328386 NTP328386 ODL328386 ONH328386 OXD328386 PGZ328386 PQV328386 QAR328386 QKN328386 QUJ328386 REF328386 ROB328386 RXX328386 SHT328386 SRP328386 TBL328386 TLH328386 TVD328386 UEZ328386 UOV328386 UYR328386 VIN328386 VSJ328386 WCF328386 WMB328386 WVX328386 P393922 JL393922 TH393922 ADD393922 AMZ393922 AWV393922 BGR393922 BQN393922 CAJ393922 CKF393922 CUB393922 DDX393922 DNT393922 DXP393922 EHL393922 ERH393922 FBD393922 FKZ393922 FUV393922 GER393922 GON393922 GYJ393922 HIF393922 HSB393922 IBX393922 ILT393922 IVP393922 JFL393922 JPH393922 JZD393922 KIZ393922 KSV393922 LCR393922 LMN393922 LWJ393922 MGF393922 MQB393922 MZX393922 NJT393922 NTP393922 ODL393922 ONH393922 OXD393922 PGZ393922 PQV393922 QAR393922 QKN393922 QUJ393922 REF393922 ROB393922 RXX393922 SHT393922 SRP393922 TBL393922 TLH393922 TVD393922 UEZ393922 UOV393922 UYR393922 VIN393922 VSJ393922 WCF393922 WMB393922 WVX393922 P459458 JL459458 TH459458 ADD459458 AMZ459458 AWV459458 BGR459458 BQN459458 CAJ459458 CKF459458 CUB459458 DDX459458 DNT459458 DXP459458 EHL459458 ERH459458 FBD459458 FKZ459458 FUV459458 GER459458 GON459458 GYJ459458 HIF459458 HSB459458 IBX459458 ILT459458 IVP459458 JFL459458 JPH459458 JZD459458 KIZ459458 KSV459458 LCR459458 LMN459458 LWJ459458 MGF459458 MQB459458 MZX459458 NJT459458 NTP459458 ODL459458 ONH459458 OXD459458 PGZ459458 PQV459458 QAR459458 QKN459458 QUJ459458 REF459458 ROB459458 RXX459458 SHT459458 SRP459458 TBL459458 TLH459458 TVD459458 UEZ459458 UOV459458 UYR459458 VIN459458 VSJ459458 WCF459458 WMB459458 WVX459458 P524994 JL524994 TH524994 ADD524994 AMZ524994 AWV524994 BGR524994 BQN524994 CAJ524994 CKF524994 CUB524994 DDX524994 DNT524994 DXP524994 EHL524994 ERH524994 FBD524994 FKZ524994 FUV524994 GER524994 GON524994 GYJ524994 HIF524994 HSB524994 IBX524994 ILT524994 IVP524994 JFL524994 JPH524994 JZD524994 KIZ524994 KSV524994 LCR524994 LMN524994 LWJ524994 MGF524994 MQB524994 MZX524994 NJT524994 NTP524994 ODL524994 ONH524994 OXD524994 PGZ524994 PQV524994 QAR524994 QKN524994 QUJ524994 REF524994 ROB524994 RXX524994 SHT524994 SRP524994 TBL524994 TLH524994 TVD524994 UEZ524994 UOV524994 UYR524994 VIN524994 VSJ524994 WCF524994 WMB524994 WVX524994 P590530 JL590530 TH590530 ADD590530 AMZ590530 AWV590530 BGR590530 BQN590530 CAJ590530 CKF590530 CUB590530 DDX590530 DNT590530 DXP590530 EHL590530 ERH590530 FBD590530 FKZ590530 FUV590530 GER590530 GON590530 GYJ590530 HIF590530 HSB590530 IBX590530 ILT590530 IVP590530 JFL590530 JPH590530 JZD590530 KIZ590530 KSV590530 LCR590530 LMN590530 LWJ590530 MGF590530 MQB590530 MZX590530 NJT590530 NTP590530 ODL590530 ONH590530 OXD590530 PGZ590530 PQV590530 QAR590530 QKN590530 QUJ590530 REF590530 ROB590530 RXX590530 SHT590530 SRP590530 TBL590530 TLH590530 TVD590530 UEZ590530 UOV590530 UYR590530 VIN590530 VSJ590530 WCF590530 WMB590530 WVX590530 P656066 JL656066 TH656066 ADD656066 AMZ656066 AWV656066 BGR656066 BQN656066 CAJ656066 CKF656066 CUB656066 DDX656066 DNT656066 DXP656066 EHL656066 ERH656066 FBD656066 FKZ656066 FUV656066 GER656066 GON656066 GYJ656066 HIF656066 HSB656066 IBX656066 ILT656066 IVP656066 JFL656066 JPH656066 JZD656066 KIZ656066 KSV656066 LCR656066 LMN656066 LWJ656066 MGF656066 MQB656066 MZX656066 NJT656066 NTP656066 ODL656066 ONH656066 OXD656066 PGZ656066 PQV656066 QAR656066 QKN656066 QUJ656066 REF656066 ROB656066 RXX656066 SHT656066 SRP656066 TBL656066 TLH656066 TVD656066 UEZ656066 UOV656066 UYR656066 VIN656066 VSJ656066 WCF656066 WMB656066 WVX656066 P721602 JL721602 TH721602 ADD721602 AMZ721602 AWV721602 BGR721602 BQN721602 CAJ721602 CKF721602 CUB721602 DDX721602 DNT721602 DXP721602 EHL721602 ERH721602 FBD721602 FKZ721602 FUV721602 GER721602 GON721602 GYJ721602 HIF721602 HSB721602 IBX721602 ILT721602 IVP721602 JFL721602 JPH721602 JZD721602 KIZ721602 KSV721602 LCR721602 LMN721602 LWJ721602 MGF721602 MQB721602 MZX721602 NJT721602 NTP721602 ODL721602 ONH721602 OXD721602 PGZ721602 PQV721602 QAR721602 QKN721602 QUJ721602 REF721602 ROB721602 RXX721602 SHT721602 SRP721602 TBL721602 TLH721602 TVD721602 UEZ721602 UOV721602 UYR721602 VIN721602 VSJ721602 WCF721602 WMB721602 WVX721602 P787138 JL787138 TH787138 ADD787138 AMZ787138 AWV787138 BGR787138 BQN787138 CAJ787138 CKF787138 CUB787138 DDX787138 DNT787138 DXP787138 EHL787138 ERH787138 FBD787138 FKZ787138 FUV787138 GER787138 GON787138 GYJ787138 HIF787138 HSB787138 IBX787138 ILT787138 IVP787138 JFL787138 JPH787138 JZD787138 KIZ787138 KSV787138 LCR787138 LMN787138 LWJ787138 MGF787138 MQB787138 MZX787138 NJT787138 NTP787138 ODL787138 ONH787138 OXD787138 PGZ787138 PQV787138 QAR787138 QKN787138 QUJ787138 REF787138 ROB787138 RXX787138 SHT787138 SRP787138 TBL787138 TLH787138 TVD787138 UEZ787138 UOV787138 UYR787138 VIN787138 VSJ787138 WCF787138 WMB787138 WVX787138 P852674 JL852674 TH852674 ADD852674 AMZ852674 AWV852674 BGR852674 BQN852674 CAJ852674 CKF852674 CUB852674 DDX852674 DNT852674 DXP852674 EHL852674 ERH852674 FBD852674 FKZ852674 FUV852674 GER852674 GON852674 GYJ852674 HIF852674 HSB852674 IBX852674 ILT852674 IVP852674 JFL852674 JPH852674 JZD852674 KIZ852674 KSV852674 LCR852674 LMN852674 LWJ852674 MGF852674 MQB852674 MZX852674 NJT852674 NTP852674 ODL852674 ONH852674 OXD852674 PGZ852674 PQV852674 QAR852674 QKN852674 QUJ852674 REF852674 ROB852674 RXX852674 SHT852674 SRP852674 TBL852674 TLH852674 TVD852674 UEZ852674 UOV852674 UYR852674 VIN852674 VSJ852674 WCF852674 WMB852674 WVX852674 P918210 JL918210 TH918210 ADD918210 AMZ918210 AWV918210 BGR918210 BQN918210 CAJ918210 CKF918210 CUB918210 DDX918210 DNT918210 DXP918210 EHL918210 ERH918210 FBD918210 FKZ918210 FUV918210 GER918210 GON918210 GYJ918210 HIF918210 HSB918210 IBX918210 ILT918210 IVP918210 JFL918210 JPH918210 JZD918210 KIZ918210 KSV918210 LCR918210 LMN918210 LWJ918210 MGF918210 MQB918210 MZX918210 NJT918210 NTP918210 ODL918210 ONH918210 OXD918210 PGZ918210 PQV918210 QAR918210 QKN918210 QUJ918210 REF918210 ROB918210 RXX918210 SHT918210 SRP918210 TBL918210 TLH918210 TVD918210 UEZ918210 UOV918210 UYR918210 VIN918210 VSJ918210 WCF918210 WMB918210 WVX918210 P983746 JL983746 TH983746 ADD983746 AMZ983746 AWV983746 BGR983746 BQN983746 CAJ983746 CKF983746 CUB983746 DDX983746 DNT983746 DXP983746 EHL983746 ERH983746 FBD983746 FKZ983746 FUV983746 GER983746 GON983746 GYJ983746 HIF983746 HSB983746 IBX983746 ILT983746 IVP983746 JFL983746 JPH983746 JZD983746 KIZ983746 KSV983746 LCR983746 LMN983746 LWJ983746 MGF983746 MQB983746 MZX983746 NJT983746 NTP983746 ODL983746 ONH983746 OXD983746 PGZ983746 PQV983746 QAR983746 QKN983746 QUJ983746 REF983746 ROB983746 RXX983746 SHT983746 SRP983746 TBL983746 TLH983746 TVD983746 UEZ983746 UOV983746 UYR983746 VIN983746 VSJ983746 WCF983746 WMB983746 WVX983746 E901 JA901 SW901 ACS901 AMO901 AWK901 BGG901 BQC901 BZY901 CJU901 CTQ901 DDM901 DNI901 DXE901 EHA901 EQW901 FAS901 FKO901 FUK901 GEG901 GOC901 GXY901 HHU901 HRQ901 IBM901 ILI901 IVE901 JFA901 JOW901 JYS901 KIO901 KSK901 LCG901 LMC901 LVY901 MFU901 MPQ901 MZM901 NJI901 NTE901 ODA901 OMW901 OWS901 PGO901 PQK901 QAG901 QKC901 QTY901 RDU901 RNQ901 RXM901 SHI901 SRE901 TBA901 TKW901 TUS901 UEO901 UOK901 UYG901 VIC901 VRY901 WBU901 WLQ901 WVM901 E66437 JA66437 SW66437 ACS66437 AMO66437 AWK66437 BGG66437 BQC66437 BZY66437 CJU66437 CTQ66437 DDM66437 DNI66437 DXE66437 EHA66437 EQW66437 FAS66437 FKO66437 FUK66437 GEG66437 GOC66437 GXY66437 HHU66437 HRQ66437 IBM66437 ILI66437 IVE66437 JFA66437 JOW66437 JYS66437 KIO66437 KSK66437 LCG66437 LMC66437 LVY66437 MFU66437 MPQ66437 MZM66437 NJI66437 NTE66437 ODA66437 OMW66437 OWS66437 PGO66437 PQK66437 QAG66437 QKC66437 QTY66437 RDU66437 RNQ66437 RXM66437 SHI66437 SRE66437 TBA66437 TKW66437 TUS66437 UEO66437 UOK66437 UYG66437 VIC66437 VRY66437 WBU66437 WLQ66437 WVM66437 E131973 JA131973 SW131973 ACS131973 AMO131973 AWK131973 BGG131973 BQC131973 BZY131973 CJU131973 CTQ131973 DDM131973 DNI131973 DXE131973 EHA131973 EQW131973 FAS131973 FKO131973 FUK131973 GEG131973 GOC131973 GXY131973 HHU131973 HRQ131973 IBM131973 ILI131973 IVE131973 JFA131973 JOW131973 JYS131973 KIO131973 KSK131973 LCG131973 LMC131973 LVY131973 MFU131973 MPQ131973 MZM131973 NJI131973 NTE131973 ODA131973 OMW131973 OWS131973 PGO131973 PQK131973 QAG131973 QKC131973 QTY131973 RDU131973 RNQ131973 RXM131973 SHI131973 SRE131973 TBA131973 TKW131973 TUS131973 UEO131973 UOK131973 UYG131973 VIC131973 VRY131973 WBU131973 WLQ131973 WVM131973 E197509 JA197509 SW197509 ACS197509 AMO197509 AWK197509 BGG197509 BQC197509 BZY197509 CJU197509 CTQ197509 DDM197509 DNI197509 DXE197509 EHA197509 EQW197509 FAS197509 FKO197509 FUK197509 GEG197509 GOC197509 GXY197509 HHU197509 HRQ197509 IBM197509 ILI197509 IVE197509 JFA197509 JOW197509 JYS197509 KIO197509 KSK197509 LCG197509 LMC197509 LVY197509 MFU197509 MPQ197509 MZM197509 NJI197509 NTE197509 ODA197509 OMW197509 OWS197509 PGO197509 PQK197509 QAG197509 QKC197509 QTY197509 RDU197509 RNQ197509 RXM197509 SHI197509 SRE197509 TBA197509 TKW197509 TUS197509 UEO197509 UOK197509 UYG197509 VIC197509 VRY197509 WBU197509 WLQ197509 WVM197509 E263045 JA263045 SW263045 ACS263045 AMO263045 AWK263045 BGG263045 BQC263045 BZY263045 CJU263045 CTQ263045 DDM263045 DNI263045 DXE263045 EHA263045 EQW263045 FAS263045 FKO263045 FUK263045 GEG263045 GOC263045 GXY263045 HHU263045 HRQ263045 IBM263045 ILI263045 IVE263045 JFA263045 JOW263045 JYS263045 KIO263045 KSK263045 LCG263045 LMC263045 LVY263045 MFU263045 MPQ263045 MZM263045 NJI263045 NTE263045 ODA263045 OMW263045 OWS263045 PGO263045 PQK263045 QAG263045 QKC263045 QTY263045 RDU263045 RNQ263045 RXM263045 SHI263045 SRE263045 TBA263045 TKW263045 TUS263045 UEO263045 UOK263045 UYG263045 VIC263045 VRY263045 WBU263045 WLQ263045 WVM263045 E328581 JA328581 SW328581 ACS328581 AMO328581 AWK328581 BGG328581 BQC328581 BZY328581 CJU328581 CTQ328581 DDM328581 DNI328581 DXE328581 EHA328581 EQW328581 FAS328581 FKO328581 FUK328581 GEG328581 GOC328581 GXY328581 HHU328581 HRQ328581 IBM328581 ILI328581 IVE328581 JFA328581 JOW328581 JYS328581 KIO328581 KSK328581 LCG328581 LMC328581 LVY328581 MFU328581 MPQ328581 MZM328581 NJI328581 NTE328581 ODA328581 OMW328581 OWS328581 PGO328581 PQK328581 QAG328581 QKC328581 QTY328581 RDU328581 RNQ328581 RXM328581 SHI328581 SRE328581 TBA328581 TKW328581 TUS328581 UEO328581 UOK328581 UYG328581 VIC328581 VRY328581 WBU328581 WLQ328581 WVM328581 E394117 JA394117 SW394117 ACS394117 AMO394117 AWK394117 BGG394117 BQC394117 BZY394117 CJU394117 CTQ394117 DDM394117 DNI394117 DXE394117 EHA394117 EQW394117 FAS394117 FKO394117 FUK394117 GEG394117 GOC394117 GXY394117 HHU394117 HRQ394117 IBM394117 ILI394117 IVE394117 JFA394117 JOW394117 JYS394117 KIO394117 KSK394117 LCG394117 LMC394117 LVY394117 MFU394117 MPQ394117 MZM394117 NJI394117 NTE394117 ODA394117 OMW394117 OWS394117 PGO394117 PQK394117 QAG394117 QKC394117 QTY394117 RDU394117 RNQ394117 RXM394117 SHI394117 SRE394117 TBA394117 TKW394117 TUS394117 UEO394117 UOK394117 UYG394117 VIC394117 VRY394117 WBU394117 WLQ394117 WVM394117 E459653 JA459653 SW459653 ACS459653 AMO459653 AWK459653 BGG459653 BQC459653 BZY459653 CJU459653 CTQ459653 DDM459653 DNI459653 DXE459653 EHA459653 EQW459653 FAS459653 FKO459653 FUK459653 GEG459653 GOC459653 GXY459653 HHU459653 HRQ459653 IBM459653 ILI459653 IVE459653 JFA459653 JOW459653 JYS459653 KIO459653 KSK459653 LCG459653 LMC459653 LVY459653 MFU459653 MPQ459653 MZM459653 NJI459653 NTE459653 ODA459653 OMW459653 OWS459653 PGO459653 PQK459653 QAG459653 QKC459653 QTY459653 RDU459653 RNQ459653 RXM459653 SHI459653 SRE459653 TBA459653 TKW459653 TUS459653 UEO459653 UOK459653 UYG459653 VIC459653 VRY459653 WBU459653 WLQ459653 WVM459653 E525189 JA525189 SW525189 ACS525189 AMO525189 AWK525189 BGG525189 BQC525189 BZY525189 CJU525189 CTQ525189 DDM525189 DNI525189 DXE525189 EHA525189 EQW525189 FAS525189 FKO525189 FUK525189 GEG525189 GOC525189 GXY525189 HHU525189 HRQ525189 IBM525189 ILI525189 IVE525189 JFA525189 JOW525189 JYS525189 KIO525189 KSK525189 LCG525189 LMC525189 LVY525189 MFU525189 MPQ525189 MZM525189 NJI525189 NTE525189 ODA525189 OMW525189 OWS525189 PGO525189 PQK525189 QAG525189 QKC525189 QTY525189 RDU525189 RNQ525189 RXM525189 SHI525189 SRE525189 TBA525189 TKW525189 TUS525189 UEO525189 UOK525189 UYG525189 VIC525189 VRY525189 WBU525189 WLQ525189 WVM525189 E590725 JA590725 SW590725 ACS590725 AMO590725 AWK590725 BGG590725 BQC590725 BZY590725 CJU590725 CTQ590725 DDM590725 DNI590725 DXE590725 EHA590725 EQW590725 FAS590725 FKO590725 FUK590725 GEG590725 GOC590725 GXY590725 HHU590725 HRQ590725 IBM590725 ILI590725 IVE590725 JFA590725 JOW590725 JYS590725 KIO590725 KSK590725 LCG590725 LMC590725 LVY590725 MFU590725 MPQ590725 MZM590725 NJI590725 NTE590725 ODA590725 OMW590725 OWS590725 PGO590725 PQK590725 QAG590725 QKC590725 QTY590725 RDU590725 RNQ590725 RXM590725 SHI590725 SRE590725 TBA590725 TKW590725 TUS590725 UEO590725 UOK590725 UYG590725 VIC590725 VRY590725 WBU590725 WLQ590725 WVM590725 E656261 JA656261 SW656261 ACS656261 AMO656261 AWK656261 BGG656261 BQC656261 BZY656261 CJU656261 CTQ656261 DDM656261 DNI656261 DXE656261 EHA656261 EQW656261 FAS656261 FKO656261 FUK656261 GEG656261 GOC656261 GXY656261 HHU656261 HRQ656261 IBM656261 ILI656261 IVE656261 JFA656261 JOW656261 JYS656261 KIO656261 KSK656261 LCG656261 LMC656261 LVY656261 MFU656261 MPQ656261 MZM656261 NJI656261 NTE656261 ODA656261 OMW656261 OWS656261 PGO656261 PQK656261 QAG656261 QKC656261 QTY656261 RDU656261 RNQ656261 RXM656261 SHI656261 SRE656261 TBA656261 TKW656261 TUS656261 UEO656261 UOK656261 UYG656261 VIC656261 VRY656261 WBU656261 WLQ656261 WVM656261 E721797 JA721797 SW721797 ACS721797 AMO721797 AWK721797 BGG721797 BQC721797 BZY721797 CJU721797 CTQ721797 DDM721797 DNI721797 DXE721797 EHA721797 EQW721797 FAS721797 FKO721797 FUK721797 GEG721797 GOC721797 GXY721797 HHU721797 HRQ721797 IBM721797 ILI721797 IVE721797 JFA721797 JOW721797 JYS721797 KIO721797 KSK721797 LCG721797 LMC721797 LVY721797 MFU721797 MPQ721797 MZM721797 NJI721797 NTE721797 ODA721797 OMW721797 OWS721797 PGO721797 PQK721797 QAG721797 QKC721797 QTY721797 RDU721797 RNQ721797 RXM721797 SHI721797 SRE721797 TBA721797 TKW721797 TUS721797 UEO721797 UOK721797 UYG721797 VIC721797 VRY721797 WBU721797 WLQ721797 WVM721797 E787333 JA787333 SW787333 ACS787333 AMO787333 AWK787333 BGG787333 BQC787333 BZY787333 CJU787333 CTQ787333 DDM787333 DNI787333 DXE787333 EHA787333 EQW787333 FAS787333 FKO787333 FUK787333 GEG787333 GOC787333 GXY787333 HHU787333 HRQ787333 IBM787333 ILI787333 IVE787333 JFA787333 JOW787333 JYS787333 KIO787333 KSK787333 LCG787333 LMC787333 LVY787333 MFU787333 MPQ787333 MZM787333 NJI787333 NTE787333 ODA787333 OMW787333 OWS787333 PGO787333 PQK787333 QAG787333 QKC787333 QTY787333 RDU787333 RNQ787333 RXM787333 SHI787333 SRE787333 TBA787333 TKW787333 TUS787333 UEO787333 UOK787333 UYG787333 VIC787333 VRY787333 WBU787333 WLQ787333 WVM787333 E852869 JA852869 SW852869 ACS852869 AMO852869 AWK852869 BGG852869 BQC852869 BZY852869 CJU852869 CTQ852869 DDM852869 DNI852869 DXE852869 EHA852869 EQW852869 FAS852869 FKO852869 FUK852869 GEG852869 GOC852869 GXY852869 HHU852869 HRQ852869 IBM852869 ILI852869 IVE852869 JFA852869 JOW852869 JYS852869 KIO852869 KSK852869 LCG852869 LMC852869 LVY852869 MFU852869 MPQ852869 MZM852869 NJI852869 NTE852869 ODA852869 OMW852869 OWS852869 PGO852869 PQK852869 QAG852869 QKC852869 QTY852869 RDU852869 RNQ852869 RXM852869 SHI852869 SRE852869 TBA852869 TKW852869 TUS852869 UEO852869 UOK852869 UYG852869 VIC852869 VRY852869 WBU852869 WLQ852869 WVM852869 E918405 JA918405 SW918405 ACS918405 AMO918405 AWK918405 BGG918405 BQC918405 BZY918405 CJU918405 CTQ918405 DDM918405 DNI918405 DXE918405 EHA918405 EQW918405 FAS918405 FKO918405 FUK918405 GEG918405 GOC918405 GXY918405 HHU918405 HRQ918405 IBM918405 ILI918405 IVE918405 JFA918405 JOW918405 JYS918405 KIO918405 KSK918405 LCG918405 LMC918405 LVY918405 MFU918405 MPQ918405 MZM918405 NJI918405 NTE918405 ODA918405 OMW918405 OWS918405 PGO918405 PQK918405 QAG918405 QKC918405 QTY918405 RDU918405 RNQ918405 RXM918405 SHI918405 SRE918405 TBA918405 TKW918405 TUS918405 UEO918405 UOK918405 UYG918405 VIC918405 VRY918405 WBU918405 WLQ918405 WVM918405 E983941 JA983941 SW983941 ACS983941 AMO983941 AWK983941 BGG983941 BQC983941 BZY983941 CJU983941 CTQ983941 DDM983941 DNI983941 DXE983941 EHA983941 EQW983941 FAS983941 FKO983941 FUK983941 GEG983941 GOC983941 GXY983941 HHU983941 HRQ983941 IBM983941 ILI983941 IVE983941 JFA983941 JOW983941 JYS983941 KIO983941 KSK983941 LCG983941 LMC983941 LVY983941 MFU983941 MPQ983941 MZM983941 NJI983941 NTE983941 ODA983941 OMW983941 OWS983941 PGO983941 PQK983941 QAG983941 QKC983941 QTY983941 RDU983941 RNQ983941 RXM983941 SHI983941 SRE983941 TBA983941 TKW983941 TUS983941 UEO983941 UOK983941 UYG983941 VIC983941 VRY983941 WBU983941 WLQ983941 WVM983941 AF707:AF709 KB707:KB709 TX707:TX709 ADT707:ADT709 ANP707:ANP709 AXL707:AXL709 BHH707:BHH709 BRD707:BRD709 CAZ707:CAZ709 CKV707:CKV709 CUR707:CUR709 DEN707:DEN709 DOJ707:DOJ709 DYF707:DYF709 EIB707:EIB709 ERX707:ERX709 FBT707:FBT709 FLP707:FLP709 FVL707:FVL709 GFH707:GFH709 GPD707:GPD709 GYZ707:GYZ709 HIV707:HIV709 HSR707:HSR709 ICN707:ICN709 IMJ707:IMJ709 IWF707:IWF709 JGB707:JGB709 JPX707:JPX709 JZT707:JZT709 KJP707:KJP709 KTL707:KTL709 LDH707:LDH709 LND707:LND709 LWZ707:LWZ709 MGV707:MGV709 MQR707:MQR709 NAN707:NAN709 NKJ707:NKJ709 NUF707:NUF709 OEB707:OEB709 ONX707:ONX709 OXT707:OXT709 PHP707:PHP709 PRL707:PRL709 QBH707:QBH709 QLD707:QLD709 QUZ707:QUZ709 REV707:REV709 ROR707:ROR709 RYN707:RYN709 SIJ707:SIJ709 SSF707:SSF709 TCB707:TCB709 TLX707:TLX709 TVT707:TVT709 UFP707:UFP709 UPL707:UPL709 UZH707:UZH709 VJD707:VJD709 VSZ707:VSZ709 WCV707:WCV709 WMR707:WMR709 WWN707:WWN709 AF66243:AF66245 KB66243:KB66245 TX66243:TX66245 ADT66243:ADT66245 ANP66243:ANP66245 AXL66243:AXL66245 BHH66243:BHH66245 BRD66243:BRD66245 CAZ66243:CAZ66245 CKV66243:CKV66245 CUR66243:CUR66245 DEN66243:DEN66245 DOJ66243:DOJ66245 DYF66243:DYF66245 EIB66243:EIB66245 ERX66243:ERX66245 FBT66243:FBT66245 FLP66243:FLP66245 FVL66243:FVL66245 GFH66243:GFH66245 GPD66243:GPD66245 GYZ66243:GYZ66245 HIV66243:HIV66245 HSR66243:HSR66245 ICN66243:ICN66245 IMJ66243:IMJ66245 IWF66243:IWF66245 JGB66243:JGB66245 JPX66243:JPX66245 JZT66243:JZT66245 KJP66243:KJP66245 KTL66243:KTL66245 LDH66243:LDH66245 LND66243:LND66245 LWZ66243:LWZ66245 MGV66243:MGV66245 MQR66243:MQR66245 NAN66243:NAN66245 NKJ66243:NKJ66245 NUF66243:NUF66245 OEB66243:OEB66245 ONX66243:ONX66245 OXT66243:OXT66245 PHP66243:PHP66245 PRL66243:PRL66245 QBH66243:QBH66245 QLD66243:QLD66245 QUZ66243:QUZ66245 REV66243:REV66245 ROR66243:ROR66245 RYN66243:RYN66245 SIJ66243:SIJ66245 SSF66243:SSF66245 TCB66243:TCB66245 TLX66243:TLX66245 TVT66243:TVT66245 UFP66243:UFP66245 UPL66243:UPL66245 UZH66243:UZH66245 VJD66243:VJD66245 VSZ66243:VSZ66245 WCV66243:WCV66245 WMR66243:WMR66245 WWN66243:WWN66245 AF131779:AF131781 KB131779:KB131781 TX131779:TX131781 ADT131779:ADT131781 ANP131779:ANP131781 AXL131779:AXL131781 BHH131779:BHH131781 BRD131779:BRD131781 CAZ131779:CAZ131781 CKV131779:CKV131781 CUR131779:CUR131781 DEN131779:DEN131781 DOJ131779:DOJ131781 DYF131779:DYF131781 EIB131779:EIB131781 ERX131779:ERX131781 FBT131779:FBT131781 FLP131779:FLP131781 FVL131779:FVL131781 GFH131779:GFH131781 GPD131779:GPD131781 GYZ131779:GYZ131781 HIV131779:HIV131781 HSR131779:HSR131781 ICN131779:ICN131781 IMJ131779:IMJ131781 IWF131779:IWF131781 JGB131779:JGB131781 JPX131779:JPX131781 JZT131779:JZT131781 KJP131779:KJP131781 KTL131779:KTL131781 LDH131779:LDH131781 LND131779:LND131781 LWZ131779:LWZ131781 MGV131779:MGV131781 MQR131779:MQR131781 NAN131779:NAN131781 NKJ131779:NKJ131781 NUF131779:NUF131781 OEB131779:OEB131781 ONX131779:ONX131781 OXT131779:OXT131781 PHP131779:PHP131781 PRL131779:PRL131781 QBH131779:QBH131781 QLD131779:QLD131781 QUZ131779:QUZ131781 REV131779:REV131781 ROR131779:ROR131781 RYN131779:RYN131781 SIJ131779:SIJ131781 SSF131779:SSF131781 TCB131779:TCB131781 TLX131779:TLX131781 TVT131779:TVT131781 UFP131779:UFP131781 UPL131779:UPL131781 UZH131779:UZH131781 VJD131779:VJD131781 VSZ131779:VSZ131781 WCV131779:WCV131781 WMR131779:WMR131781 WWN131779:WWN131781 AF197315:AF197317 KB197315:KB197317 TX197315:TX197317 ADT197315:ADT197317 ANP197315:ANP197317 AXL197315:AXL197317 BHH197315:BHH197317 BRD197315:BRD197317 CAZ197315:CAZ197317 CKV197315:CKV197317 CUR197315:CUR197317 DEN197315:DEN197317 DOJ197315:DOJ197317 DYF197315:DYF197317 EIB197315:EIB197317 ERX197315:ERX197317 FBT197315:FBT197317 FLP197315:FLP197317 FVL197315:FVL197317 GFH197315:GFH197317 GPD197315:GPD197317 GYZ197315:GYZ197317 HIV197315:HIV197317 HSR197315:HSR197317 ICN197315:ICN197317 IMJ197315:IMJ197317 IWF197315:IWF197317 JGB197315:JGB197317 JPX197315:JPX197317 JZT197315:JZT197317 KJP197315:KJP197317 KTL197315:KTL197317 LDH197315:LDH197317 LND197315:LND197317 LWZ197315:LWZ197317 MGV197315:MGV197317 MQR197315:MQR197317 NAN197315:NAN197317 NKJ197315:NKJ197317 NUF197315:NUF197317 OEB197315:OEB197317 ONX197315:ONX197317 OXT197315:OXT197317 PHP197315:PHP197317 PRL197315:PRL197317 QBH197315:QBH197317 QLD197315:QLD197317 QUZ197315:QUZ197317 REV197315:REV197317 ROR197315:ROR197317 RYN197315:RYN197317 SIJ197315:SIJ197317 SSF197315:SSF197317 TCB197315:TCB197317 TLX197315:TLX197317 TVT197315:TVT197317 UFP197315:UFP197317 UPL197315:UPL197317 UZH197315:UZH197317 VJD197315:VJD197317 VSZ197315:VSZ197317 WCV197315:WCV197317 WMR197315:WMR197317 WWN197315:WWN197317 AF262851:AF262853 KB262851:KB262853 TX262851:TX262853 ADT262851:ADT262853 ANP262851:ANP262853 AXL262851:AXL262853 BHH262851:BHH262853 BRD262851:BRD262853 CAZ262851:CAZ262853 CKV262851:CKV262853 CUR262851:CUR262853 DEN262851:DEN262853 DOJ262851:DOJ262853 DYF262851:DYF262853 EIB262851:EIB262853 ERX262851:ERX262853 FBT262851:FBT262853 FLP262851:FLP262853 FVL262851:FVL262853 GFH262851:GFH262853 GPD262851:GPD262853 GYZ262851:GYZ262853 HIV262851:HIV262853 HSR262851:HSR262853 ICN262851:ICN262853 IMJ262851:IMJ262853 IWF262851:IWF262853 JGB262851:JGB262853 JPX262851:JPX262853 JZT262851:JZT262853 KJP262851:KJP262853 KTL262851:KTL262853 LDH262851:LDH262853 LND262851:LND262853 LWZ262851:LWZ262853 MGV262851:MGV262853 MQR262851:MQR262853 NAN262851:NAN262853 NKJ262851:NKJ262853 NUF262851:NUF262853 OEB262851:OEB262853 ONX262851:ONX262853 OXT262851:OXT262853 PHP262851:PHP262853 PRL262851:PRL262853 QBH262851:QBH262853 QLD262851:QLD262853 QUZ262851:QUZ262853 REV262851:REV262853 ROR262851:ROR262853 RYN262851:RYN262853 SIJ262851:SIJ262853 SSF262851:SSF262853 TCB262851:TCB262853 TLX262851:TLX262853 TVT262851:TVT262853 UFP262851:UFP262853 UPL262851:UPL262853 UZH262851:UZH262853 VJD262851:VJD262853 VSZ262851:VSZ262853 WCV262851:WCV262853 WMR262851:WMR262853 WWN262851:WWN262853 AF328387:AF328389 KB328387:KB328389 TX328387:TX328389 ADT328387:ADT328389 ANP328387:ANP328389 AXL328387:AXL328389 BHH328387:BHH328389 BRD328387:BRD328389 CAZ328387:CAZ328389 CKV328387:CKV328389 CUR328387:CUR328389 DEN328387:DEN328389 DOJ328387:DOJ328389 DYF328387:DYF328389 EIB328387:EIB328389 ERX328387:ERX328389 FBT328387:FBT328389 FLP328387:FLP328389 FVL328387:FVL328389 GFH328387:GFH328389 GPD328387:GPD328389 GYZ328387:GYZ328389 HIV328387:HIV328389 HSR328387:HSR328389 ICN328387:ICN328389 IMJ328387:IMJ328389 IWF328387:IWF328389 JGB328387:JGB328389 JPX328387:JPX328389 JZT328387:JZT328389 KJP328387:KJP328389 KTL328387:KTL328389 LDH328387:LDH328389 LND328387:LND328389 LWZ328387:LWZ328389 MGV328387:MGV328389 MQR328387:MQR328389 NAN328387:NAN328389 NKJ328387:NKJ328389 NUF328387:NUF328389 OEB328387:OEB328389 ONX328387:ONX328389 OXT328387:OXT328389 PHP328387:PHP328389 PRL328387:PRL328389 QBH328387:QBH328389 QLD328387:QLD328389 QUZ328387:QUZ328389 REV328387:REV328389 ROR328387:ROR328389 RYN328387:RYN328389 SIJ328387:SIJ328389 SSF328387:SSF328389 TCB328387:TCB328389 TLX328387:TLX328389 TVT328387:TVT328389 UFP328387:UFP328389 UPL328387:UPL328389 UZH328387:UZH328389 VJD328387:VJD328389 VSZ328387:VSZ328389 WCV328387:WCV328389 WMR328387:WMR328389 WWN328387:WWN328389 AF393923:AF393925 KB393923:KB393925 TX393923:TX393925 ADT393923:ADT393925 ANP393923:ANP393925 AXL393923:AXL393925 BHH393923:BHH393925 BRD393923:BRD393925 CAZ393923:CAZ393925 CKV393923:CKV393925 CUR393923:CUR393925 DEN393923:DEN393925 DOJ393923:DOJ393925 DYF393923:DYF393925 EIB393923:EIB393925 ERX393923:ERX393925 FBT393923:FBT393925 FLP393923:FLP393925 FVL393923:FVL393925 GFH393923:GFH393925 GPD393923:GPD393925 GYZ393923:GYZ393925 HIV393923:HIV393925 HSR393923:HSR393925 ICN393923:ICN393925 IMJ393923:IMJ393925 IWF393923:IWF393925 JGB393923:JGB393925 JPX393923:JPX393925 JZT393923:JZT393925 KJP393923:KJP393925 KTL393923:KTL393925 LDH393923:LDH393925 LND393923:LND393925 LWZ393923:LWZ393925 MGV393923:MGV393925 MQR393923:MQR393925 NAN393923:NAN393925 NKJ393923:NKJ393925 NUF393923:NUF393925 OEB393923:OEB393925 ONX393923:ONX393925 OXT393923:OXT393925 PHP393923:PHP393925 PRL393923:PRL393925 QBH393923:QBH393925 QLD393923:QLD393925 QUZ393923:QUZ393925 REV393923:REV393925 ROR393923:ROR393925 RYN393923:RYN393925 SIJ393923:SIJ393925 SSF393923:SSF393925 TCB393923:TCB393925 TLX393923:TLX393925 TVT393923:TVT393925 UFP393923:UFP393925 UPL393923:UPL393925 UZH393923:UZH393925 VJD393923:VJD393925 VSZ393923:VSZ393925 WCV393923:WCV393925 WMR393923:WMR393925 WWN393923:WWN393925 AF459459:AF459461 KB459459:KB459461 TX459459:TX459461 ADT459459:ADT459461 ANP459459:ANP459461 AXL459459:AXL459461 BHH459459:BHH459461 BRD459459:BRD459461 CAZ459459:CAZ459461 CKV459459:CKV459461 CUR459459:CUR459461 DEN459459:DEN459461 DOJ459459:DOJ459461 DYF459459:DYF459461 EIB459459:EIB459461 ERX459459:ERX459461 FBT459459:FBT459461 FLP459459:FLP459461 FVL459459:FVL459461 GFH459459:GFH459461 GPD459459:GPD459461 GYZ459459:GYZ459461 HIV459459:HIV459461 HSR459459:HSR459461 ICN459459:ICN459461 IMJ459459:IMJ459461 IWF459459:IWF459461 JGB459459:JGB459461 JPX459459:JPX459461 JZT459459:JZT459461 KJP459459:KJP459461 KTL459459:KTL459461 LDH459459:LDH459461 LND459459:LND459461 LWZ459459:LWZ459461 MGV459459:MGV459461 MQR459459:MQR459461 NAN459459:NAN459461 NKJ459459:NKJ459461 NUF459459:NUF459461 OEB459459:OEB459461 ONX459459:ONX459461 OXT459459:OXT459461 PHP459459:PHP459461 PRL459459:PRL459461 QBH459459:QBH459461 QLD459459:QLD459461 QUZ459459:QUZ459461 REV459459:REV459461 ROR459459:ROR459461 RYN459459:RYN459461 SIJ459459:SIJ459461 SSF459459:SSF459461 TCB459459:TCB459461 TLX459459:TLX459461 TVT459459:TVT459461 UFP459459:UFP459461 UPL459459:UPL459461 UZH459459:UZH459461 VJD459459:VJD459461 VSZ459459:VSZ459461 WCV459459:WCV459461 WMR459459:WMR459461 WWN459459:WWN459461 AF524995:AF524997 KB524995:KB524997 TX524995:TX524997 ADT524995:ADT524997 ANP524995:ANP524997 AXL524995:AXL524997 BHH524995:BHH524997 BRD524995:BRD524997 CAZ524995:CAZ524997 CKV524995:CKV524997 CUR524995:CUR524997 DEN524995:DEN524997 DOJ524995:DOJ524997 DYF524995:DYF524997 EIB524995:EIB524997 ERX524995:ERX524997 FBT524995:FBT524997 FLP524995:FLP524997 FVL524995:FVL524997 GFH524995:GFH524997 GPD524995:GPD524997 GYZ524995:GYZ524997 HIV524995:HIV524997 HSR524995:HSR524997 ICN524995:ICN524997 IMJ524995:IMJ524997 IWF524995:IWF524997 JGB524995:JGB524997 JPX524995:JPX524997 JZT524995:JZT524997 KJP524995:KJP524997 KTL524995:KTL524997 LDH524995:LDH524997 LND524995:LND524997 LWZ524995:LWZ524997 MGV524995:MGV524997 MQR524995:MQR524997 NAN524995:NAN524997 NKJ524995:NKJ524997 NUF524995:NUF524997 OEB524995:OEB524997 ONX524995:ONX524997 OXT524995:OXT524997 PHP524995:PHP524997 PRL524995:PRL524997 QBH524995:QBH524997 QLD524995:QLD524997 QUZ524995:QUZ524997 REV524995:REV524997 ROR524995:ROR524997 RYN524995:RYN524997 SIJ524995:SIJ524997 SSF524995:SSF524997 TCB524995:TCB524997 TLX524995:TLX524997 TVT524995:TVT524997 UFP524995:UFP524997 UPL524995:UPL524997 UZH524995:UZH524997 VJD524995:VJD524997 VSZ524995:VSZ524997 WCV524995:WCV524997 WMR524995:WMR524997 WWN524995:WWN524997 AF590531:AF590533 KB590531:KB590533 TX590531:TX590533 ADT590531:ADT590533 ANP590531:ANP590533 AXL590531:AXL590533 BHH590531:BHH590533 BRD590531:BRD590533 CAZ590531:CAZ590533 CKV590531:CKV590533 CUR590531:CUR590533 DEN590531:DEN590533 DOJ590531:DOJ590533 DYF590531:DYF590533 EIB590531:EIB590533 ERX590531:ERX590533 FBT590531:FBT590533 FLP590531:FLP590533 FVL590531:FVL590533 GFH590531:GFH590533 GPD590531:GPD590533 GYZ590531:GYZ590533 HIV590531:HIV590533 HSR590531:HSR590533 ICN590531:ICN590533 IMJ590531:IMJ590533 IWF590531:IWF590533 JGB590531:JGB590533 JPX590531:JPX590533 JZT590531:JZT590533 KJP590531:KJP590533 KTL590531:KTL590533 LDH590531:LDH590533 LND590531:LND590533 LWZ590531:LWZ590533 MGV590531:MGV590533 MQR590531:MQR590533 NAN590531:NAN590533 NKJ590531:NKJ590533 NUF590531:NUF590533 OEB590531:OEB590533 ONX590531:ONX590533 OXT590531:OXT590533 PHP590531:PHP590533 PRL590531:PRL590533 QBH590531:QBH590533 QLD590531:QLD590533 QUZ590531:QUZ590533 REV590531:REV590533 ROR590531:ROR590533 RYN590531:RYN590533 SIJ590531:SIJ590533 SSF590531:SSF590533 TCB590531:TCB590533 TLX590531:TLX590533 TVT590531:TVT590533 UFP590531:UFP590533 UPL590531:UPL590533 UZH590531:UZH590533 VJD590531:VJD590533 VSZ590531:VSZ590533 WCV590531:WCV590533 WMR590531:WMR590533 WWN590531:WWN590533 AF656067:AF656069 KB656067:KB656069 TX656067:TX656069 ADT656067:ADT656069 ANP656067:ANP656069 AXL656067:AXL656069 BHH656067:BHH656069 BRD656067:BRD656069 CAZ656067:CAZ656069 CKV656067:CKV656069 CUR656067:CUR656069 DEN656067:DEN656069 DOJ656067:DOJ656069 DYF656067:DYF656069 EIB656067:EIB656069 ERX656067:ERX656069 FBT656067:FBT656069 FLP656067:FLP656069 FVL656067:FVL656069 GFH656067:GFH656069 GPD656067:GPD656069 GYZ656067:GYZ656069 HIV656067:HIV656069 HSR656067:HSR656069 ICN656067:ICN656069 IMJ656067:IMJ656069 IWF656067:IWF656069 JGB656067:JGB656069 JPX656067:JPX656069 JZT656067:JZT656069 KJP656067:KJP656069 KTL656067:KTL656069 LDH656067:LDH656069 LND656067:LND656069 LWZ656067:LWZ656069 MGV656067:MGV656069 MQR656067:MQR656069 NAN656067:NAN656069 NKJ656067:NKJ656069 NUF656067:NUF656069 OEB656067:OEB656069 ONX656067:ONX656069 OXT656067:OXT656069 PHP656067:PHP656069 PRL656067:PRL656069 QBH656067:QBH656069 QLD656067:QLD656069 QUZ656067:QUZ656069 REV656067:REV656069 ROR656067:ROR656069 RYN656067:RYN656069 SIJ656067:SIJ656069 SSF656067:SSF656069 TCB656067:TCB656069 TLX656067:TLX656069 TVT656067:TVT656069 UFP656067:UFP656069 UPL656067:UPL656069 UZH656067:UZH656069 VJD656067:VJD656069 VSZ656067:VSZ656069 WCV656067:WCV656069 WMR656067:WMR656069 WWN656067:WWN656069 AF721603:AF721605 KB721603:KB721605 TX721603:TX721605 ADT721603:ADT721605 ANP721603:ANP721605 AXL721603:AXL721605 BHH721603:BHH721605 BRD721603:BRD721605 CAZ721603:CAZ721605 CKV721603:CKV721605 CUR721603:CUR721605 DEN721603:DEN721605 DOJ721603:DOJ721605 DYF721603:DYF721605 EIB721603:EIB721605 ERX721603:ERX721605 FBT721603:FBT721605 FLP721603:FLP721605 FVL721603:FVL721605 GFH721603:GFH721605 GPD721603:GPD721605 GYZ721603:GYZ721605 HIV721603:HIV721605 HSR721603:HSR721605 ICN721603:ICN721605 IMJ721603:IMJ721605 IWF721603:IWF721605 JGB721603:JGB721605 JPX721603:JPX721605 JZT721603:JZT721605 KJP721603:KJP721605 KTL721603:KTL721605 LDH721603:LDH721605 LND721603:LND721605 LWZ721603:LWZ721605 MGV721603:MGV721605 MQR721603:MQR721605 NAN721603:NAN721605 NKJ721603:NKJ721605 NUF721603:NUF721605 OEB721603:OEB721605 ONX721603:ONX721605 OXT721603:OXT721605 PHP721603:PHP721605 PRL721603:PRL721605 QBH721603:QBH721605 QLD721603:QLD721605 QUZ721603:QUZ721605 REV721603:REV721605 ROR721603:ROR721605 RYN721603:RYN721605 SIJ721603:SIJ721605 SSF721603:SSF721605 TCB721603:TCB721605 TLX721603:TLX721605 TVT721603:TVT721605 UFP721603:UFP721605 UPL721603:UPL721605 UZH721603:UZH721605 VJD721603:VJD721605 VSZ721603:VSZ721605 WCV721603:WCV721605 WMR721603:WMR721605 WWN721603:WWN721605 AF787139:AF787141 KB787139:KB787141 TX787139:TX787141 ADT787139:ADT787141 ANP787139:ANP787141 AXL787139:AXL787141 BHH787139:BHH787141 BRD787139:BRD787141 CAZ787139:CAZ787141 CKV787139:CKV787141 CUR787139:CUR787141 DEN787139:DEN787141 DOJ787139:DOJ787141 DYF787139:DYF787141 EIB787139:EIB787141 ERX787139:ERX787141 FBT787139:FBT787141 FLP787139:FLP787141 FVL787139:FVL787141 GFH787139:GFH787141 GPD787139:GPD787141 GYZ787139:GYZ787141 HIV787139:HIV787141 HSR787139:HSR787141 ICN787139:ICN787141 IMJ787139:IMJ787141 IWF787139:IWF787141 JGB787139:JGB787141 JPX787139:JPX787141 JZT787139:JZT787141 KJP787139:KJP787141 KTL787139:KTL787141 LDH787139:LDH787141 LND787139:LND787141 LWZ787139:LWZ787141 MGV787139:MGV787141 MQR787139:MQR787141 NAN787139:NAN787141 NKJ787139:NKJ787141 NUF787139:NUF787141 OEB787139:OEB787141 ONX787139:ONX787141 OXT787139:OXT787141 PHP787139:PHP787141 PRL787139:PRL787141 QBH787139:QBH787141 QLD787139:QLD787141 QUZ787139:QUZ787141 REV787139:REV787141 ROR787139:ROR787141 RYN787139:RYN787141 SIJ787139:SIJ787141 SSF787139:SSF787141 TCB787139:TCB787141 TLX787139:TLX787141 TVT787139:TVT787141 UFP787139:UFP787141 UPL787139:UPL787141 UZH787139:UZH787141 VJD787139:VJD787141 VSZ787139:VSZ787141 WCV787139:WCV787141 WMR787139:WMR787141 WWN787139:WWN787141 AF852675:AF852677 KB852675:KB852677 TX852675:TX852677 ADT852675:ADT852677 ANP852675:ANP852677 AXL852675:AXL852677 BHH852675:BHH852677 BRD852675:BRD852677 CAZ852675:CAZ852677 CKV852675:CKV852677 CUR852675:CUR852677 DEN852675:DEN852677 DOJ852675:DOJ852677 DYF852675:DYF852677 EIB852675:EIB852677 ERX852675:ERX852677 FBT852675:FBT852677 FLP852675:FLP852677 FVL852675:FVL852677 GFH852675:GFH852677 GPD852675:GPD852677 GYZ852675:GYZ852677 HIV852675:HIV852677 HSR852675:HSR852677 ICN852675:ICN852677 IMJ852675:IMJ852677 IWF852675:IWF852677 JGB852675:JGB852677 JPX852675:JPX852677 JZT852675:JZT852677 KJP852675:KJP852677 KTL852675:KTL852677 LDH852675:LDH852677 LND852675:LND852677 LWZ852675:LWZ852677 MGV852675:MGV852677 MQR852675:MQR852677 NAN852675:NAN852677 NKJ852675:NKJ852677 NUF852675:NUF852677 OEB852675:OEB852677 ONX852675:ONX852677 OXT852675:OXT852677 PHP852675:PHP852677 PRL852675:PRL852677 QBH852675:QBH852677 QLD852675:QLD852677 QUZ852675:QUZ852677 REV852675:REV852677 ROR852675:ROR852677 RYN852675:RYN852677 SIJ852675:SIJ852677 SSF852675:SSF852677 TCB852675:TCB852677 TLX852675:TLX852677 TVT852675:TVT852677 UFP852675:UFP852677 UPL852675:UPL852677 UZH852675:UZH852677 VJD852675:VJD852677 VSZ852675:VSZ852677 WCV852675:WCV852677 WMR852675:WMR852677 WWN852675:WWN852677 AF918211:AF918213 KB918211:KB918213 TX918211:TX918213 ADT918211:ADT918213 ANP918211:ANP918213 AXL918211:AXL918213 BHH918211:BHH918213 BRD918211:BRD918213 CAZ918211:CAZ918213 CKV918211:CKV918213 CUR918211:CUR918213 DEN918211:DEN918213 DOJ918211:DOJ918213 DYF918211:DYF918213 EIB918211:EIB918213 ERX918211:ERX918213 FBT918211:FBT918213 FLP918211:FLP918213 FVL918211:FVL918213 GFH918211:GFH918213 GPD918211:GPD918213 GYZ918211:GYZ918213 HIV918211:HIV918213 HSR918211:HSR918213 ICN918211:ICN918213 IMJ918211:IMJ918213 IWF918211:IWF918213 JGB918211:JGB918213 JPX918211:JPX918213 JZT918211:JZT918213 KJP918211:KJP918213 KTL918211:KTL918213 LDH918211:LDH918213 LND918211:LND918213 LWZ918211:LWZ918213 MGV918211:MGV918213 MQR918211:MQR918213 NAN918211:NAN918213 NKJ918211:NKJ918213 NUF918211:NUF918213 OEB918211:OEB918213 ONX918211:ONX918213 OXT918211:OXT918213 PHP918211:PHP918213 PRL918211:PRL918213 QBH918211:QBH918213 QLD918211:QLD918213 QUZ918211:QUZ918213 REV918211:REV918213 ROR918211:ROR918213 RYN918211:RYN918213 SIJ918211:SIJ918213 SSF918211:SSF918213 TCB918211:TCB918213 TLX918211:TLX918213 TVT918211:TVT918213 UFP918211:UFP918213 UPL918211:UPL918213 UZH918211:UZH918213 VJD918211:VJD918213 VSZ918211:VSZ918213 WCV918211:WCV918213 WMR918211:WMR918213 WWN918211:WWN918213 AF983747:AF983749 KB983747:KB983749 TX983747:TX983749 ADT983747:ADT983749 ANP983747:ANP983749 AXL983747:AXL983749 BHH983747:BHH983749 BRD983747:BRD983749 CAZ983747:CAZ983749 CKV983747:CKV983749 CUR983747:CUR983749 DEN983747:DEN983749 DOJ983747:DOJ983749 DYF983747:DYF983749 EIB983747:EIB983749 ERX983747:ERX983749 FBT983747:FBT983749 FLP983747:FLP983749 FVL983747:FVL983749 GFH983747:GFH983749 GPD983747:GPD983749 GYZ983747:GYZ983749 HIV983747:HIV983749 HSR983747:HSR983749 ICN983747:ICN983749 IMJ983747:IMJ983749 IWF983747:IWF983749 JGB983747:JGB983749 JPX983747:JPX983749 JZT983747:JZT983749 KJP983747:KJP983749 KTL983747:KTL983749 LDH983747:LDH983749 LND983747:LND983749 LWZ983747:LWZ983749 MGV983747:MGV983749 MQR983747:MQR983749 NAN983747:NAN983749 NKJ983747:NKJ983749 NUF983747:NUF983749 OEB983747:OEB983749 ONX983747:ONX983749 OXT983747:OXT983749 PHP983747:PHP983749 PRL983747:PRL983749 QBH983747:QBH983749 QLD983747:QLD983749 QUZ983747:QUZ983749 REV983747:REV983749 ROR983747:ROR983749 RYN983747:RYN983749 SIJ983747:SIJ983749 SSF983747:SSF983749 TCB983747:TCB983749 TLX983747:TLX983749 TVT983747:TVT983749 UFP983747:UFP983749 UPL983747:UPL983749 UZH983747:UZH983749 VJD983747:VJD983749 VSZ983747:VSZ983749 WCV983747:WCV983749 WMR983747:WMR983749 WWN983747:WWN983749" xr:uid="{71ACD307-38EF-494D-A894-DDCEF073A637}">
      <formula1>$AC$754:$AC$755</formula1>
    </dataValidation>
    <dataValidation type="list" allowBlank="1" showInputMessage="1" showErrorMessage="1" sqref="AN721 KJ721 UF721 AEB721 ANX721 AXT721 BHP721 BRL721 CBH721 CLD721 CUZ721 DEV721 DOR721 DYN721 EIJ721 ESF721 FCB721 FLX721 FVT721 GFP721 GPL721 GZH721 HJD721 HSZ721 ICV721 IMR721 IWN721 JGJ721 JQF721 KAB721 KJX721 KTT721 LDP721 LNL721 LXH721 MHD721 MQZ721 NAV721 NKR721 NUN721 OEJ721 OOF721 OYB721 PHX721 PRT721 QBP721 QLL721 QVH721 RFD721 ROZ721 RYV721 SIR721 SSN721 TCJ721 TMF721 TWB721 UFX721 UPT721 UZP721 VJL721 VTH721 WDD721 WMZ721 WWV721 AN66257 KJ66257 UF66257 AEB66257 ANX66257 AXT66257 BHP66257 BRL66257 CBH66257 CLD66257 CUZ66257 DEV66257 DOR66257 DYN66257 EIJ66257 ESF66257 FCB66257 FLX66257 FVT66257 GFP66257 GPL66257 GZH66257 HJD66257 HSZ66257 ICV66257 IMR66257 IWN66257 JGJ66257 JQF66257 KAB66257 KJX66257 KTT66257 LDP66257 LNL66257 LXH66257 MHD66257 MQZ66257 NAV66257 NKR66257 NUN66257 OEJ66257 OOF66257 OYB66257 PHX66257 PRT66257 QBP66257 QLL66257 QVH66257 RFD66257 ROZ66257 RYV66257 SIR66257 SSN66257 TCJ66257 TMF66257 TWB66257 UFX66257 UPT66257 UZP66257 VJL66257 VTH66257 WDD66257 WMZ66257 WWV66257 AN131793 KJ131793 UF131793 AEB131793 ANX131793 AXT131793 BHP131793 BRL131793 CBH131793 CLD131793 CUZ131793 DEV131793 DOR131793 DYN131793 EIJ131793 ESF131793 FCB131793 FLX131793 FVT131793 GFP131793 GPL131793 GZH131793 HJD131793 HSZ131793 ICV131793 IMR131793 IWN131793 JGJ131793 JQF131793 KAB131793 KJX131793 KTT131793 LDP131793 LNL131793 LXH131793 MHD131793 MQZ131793 NAV131793 NKR131793 NUN131793 OEJ131793 OOF131793 OYB131793 PHX131793 PRT131793 QBP131793 QLL131793 QVH131793 RFD131793 ROZ131793 RYV131793 SIR131793 SSN131793 TCJ131793 TMF131793 TWB131793 UFX131793 UPT131793 UZP131793 VJL131793 VTH131793 WDD131793 WMZ131793 WWV131793 AN197329 KJ197329 UF197329 AEB197329 ANX197329 AXT197329 BHP197329 BRL197329 CBH197329 CLD197329 CUZ197329 DEV197329 DOR197329 DYN197329 EIJ197329 ESF197329 FCB197329 FLX197329 FVT197329 GFP197329 GPL197329 GZH197329 HJD197329 HSZ197329 ICV197329 IMR197329 IWN197329 JGJ197329 JQF197329 KAB197329 KJX197329 KTT197329 LDP197329 LNL197329 LXH197329 MHD197329 MQZ197329 NAV197329 NKR197329 NUN197329 OEJ197329 OOF197329 OYB197329 PHX197329 PRT197329 QBP197329 QLL197329 QVH197329 RFD197329 ROZ197329 RYV197329 SIR197329 SSN197329 TCJ197329 TMF197329 TWB197329 UFX197329 UPT197329 UZP197329 VJL197329 VTH197329 WDD197329 WMZ197329 WWV197329 AN262865 KJ262865 UF262865 AEB262865 ANX262865 AXT262865 BHP262865 BRL262865 CBH262865 CLD262865 CUZ262865 DEV262865 DOR262865 DYN262865 EIJ262865 ESF262865 FCB262865 FLX262865 FVT262865 GFP262865 GPL262865 GZH262865 HJD262865 HSZ262865 ICV262865 IMR262865 IWN262865 JGJ262865 JQF262865 KAB262865 KJX262865 KTT262865 LDP262865 LNL262865 LXH262865 MHD262865 MQZ262865 NAV262865 NKR262865 NUN262865 OEJ262865 OOF262865 OYB262865 PHX262865 PRT262865 QBP262865 QLL262865 QVH262865 RFD262865 ROZ262865 RYV262865 SIR262865 SSN262865 TCJ262865 TMF262865 TWB262865 UFX262865 UPT262865 UZP262865 VJL262865 VTH262865 WDD262865 WMZ262865 WWV262865 AN328401 KJ328401 UF328401 AEB328401 ANX328401 AXT328401 BHP328401 BRL328401 CBH328401 CLD328401 CUZ328401 DEV328401 DOR328401 DYN328401 EIJ328401 ESF328401 FCB328401 FLX328401 FVT328401 GFP328401 GPL328401 GZH328401 HJD328401 HSZ328401 ICV328401 IMR328401 IWN328401 JGJ328401 JQF328401 KAB328401 KJX328401 KTT328401 LDP328401 LNL328401 LXH328401 MHD328401 MQZ328401 NAV328401 NKR328401 NUN328401 OEJ328401 OOF328401 OYB328401 PHX328401 PRT328401 QBP328401 QLL328401 QVH328401 RFD328401 ROZ328401 RYV328401 SIR328401 SSN328401 TCJ328401 TMF328401 TWB328401 UFX328401 UPT328401 UZP328401 VJL328401 VTH328401 WDD328401 WMZ328401 WWV328401 AN393937 KJ393937 UF393937 AEB393937 ANX393937 AXT393937 BHP393937 BRL393937 CBH393937 CLD393937 CUZ393937 DEV393937 DOR393937 DYN393937 EIJ393937 ESF393937 FCB393937 FLX393937 FVT393937 GFP393937 GPL393937 GZH393937 HJD393937 HSZ393937 ICV393937 IMR393937 IWN393937 JGJ393937 JQF393937 KAB393937 KJX393937 KTT393937 LDP393937 LNL393937 LXH393937 MHD393937 MQZ393937 NAV393937 NKR393937 NUN393937 OEJ393937 OOF393937 OYB393937 PHX393937 PRT393937 QBP393937 QLL393937 QVH393937 RFD393937 ROZ393937 RYV393937 SIR393937 SSN393937 TCJ393937 TMF393937 TWB393937 UFX393937 UPT393937 UZP393937 VJL393937 VTH393937 WDD393937 WMZ393937 WWV393937 AN459473 KJ459473 UF459473 AEB459473 ANX459473 AXT459473 BHP459473 BRL459473 CBH459473 CLD459473 CUZ459473 DEV459473 DOR459473 DYN459473 EIJ459473 ESF459473 FCB459473 FLX459473 FVT459473 GFP459473 GPL459473 GZH459473 HJD459473 HSZ459473 ICV459473 IMR459473 IWN459473 JGJ459473 JQF459473 KAB459473 KJX459473 KTT459473 LDP459473 LNL459473 LXH459473 MHD459473 MQZ459473 NAV459473 NKR459473 NUN459473 OEJ459473 OOF459473 OYB459473 PHX459473 PRT459473 QBP459473 QLL459473 QVH459473 RFD459473 ROZ459473 RYV459473 SIR459473 SSN459473 TCJ459473 TMF459473 TWB459473 UFX459473 UPT459473 UZP459473 VJL459473 VTH459473 WDD459473 WMZ459473 WWV459473 AN525009 KJ525009 UF525009 AEB525009 ANX525009 AXT525009 BHP525009 BRL525009 CBH525009 CLD525009 CUZ525009 DEV525009 DOR525009 DYN525009 EIJ525009 ESF525009 FCB525009 FLX525009 FVT525009 GFP525009 GPL525009 GZH525009 HJD525009 HSZ525009 ICV525009 IMR525009 IWN525009 JGJ525009 JQF525009 KAB525009 KJX525009 KTT525009 LDP525009 LNL525009 LXH525009 MHD525009 MQZ525009 NAV525009 NKR525009 NUN525009 OEJ525009 OOF525009 OYB525009 PHX525009 PRT525009 QBP525009 QLL525009 QVH525009 RFD525009 ROZ525009 RYV525009 SIR525009 SSN525009 TCJ525009 TMF525009 TWB525009 UFX525009 UPT525009 UZP525009 VJL525009 VTH525009 WDD525009 WMZ525009 WWV525009 AN590545 KJ590545 UF590545 AEB590545 ANX590545 AXT590545 BHP590545 BRL590545 CBH590545 CLD590545 CUZ590545 DEV590545 DOR590545 DYN590545 EIJ590545 ESF590545 FCB590545 FLX590545 FVT590545 GFP590545 GPL590545 GZH590545 HJD590545 HSZ590545 ICV590545 IMR590545 IWN590545 JGJ590545 JQF590545 KAB590545 KJX590545 KTT590545 LDP590545 LNL590545 LXH590545 MHD590545 MQZ590545 NAV590545 NKR590545 NUN590545 OEJ590545 OOF590545 OYB590545 PHX590545 PRT590545 QBP590545 QLL590545 QVH590545 RFD590545 ROZ590545 RYV590545 SIR590545 SSN590545 TCJ590545 TMF590545 TWB590545 UFX590545 UPT590545 UZP590545 VJL590545 VTH590545 WDD590545 WMZ590545 WWV590545 AN656081 KJ656081 UF656081 AEB656081 ANX656081 AXT656081 BHP656081 BRL656081 CBH656081 CLD656081 CUZ656081 DEV656081 DOR656081 DYN656081 EIJ656081 ESF656081 FCB656081 FLX656081 FVT656081 GFP656081 GPL656081 GZH656081 HJD656081 HSZ656081 ICV656081 IMR656081 IWN656081 JGJ656081 JQF656081 KAB656081 KJX656081 KTT656081 LDP656081 LNL656081 LXH656081 MHD656081 MQZ656081 NAV656081 NKR656081 NUN656081 OEJ656081 OOF656081 OYB656081 PHX656081 PRT656081 QBP656081 QLL656081 QVH656081 RFD656081 ROZ656081 RYV656081 SIR656081 SSN656081 TCJ656081 TMF656081 TWB656081 UFX656081 UPT656081 UZP656081 VJL656081 VTH656081 WDD656081 WMZ656081 WWV656081 AN721617 KJ721617 UF721617 AEB721617 ANX721617 AXT721617 BHP721617 BRL721617 CBH721617 CLD721617 CUZ721617 DEV721617 DOR721617 DYN721617 EIJ721617 ESF721617 FCB721617 FLX721617 FVT721617 GFP721617 GPL721617 GZH721617 HJD721617 HSZ721617 ICV721617 IMR721617 IWN721617 JGJ721617 JQF721617 KAB721617 KJX721617 KTT721617 LDP721617 LNL721617 LXH721617 MHD721617 MQZ721617 NAV721617 NKR721617 NUN721617 OEJ721617 OOF721617 OYB721617 PHX721617 PRT721617 QBP721617 QLL721617 QVH721617 RFD721617 ROZ721617 RYV721617 SIR721617 SSN721617 TCJ721617 TMF721617 TWB721617 UFX721617 UPT721617 UZP721617 VJL721617 VTH721617 WDD721617 WMZ721617 WWV721617 AN787153 KJ787153 UF787153 AEB787153 ANX787153 AXT787153 BHP787153 BRL787153 CBH787153 CLD787153 CUZ787153 DEV787153 DOR787153 DYN787153 EIJ787153 ESF787153 FCB787153 FLX787153 FVT787153 GFP787153 GPL787153 GZH787153 HJD787153 HSZ787153 ICV787153 IMR787153 IWN787153 JGJ787153 JQF787153 KAB787153 KJX787153 KTT787153 LDP787153 LNL787153 LXH787153 MHD787153 MQZ787153 NAV787153 NKR787153 NUN787153 OEJ787153 OOF787153 OYB787153 PHX787153 PRT787153 QBP787153 QLL787153 QVH787153 RFD787153 ROZ787153 RYV787153 SIR787153 SSN787153 TCJ787153 TMF787153 TWB787153 UFX787153 UPT787153 UZP787153 VJL787153 VTH787153 WDD787153 WMZ787153 WWV787153 AN852689 KJ852689 UF852689 AEB852689 ANX852689 AXT852689 BHP852689 BRL852689 CBH852689 CLD852689 CUZ852689 DEV852689 DOR852689 DYN852689 EIJ852689 ESF852689 FCB852689 FLX852689 FVT852689 GFP852689 GPL852689 GZH852689 HJD852689 HSZ852689 ICV852689 IMR852689 IWN852689 JGJ852689 JQF852689 KAB852689 KJX852689 KTT852689 LDP852689 LNL852689 LXH852689 MHD852689 MQZ852689 NAV852689 NKR852689 NUN852689 OEJ852689 OOF852689 OYB852689 PHX852689 PRT852689 QBP852689 QLL852689 QVH852689 RFD852689 ROZ852689 RYV852689 SIR852689 SSN852689 TCJ852689 TMF852689 TWB852689 UFX852689 UPT852689 UZP852689 VJL852689 VTH852689 WDD852689 WMZ852689 WWV852689 AN918225 KJ918225 UF918225 AEB918225 ANX918225 AXT918225 BHP918225 BRL918225 CBH918225 CLD918225 CUZ918225 DEV918225 DOR918225 DYN918225 EIJ918225 ESF918225 FCB918225 FLX918225 FVT918225 GFP918225 GPL918225 GZH918225 HJD918225 HSZ918225 ICV918225 IMR918225 IWN918225 JGJ918225 JQF918225 KAB918225 KJX918225 KTT918225 LDP918225 LNL918225 LXH918225 MHD918225 MQZ918225 NAV918225 NKR918225 NUN918225 OEJ918225 OOF918225 OYB918225 PHX918225 PRT918225 QBP918225 QLL918225 QVH918225 RFD918225 ROZ918225 RYV918225 SIR918225 SSN918225 TCJ918225 TMF918225 TWB918225 UFX918225 UPT918225 UZP918225 VJL918225 VTH918225 WDD918225 WMZ918225 WWV918225 AN983761 KJ983761 UF983761 AEB983761 ANX983761 AXT983761 BHP983761 BRL983761 CBH983761 CLD983761 CUZ983761 DEV983761 DOR983761 DYN983761 EIJ983761 ESF983761 FCB983761 FLX983761 FVT983761 GFP983761 GPL983761 GZH983761 HJD983761 HSZ983761 ICV983761 IMR983761 IWN983761 JGJ983761 JQF983761 KAB983761 KJX983761 KTT983761 LDP983761 LNL983761 LXH983761 MHD983761 MQZ983761 NAV983761 NKR983761 NUN983761 OEJ983761 OOF983761 OYB983761 PHX983761 PRT983761 QBP983761 QLL983761 QVH983761 RFD983761 ROZ983761 RYV983761 SIR983761 SSN983761 TCJ983761 TMF983761 TWB983761 UFX983761 UPT983761 UZP983761 VJL983761 VTH983761 WDD983761 WMZ983761 WWV983761" xr:uid="{3A03391D-6614-4207-811C-0227357454D6}">
      <formula1>$AN$722:$AN$761</formula1>
    </dataValidation>
    <dataValidation type="list" allowBlank="1" showInputMessage="1" showErrorMessage="1" sqref="AO734 KK734 UG734 AEC734 ANY734 AXU734 BHQ734 BRM734 CBI734 CLE734 CVA734 DEW734 DOS734 DYO734 EIK734 ESG734 FCC734 FLY734 FVU734 GFQ734 GPM734 GZI734 HJE734 HTA734 ICW734 IMS734 IWO734 JGK734 JQG734 KAC734 KJY734 KTU734 LDQ734 LNM734 LXI734 MHE734 MRA734 NAW734 NKS734 NUO734 OEK734 OOG734 OYC734 PHY734 PRU734 QBQ734 QLM734 QVI734 RFE734 RPA734 RYW734 SIS734 SSO734 TCK734 TMG734 TWC734 UFY734 UPU734 UZQ734 VJM734 VTI734 WDE734 WNA734 WWW734 AO66270 KK66270 UG66270 AEC66270 ANY66270 AXU66270 BHQ66270 BRM66270 CBI66270 CLE66270 CVA66270 DEW66270 DOS66270 DYO66270 EIK66270 ESG66270 FCC66270 FLY66270 FVU66270 GFQ66270 GPM66270 GZI66270 HJE66270 HTA66270 ICW66270 IMS66270 IWO66270 JGK66270 JQG66270 KAC66270 KJY66270 KTU66270 LDQ66270 LNM66270 LXI66270 MHE66270 MRA66270 NAW66270 NKS66270 NUO66270 OEK66270 OOG66270 OYC66270 PHY66270 PRU66270 QBQ66270 QLM66270 QVI66270 RFE66270 RPA66270 RYW66270 SIS66270 SSO66270 TCK66270 TMG66270 TWC66270 UFY66270 UPU66270 UZQ66270 VJM66270 VTI66270 WDE66270 WNA66270 WWW66270 AO131806 KK131806 UG131806 AEC131806 ANY131806 AXU131806 BHQ131806 BRM131806 CBI131806 CLE131806 CVA131806 DEW131806 DOS131806 DYO131806 EIK131806 ESG131806 FCC131806 FLY131806 FVU131806 GFQ131806 GPM131806 GZI131806 HJE131806 HTA131806 ICW131806 IMS131806 IWO131806 JGK131806 JQG131806 KAC131806 KJY131806 KTU131806 LDQ131806 LNM131806 LXI131806 MHE131806 MRA131806 NAW131806 NKS131806 NUO131806 OEK131806 OOG131806 OYC131806 PHY131806 PRU131806 QBQ131806 QLM131806 QVI131806 RFE131806 RPA131806 RYW131806 SIS131806 SSO131806 TCK131806 TMG131806 TWC131806 UFY131806 UPU131806 UZQ131806 VJM131806 VTI131806 WDE131806 WNA131806 WWW131806 AO197342 KK197342 UG197342 AEC197342 ANY197342 AXU197342 BHQ197342 BRM197342 CBI197342 CLE197342 CVA197342 DEW197342 DOS197342 DYO197342 EIK197342 ESG197342 FCC197342 FLY197342 FVU197342 GFQ197342 GPM197342 GZI197342 HJE197342 HTA197342 ICW197342 IMS197342 IWO197342 JGK197342 JQG197342 KAC197342 KJY197342 KTU197342 LDQ197342 LNM197342 LXI197342 MHE197342 MRA197342 NAW197342 NKS197342 NUO197342 OEK197342 OOG197342 OYC197342 PHY197342 PRU197342 QBQ197342 QLM197342 QVI197342 RFE197342 RPA197342 RYW197342 SIS197342 SSO197342 TCK197342 TMG197342 TWC197342 UFY197342 UPU197342 UZQ197342 VJM197342 VTI197342 WDE197342 WNA197342 WWW197342 AO262878 KK262878 UG262878 AEC262878 ANY262878 AXU262878 BHQ262878 BRM262878 CBI262878 CLE262878 CVA262878 DEW262878 DOS262878 DYO262878 EIK262878 ESG262878 FCC262878 FLY262878 FVU262878 GFQ262878 GPM262878 GZI262878 HJE262878 HTA262878 ICW262878 IMS262878 IWO262878 JGK262878 JQG262878 KAC262878 KJY262878 KTU262878 LDQ262878 LNM262878 LXI262878 MHE262878 MRA262878 NAW262878 NKS262878 NUO262878 OEK262878 OOG262878 OYC262878 PHY262878 PRU262878 QBQ262878 QLM262878 QVI262878 RFE262878 RPA262878 RYW262878 SIS262878 SSO262878 TCK262878 TMG262878 TWC262878 UFY262878 UPU262878 UZQ262878 VJM262878 VTI262878 WDE262878 WNA262878 WWW262878 AO328414 KK328414 UG328414 AEC328414 ANY328414 AXU328414 BHQ328414 BRM328414 CBI328414 CLE328414 CVA328414 DEW328414 DOS328414 DYO328414 EIK328414 ESG328414 FCC328414 FLY328414 FVU328414 GFQ328414 GPM328414 GZI328414 HJE328414 HTA328414 ICW328414 IMS328414 IWO328414 JGK328414 JQG328414 KAC328414 KJY328414 KTU328414 LDQ328414 LNM328414 LXI328414 MHE328414 MRA328414 NAW328414 NKS328414 NUO328414 OEK328414 OOG328414 OYC328414 PHY328414 PRU328414 QBQ328414 QLM328414 QVI328414 RFE328414 RPA328414 RYW328414 SIS328414 SSO328414 TCK328414 TMG328414 TWC328414 UFY328414 UPU328414 UZQ328414 VJM328414 VTI328414 WDE328414 WNA328414 WWW328414 AO393950 KK393950 UG393950 AEC393950 ANY393950 AXU393950 BHQ393950 BRM393950 CBI393950 CLE393950 CVA393950 DEW393950 DOS393950 DYO393950 EIK393950 ESG393950 FCC393950 FLY393950 FVU393950 GFQ393950 GPM393950 GZI393950 HJE393950 HTA393950 ICW393950 IMS393950 IWO393950 JGK393950 JQG393950 KAC393950 KJY393950 KTU393950 LDQ393950 LNM393950 LXI393950 MHE393950 MRA393950 NAW393950 NKS393950 NUO393950 OEK393950 OOG393950 OYC393950 PHY393950 PRU393950 QBQ393950 QLM393950 QVI393950 RFE393950 RPA393950 RYW393950 SIS393950 SSO393950 TCK393950 TMG393950 TWC393950 UFY393950 UPU393950 UZQ393950 VJM393950 VTI393950 WDE393950 WNA393950 WWW393950 AO459486 KK459486 UG459486 AEC459486 ANY459486 AXU459486 BHQ459486 BRM459486 CBI459486 CLE459486 CVA459486 DEW459486 DOS459486 DYO459486 EIK459486 ESG459486 FCC459486 FLY459486 FVU459486 GFQ459486 GPM459486 GZI459486 HJE459486 HTA459486 ICW459486 IMS459486 IWO459486 JGK459486 JQG459486 KAC459486 KJY459486 KTU459486 LDQ459486 LNM459486 LXI459486 MHE459486 MRA459486 NAW459486 NKS459486 NUO459486 OEK459486 OOG459486 OYC459486 PHY459486 PRU459486 QBQ459486 QLM459486 QVI459486 RFE459486 RPA459486 RYW459486 SIS459486 SSO459486 TCK459486 TMG459486 TWC459486 UFY459486 UPU459486 UZQ459486 VJM459486 VTI459486 WDE459486 WNA459486 WWW459486 AO525022 KK525022 UG525022 AEC525022 ANY525022 AXU525022 BHQ525022 BRM525022 CBI525022 CLE525022 CVA525022 DEW525022 DOS525022 DYO525022 EIK525022 ESG525022 FCC525022 FLY525022 FVU525022 GFQ525022 GPM525022 GZI525022 HJE525022 HTA525022 ICW525022 IMS525022 IWO525022 JGK525022 JQG525022 KAC525022 KJY525022 KTU525022 LDQ525022 LNM525022 LXI525022 MHE525022 MRA525022 NAW525022 NKS525022 NUO525022 OEK525022 OOG525022 OYC525022 PHY525022 PRU525022 QBQ525022 QLM525022 QVI525022 RFE525022 RPA525022 RYW525022 SIS525022 SSO525022 TCK525022 TMG525022 TWC525022 UFY525022 UPU525022 UZQ525022 VJM525022 VTI525022 WDE525022 WNA525022 WWW525022 AO590558 KK590558 UG590558 AEC590558 ANY590558 AXU590558 BHQ590558 BRM590558 CBI590558 CLE590558 CVA590558 DEW590558 DOS590558 DYO590558 EIK590558 ESG590558 FCC590558 FLY590558 FVU590558 GFQ590558 GPM590558 GZI590558 HJE590558 HTA590558 ICW590558 IMS590558 IWO590558 JGK590558 JQG590558 KAC590558 KJY590558 KTU590558 LDQ590558 LNM590558 LXI590558 MHE590558 MRA590558 NAW590558 NKS590558 NUO590558 OEK590558 OOG590558 OYC590558 PHY590558 PRU590558 QBQ590558 QLM590558 QVI590558 RFE590558 RPA590558 RYW590558 SIS590558 SSO590558 TCK590558 TMG590558 TWC590558 UFY590558 UPU590558 UZQ590558 VJM590558 VTI590558 WDE590558 WNA590558 WWW590558 AO656094 KK656094 UG656094 AEC656094 ANY656094 AXU656094 BHQ656094 BRM656094 CBI656094 CLE656094 CVA656094 DEW656094 DOS656094 DYO656094 EIK656094 ESG656094 FCC656094 FLY656094 FVU656094 GFQ656094 GPM656094 GZI656094 HJE656094 HTA656094 ICW656094 IMS656094 IWO656094 JGK656094 JQG656094 KAC656094 KJY656094 KTU656094 LDQ656094 LNM656094 LXI656094 MHE656094 MRA656094 NAW656094 NKS656094 NUO656094 OEK656094 OOG656094 OYC656094 PHY656094 PRU656094 QBQ656094 QLM656094 QVI656094 RFE656094 RPA656094 RYW656094 SIS656094 SSO656094 TCK656094 TMG656094 TWC656094 UFY656094 UPU656094 UZQ656094 VJM656094 VTI656094 WDE656094 WNA656094 WWW656094 AO721630 KK721630 UG721630 AEC721630 ANY721630 AXU721630 BHQ721630 BRM721630 CBI721630 CLE721630 CVA721630 DEW721630 DOS721630 DYO721630 EIK721630 ESG721630 FCC721630 FLY721630 FVU721630 GFQ721630 GPM721630 GZI721630 HJE721630 HTA721630 ICW721630 IMS721630 IWO721630 JGK721630 JQG721630 KAC721630 KJY721630 KTU721630 LDQ721630 LNM721630 LXI721630 MHE721630 MRA721630 NAW721630 NKS721630 NUO721630 OEK721630 OOG721630 OYC721630 PHY721630 PRU721630 QBQ721630 QLM721630 QVI721630 RFE721630 RPA721630 RYW721630 SIS721630 SSO721630 TCK721630 TMG721630 TWC721630 UFY721630 UPU721630 UZQ721630 VJM721630 VTI721630 WDE721630 WNA721630 WWW721630 AO787166 KK787166 UG787166 AEC787166 ANY787166 AXU787166 BHQ787166 BRM787166 CBI787166 CLE787166 CVA787166 DEW787166 DOS787166 DYO787166 EIK787166 ESG787166 FCC787166 FLY787166 FVU787166 GFQ787166 GPM787166 GZI787166 HJE787166 HTA787166 ICW787166 IMS787166 IWO787166 JGK787166 JQG787166 KAC787166 KJY787166 KTU787166 LDQ787166 LNM787166 LXI787166 MHE787166 MRA787166 NAW787166 NKS787166 NUO787166 OEK787166 OOG787166 OYC787166 PHY787166 PRU787166 QBQ787166 QLM787166 QVI787166 RFE787166 RPA787166 RYW787166 SIS787166 SSO787166 TCK787166 TMG787166 TWC787166 UFY787166 UPU787166 UZQ787166 VJM787166 VTI787166 WDE787166 WNA787166 WWW787166 AO852702 KK852702 UG852702 AEC852702 ANY852702 AXU852702 BHQ852702 BRM852702 CBI852702 CLE852702 CVA852702 DEW852702 DOS852702 DYO852702 EIK852702 ESG852702 FCC852702 FLY852702 FVU852702 GFQ852702 GPM852702 GZI852702 HJE852702 HTA852702 ICW852702 IMS852702 IWO852702 JGK852702 JQG852702 KAC852702 KJY852702 KTU852702 LDQ852702 LNM852702 LXI852702 MHE852702 MRA852702 NAW852702 NKS852702 NUO852702 OEK852702 OOG852702 OYC852702 PHY852702 PRU852702 QBQ852702 QLM852702 QVI852702 RFE852702 RPA852702 RYW852702 SIS852702 SSO852702 TCK852702 TMG852702 TWC852702 UFY852702 UPU852702 UZQ852702 VJM852702 VTI852702 WDE852702 WNA852702 WWW852702 AO918238 KK918238 UG918238 AEC918238 ANY918238 AXU918238 BHQ918238 BRM918238 CBI918238 CLE918238 CVA918238 DEW918238 DOS918238 DYO918238 EIK918238 ESG918238 FCC918238 FLY918238 FVU918238 GFQ918238 GPM918238 GZI918238 HJE918238 HTA918238 ICW918238 IMS918238 IWO918238 JGK918238 JQG918238 KAC918238 KJY918238 KTU918238 LDQ918238 LNM918238 LXI918238 MHE918238 MRA918238 NAW918238 NKS918238 NUO918238 OEK918238 OOG918238 OYC918238 PHY918238 PRU918238 QBQ918238 QLM918238 QVI918238 RFE918238 RPA918238 RYW918238 SIS918238 SSO918238 TCK918238 TMG918238 TWC918238 UFY918238 UPU918238 UZQ918238 VJM918238 VTI918238 WDE918238 WNA918238 WWW918238 AO983774 KK983774 UG983774 AEC983774 ANY983774 AXU983774 BHQ983774 BRM983774 CBI983774 CLE983774 CVA983774 DEW983774 DOS983774 DYO983774 EIK983774 ESG983774 FCC983774 FLY983774 FVU983774 GFQ983774 GPM983774 GZI983774 HJE983774 HTA983774 ICW983774 IMS983774 IWO983774 JGK983774 JQG983774 KAC983774 KJY983774 KTU983774 LDQ983774 LNM983774 LXI983774 MHE983774 MRA983774 NAW983774 NKS983774 NUO983774 OEK983774 OOG983774 OYC983774 PHY983774 PRU983774 QBQ983774 QLM983774 QVI983774 RFE983774 RPA983774 RYW983774 SIS983774 SSO983774 TCK983774 TMG983774 TWC983774 UFY983774 UPU983774 UZQ983774 VJM983774 VTI983774 WDE983774 WNA983774 WWW983774" xr:uid="{9E51DD2A-081B-4F6F-8C84-D9208FC1982B}">
      <formula1>$AO$735:$AO$761</formula1>
    </dataValidation>
    <dataValidation type="list" allowBlank="1" showInputMessage="1" showErrorMessage="1" sqref="W722 JS722 TO722 ADK722 ANG722 AXC722 BGY722 BQU722 CAQ722 CKM722 CUI722 DEE722 DOA722 DXW722 EHS722 ERO722 FBK722 FLG722 FVC722 GEY722 GOU722 GYQ722 HIM722 HSI722 ICE722 IMA722 IVW722 JFS722 JPO722 JZK722 KJG722 KTC722 LCY722 LMU722 LWQ722 MGM722 MQI722 NAE722 NKA722 NTW722 ODS722 ONO722 OXK722 PHG722 PRC722 QAY722 QKU722 QUQ722 REM722 ROI722 RYE722 SIA722 SRW722 TBS722 TLO722 TVK722 UFG722 UPC722 UYY722 VIU722 VSQ722 WCM722 WMI722 WWE722 W66258 JS66258 TO66258 ADK66258 ANG66258 AXC66258 BGY66258 BQU66258 CAQ66258 CKM66258 CUI66258 DEE66258 DOA66258 DXW66258 EHS66258 ERO66258 FBK66258 FLG66258 FVC66258 GEY66258 GOU66258 GYQ66258 HIM66258 HSI66258 ICE66258 IMA66258 IVW66258 JFS66258 JPO66258 JZK66258 KJG66258 KTC66258 LCY66258 LMU66258 LWQ66258 MGM66258 MQI66258 NAE66258 NKA66258 NTW66258 ODS66258 ONO66258 OXK66258 PHG66258 PRC66258 QAY66258 QKU66258 QUQ66258 REM66258 ROI66258 RYE66258 SIA66258 SRW66258 TBS66258 TLO66258 TVK66258 UFG66258 UPC66258 UYY66258 VIU66258 VSQ66258 WCM66258 WMI66258 WWE66258 W131794 JS131794 TO131794 ADK131794 ANG131794 AXC131794 BGY131794 BQU131794 CAQ131794 CKM131794 CUI131794 DEE131794 DOA131794 DXW131794 EHS131794 ERO131794 FBK131794 FLG131794 FVC131794 GEY131794 GOU131794 GYQ131794 HIM131794 HSI131794 ICE131794 IMA131794 IVW131794 JFS131794 JPO131794 JZK131794 KJG131794 KTC131794 LCY131794 LMU131794 LWQ131794 MGM131794 MQI131794 NAE131794 NKA131794 NTW131794 ODS131794 ONO131794 OXK131794 PHG131794 PRC131794 QAY131794 QKU131794 QUQ131794 REM131794 ROI131794 RYE131794 SIA131794 SRW131794 TBS131794 TLO131794 TVK131794 UFG131794 UPC131794 UYY131794 VIU131794 VSQ131794 WCM131794 WMI131794 WWE131794 W197330 JS197330 TO197330 ADK197330 ANG197330 AXC197330 BGY197330 BQU197330 CAQ197330 CKM197330 CUI197330 DEE197330 DOA197330 DXW197330 EHS197330 ERO197330 FBK197330 FLG197330 FVC197330 GEY197330 GOU197330 GYQ197330 HIM197330 HSI197330 ICE197330 IMA197330 IVW197330 JFS197330 JPO197330 JZK197330 KJG197330 KTC197330 LCY197330 LMU197330 LWQ197330 MGM197330 MQI197330 NAE197330 NKA197330 NTW197330 ODS197330 ONO197330 OXK197330 PHG197330 PRC197330 QAY197330 QKU197330 QUQ197330 REM197330 ROI197330 RYE197330 SIA197330 SRW197330 TBS197330 TLO197330 TVK197330 UFG197330 UPC197330 UYY197330 VIU197330 VSQ197330 WCM197330 WMI197330 WWE197330 W262866 JS262866 TO262866 ADK262866 ANG262866 AXC262866 BGY262866 BQU262866 CAQ262866 CKM262866 CUI262866 DEE262866 DOA262866 DXW262866 EHS262866 ERO262866 FBK262866 FLG262866 FVC262866 GEY262866 GOU262866 GYQ262866 HIM262866 HSI262866 ICE262866 IMA262866 IVW262866 JFS262866 JPO262866 JZK262866 KJG262866 KTC262866 LCY262866 LMU262866 LWQ262866 MGM262866 MQI262866 NAE262866 NKA262866 NTW262866 ODS262866 ONO262866 OXK262866 PHG262866 PRC262866 QAY262866 QKU262866 QUQ262866 REM262866 ROI262866 RYE262866 SIA262866 SRW262866 TBS262866 TLO262866 TVK262866 UFG262866 UPC262866 UYY262866 VIU262866 VSQ262866 WCM262866 WMI262866 WWE262866 W328402 JS328402 TO328402 ADK328402 ANG328402 AXC328402 BGY328402 BQU328402 CAQ328402 CKM328402 CUI328402 DEE328402 DOA328402 DXW328402 EHS328402 ERO328402 FBK328402 FLG328402 FVC328402 GEY328402 GOU328402 GYQ328402 HIM328402 HSI328402 ICE328402 IMA328402 IVW328402 JFS328402 JPO328402 JZK328402 KJG328402 KTC328402 LCY328402 LMU328402 LWQ328402 MGM328402 MQI328402 NAE328402 NKA328402 NTW328402 ODS328402 ONO328402 OXK328402 PHG328402 PRC328402 QAY328402 QKU328402 QUQ328402 REM328402 ROI328402 RYE328402 SIA328402 SRW328402 TBS328402 TLO328402 TVK328402 UFG328402 UPC328402 UYY328402 VIU328402 VSQ328402 WCM328402 WMI328402 WWE328402 W393938 JS393938 TO393938 ADK393938 ANG393938 AXC393938 BGY393938 BQU393938 CAQ393938 CKM393938 CUI393938 DEE393938 DOA393938 DXW393938 EHS393938 ERO393938 FBK393938 FLG393938 FVC393938 GEY393938 GOU393938 GYQ393938 HIM393938 HSI393938 ICE393938 IMA393938 IVW393938 JFS393938 JPO393938 JZK393938 KJG393938 KTC393938 LCY393938 LMU393938 LWQ393938 MGM393938 MQI393938 NAE393938 NKA393938 NTW393938 ODS393938 ONO393938 OXK393938 PHG393938 PRC393938 QAY393938 QKU393938 QUQ393938 REM393938 ROI393938 RYE393938 SIA393938 SRW393938 TBS393938 TLO393938 TVK393938 UFG393938 UPC393938 UYY393938 VIU393938 VSQ393938 WCM393938 WMI393938 WWE393938 W459474 JS459474 TO459474 ADK459474 ANG459474 AXC459474 BGY459474 BQU459474 CAQ459474 CKM459474 CUI459474 DEE459474 DOA459474 DXW459474 EHS459474 ERO459474 FBK459474 FLG459474 FVC459474 GEY459474 GOU459474 GYQ459474 HIM459474 HSI459474 ICE459474 IMA459474 IVW459474 JFS459474 JPO459474 JZK459474 KJG459474 KTC459474 LCY459474 LMU459474 LWQ459474 MGM459474 MQI459474 NAE459474 NKA459474 NTW459474 ODS459474 ONO459474 OXK459474 PHG459474 PRC459474 QAY459474 QKU459474 QUQ459474 REM459474 ROI459474 RYE459474 SIA459474 SRW459474 TBS459474 TLO459474 TVK459474 UFG459474 UPC459474 UYY459474 VIU459474 VSQ459474 WCM459474 WMI459474 WWE459474 W525010 JS525010 TO525010 ADK525010 ANG525010 AXC525010 BGY525010 BQU525010 CAQ525010 CKM525010 CUI525010 DEE525010 DOA525010 DXW525010 EHS525010 ERO525010 FBK525010 FLG525010 FVC525010 GEY525010 GOU525010 GYQ525010 HIM525010 HSI525010 ICE525010 IMA525010 IVW525010 JFS525010 JPO525010 JZK525010 KJG525010 KTC525010 LCY525010 LMU525010 LWQ525010 MGM525010 MQI525010 NAE525010 NKA525010 NTW525010 ODS525010 ONO525010 OXK525010 PHG525010 PRC525010 QAY525010 QKU525010 QUQ525010 REM525010 ROI525010 RYE525010 SIA525010 SRW525010 TBS525010 TLO525010 TVK525010 UFG525010 UPC525010 UYY525010 VIU525010 VSQ525010 WCM525010 WMI525010 WWE525010 W590546 JS590546 TO590546 ADK590546 ANG590546 AXC590546 BGY590546 BQU590546 CAQ590546 CKM590546 CUI590546 DEE590546 DOA590546 DXW590546 EHS590546 ERO590546 FBK590546 FLG590546 FVC590546 GEY590546 GOU590546 GYQ590546 HIM590546 HSI590546 ICE590546 IMA590546 IVW590546 JFS590546 JPO590546 JZK590546 KJG590546 KTC590546 LCY590546 LMU590546 LWQ590546 MGM590546 MQI590546 NAE590546 NKA590546 NTW590546 ODS590546 ONO590546 OXK590546 PHG590546 PRC590546 QAY590546 QKU590546 QUQ590546 REM590546 ROI590546 RYE590546 SIA590546 SRW590546 TBS590546 TLO590546 TVK590546 UFG590546 UPC590546 UYY590546 VIU590546 VSQ590546 WCM590546 WMI590546 WWE590546 W656082 JS656082 TO656082 ADK656082 ANG656082 AXC656082 BGY656082 BQU656082 CAQ656082 CKM656082 CUI656082 DEE656082 DOA656082 DXW656082 EHS656082 ERO656082 FBK656082 FLG656082 FVC656082 GEY656082 GOU656082 GYQ656082 HIM656082 HSI656082 ICE656082 IMA656082 IVW656082 JFS656082 JPO656082 JZK656082 KJG656082 KTC656082 LCY656082 LMU656082 LWQ656082 MGM656082 MQI656082 NAE656082 NKA656082 NTW656082 ODS656082 ONO656082 OXK656082 PHG656082 PRC656082 QAY656082 QKU656082 QUQ656082 REM656082 ROI656082 RYE656082 SIA656082 SRW656082 TBS656082 TLO656082 TVK656082 UFG656082 UPC656082 UYY656082 VIU656082 VSQ656082 WCM656082 WMI656082 WWE656082 W721618 JS721618 TO721618 ADK721618 ANG721618 AXC721618 BGY721618 BQU721618 CAQ721618 CKM721618 CUI721618 DEE721618 DOA721618 DXW721618 EHS721618 ERO721618 FBK721618 FLG721618 FVC721618 GEY721618 GOU721618 GYQ721618 HIM721618 HSI721618 ICE721618 IMA721618 IVW721618 JFS721618 JPO721618 JZK721618 KJG721618 KTC721618 LCY721618 LMU721618 LWQ721618 MGM721618 MQI721618 NAE721618 NKA721618 NTW721618 ODS721618 ONO721618 OXK721618 PHG721618 PRC721618 QAY721618 QKU721618 QUQ721618 REM721618 ROI721618 RYE721618 SIA721618 SRW721618 TBS721618 TLO721618 TVK721618 UFG721618 UPC721618 UYY721618 VIU721618 VSQ721618 WCM721618 WMI721618 WWE721618 W787154 JS787154 TO787154 ADK787154 ANG787154 AXC787154 BGY787154 BQU787154 CAQ787154 CKM787154 CUI787154 DEE787154 DOA787154 DXW787154 EHS787154 ERO787154 FBK787154 FLG787154 FVC787154 GEY787154 GOU787154 GYQ787154 HIM787154 HSI787154 ICE787154 IMA787154 IVW787154 JFS787154 JPO787154 JZK787154 KJG787154 KTC787154 LCY787154 LMU787154 LWQ787154 MGM787154 MQI787154 NAE787154 NKA787154 NTW787154 ODS787154 ONO787154 OXK787154 PHG787154 PRC787154 QAY787154 QKU787154 QUQ787154 REM787154 ROI787154 RYE787154 SIA787154 SRW787154 TBS787154 TLO787154 TVK787154 UFG787154 UPC787154 UYY787154 VIU787154 VSQ787154 WCM787154 WMI787154 WWE787154 W852690 JS852690 TO852690 ADK852690 ANG852690 AXC852690 BGY852690 BQU852690 CAQ852690 CKM852690 CUI852690 DEE852690 DOA852690 DXW852690 EHS852690 ERO852690 FBK852690 FLG852690 FVC852690 GEY852690 GOU852690 GYQ852690 HIM852690 HSI852690 ICE852690 IMA852690 IVW852690 JFS852690 JPO852690 JZK852690 KJG852690 KTC852690 LCY852690 LMU852690 LWQ852690 MGM852690 MQI852690 NAE852690 NKA852690 NTW852690 ODS852690 ONO852690 OXK852690 PHG852690 PRC852690 QAY852690 QKU852690 QUQ852690 REM852690 ROI852690 RYE852690 SIA852690 SRW852690 TBS852690 TLO852690 TVK852690 UFG852690 UPC852690 UYY852690 VIU852690 VSQ852690 WCM852690 WMI852690 WWE852690 W918226 JS918226 TO918226 ADK918226 ANG918226 AXC918226 BGY918226 BQU918226 CAQ918226 CKM918226 CUI918226 DEE918226 DOA918226 DXW918226 EHS918226 ERO918226 FBK918226 FLG918226 FVC918226 GEY918226 GOU918226 GYQ918226 HIM918226 HSI918226 ICE918226 IMA918226 IVW918226 JFS918226 JPO918226 JZK918226 KJG918226 KTC918226 LCY918226 LMU918226 LWQ918226 MGM918226 MQI918226 NAE918226 NKA918226 NTW918226 ODS918226 ONO918226 OXK918226 PHG918226 PRC918226 QAY918226 QKU918226 QUQ918226 REM918226 ROI918226 RYE918226 SIA918226 SRW918226 TBS918226 TLO918226 TVK918226 UFG918226 UPC918226 UYY918226 VIU918226 VSQ918226 WCM918226 WMI918226 WWE918226 W983762 JS983762 TO983762 ADK983762 ANG983762 AXC983762 BGY983762 BQU983762 CAQ983762 CKM983762 CUI983762 DEE983762 DOA983762 DXW983762 EHS983762 ERO983762 FBK983762 FLG983762 FVC983762 GEY983762 GOU983762 GYQ983762 HIM983762 HSI983762 ICE983762 IMA983762 IVW983762 JFS983762 JPO983762 JZK983762 KJG983762 KTC983762 LCY983762 LMU983762 LWQ983762 MGM983762 MQI983762 NAE983762 NKA983762 NTW983762 ODS983762 ONO983762 OXK983762 PHG983762 PRC983762 QAY983762 QKU983762 QUQ983762 REM983762 ROI983762 RYE983762 SIA983762 SRW983762 TBS983762 TLO983762 TVK983762 UFG983762 UPC983762 UYY983762 VIU983762 VSQ983762 WCM983762 WMI983762 WWE983762" xr:uid="{8FEA6112-82D3-4F11-8D8B-902424B23369}">
      <formula1>$AC$717:$AC$718</formula1>
    </dataValidation>
    <dataValidation type="list" allowBlank="1" showInputMessage="1" showErrorMessage="1" sqref="W724:W731 JS724:JS731 TO724:TO731 ADK724:ADK731 ANG724:ANG731 AXC724:AXC731 BGY724:BGY731 BQU724:BQU731 CAQ724:CAQ731 CKM724:CKM731 CUI724:CUI731 DEE724:DEE731 DOA724:DOA731 DXW724:DXW731 EHS724:EHS731 ERO724:ERO731 FBK724:FBK731 FLG724:FLG731 FVC724:FVC731 GEY724:GEY731 GOU724:GOU731 GYQ724:GYQ731 HIM724:HIM731 HSI724:HSI731 ICE724:ICE731 IMA724:IMA731 IVW724:IVW731 JFS724:JFS731 JPO724:JPO731 JZK724:JZK731 KJG724:KJG731 KTC724:KTC731 LCY724:LCY731 LMU724:LMU731 LWQ724:LWQ731 MGM724:MGM731 MQI724:MQI731 NAE724:NAE731 NKA724:NKA731 NTW724:NTW731 ODS724:ODS731 ONO724:ONO731 OXK724:OXK731 PHG724:PHG731 PRC724:PRC731 QAY724:QAY731 QKU724:QKU731 QUQ724:QUQ731 REM724:REM731 ROI724:ROI731 RYE724:RYE731 SIA724:SIA731 SRW724:SRW731 TBS724:TBS731 TLO724:TLO731 TVK724:TVK731 UFG724:UFG731 UPC724:UPC731 UYY724:UYY731 VIU724:VIU731 VSQ724:VSQ731 WCM724:WCM731 WMI724:WMI731 WWE724:WWE731 W66260:W66267 JS66260:JS66267 TO66260:TO66267 ADK66260:ADK66267 ANG66260:ANG66267 AXC66260:AXC66267 BGY66260:BGY66267 BQU66260:BQU66267 CAQ66260:CAQ66267 CKM66260:CKM66267 CUI66260:CUI66267 DEE66260:DEE66267 DOA66260:DOA66267 DXW66260:DXW66267 EHS66260:EHS66267 ERO66260:ERO66267 FBK66260:FBK66267 FLG66260:FLG66267 FVC66260:FVC66267 GEY66260:GEY66267 GOU66260:GOU66267 GYQ66260:GYQ66267 HIM66260:HIM66267 HSI66260:HSI66267 ICE66260:ICE66267 IMA66260:IMA66267 IVW66260:IVW66267 JFS66260:JFS66267 JPO66260:JPO66267 JZK66260:JZK66267 KJG66260:KJG66267 KTC66260:KTC66267 LCY66260:LCY66267 LMU66260:LMU66267 LWQ66260:LWQ66267 MGM66260:MGM66267 MQI66260:MQI66267 NAE66260:NAE66267 NKA66260:NKA66267 NTW66260:NTW66267 ODS66260:ODS66267 ONO66260:ONO66267 OXK66260:OXK66267 PHG66260:PHG66267 PRC66260:PRC66267 QAY66260:QAY66267 QKU66260:QKU66267 QUQ66260:QUQ66267 REM66260:REM66267 ROI66260:ROI66267 RYE66260:RYE66267 SIA66260:SIA66267 SRW66260:SRW66267 TBS66260:TBS66267 TLO66260:TLO66267 TVK66260:TVK66267 UFG66260:UFG66267 UPC66260:UPC66267 UYY66260:UYY66267 VIU66260:VIU66267 VSQ66260:VSQ66267 WCM66260:WCM66267 WMI66260:WMI66267 WWE66260:WWE66267 W131796:W131803 JS131796:JS131803 TO131796:TO131803 ADK131796:ADK131803 ANG131796:ANG131803 AXC131796:AXC131803 BGY131796:BGY131803 BQU131796:BQU131803 CAQ131796:CAQ131803 CKM131796:CKM131803 CUI131796:CUI131803 DEE131796:DEE131803 DOA131796:DOA131803 DXW131796:DXW131803 EHS131796:EHS131803 ERO131796:ERO131803 FBK131796:FBK131803 FLG131796:FLG131803 FVC131796:FVC131803 GEY131796:GEY131803 GOU131796:GOU131803 GYQ131796:GYQ131803 HIM131796:HIM131803 HSI131796:HSI131803 ICE131796:ICE131803 IMA131796:IMA131803 IVW131796:IVW131803 JFS131796:JFS131803 JPO131796:JPO131803 JZK131796:JZK131803 KJG131796:KJG131803 KTC131796:KTC131803 LCY131796:LCY131803 LMU131796:LMU131803 LWQ131796:LWQ131803 MGM131796:MGM131803 MQI131796:MQI131803 NAE131796:NAE131803 NKA131796:NKA131803 NTW131796:NTW131803 ODS131796:ODS131803 ONO131796:ONO131803 OXK131796:OXK131803 PHG131796:PHG131803 PRC131796:PRC131803 QAY131796:QAY131803 QKU131796:QKU131803 QUQ131796:QUQ131803 REM131796:REM131803 ROI131796:ROI131803 RYE131796:RYE131803 SIA131796:SIA131803 SRW131796:SRW131803 TBS131796:TBS131803 TLO131796:TLO131803 TVK131796:TVK131803 UFG131796:UFG131803 UPC131796:UPC131803 UYY131796:UYY131803 VIU131796:VIU131803 VSQ131796:VSQ131803 WCM131796:WCM131803 WMI131796:WMI131803 WWE131796:WWE131803 W197332:W197339 JS197332:JS197339 TO197332:TO197339 ADK197332:ADK197339 ANG197332:ANG197339 AXC197332:AXC197339 BGY197332:BGY197339 BQU197332:BQU197339 CAQ197332:CAQ197339 CKM197332:CKM197339 CUI197332:CUI197339 DEE197332:DEE197339 DOA197332:DOA197339 DXW197332:DXW197339 EHS197332:EHS197339 ERO197332:ERO197339 FBK197332:FBK197339 FLG197332:FLG197339 FVC197332:FVC197339 GEY197332:GEY197339 GOU197332:GOU197339 GYQ197332:GYQ197339 HIM197332:HIM197339 HSI197332:HSI197339 ICE197332:ICE197339 IMA197332:IMA197339 IVW197332:IVW197339 JFS197332:JFS197339 JPO197332:JPO197339 JZK197332:JZK197339 KJG197332:KJG197339 KTC197332:KTC197339 LCY197332:LCY197339 LMU197332:LMU197339 LWQ197332:LWQ197339 MGM197332:MGM197339 MQI197332:MQI197339 NAE197332:NAE197339 NKA197332:NKA197339 NTW197332:NTW197339 ODS197332:ODS197339 ONO197332:ONO197339 OXK197332:OXK197339 PHG197332:PHG197339 PRC197332:PRC197339 QAY197332:QAY197339 QKU197332:QKU197339 QUQ197332:QUQ197339 REM197332:REM197339 ROI197332:ROI197339 RYE197332:RYE197339 SIA197332:SIA197339 SRW197332:SRW197339 TBS197332:TBS197339 TLO197332:TLO197339 TVK197332:TVK197339 UFG197332:UFG197339 UPC197332:UPC197339 UYY197332:UYY197339 VIU197332:VIU197339 VSQ197332:VSQ197339 WCM197332:WCM197339 WMI197332:WMI197339 WWE197332:WWE197339 W262868:W262875 JS262868:JS262875 TO262868:TO262875 ADK262868:ADK262875 ANG262868:ANG262875 AXC262868:AXC262875 BGY262868:BGY262875 BQU262868:BQU262875 CAQ262868:CAQ262875 CKM262868:CKM262875 CUI262868:CUI262875 DEE262868:DEE262875 DOA262868:DOA262875 DXW262868:DXW262875 EHS262868:EHS262875 ERO262868:ERO262875 FBK262868:FBK262875 FLG262868:FLG262875 FVC262868:FVC262875 GEY262868:GEY262875 GOU262868:GOU262875 GYQ262868:GYQ262875 HIM262868:HIM262875 HSI262868:HSI262875 ICE262868:ICE262875 IMA262868:IMA262875 IVW262868:IVW262875 JFS262868:JFS262875 JPO262868:JPO262875 JZK262868:JZK262875 KJG262868:KJG262875 KTC262868:KTC262875 LCY262868:LCY262875 LMU262868:LMU262875 LWQ262868:LWQ262875 MGM262868:MGM262875 MQI262868:MQI262875 NAE262868:NAE262875 NKA262868:NKA262875 NTW262868:NTW262875 ODS262868:ODS262875 ONO262868:ONO262875 OXK262868:OXK262875 PHG262868:PHG262875 PRC262868:PRC262875 QAY262868:QAY262875 QKU262868:QKU262875 QUQ262868:QUQ262875 REM262868:REM262875 ROI262868:ROI262875 RYE262868:RYE262875 SIA262868:SIA262875 SRW262868:SRW262875 TBS262868:TBS262875 TLO262868:TLO262875 TVK262868:TVK262875 UFG262868:UFG262875 UPC262868:UPC262875 UYY262868:UYY262875 VIU262868:VIU262875 VSQ262868:VSQ262875 WCM262868:WCM262875 WMI262868:WMI262875 WWE262868:WWE262875 W328404:W328411 JS328404:JS328411 TO328404:TO328411 ADK328404:ADK328411 ANG328404:ANG328411 AXC328404:AXC328411 BGY328404:BGY328411 BQU328404:BQU328411 CAQ328404:CAQ328411 CKM328404:CKM328411 CUI328404:CUI328411 DEE328404:DEE328411 DOA328404:DOA328411 DXW328404:DXW328411 EHS328404:EHS328411 ERO328404:ERO328411 FBK328404:FBK328411 FLG328404:FLG328411 FVC328404:FVC328411 GEY328404:GEY328411 GOU328404:GOU328411 GYQ328404:GYQ328411 HIM328404:HIM328411 HSI328404:HSI328411 ICE328404:ICE328411 IMA328404:IMA328411 IVW328404:IVW328411 JFS328404:JFS328411 JPO328404:JPO328411 JZK328404:JZK328411 KJG328404:KJG328411 KTC328404:KTC328411 LCY328404:LCY328411 LMU328404:LMU328411 LWQ328404:LWQ328411 MGM328404:MGM328411 MQI328404:MQI328411 NAE328404:NAE328411 NKA328404:NKA328411 NTW328404:NTW328411 ODS328404:ODS328411 ONO328404:ONO328411 OXK328404:OXK328411 PHG328404:PHG328411 PRC328404:PRC328411 QAY328404:QAY328411 QKU328404:QKU328411 QUQ328404:QUQ328411 REM328404:REM328411 ROI328404:ROI328411 RYE328404:RYE328411 SIA328404:SIA328411 SRW328404:SRW328411 TBS328404:TBS328411 TLO328404:TLO328411 TVK328404:TVK328411 UFG328404:UFG328411 UPC328404:UPC328411 UYY328404:UYY328411 VIU328404:VIU328411 VSQ328404:VSQ328411 WCM328404:WCM328411 WMI328404:WMI328411 WWE328404:WWE328411 W393940:W393947 JS393940:JS393947 TO393940:TO393947 ADK393940:ADK393947 ANG393940:ANG393947 AXC393940:AXC393947 BGY393940:BGY393947 BQU393940:BQU393947 CAQ393940:CAQ393947 CKM393940:CKM393947 CUI393940:CUI393947 DEE393940:DEE393947 DOA393940:DOA393947 DXW393940:DXW393947 EHS393940:EHS393947 ERO393940:ERO393947 FBK393940:FBK393947 FLG393940:FLG393947 FVC393940:FVC393947 GEY393940:GEY393947 GOU393940:GOU393947 GYQ393940:GYQ393947 HIM393940:HIM393947 HSI393940:HSI393947 ICE393940:ICE393947 IMA393940:IMA393947 IVW393940:IVW393947 JFS393940:JFS393947 JPO393940:JPO393947 JZK393940:JZK393947 KJG393940:KJG393947 KTC393940:KTC393947 LCY393940:LCY393947 LMU393940:LMU393947 LWQ393940:LWQ393947 MGM393940:MGM393947 MQI393940:MQI393947 NAE393940:NAE393947 NKA393940:NKA393947 NTW393940:NTW393947 ODS393940:ODS393947 ONO393940:ONO393947 OXK393940:OXK393947 PHG393940:PHG393947 PRC393940:PRC393947 QAY393940:QAY393947 QKU393940:QKU393947 QUQ393940:QUQ393947 REM393940:REM393947 ROI393940:ROI393947 RYE393940:RYE393947 SIA393940:SIA393947 SRW393940:SRW393947 TBS393940:TBS393947 TLO393940:TLO393947 TVK393940:TVK393947 UFG393940:UFG393947 UPC393940:UPC393947 UYY393940:UYY393947 VIU393940:VIU393947 VSQ393940:VSQ393947 WCM393940:WCM393947 WMI393940:WMI393947 WWE393940:WWE393947 W459476:W459483 JS459476:JS459483 TO459476:TO459483 ADK459476:ADK459483 ANG459476:ANG459483 AXC459476:AXC459483 BGY459476:BGY459483 BQU459476:BQU459483 CAQ459476:CAQ459483 CKM459476:CKM459483 CUI459476:CUI459483 DEE459476:DEE459483 DOA459476:DOA459483 DXW459476:DXW459483 EHS459476:EHS459483 ERO459476:ERO459483 FBK459476:FBK459483 FLG459476:FLG459483 FVC459476:FVC459483 GEY459476:GEY459483 GOU459476:GOU459483 GYQ459476:GYQ459483 HIM459476:HIM459483 HSI459476:HSI459483 ICE459476:ICE459483 IMA459476:IMA459483 IVW459476:IVW459483 JFS459476:JFS459483 JPO459476:JPO459483 JZK459476:JZK459483 KJG459476:KJG459483 KTC459476:KTC459483 LCY459476:LCY459483 LMU459476:LMU459483 LWQ459476:LWQ459483 MGM459476:MGM459483 MQI459476:MQI459483 NAE459476:NAE459483 NKA459476:NKA459483 NTW459476:NTW459483 ODS459476:ODS459483 ONO459476:ONO459483 OXK459476:OXK459483 PHG459476:PHG459483 PRC459476:PRC459483 QAY459476:QAY459483 QKU459476:QKU459483 QUQ459476:QUQ459483 REM459476:REM459483 ROI459476:ROI459483 RYE459476:RYE459483 SIA459476:SIA459483 SRW459476:SRW459483 TBS459476:TBS459483 TLO459476:TLO459483 TVK459476:TVK459483 UFG459476:UFG459483 UPC459476:UPC459483 UYY459476:UYY459483 VIU459476:VIU459483 VSQ459476:VSQ459483 WCM459476:WCM459483 WMI459476:WMI459483 WWE459476:WWE459483 W525012:W525019 JS525012:JS525019 TO525012:TO525019 ADK525012:ADK525019 ANG525012:ANG525019 AXC525012:AXC525019 BGY525012:BGY525019 BQU525012:BQU525019 CAQ525012:CAQ525019 CKM525012:CKM525019 CUI525012:CUI525019 DEE525012:DEE525019 DOA525012:DOA525019 DXW525012:DXW525019 EHS525012:EHS525019 ERO525012:ERO525019 FBK525012:FBK525019 FLG525012:FLG525019 FVC525012:FVC525019 GEY525012:GEY525019 GOU525012:GOU525019 GYQ525012:GYQ525019 HIM525012:HIM525019 HSI525012:HSI525019 ICE525012:ICE525019 IMA525012:IMA525019 IVW525012:IVW525019 JFS525012:JFS525019 JPO525012:JPO525019 JZK525012:JZK525019 KJG525012:KJG525019 KTC525012:KTC525019 LCY525012:LCY525019 LMU525012:LMU525019 LWQ525012:LWQ525019 MGM525012:MGM525019 MQI525012:MQI525019 NAE525012:NAE525019 NKA525012:NKA525019 NTW525012:NTW525019 ODS525012:ODS525019 ONO525012:ONO525019 OXK525012:OXK525019 PHG525012:PHG525019 PRC525012:PRC525019 QAY525012:QAY525019 QKU525012:QKU525019 QUQ525012:QUQ525019 REM525012:REM525019 ROI525012:ROI525019 RYE525012:RYE525019 SIA525012:SIA525019 SRW525012:SRW525019 TBS525012:TBS525019 TLO525012:TLO525019 TVK525012:TVK525019 UFG525012:UFG525019 UPC525012:UPC525019 UYY525012:UYY525019 VIU525012:VIU525019 VSQ525012:VSQ525019 WCM525012:WCM525019 WMI525012:WMI525019 WWE525012:WWE525019 W590548:W590555 JS590548:JS590555 TO590548:TO590555 ADK590548:ADK590555 ANG590548:ANG590555 AXC590548:AXC590555 BGY590548:BGY590555 BQU590548:BQU590555 CAQ590548:CAQ590555 CKM590548:CKM590555 CUI590548:CUI590555 DEE590548:DEE590555 DOA590548:DOA590555 DXW590548:DXW590555 EHS590548:EHS590555 ERO590548:ERO590555 FBK590548:FBK590555 FLG590548:FLG590555 FVC590548:FVC590555 GEY590548:GEY590555 GOU590548:GOU590555 GYQ590548:GYQ590555 HIM590548:HIM590555 HSI590548:HSI590555 ICE590548:ICE590555 IMA590548:IMA590555 IVW590548:IVW590555 JFS590548:JFS590555 JPO590548:JPO590555 JZK590548:JZK590555 KJG590548:KJG590555 KTC590548:KTC590555 LCY590548:LCY590555 LMU590548:LMU590555 LWQ590548:LWQ590555 MGM590548:MGM590555 MQI590548:MQI590555 NAE590548:NAE590555 NKA590548:NKA590555 NTW590548:NTW590555 ODS590548:ODS590555 ONO590548:ONO590555 OXK590548:OXK590555 PHG590548:PHG590555 PRC590548:PRC590555 QAY590548:QAY590555 QKU590548:QKU590555 QUQ590548:QUQ590555 REM590548:REM590555 ROI590548:ROI590555 RYE590548:RYE590555 SIA590548:SIA590555 SRW590548:SRW590555 TBS590548:TBS590555 TLO590548:TLO590555 TVK590548:TVK590555 UFG590548:UFG590555 UPC590548:UPC590555 UYY590548:UYY590555 VIU590548:VIU590555 VSQ590548:VSQ590555 WCM590548:WCM590555 WMI590548:WMI590555 WWE590548:WWE590555 W656084:W656091 JS656084:JS656091 TO656084:TO656091 ADK656084:ADK656091 ANG656084:ANG656091 AXC656084:AXC656091 BGY656084:BGY656091 BQU656084:BQU656091 CAQ656084:CAQ656091 CKM656084:CKM656091 CUI656084:CUI656091 DEE656084:DEE656091 DOA656084:DOA656091 DXW656084:DXW656091 EHS656084:EHS656091 ERO656084:ERO656091 FBK656084:FBK656091 FLG656084:FLG656091 FVC656084:FVC656091 GEY656084:GEY656091 GOU656084:GOU656091 GYQ656084:GYQ656091 HIM656084:HIM656091 HSI656084:HSI656091 ICE656084:ICE656091 IMA656084:IMA656091 IVW656084:IVW656091 JFS656084:JFS656091 JPO656084:JPO656091 JZK656084:JZK656091 KJG656084:KJG656091 KTC656084:KTC656091 LCY656084:LCY656091 LMU656084:LMU656091 LWQ656084:LWQ656091 MGM656084:MGM656091 MQI656084:MQI656091 NAE656084:NAE656091 NKA656084:NKA656091 NTW656084:NTW656091 ODS656084:ODS656091 ONO656084:ONO656091 OXK656084:OXK656091 PHG656084:PHG656091 PRC656084:PRC656091 QAY656084:QAY656091 QKU656084:QKU656091 QUQ656084:QUQ656091 REM656084:REM656091 ROI656084:ROI656091 RYE656084:RYE656091 SIA656084:SIA656091 SRW656084:SRW656091 TBS656084:TBS656091 TLO656084:TLO656091 TVK656084:TVK656091 UFG656084:UFG656091 UPC656084:UPC656091 UYY656084:UYY656091 VIU656084:VIU656091 VSQ656084:VSQ656091 WCM656084:WCM656091 WMI656084:WMI656091 WWE656084:WWE656091 W721620:W721627 JS721620:JS721627 TO721620:TO721627 ADK721620:ADK721627 ANG721620:ANG721627 AXC721620:AXC721627 BGY721620:BGY721627 BQU721620:BQU721627 CAQ721620:CAQ721627 CKM721620:CKM721627 CUI721620:CUI721627 DEE721620:DEE721627 DOA721620:DOA721627 DXW721620:DXW721627 EHS721620:EHS721627 ERO721620:ERO721627 FBK721620:FBK721627 FLG721620:FLG721627 FVC721620:FVC721627 GEY721620:GEY721627 GOU721620:GOU721627 GYQ721620:GYQ721627 HIM721620:HIM721627 HSI721620:HSI721627 ICE721620:ICE721627 IMA721620:IMA721627 IVW721620:IVW721627 JFS721620:JFS721627 JPO721620:JPO721627 JZK721620:JZK721627 KJG721620:KJG721627 KTC721620:KTC721627 LCY721620:LCY721627 LMU721620:LMU721627 LWQ721620:LWQ721627 MGM721620:MGM721627 MQI721620:MQI721627 NAE721620:NAE721627 NKA721620:NKA721627 NTW721620:NTW721627 ODS721620:ODS721627 ONO721620:ONO721627 OXK721620:OXK721627 PHG721620:PHG721627 PRC721620:PRC721627 QAY721620:QAY721627 QKU721620:QKU721627 QUQ721620:QUQ721627 REM721620:REM721627 ROI721620:ROI721627 RYE721620:RYE721627 SIA721620:SIA721627 SRW721620:SRW721627 TBS721620:TBS721627 TLO721620:TLO721627 TVK721620:TVK721627 UFG721620:UFG721627 UPC721620:UPC721627 UYY721620:UYY721627 VIU721620:VIU721627 VSQ721620:VSQ721627 WCM721620:WCM721627 WMI721620:WMI721627 WWE721620:WWE721627 W787156:W787163 JS787156:JS787163 TO787156:TO787163 ADK787156:ADK787163 ANG787156:ANG787163 AXC787156:AXC787163 BGY787156:BGY787163 BQU787156:BQU787163 CAQ787156:CAQ787163 CKM787156:CKM787163 CUI787156:CUI787163 DEE787156:DEE787163 DOA787156:DOA787163 DXW787156:DXW787163 EHS787156:EHS787163 ERO787156:ERO787163 FBK787156:FBK787163 FLG787156:FLG787163 FVC787156:FVC787163 GEY787156:GEY787163 GOU787156:GOU787163 GYQ787156:GYQ787163 HIM787156:HIM787163 HSI787156:HSI787163 ICE787156:ICE787163 IMA787156:IMA787163 IVW787156:IVW787163 JFS787156:JFS787163 JPO787156:JPO787163 JZK787156:JZK787163 KJG787156:KJG787163 KTC787156:KTC787163 LCY787156:LCY787163 LMU787156:LMU787163 LWQ787156:LWQ787163 MGM787156:MGM787163 MQI787156:MQI787163 NAE787156:NAE787163 NKA787156:NKA787163 NTW787156:NTW787163 ODS787156:ODS787163 ONO787156:ONO787163 OXK787156:OXK787163 PHG787156:PHG787163 PRC787156:PRC787163 QAY787156:QAY787163 QKU787156:QKU787163 QUQ787156:QUQ787163 REM787156:REM787163 ROI787156:ROI787163 RYE787156:RYE787163 SIA787156:SIA787163 SRW787156:SRW787163 TBS787156:TBS787163 TLO787156:TLO787163 TVK787156:TVK787163 UFG787156:UFG787163 UPC787156:UPC787163 UYY787156:UYY787163 VIU787156:VIU787163 VSQ787156:VSQ787163 WCM787156:WCM787163 WMI787156:WMI787163 WWE787156:WWE787163 W852692:W852699 JS852692:JS852699 TO852692:TO852699 ADK852692:ADK852699 ANG852692:ANG852699 AXC852692:AXC852699 BGY852692:BGY852699 BQU852692:BQU852699 CAQ852692:CAQ852699 CKM852692:CKM852699 CUI852692:CUI852699 DEE852692:DEE852699 DOA852692:DOA852699 DXW852692:DXW852699 EHS852692:EHS852699 ERO852692:ERO852699 FBK852692:FBK852699 FLG852692:FLG852699 FVC852692:FVC852699 GEY852692:GEY852699 GOU852692:GOU852699 GYQ852692:GYQ852699 HIM852692:HIM852699 HSI852692:HSI852699 ICE852692:ICE852699 IMA852692:IMA852699 IVW852692:IVW852699 JFS852692:JFS852699 JPO852692:JPO852699 JZK852692:JZK852699 KJG852692:KJG852699 KTC852692:KTC852699 LCY852692:LCY852699 LMU852692:LMU852699 LWQ852692:LWQ852699 MGM852692:MGM852699 MQI852692:MQI852699 NAE852692:NAE852699 NKA852692:NKA852699 NTW852692:NTW852699 ODS852692:ODS852699 ONO852692:ONO852699 OXK852692:OXK852699 PHG852692:PHG852699 PRC852692:PRC852699 QAY852692:QAY852699 QKU852692:QKU852699 QUQ852692:QUQ852699 REM852692:REM852699 ROI852692:ROI852699 RYE852692:RYE852699 SIA852692:SIA852699 SRW852692:SRW852699 TBS852692:TBS852699 TLO852692:TLO852699 TVK852692:TVK852699 UFG852692:UFG852699 UPC852692:UPC852699 UYY852692:UYY852699 VIU852692:VIU852699 VSQ852692:VSQ852699 WCM852692:WCM852699 WMI852692:WMI852699 WWE852692:WWE852699 W918228:W918235 JS918228:JS918235 TO918228:TO918235 ADK918228:ADK918235 ANG918228:ANG918235 AXC918228:AXC918235 BGY918228:BGY918235 BQU918228:BQU918235 CAQ918228:CAQ918235 CKM918228:CKM918235 CUI918228:CUI918235 DEE918228:DEE918235 DOA918228:DOA918235 DXW918228:DXW918235 EHS918228:EHS918235 ERO918228:ERO918235 FBK918228:FBK918235 FLG918228:FLG918235 FVC918228:FVC918235 GEY918228:GEY918235 GOU918228:GOU918235 GYQ918228:GYQ918235 HIM918228:HIM918235 HSI918228:HSI918235 ICE918228:ICE918235 IMA918228:IMA918235 IVW918228:IVW918235 JFS918228:JFS918235 JPO918228:JPO918235 JZK918228:JZK918235 KJG918228:KJG918235 KTC918228:KTC918235 LCY918228:LCY918235 LMU918228:LMU918235 LWQ918228:LWQ918235 MGM918228:MGM918235 MQI918228:MQI918235 NAE918228:NAE918235 NKA918228:NKA918235 NTW918228:NTW918235 ODS918228:ODS918235 ONO918228:ONO918235 OXK918228:OXK918235 PHG918228:PHG918235 PRC918228:PRC918235 QAY918228:QAY918235 QKU918228:QKU918235 QUQ918228:QUQ918235 REM918228:REM918235 ROI918228:ROI918235 RYE918228:RYE918235 SIA918228:SIA918235 SRW918228:SRW918235 TBS918228:TBS918235 TLO918228:TLO918235 TVK918228:TVK918235 UFG918228:UFG918235 UPC918228:UPC918235 UYY918228:UYY918235 VIU918228:VIU918235 VSQ918228:VSQ918235 WCM918228:WCM918235 WMI918228:WMI918235 WWE918228:WWE918235 W983764:W983771 JS983764:JS983771 TO983764:TO983771 ADK983764:ADK983771 ANG983764:ANG983771 AXC983764:AXC983771 BGY983764:BGY983771 BQU983764:BQU983771 CAQ983764:CAQ983771 CKM983764:CKM983771 CUI983764:CUI983771 DEE983764:DEE983771 DOA983764:DOA983771 DXW983764:DXW983771 EHS983764:EHS983771 ERO983764:ERO983771 FBK983764:FBK983771 FLG983764:FLG983771 FVC983764:FVC983771 GEY983764:GEY983771 GOU983764:GOU983771 GYQ983764:GYQ983771 HIM983764:HIM983771 HSI983764:HSI983771 ICE983764:ICE983771 IMA983764:IMA983771 IVW983764:IVW983771 JFS983764:JFS983771 JPO983764:JPO983771 JZK983764:JZK983771 KJG983764:KJG983771 KTC983764:KTC983771 LCY983764:LCY983771 LMU983764:LMU983771 LWQ983764:LWQ983771 MGM983764:MGM983771 MQI983764:MQI983771 NAE983764:NAE983771 NKA983764:NKA983771 NTW983764:NTW983771 ODS983764:ODS983771 ONO983764:ONO983771 OXK983764:OXK983771 PHG983764:PHG983771 PRC983764:PRC983771 QAY983764:QAY983771 QKU983764:QKU983771 QUQ983764:QUQ983771 REM983764:REM983771 ROI983764:ROI983771 RYE983764:RYE983771 SIA983764:SIA983771 SRW983764:SRW983771 TBS983764:TBS983771 TLO983764:TLO983771 TVK983764:TVK983771 UFG983764:UFG983771 UPC983764:UPC983771 UYY983764:UYY983771 VIU983764:VIU983771 VSQ983764:VSQ983771 WCM983764:WCM983771 WMI983764:WMI983771 WWE983764:WWE983771" xr:uid="{0D8C53D2-673E-419E-9260-E2B647A6C254}">
      <formula1>$AE$723:$AE$723</formula1>
    </dataValidation>
    <dataValidation type="list" allowBlank="1" showInputMessage="1" showErrorMessage="1" sqref="W733 JS733 TO733 ADK733 ANG733 AXC733 BGY733 BQU733 CAQ733 CKM733 CUI733 DEE733 DOA733 DXW733 EHS733 ERO733 FBK733 FLG733 FVC733 GEY733 GOU733 GYQ733 HIM733 HSI733 ICE733 IMA733 IVW733 JFS733 JPO733 JZK733 KJG733 KTC733 LCY733 LMU733 LWQ733 MGM733 MQI733 NAE733 NKA733 NTW733 ODS733 ONO733 OXK733 PHG733 PRC733 QAY733 QKU733 QUQ733 REM733 ROI733 RYE733 SIA733 SRW733 TBS733 TLO733 TVK733 UFG733 UPC733 UYY733 VIU733 VSQ733 WCM733 WMI733 WWE733 W66269 JS66269 TO66269 ADK66269 ANG66269 AXC66269 BGY66269 BQU66269 CAQ66269 CKM66269 CUI66269 DEE66269 DOA66269 DXW66269 EHS66269 ERO66269 FBK66269 FLG66269 FVC66269 GEY66269 GOU66269 GYQ66269 HIM66269 HSI66269 ICE66269 IMA66269 IVW66269 JFS66269 JPO66269 JZK66269 KJG66269 KTC66269 LCY66269 LMU66269 LWQ66269 MGM66269 MQI66269 NAE66269 NKA66269 NTW66269 ODS66269 ONO66269 OXK66269 PHG66269 PRC66269 QAY66269 QKU66269 QUQ66269 REM66269 ROI66269 RYE66269 SIA66269 SRW66269 TBS66269 TLO66269 TVK66269 UFG66269 UPC66269 UYY66269 VIU66269 VSQ66269 WCM66269 WMI66269 WWE66269 W131805 JS131805 TO131805 ADK131805 ANG131805 AXC131805 BGY131805 BQU131805 CAQ131805 CKM131805 CUI131805 DEE131805 DOA131805 DXW131805 EHS131805 ERO131805 FBK131805 FLG131805 FVC131805 GEY131805 GOU131805 GYQ131805 HIM131805 HSI131805 ICE131805 IMA131805 IVW131805 JFS131805 JPO131805 JZK131805 KJG131805 KTC131805 LCY131805 LMU131805 LWQ131805 MGM131805 MQI131805 NAE131805 NKA131805 NTW131805 ODS131805 ONO131805 OXK131805 PHG131805 PRC131805 QAY131805 QKU131805 QUQ131805 REM131805 ROI131805 RYE131805 SIA131805 SRW131805 TBS131805 TLO131805 TVK131805 UFG131805 UPC131805 UYY131805 VIU131805 VSQ131805 WCM131805 WMI131805 WWE131805 W197341 JS197341 TO197341 ADK197341 ANG197341 AXC197341 BGY197341 BQU197341 CAQ197341 CKM197341 CUI197341 DEE197341 DOA197341 DXW197341 EHS197341 ERO197341 FBK197341 FLG197341 FVC197341 GEY197341 GOU197341 GYQ197341 HIM197341 HSI197341 ICE197341 IMA197341 IVW197341 JFS197341 JPO197341 JZK197341 KJG197341 KTC197341 LCY197341 LMU197341 LWQ197341 MGM197341 MQI197341 NAE197341 NKA197341 NTW197341 ODS197341 ONO197341 OXK197341 PHG197341 PRC197341 QAY197341 QKU197341 QUQ197341 REM197341 ROI197341 RYE197341 SIA197341 SRW197341 TBS197341 TLO197341 TVK197341 UFG197341 UPC197341 UYY197341 VIU197341 VSQ197341 WCM197341 WMI197341 WWE197341 W262877 JS262877 TO262877 ADK262877 ANG262877 AXC262877 BGY262877 BQU262877 CAQ262877 CKM262877 CUI262877 DEE262877 DOA262877 DXW262877 EHS262877 ERO262877 FBK262877 FLG262877 FVC262877 GEY262877 GOU262877 GYQ262877 HIM262877 HSI262877 ICE262877 IMA262877 IVW262877 JFS262877 JPO262877 JZK262877 KJG262877 KTC262877 LCY262877 LMU262877 LWQ262877 MGM262877 MQI262877 NAE262877 NKA262877 NTW262877 ODS262877 ONO262877 OXK262877 PHG262877 PRC262877 QAY262877 QKU262877 QUQ262877 REM262877 ROI262877 RYE262877 SIA262877 SRW262877 TBS262877 TLO262877 TVK262877 UFG262877 UPC262877 UYY262877 VIU262877 VSQ262877 WCM262877 WMI262877 WWE262877 W328413 JS328413 TO328413 ADK328413 ANG328413 AXC328413 BGY328413 BQU328413 CAQ328413 CKM328413 CUI328413 DEE328413 DOA328413 DXW328413 EHS328413 ERO328413 FBK328413 FLG328413 FVC328413 GEY328413 GOU328413 GYQ328413 HIM328413 HSI328413 ICE328413 IMA328413 IVW328413 JFS328413 JPO328413 JZK328413 KJG328413 KTC328413 LCY328413 LMU328413 LWQ328413 MGM328413 MQI328413 NAE328413 NKA328413 NTW328413 ODS328413 ONO328413 OXK328413 PHG328413 PRC328413 QAY328413 QKU328413 QUQ328413 REM328413 ROI328413 RYE328413 SIA328413 SRW328413 TBS328413 TLO328413 TVK328413 UFG328413 UPC328413 UYY328413 VIU328413 VSQ328413 WCM328413 WMI328413 WWE328413 W393949 JS393949 TO393949 ADK393949 ANG393949 AXC393949 BGY393949 BQU393949 CAQ393949 CKM393949 CUI393949 DEE393949 DOA393949 DXW393949 EHS393949 ERO393949 FBK393949 FLG393949 FVC393949 GEY393949 GOU393949 GYQ393949 HIM393949 HSI393949 ICE393949 IMA393949 IVW393949 JFS393949 JPO393949 JZK393949 KJG393949 KTC393949 LCY393949 LMU393949 LWQ393949 MGM393949 MQI393949 NAE393949 NKA393949 NTW393949 ODS393949 ONO393949 OXK393949 PHG393949 PRC393949 QAY393949 QKU393949 QUQ393949 REM393949 ROI393949 RYE393949 SIA393949 SRW393949 TBS393949 TLO393949 TVK393949 UFG393949 UPC393949 UYY393949 VIU393949 VSQ393949 WCM393949 WMI393949 WWE393949 W459485 JS459485 TO459485 ADK459485 ANG459485 AXC459485 BGY459485 BQU459485 CAQ459485 CKM459485 CUI459485 DEE459485 DOA459485 DXW459485 EHS459485 ERO459485 FBK459485 FLG459485 FVC459485 GEY459485 GOU459485 GYQ459485 HIM459485 HSI459485 ICE459485 IMA459485 IVW459485 JFS459485 JPO459485 JZK459485 KJG459485 KTC459485 LCY459485 LMU459485 LWQ459485 MGM459485 MQI459485 NAE459485 NKA459485 NTW459485 ODS459485 ONO459485 OXK459485 PHG459485 PRC459485 QAY459485 QKU459485 QUQ459485 REM459485 ROI459485 RYE459485 SIA459485 SRW459485 TBS459485 TLO459485 TVK459485 UFG459485 UPC459485 UYY459485 VIU459485 VSQ459485 WCM459485 WMI459485 WWE459485 W525021 JS525021 TO525021 ADK525021 ANG525021 AXC525021 BGY525021 BQU525021 CAQ525021 CKM525021 CUI525021 DEE525021 DOA525021 DXW525021 EHS525021 ERO525021 FBK525021 FLG525021 FVC525021 GEY525021 GOU525021 GYQ525021 HIM525021 HSI525021 ICE525021 IMA525021 IVW525021 JFS525021 JPO525021 JZK525021 KJG525021 KTC525021 LCY525021 LMU525021 LWQ525021 MGM525021 MQI525021 NAE525021 NKA525021 NTW525021 ODS525021 ONO525021 OXK525021 PHG525021 PRC525021 QAY525021 QKU525021 QUQ525021 REM525021 ROI525021 RYE525021 SIA525021 SRW525021 TBS525021 TLO525021 TVK525021 UFG525021 UPC525021 UYY525021 VIU525021 VSQ525021 WCM525021 WMI525021 WWE525021 W590557 JS590557 TO590557 ADK590557 ANG590557 AXC590557 BGY590557 BQU590557 CAQ590557 CKM590557 CUI590557 DEE590557 DOA590557 DXW590557 EHS590557 ERO590557 FBK590557 FLG590557 FVC590557 GEY590557 GOU590557 GYQ590557 HIM590557 HSI590557 ICE590557 IMA590557 IVW590557 JFS590557 JPO590557 JZK590557 KJG590557 KTC590557 LCY590557 LMU590557 LWQ590557 MGM590557 MQI590557 NAE590557 NKA590557 NTW590557 ODS590557 ONO590557 OXK590557 PHG590557 PRC590557 QAY590557 QKU590557 QUQ590557 REM590557 ROI590557 RYE590557 SIA590557 SRW590557 TBS590557 TLO590557 TVK590557 UFG590557 UPC590557 UYY590557 VIU590557 VSQ590557 WCM590557 WMI590557 WWE590557 W656093 JS656093 TO656093 ADK656093 ANG656093 AXC656093 BGY656093 BQU656093 CAQ656093 CKM656093 CUI656093 DEE656093 DOA656093 DXW656093 EHS656093 ERO656093 FBK656093 FLG656093 FVC656093 GEY656093 GOU656093 GYQ656093 HIM656093 HSI656093 ICE656093 IMA656093 IVW656093 JFS656093 JPO656093 JZK656093 KJG656093 KTC656093 LCY656093 LMU656093 LWQ656093 MGM656093 MQI656093 NAE656093 NKA656093 NTW656093 ODS656093 ONO656093 OXK656093 PHG656093 PRC656093 QAY656093 QKU656093 QUQ656093 REM656093 ROI656093 RYE656093 SIA656093 SRW656093 TBS656093 TLO656093 TVK656093 UFG656093 UPC656093 UYY656093 VIU656093 VSQ656093 WCM656093 WMI656093 WWE656093 W721629 JS721629 TO721629 ADK721629 ANG721629 AXC721629 BGY721629 BQU721629 CAQ721629 CKM721629 CUI721629 DEE721629 DOA721629 DXW721629 EHS721629 ERO721629 FBK721629 FLG721629 FVC721629 GEY721629 GOU721629 GYQ721629 HIM721629 HSI721629 ICE721629 IMA721629 IVW721629 JFS721629 JPO721629 JZK721629 KJG721629 KTC721629 LCY721629 LMU721629 LWQ721629 MGM721629 MQI721629 NAE721629 NKA721629 NTW721629 ODS721629 ONO721629 OXK721629 PHG721629 PRC721629 QAY721629 QKU721629 QUQ721629 REM721629 ROI721629 RYE721629 SIA721629 SRW721629 TBS721629 TLO721629 TVK721629 UFG721629 UPC721629 UYY721629 VIU721629 VSQ721629 WCM721629 WMI721629 WWE721629 W787165 JS787165 TO787165 ADK787165 ANG787165 AXC787165 BGY787165 BQU787165 CAQ787165 CKM787165 CUI787165 DEE787165 DOA787165 DXW787165 EHS787165 ERO787165 FBK787165 FLG787165 FVC787165 GEY787165 GOU787165 GYQ787165 HIM787165 HSI787165 ICE787165 IMA787165 IVW787165 JFS787165 JPO787165 JZK787165 KJG787165 KTC787165 LCY787165 LMU787165 LWQ787165 MGM787165 MQI787165 NAE787165 NKA787165 NTW787165 ODS787165 ONO787165 OXK787165 PHG787165 PRC787165 QAY787165 QKU787165 QUQ787165 REM787165 ROI787165 RYE787165 SIA787165 SRW787165 TBS787165 TLO787165 TVK787165 UFG787165 UPC787165 UYY787165 VIU787165 VSQ787165 WCM787165 WMI787165 WWE787165 W852701 JS852701 TO852701 ADK852701 ANG852701 AXC852701 BGY852701 BQU852701 CAQ852701 CKM852701 CUI852701 DEE852701 DOA852701 DXW852701 EHS852701 ERO852701 FBK852701 FLG852701 FVC852701 GEY852701 GOU852701 GYQ852701 HIM852701 HSI852701 ICE852701 IMA852701 IVW852701 JFS852701 JPO852701 JZK852701 KJG852701 KTC852701 LCY852701 LMU852701 LWQ852701 MGM852701 MQI852701 NAE852701 NKA852701 NTW852701 ODS852701 ONO852701 OXK852701 PHG852701 PRC852701 QAY852701 QKU852701 QUQ852701 REM852701 ROI852701 RYE852701 SIA852701 SRW852701 TBS852701 TLO852701 TVK852701 UFG852701 UPC852701 UYY852701 VIU852701 VSQ852701 WCM852701 WMI852701 WWE852701 W918237 JS918237 TO918237 ADK918237 ANG918237 AXC918237 BGY918237 BQU918237 CAQ918237 CKM918237 CUI918237 DEE918237 DOA918237 DXW918237 EHS918237 ERO918237 FBK918237 FLG918237 FVC918237 GEY918237 GOU918237 GYQ918237 HIM918237 HSI918237 ICE918237 IMA918237 IVW918237 JFS918237 JPO918237 JZK918237 KJG918237 KTC918237 LCY918237 LMU918237 LWQ918237 MGM918237 MQI918237 NAE918237 NKA918237 NTW918237 ODS918237 ONO918237 OXK918237 PHG918237 PRC918237 QAY918237 QKU918237 QUQ918237 REM918237 ROI918237 RYE918237 SIA918237 SRW918237 TBS918237 TLO918237 TVK918237 UFG918237 UPC918237 UYY918237 VIU918237 VSQ918237 WCM918237 WMI918237 WWE918237 W983773 JS983773 TO983773 ADK983773 ANG983773 AXC983773 BGY983773 BQU983773 CAQ983773 CKM983773 CUI983773 DEE983773 DOA983773 DXW983773 EHS983773 ERO983773 FBK983773 FLG983773 FVC983773 GEY983773 GOU983773 GYQ983773 HIM983773 HSI983773 ICE983773 IMA983773 IVW983773 JFS983773 JPO983773 JZK983773 KJG983773 KTC983773 LCY983773 LMU983773 LWQ983773 MGM983773 MQI983773 NAE983773 NKA983773 NTW983773 ODS983773 ONO983773 OXK983773 PHG983773 PRC983773 QAY983773 QKU983773 QUQ983773 REM983773 ROI983773 RYE983773 SIA983773 SRW983773 TBS983773 TLO983773 TVK983773 UFG983773 UPC983773 UYY983773 VIU983773 VSQ983773 WCM983773 WMI983773 WWE983773" xr:uid="{ACB067C3-8526-413D-B5D8-D766A103A2FD}">
      <formula1>$AP$723:$AP$736</formula1>
    </dataValidation>
    <dataValidation type="list" allowBlank="1" showInputMessage="1" showErrorMessage="1" sqref="W743 JS743 TO743 ADK743 ANG743 AXC743 BGY743 BQU743 CAQ743 CKM743 CUI743 DEE743 DOA743 DXW743 EHS743 ERO743 FBK743 FLG743 FVC743 GEY743 GOU743 GYQ743 HIM743 HSI743 ICE743 IMA743 IVW743 JFS743 JPO743 JZK743 KJG743 KTC743 LCY743 LMU743 LWQ743 MGM743 MQI743 NAE743 NKA743 NTW743 ODS743 ONO743 OXK743 PHG743 PRC743 QAY743 QKU743 QUQ743 REM743 ROI743 RYE743 SIA743 SRW743 TBS743 TLO743 TVK743 UFG743 UPC743 UYY743 VIU743 VSQ743 WCM743 WMI743 WWE743 W66279 JS66279 TO66279 ADK66279 ANG66279 AXC66279 BGY66279 BQU66279 CAQ66279 CKM66279 CUI66279 DEE66279 DOA66279 DXW66279 EHS66279 ERO66279 FBK66279 FLG66279 FVC66279 GEY66279 GOU66279 GYQ66279 HIM66279 HSI66279 ICE66279 IMA66279 IVW66279 JFS66279 JPO66279 JZK66279 KJG66279 KTC66279 LCY66279 LMU66279 LWQ66279 MGM66279 MQI66279 NAE66279 NKA66279 NTW66279 ODS66279 ONO66279 OXK66279 PHG66279 PRC66279 QAY66279 QKU66279 QUQ66279 REM66279 ROI66279 RYE66279 SIA66279 SRW66279 TBS66279 TLO66279 TVK66279 UFG66279 UPC66279 UYY66279 VIU66279 VSQ66279 WCM66279 WMI66279 WWE66279 W131815 JS131815 TO131815 ADK131815 ANG131815 AXC131815 BGY131815 BQU131815 CAQ131815 CKM131815 CUI131815 DEE131815 DOA131815 DXW131815 EHS131815 ERO131815 FBK131815 FLG131815 FVC131815 GEY131815 GOU131815 GYQ131815 HIM131815 HSI131815 ICE131815 IMA131815 IVW131815 JFS131815 JPO131815 JZK131815 KJG131815 KTC131815 LCY131815 LMU131815 LWQ131815 MGM131815 MQI131815 NAE131815 NKA131815 NTW131815 ODS131815 ONO131815 OXK131815 PHG131815 PRC131815 QAY131815 QKU131815 QUQ131815 REM131815 ROI131815 RYE131815 SIA131815 SRW131815 TBS131815 TLO131815 TVK131815 UFG131815 UPC131815 UYY131815 VIU131815 VSQ131815 WCM131815 WMI131815 WWE131815 W197351 JS197351 TO197351 ADK197351 ANG197351 AXC197351 BGY197351 BQU197351 CAQ197351 CKM197351 CUI197351 DEE197351 DOA197351 DXW197351 EHS197351 ERO197351 FBK197351 FLG197351 FVC197351 GEY197351 GOU197351 GYQ197351 HIM197351 HSI197351 ICE197351 IMA197351 IVW197351 JFS197351 JPO197351 JZK197351 KJG197351 KTC197351 LCY197351 LMU197351 LWQ197351 MGM197351 MQI197351 NAE197351 NKA197351 NTW197351 ODS197351 ONO197351 OXK197351 PHG197351 PRC197351 QAY197351 QKU197351 QUQ197351 REM197351 ROI197351 RYE197351 SIA197351 SRW197351 TBS197351 TLO197351 TVK197351 UFG197351 UPC197351 UYY197351 VIU197351 VSQ197351 WCM197351 WMI197351 WWE197351 W262887 JS262887 TO262887 ADK262887 ANG262887 AXC262887 BGY262887 BQU262887 CAQ262887 CKM262887 CUI262887 DEE262887 DOA262887 DXW262887 EHS262887 ERO262887 FBK262887 FLG262887 FVC262887 GEY262887 GOU262887 GYQ262887 HIM262887 HSI262887 ICE262887 IMA262887 IVW262887 JFS262887 JPO262887 JZK262887 KJG262887 KTC262887 LCY262887 LMU262887 LWQ262887 MGM262887 MQI262887 NAE262887 NKA262887 NTW262887 ODS262887 ONO262887 OXK262887 PHG262887 PRC262887 QAY262887 QKU262887 QUQ262887 REM262887 ROI262887 RYE262887 SIA262887 SRW262887 TBS262887 TLO262887 TVK262887 UFG262887 UPC262887 UYY262887 VIU262887 VSQ262887 WCM262887 WMI262887 WWE262887 W328423 JS328423 TO328423 ADK328423 ANG328423 AXC328423 BGY328423 BQU328423 CAQ328423 CKM328423 CUI328423 DEE328423 DOA328423 DXW328423 EHS328423 ERO328423 FBK328423 FLG328423 FVC328423 GEY328423 GOU328423 GYQ328423 HIM328423 HSI328423 ICE328423 IMA328423 IVW328423 JFS328423 JPO328423 JZK328423 KJG328423 KTC328423 LCY328423 LMU328423 LWQ328423 MGM328423 MQI328423 NAE328423 NKA328423 NTW328423 ODS328423 ONO328423 OXK328423 PHG328423 PRC328423 QAY328423 QKU328423 QUQ328423 REM328423 ROI328423 RYE328423 SIA328423 SRW328423 TBS328423 TLO328423 TVK328423 UFG328423 UPC328423 UYY328423 VIU328423 VSQ328423 WCM328423 WMI328423 WWE328423 W393959 JS393959 TO393959 ADK393959 ANG393959 AXC393959 BGY393959 BQU393959 CAQ393959 CKM393959 CUI393959 DEE393959 DOA393959 DXW393959 EHS393959 ERO393959 FBK393959 FLG393959 FVC393959 GEY393959 GOU393959 GYQ393959 HIM393959 HSI393959 ICE393959 IMA393959 IVW393959 JFS393959 JPO393959 JZK393959 KJG393959 KTC393959 LCY393959 LMU393959 LWQ393959 MGM393959 MQI393959 NAE393959 NKA393959 NTW393959 ODS393959 ONO393959 OXK393959 PHG393959 PRC393959 QAY393959 QKU393959 QUQ393959 REM393959 ROI393959 RYE393959 SIA393959 SRW393959 TBS393959 TLO393959 TVK393959 UFG393959 UPC393959 UYY393959 VIU393959 VSQ393959 WCM393959 WMI393959 WWE393959 W459495 JS459495 TO459495 ADK459495 ANG459495 AXC459495 BGY459495 BQU459495 CAQ459495 CKM459495 CUI459495 DEE459495 DOA459495 DXW459495 EHS459495 ERO459495 FBK459495 FLG459495 FVC459495 GEY459495 GOU459495 GYQ459495 HIM459495 HSI459495 ICE459495 IMA459495 IVW459495 JFS459495 JPO459495 JZK459495 KJG459495 KTC459495 LCY459495 LMU459495 LWQ459495 MGM459495 MQI459495 NAE459495 NKA459495 NTW459495 ODS459495 ONO459495 OXK459495 PHG459495 PRC459495 QAY459495 QKU459495 QUQ459495 REM459495 ROI459495 RYE459495 SIA459495 SRW459495 TBS459495 TLO459495 TVK459495 UFG459495 UPC459495 UYY459495 VIU459495 VSQ459495 WCM459495 WMI459495 WWE459495 W525031 JS525031 TO525031 ADK525031 ANG525031 AXC525031 BGY525031 BQU525031 CAQ525031 CKM525031 CUI525031 DEE525031 DOA525031 DXW525031 EHS525031 ERO525031 FBK525031 FLG525031 FVC525031 GEY525031 GOU525031 GYQ525031 HIM525031 HSI525031 ICE525031 IMA525031 IVW525031 JFS525031 JPO525031 JZK525031 KJG525031 KTC525031 LCY525031 LMU525031 LWQ525031 MGM525031 MQI525031 NAE525031 NKA525031 NTW525031 ODS525031 ONO525031 OXK525031 PHG525031 PRC525031 QAY525031 QKU525031 QUQ525031 REM525031 ROI525031 RYE525031 SIA525031 SRW525031 TBS525031 TLO525031 TVK525031 UFG525031 UPC525031 UYY525031 VIU525031 VSQ525031 WCM525031 WMI525031 WWE525031 W590567 JS590567 TO590567 ADK590567 ANG590567 AXC590567 BGY590567 BQU590567 CAQ590567 CKM590567 CUI590567 DEE590567 DOA590567 DXW590567 EHS590567 ERO590567 FBK590567 FLG590567 FVC590567 GEY590567 GOU590567 GYQ590567 HIM590567 HSI590567 ICE590567 IMA590567 IVW590567 JFS590567 JPO590567 JZK590567 KJG590567 KTC590567 LCY590567 LMU590567 LWQ590567 MGM590567 MQI590567 NAE590567 NKA590567 NTW590567 ODS590567 ONO590567 OXK590567 PHG590567 PRC590567 QAY590567 QKU590567 QUQ590567 REM590567 ROI590567 RYE590567 SIA590567 SRW590567 TBS590567 TLO590567 TVK590567 UFG590567 UPC590567 UYY590567 VIU590567 VSQ590567 WCM590567 WMI590567 WWE590567 W656103 JS656103 TO656103 ADK656103 ANG656103 AXC656103 BGY656103 BQU656103 CAQ656103 CKM656103 CUI656103 DEE656103 DOA656103 DXW656103 EHS656103 ERO656103 FBK656103 FLG656103 FVC656103 GEY656103 GOU656103 GYQ656103 HIM656103 HSI656103 ICE656103 IMA656103 IVW656103 JFS656103 JPO656103 JZK656103 KJG656103 KTC656103 LCY656103 LMU656103 LWQ656103 MGM656103 MQI656103 NAE656103 NKA656103 NTW656103 ODS656103 ONO656103 OXK656103 PHG656103 PRC656103 QAY656103 QKU656103 QUQ656103 REM656103 ROI656103 RYE656103 SIA656103 SRW656103 TBS656103 TLO656103 TVK656103 UFG656103 UPC656103 UYY656103 VIU656103 VSQ656103 WCM656103 WMI656103 WWE656103 W721639 JS721639 TO721639 ADK721639 ANG721639 AXC721639 BGY721639 BQU721639 CAQ721639 CKM721639 CUI721639 DEE721639 DOA721639 DXW721639 EHS721639 ERO721639 FBK721639 FLG721639 FVC721639 GEY721639 GOU721639 GYQ721639 HIM721639 HSI721639 ICE721639 IMA721639 IVW721639 JFS721639 JPO721639 JZK721639 KJG721639 KTC721639 LCY721639 LMU721639 LWQ721639 MGM721639 MQI721639 NAE721639 NKA721639 NTW721639 ODS721639 ONO721639 OXK721639 PHG721639 PRC721639 QAY721639 QKU721639 QUQ721639 REM721639 ROI721639 RYE721639 SIA721639 SRW721639 TBS721639 TLO721639 TVK721639 UFG721639 UPC721639 UYY721639 VIU721639 VSQ721639 WCM721639 WMI721639 WWE721639 W787175 JS787175 TO787175 ADK787175 ANG787175 AXC787175 BGY787175 BQU787175 CAQ787175 CKM787175 CUI787175 DEE787175 DOA787175 DXW787175 EHS787175 ERO787175 FBK787175 FLG787175 FVC787175 GEY787175 GOU787175 GYQ787175 HIM787175 HSI787175 ICE787175 IMA787175 IVW787175 JFS787175 JPO787175 JZK787175 KJG787175 KTC787175 LCY787175 LMU787175 LWQ787175 MGM787175 MQI787175 NAE787175 NKA787175 NTW787175 ODS787175 ONO787175 OXK787175 PHG787175 PRC787175 QAY787175 QKU787175 QUQ787175 REM787175 ROI787175 RYE787175 SIA787175 SRW787175 TBS787175 TLO787175 TVK787175 UFG787175 UPC787175 UYY787175 VIU787175 VSQ787175 WCM787175 WMI787175 WWE787175 W852711 JS852711 TO852711 ADK852711 ANG852711 AXC852711 BGY852711 BQU852711 CAQ852711 CKM852711 CUI852711 DEE852711 DOA852711 DXW852711 EHS852711 ERO852711 FBK852711 FLG852711 FVC852711 GEY852711 GOU852711 GYQ852711 HIM852711 HSI852711 ICE852711 IMA852711 IVW852711 JFS852711 JPO852711 JZK852711 KJG852711 KTC852711 LCY852711 LMU852711 LWQ852711 MGM852711 MQI852711 NAE852711 NKA852711 NTW852711 ODS852711 ONO852711 OXK852711 PHG852711 PRC852711 QAY852711 QKU852711 QUQ852711 REM852711 ROI852711 RYE852711 SIA852711 SRW852711 TBS852711 TLO852711 TVK852711 UFG852711 UPC852711 UYY852711 VIU852711 VSQ852711 WCM852711 WMI852711 WWE852711 W918247 JS918247 TO918247 ADK918247 ANG918247 AXC918247 BGY918247 BQU918247 CAQ918247 CKM918247 CUI918247 DEE918247 DOA918247 DXW918247 EHS918247 ERO918247 FBK918247 FLG918247 FVC918247 GEY918247 GOU918247 GYQ918247 HIM918247 HSI918247 ICE918247 IMA918247 IVW918247 JFS918247 JPO918247 JZK918247 KJG918247 KTC918247 LCY918247 LMU918247 LWQ918247 MGM918247 MQI918247 NAE918247 NKA918247 NTW918247 ODS918247 ONO918247 OXK918247 PHG918247 PRC918247 QAY918247 QKU918247 QUQ918247 REM918247 ROI918247 RYE918247 SIA918247 SRW918247 TBS918247 TLO918247 TVK918247 UFG918247 UPC918247 UYY918247 VIU918247 VSQ918247 WCM918247 WMI918247 WWE918247 W983783 JS983783 TO983783 ADK983783 ANG983783 AXC983783 BGY983783 BQU983783 CAQ983783 CKM983783 CUI983783 DEE983783 DOA983783 DXW983783 EHS983783 ERO983783 FBK983783 FLG983783 FVC983783 GEY983783 GOU983783 GYQ983783 HIM983783 HSI983783 ICE983783 IMA983783 IVW983783 JFS983783 JPO983783 JZK983783 KJG983783 KTC983783 LCY983783 LMU983783 LWQ983783 MGM983783 MQI983783 NAE983783 NKA983783 NTW983783 ODS983783 ONO983783 OXK983783 PHG983783 PRC983783 QAY983783 QKU983783 QUQ983783 REM983783 ROI983783 RYE983783 SIA983783 SRW983783 TBS983783 TLO983783 TVK983783 UFG983783 UPC983783 UYY983783 VIU983783 VSQ983783 WCM983783 WMI983783 WWE983783" xr:uid="{606F11ED-673A-498D-BF62-E55A2FCD6896}">
      <formula1>$S$716:$S$717</formula1>
    </dataValidation>
    <dataValidation type="list" allowBlank="1" showInputMessage="1" showErrorMessage="1" sqref="W742 JS742 TO742 ADK742 ANG742 AXC742 BGY742 BQU742 CAQ742 CKM742 CUI742 DEE742 DOA742 DXW742 EHS742 ERO742 FBK742 FLG742 FVC742 GEY742 GOU742 GYQ742 HIM742 HSI742 ICE742 IMA742 IVW742 JFS742 JPO742 JZK742 KJG742 KTC742 LCY742 LMU742 LWQ742 MGM742 MQI742 NAE742 NKA742 NTW742 ODS742 ONO742 OXK742 PHG742 PRC742 QAY742 QKU742 QUQ742 REM742 ROI742 RYE742 SIA742 SRW742 TBS742 TLO742 TVK742 UFG742 UPC742 UYY742 VIU742 VSQ742 WCM742 WMI742 WWE742 W66278 JS66278 TO66278 ADK66278 ANG66278 AXC66278 BGY66278 BQU66278 CAQ66278 CKM66278 CUI66278 DEE66278 DOA66278 DXW66278 EHS66278 ERO66278 FBK66278 FLG66278 FVC66278 GEY66278 GOU66278 GYQ66278 HIM66278 HSI66278 ICE66278 IMA66278 IVW66278 JFS66278 JPO66278 JZK66278 KJG66278 KTC66278 LCY66278 LMU66278 LWQ66278 MGM66278 MQI66278 NAE66278 NKA66278 NTW66278 ODS66278 ONO66278 OXK66278 PHG66278 PRC66278 QAY66278 QKU66278 QUQ66278 REM66278 ROI66278 RYE66278 SIA66278 SRW66278 TBS66278 TLO66278 TVK66278 UFG66278 UPC66278 UYY66278 VIU66278 VSQ66278 WCM66278 WMI66278 WWE66278 W131814 JS131814 TO131814 ADK131814 ANG131814 AXC131814 BGY131814 BQU131814 CAQ131814 CKM131814 CUI131814 DEE131814 DOA131814 DXW131814 EHS131814 ERO131814 FBK131814 FLG131814 FVC131814 GEY131814 GOU131814 GYQ131814 HIM131814 HSI131814 ICE131814 IMA131814 IVW131814 JFS131814 JPO131814 JZK131814 KJG131814 KTC131814 LCY131814 LMU131814 LWQ131814 MGM131814 MQI131814 NAE131814 NKA131814 NTW131814 ODS131814 ONO131814 OXK131814 PHG131814 PRC131814 QAY131814 QKU131814 QUQ131814 REM131814 ROI131814 RYE131814 SIA131814 SRW131814 TBS131814 TLO131814 TVK131814 UFG131814 UPC131814 UYY131814 VIU131814 VSQ131814 WCM131814 WMI131814 WWE131814 W197350 JS197350 TO197350 ADK197350 ANG197350 AXC197350 BGY197350 BQU197350 CAQ197350 CKM197350 CUI197350 DEE197350 DOA197350 DXW197350 EHS197350 ERO197350 FBK197350 FLG197350 FVC197350 GEY197350 GOU197350 GYQ197350 HIM197350 HSI197350 ICE197350 IMA197350 IVW197350 JFS197350 JPO197350 JZK197350 KJG197350 KTC197350 LCY197350 LMU197350 LWQ197350 MGM197350 MQI197350 NAE197350 NKA197350 NTW197350 ODS197350 ONO197350 OXK197350 PHG197350 PRC197350 QAY197350 QKU197350 QUQ197350 REM197350 ROI197350 RYE197350 SIA197350 SRW197350 TBS197350 TLO197350 TVK197350 UFG197350 UPC197350 UYY197350 VIU197350 VSQ197350 WCM197350 WMI197350 WWE197350 W262886 JS262886 TO262886 ADK262886 ANG262886 AXC262886 BGY262886 BQU262886 CAQ262886 CKM262886 CUI262886 DEE262886 DOA262886 DXW262886 EHS262886 ERO262886 FBK262886 FLG262886 FVC262886 GEY262886 GOU262886 GYQ262886 HIM262886 HSI262886 ICE262886 IMA262886 IVW262886 JFS262886 JPO262886 JZK262886 KJG262886 KTC262886 LCY262886 LMU262886 LWQ262886 MGM262886 MQI262886 NAE262886 NKA262886 NTW262886 ODS262886 ONO262886 OXK262886 PHG262886 PRC262886 QAY262886 QKU262886 QUQ262886 REM262886 ROI262886 RYE262886 SIA262886 SRW262886 TBS262886 TLO262886 TVK262886 UFG262886 UPC262886 UYY262886 VIU262886 VSQ262886 WCM262886 WMI262886 WWE262886 W328422 JS328422 TO328422 ADK328422 ANG328422 AXC328422 BGY328422 BQU328422 CAQ328422 CKM328422 CUI328422 DEE328422 DOA328422 DXW328422 EHS328422 ERO328422 FBK328422 FLG328422 FVC328422 GEY328422 GOU328422 GYQ328422 HIM328422 HSI328422 ICE328422 IMA328422 IVW328422 JFS328422 JPO328422 JZK328422 KJG328422 KTC328422 LCY328422 LMU328422 LWQ328422 MGM328422 MQI328422 NAE328422 NKA328422 NTW328422 ODS328422 ONO328422 OXK328422 PHG328422 PRC328422 QAY328422 QKU328422 QUQ328422 REM328422 ROI328422 RYE328422 SIA328422 SRW328422 TBS328422 TLO328422 TVK328422 UFG328422 UPC328422 UYY328422 VIU328422 VSQ328422 WCM328422 WMI328422 WWE328422 W393958 JS393958 TO393958 ADK393958 ANG393958 AXC393958 BGY393958 BQU393958 CAQ393958 CKM393958 CUI393958 DEE393958 DOA393958 DXW393958 EHS393958 ERO393958 FBK393958 FLG393958 FVC393958 GEY393958 GOU393958 GYQ393958 HIM393958 HSI393958 ICE393958 IMA393958 IVW393958 JFS393958 JPO393958 JZK393958 KJG393958 KTC393958 LCY393958 LMU393958 LWQ393958 MGM393958 MQI393958 NAE393958 NKA393958 NTW393958 ODS393958 ONO393958 OXK393958 PHG393958 PRC393958 QAY393958 QKU393958 QUQ393958 REM393958 ROI393958 RYE393958 SIA393958 SRW393958 TBS393958 TLO393958 TVK393958 UFG393958 UPC393958 UYY393958 VIU393958 VSQ393958 WCM393958 WMI393958 WWE393958 W459494 JS459494 TO459494 ADK459494 ANG459494 AXC459494 BGY459494 BQU459494 CAQ459494 CKM459494 CUI459494 DEE459494 DOA459494 DXW459494 EHS459494 ERO459494 FBK459494 FLG459494 FVC459494 GEY459494 GOU459494 GYQ459494 HIM459494 HSI459494 ICE459494 IMA459494 IVW459494 JFS459494 JPO459494 JZK459494 KJG459494 KTC459494 LCY459494 LMU459494 LWQ459494 MGM459494 MQI459494 NAE459494 NKA459494 NTW459494 ODS459494 ONO459494 OXK459494 PHG459494 PRC459494 QAY459494 QKU459494 QUQ459494 REM459494 ROI459494 RYE459494 SIA459494 SRW459494 TBS459494 TLO459494 TVK459494 UFG459494 UPC459494 UYY459494 VIU459494 VSQ459494 WCM459494 WMI459494 WWE459494 W525030 JS525030 TO525030 ADK525030 ANG525030 AXC525030 BGY525030 BQU525030 CAQ525030 CKM525030 CUI525030 DEE525030 DOA525030 DXW525030 EHS525030 ERO525030 FBK525030 FLG525030 FVC525030 GEY525030 GOU525030 GYQ525030 HIM525030 HSI525030 ICE525030 IMA525030 IVW525030 JFS525030 JPO525030 JZK525030 KJG525030 KTC525030 LCY525030 LMU525030 LWQ525030 MGM525030 MQI525030 NAE525030 NKA525030 NTW525030 ODS525030 ONO525030 OXK525030 PHG525030 PRC525030 QAY525030 QKU525030 QUQ525030 REM525030 ROI525030 RYE525030 SIA525030 SRW525030 TBS525030 TLO525030 TVK525030 UFG525030 UPC525030 UYY525030 VIU525030 VSQ525030 WCM525030 WMI525030 WWE525030 W590566 JS590566 TO590566 ADK590566 ANG590566 AXC590566 BGY590566 BQU590566 CAQ590566 CKM590566 CUI590566 DEE590566 DOA590566 DXW590566 EHS590566 ERO590566 FBK590566 FLG590566 FVC590566 GEY590566 GOU590566 GYQ590566 HIM590566 HSI590566 ICE590566 IMA590566 IVW590566 JFS590566 JPO590566 JZK590566 KJG590566 KTC590566 LCY590566 LMU590566 LWQ590566 MGM590566 MQI590566 NAE590566 NKA590566 NTW590566 ODS590566 ONO590566 OXK590566 PHG590566 PRC590566 QAY590566 QKU590566 QUQ590566 REM590566 ROI590566 RYE590566 SIA590566 SRW590566 TBS590566 TLO590566 TVK590566 UFG590566 UPC590566 UYY590566 VIU590566 VSQ590566 WCM590566 WMI590566 WWE590566 W656102 JS656102 TO656102 ADK656102 ANG656102 AXC656102 BGY656102 BQU656102 CAQ656102 CKM656102 CUI656102 DEE656102 DOA656102 DXW656102 EHS656102 ERO656102 FBK656102 FLG656102 FVC656102 GEY656102 GOU656102 GYQ656102 HIM656102 HSI656102 ICE656102 IMA656102 IVW656102 JFS656102 JPO656102 JZK656102 KJG656102 KTC656102 LCY656102 LMU656102 LWQ656102 MGM656102 MQI656102 NAE656102 NKA656102 NTW656102 ODS656102 ONO656102 OXK656102 PHG656102 PRC656102 QAY656102 QKU656102 QUQ656102 REM656102 ROI656102 RYE656102 SIA656102 SRW656102 TBS656102 TLO656102 TVK656102 UFG656102 UPC656102 UYY656102 VIU656102 VSQ656102 WCM656102 WMI656102 WWE656102 W721638 JS721638 TO721638 ADK721638 ANG721638 AXC721638 BGY721638 BQU721638 CAQ721638 CKM721638 CUI721638 DEE721638 DOA721638 DXW721638 EHS721638 ERO721638 FBK721638 FLG721638 FVC721638 GEY721638 GOU721638 GYQ721638 HIM721638 HSI721638 ICE721638 IMA721638 IVW721638 JFS721638 JPO721638 JZK721638 KJG721638 KTC721638 LCY721638 LMU721638 LWQ721638 MGM721638 MQI721638 NAE721638 NKA721638 NTW721638 ODS721638 ONO721638 OXK721638 PHG721638 PRC721638 QAY721638 QKU721638 QUQ721638 REM721638 ROI721638 RYE721638 SIA721638 SRW721638 TBS721638 TLO721638 TVK721638 UFG721638 UPC721638 UYY721638 VIU721638 VSQ721638 WCM721638 WMI721638 WWE721638 W787174 JS787174 TO787174 ADK787174 ANG787174 AXC787174 BGY787174 BQU787174 CAQ787174 CKM787174 CUI787174 DEE787174 DOA787174 DXW787174 EHS787174 ERO787174 FBK787174 FLG787174 FVC787174 GEY787174 GOU787174 GYQ787174 HIM787174 HSI787174 ICE787174 IMA787174 IVW787174 JFS787174 JPO787174 JZK787174 KJG787174 KTC787174 LCY787174 LMU787174 LWQ787174 MGM787174 MQI787174 NAE787174 NKA787174 NTW787174 ODS787174 ONO787174 OXK787174 PHG787174 PRC787174 QAY787174 QKU787174 QUQ787174 REM787174 ROI787174 RYE787174 SIA787174 SRW787174 TBS787174 TLO787174 TVK787174 UFG787174 UPC787174 UYY787174 VIU787174 VSQ787174 WCM787174 WMI787174 WWE787174 W852710 JS852710 TO852710 ADK852710 ANG852710 AXC852710 BGY852710 BQU852710 CAQ852710 CKM852710 CUI852710 DEE852710 DOA852710 DXW852710 EHS852710 ERO852710 FBK852710 FLG852710 FVC852710 GEY852710 GOU852710 GYQ852710 HIM852710 HSI852710 ICE852710 IMA852710 IVW852710 JFS852710 JPO852710 JZK852710 KJG852710 KTC852710 LCY852710 LMU852710 LWQ852710 MGM852710 MQI852710 NAE852710 NKA852710 NTW852710 ODS852710 ONO852710 OXK852710 PHG852710 PRC852710 QAY852710 QKU852710 QUQ852710 REM852710 ROI852710 RYE852710 SIA852710 SRW852710 TBS852710 TLO852710 TVK852710 UFG852710 UPC852710 UYY852710 VIU852710 VSQ852710 WCM852710 WMI852710 WWE852710 W918246 JS918246 TO918246 ADK918246 ANG918246 AXC918246 BGY918246 BQU918246 CAQ918246 CKM918246 CUI918246 DEE918246 DOA918246 DXW918246 EHS918246 ERO918246 FBK918246 FLG918246 FVC918246 GEY918246 GOU918246 GYQ918246 HIM918246 HSI918246 ICE918246 IMA918246 IVW918246 JFS918246 JPO918246 JZK918246 KJG918246 KTC918246 LCY918246 LMU918246 LWQ918246 MGM918246 MQI918246 NAE918246 NKA918246 NTW918246 ODS918246 ONO918246 OXK918246 PHG918246 PRC918246 QAY918246 QKU918246 QUQ918246 REM918246 ROI918246 RYE918246 SIA918246 SRW918246 TBS918246 TLO918246 TVK918246 UFG918246 UPC918246 UYY918246 VIU918246 VSQ918246 WCM918246 WMI918246 WWE918246 W983782 JS983782 TO983782 ADK983782 ANG983782 AXC983782 BGY983782 BQU983782 CAQ983782 CKM983782 CUI983782 DEE983782 DOA983782 DXW983782 EHS983782 ERO983782 FBK983782 FLG983782 FVC983782 GEY983782 GOU983782 GYQ983782 HIM983782 HSI983782 ICE983782 IMA983782 IVW983782 JFS983782 JPO983782 JZK983782 KJG983782 KTC983782 LCY983782 LMU983782 LWQ983782 MGM983782 MQI983782 NAE983782 NKA983782 NTW983782 ODS983782 ONO983782 OXK983782 PHG983782 PRC983782 QAY983782 QKU983782 QUQ983782 REM983782 ROI983782 RYE983782 SIA983782 SRW983782 TBS983782 TLO983782 TVK983782 UFG983782 UPC983782 UYY983782 VIU983782 VSQ983782 WCM983782 WMI983782 WWE983782" xr:uid="{E3CD431F-B07C-4861-9557-E95EE10246AF}">
      <formula1>$S$734:$S$735</formula1>
    </dataValidation>
    <dataValidation type="list" allowBlank="1" showInputMessage="1" showErrorMessage="1" sqref="X763 JT763 TP763 ADL763 ANH763 AXD763 BGZ763 BQV763 CAR763 CKN763 CUJ763 DEF763 DOB763 DXX763 EHT763 ERP763 FBL763 FLH763 FVD763 GEZ763 GOV763 GYR763 HIN763 HSJ763 ICF763 IMB763 IVX763 JFT763 JPP763 JZL763 KJH763 KTD763 LCZ763 LMV763 LWR763 MGN763 MQJ763 NAF763 NKB763 NTX763 ODT763 ONP763 OXL763 PHH763 PRD763 QAZ763 QKV763 QUR763 REN763 ROJ763 RYF763 SIB763 SRX763 TBT763 TLP763 TVL763 UFH763 UPD763 UYZ763 VIV763 VSR763 WCN763 WMJ763 WWF763 X66299 JT66299 TP66299 ADL66299 ANH66299 AXD66299 BGZ66299 BQV66299 CAR66299 CKN66299 CUJ66299 DEF66299 DOB66299 DXX66299 EHT66299 ERP66299 FBL66299 FLH66299 FVD66299 GEZ66299 GOV66299 GYR66299 HIN66299 HSJ66299 ICF66299 IMB66299 IVX66299 JFT66299 JPP66299 JZL66299 KJH66299 KTD66299 LCZ66299 LMV66299 LWR66299 MGN66299 MQJ66299 NAF66299 NKB66299 NTX66299 ODT66299 ONP66299 OXL66299 PHH66299 PRD66299 QAZ66299 QKV66299 QUR66299 REN66299 ROJ66299 RYF66299 SIB66299 SRX66299 TBT66299 TLP66299 TVL66299 UFH66299 UPD66299 UYZ66299 VIV66299 VSR66299 WCN66299 WMJ66299 WWF66299 X131835 JT131835 TP131835 ADL131835 ANH131835 AXD131835 BGZ131835 BQV131835 CAR131835 CKN131835 CUJ131835 DEF131835 DOB131835 DXX131835 EHT131835 ERP131835 FBL131835 FLH131835 FVD131835 GEZ131835 GOV131835 GYR131835 HIN131835 HSJ131835 ICF131835 IMB131835 IVX131835 JFT131835 JPP131835 JZL131835 KJH131835 KTD131835 LCZ131835 LMV131835 LWR131835 MGN131835 MQJ131835 NAF131835 NKB131835 NTX131835 ODT131835 ONP131835 OXL131835 PHH131835 PRD131835 QAZ131835 QKV131835 QUR131835 REN131835 ROJ131835 RYF131835 SIB131835 SRX131835 TBT131835 TLP131835 TVL131835 UFH131835 UPD131835 UYZ131835 VIV131835 VSR131835 WCN131835 WMJ131835 WWF131835 X197371 JT197371 TP197371 ADL197371 ANH197371 AXD197371 BGZ197371 BQV197371 CAR197371 CKN197371 CUJ197371 DEF197371 DOB197371 DXX197371 EHT197371 ERP197371 FBL197371 FLH197371 FVD197371 GEZ197371 GOV197371 GYR197371 HIN197371 HSJ197371 ICF197371 IMB197371 IVX197371 JFT197371 JPP197371 JZL197371 KJH197371 KTD197371 LCZ197371 LMV197371 LWR197371 MGN197371 MQJ197371 NAF197371 NKB197371 NTX197371 ODT197371 ONP197371 OXL197371 PHH197371 PRD197371 QAZ197371 QKV197371 QUR197371 REN197371 ROJ197371 RYF197371 SIB197371 SRX197371 TBT197371 TLP197371 TVL197371 UFH197371 UPD197371 UYZ197371 VIV197371 VSR197371 WCN197371 WMJ197371 WWF197371 X262907 JT262907 TP262907 ADL262907 ANH262907 AXD262907 BGZ262907 BQV262907 CAR262907 CKN262907 CUJ262907 DEF262907 DOB262907 DXX262907 EHT262907 ERP262907 FBL262907 FLH262907 FVD262907 GEZ262907 GOV262907 GYR262907 HIN262907 HSJ262907 ICF262907 IMB262907 IVX262907 JFT262907 JPP262907 JZL262907 KJH262907 KTD262907 LCZ262907 LMV262907 LWR262907 MGN262907 MQJ262907 NAF262907 NKB262907 NTX262907 ODT262907 ONP262907 OXL262907 PHH262907 PRD262907 QAZ262907 QKV262907 QUR262907 REN262907 ROJ262907 RYF262907 SIB262907 SRX262907 TBT262907 TLP262907 TVL262907 UFH262907 UPD262907 UYZ262907 VIV262907 VSR262907 WCN262907 WMJ262907 WWF262907 X328443 JT328443 TP328443 ADL328443 ANH328443 AXD328443 BGZ328443 BQV328443 CAR328443 CKN328443 CUJ328443 DEF328443 DOB328443 DXX328443 EHT328443 ERP328443 FBL328443 FLH328443 FVD328443 GEZ328443 GOV328443 GYR328443 HIN328443 HSJ328443 ICF328443 IMB328443 IVX328443 JFT328443 JPP328443 JZL328443 KJH328443 KTD328443 LCZ328443 LMV328443 LWR328443 MGN328443 MQJ328443 NAF328443 NKB328443 NTX328443 ODT328443 ONP328443 OXL328443 PHH328443 PRD328443 QAZ328443 QKV328443 QUR328443 REN328443 ROJ328443 RYF328443 SIB328443 SRX328443 TBT328443 TLP328443 TVL328443 UFH328443 UPD328443 UYZ328443 VIV328443 VSR328443 WCN328443 WMJ328443 WWF328443 X393979 JT393979 TP393979 ADL393979 ANH393979 AXD393979 BGZ393979 BQV393979 CAR393979 CKN393979 CUJ393979 DEF393979 DOB393979 DXX393979 EHT393979 ERP393979 FBL393979 FLH393979 FVD393979 GEZ393979 GOV393979 GYR393979 HIN393979 HSJ393979 ICF393979 IMB393979 IVX393979 JFT393979 JPP393979 JZL393979 KJH393979 KTD393979 LCZ393979 LMV393979 LWR393979 MGN393979 MQJ393979 NAF393979 NKB393979 NTX393979 ODT393979 ONP393979 OXL393979 PHH393979 PRD393979 QAZ393979 QKV393979 QUR393979 REN393979 ROJ393979 RYF393979 SIB393979 SRX393979 TBT393979 TLP393979 TVL393979 UFH393979 UPD393979 UYZ393979 VIV393979 VSR393979 WCN393979 WMJ393979 WWF393979 X459515 JT459515 TP459515 ADL459515 ANH459515 AXD459515 BGZ459515 BQV459515 CAR459515 CKN459515 CUJ459515 DEF459515 DOB459515 DXX459515 EHT459515 ERP459515 FBL459515 FLH459515 FVD459515 GEZ459515 GOV459515 GYR459515 HIN459515 HSJ459515 ICF459515 IMB459515 IVX459515 JFT459515 JPP459515 JZL459515 KJH459515 KTD459515 LCZ459515 LMV459515 LWR459515 MGN459515 MQJ459515 NAF459515 NKB459515 NTX459515 ODT459515 ONP459515 OXL459515 PHH459515 PRD459515 QAZ459515 QKV459515 QUR459515 REN459515 ROJ459515 RYF459515 SIB459515 SRX459515 TBT459515 TLP459515 TVL459515 UFH459515 UPD459515 UYZ459515 VIV459515 VSR459515 WCN459515 WMJ459515 WWF459515 X525051 JT525051 TP525051 ADL525051 ANH525051 AXD525051 BGZ525051 BQV525051 CAR525051 CKN525051 CUJ525051 DEF525051 DOB525051 DXX525051 EHT525051 ERP525051 FBL525051 FLH525051 FVD525051 GEZ525051 GOV525051 GYR525051 HIN525051 HSJ525051 ICF525051 IMB525051 IVX525051 JFT525051 JPP525051 JZL525051 KJH525051 KTD525051 LCZ525051 LMV525051 LWR525051 MGN525051 MQJ525051 NAF525051 NKB525051 NTX525051 ODT525051 ONP525051 OXL525051 PHH525051 PRD525051 QAZ525051 QKV525051 QUR525051 REN525051 ROJ525051 RYF525051 SIB525051 SRX525051 TBT525051 TLP525051 TVL525051 UFH525051 UPD525051 UYZ525051 VIV525051 VSR525051 WCN525051 WMJ525051 WWF525051 X590587 JT590587 TP590587 ADL590587 ANH590587 AXD590587 BGZ590587 BQV590587 CAR590587 CKN590587 CUJ590587 DEF590587 DOB590587 DXX590587 EHT590587 ERP590587 FBL590587 FLH590587 FVD590587 GEZ590587 GOV590587 GYR590587 HIN590587 HSJ590587 ICF590587 IMB590587 IVX590587 JFT590587 JPP590587 JZL590587 KJH590587 KTD590587 LCZ590587 LMV590587 LWR590587 MGN590587 MQJ590587 NAF590587 NKB590587 NTX590587 ODT590587 ONP590587 OXL590587 PHH590587 PRD590587 QAZ590587 QKV590587 QUR590587 REN590587 ROJ590587 RYF590587 SIB590587 SRX590587 TBT590587 TLP590587 TVL590587 UFH590587 UPD590587 UYZ590587 VIV590587 VSR590587 WCN590587 WMJ590587 WWF590587 X656123 JT656123 TP656123 ADL656123 ANH656123 AXD656123 BGZ656123 BQV656123 CAR656123 CKN656123 CUJ656123 DEF656123 DOB656123 DXX656123 EHT656123 ERP656123 FBL656123 FLH656123 FVD656123 GEZ656123 GOV656123 GYR656123 HIN656123 HSJ656123 ICF656123 IMB656123 IVX656123 JFT656123 JPP656123 JZL656123 KJH656123 KTD656123 LCZ656123 LMV656123 LWR656123 MGN656123 MQJ656123 NAF656123 NKB656123 NTX656123 ODT656123 ONP656123 OXL656123 PHH656123 PRD656123 QAZ656123 QKV656123 QUR656123 REN656123 ROJ656123 RYF656123 SIB656123 SRX656123 TBT656123 TLP656123 TVL656123 UFH656123 UPD656123 UYZ656123 VIV656123 VSR656123 WCN656123 WMJ656123 WWF656123 X721659 JT721659 TP721659 ADL721659 ANH721659 AXD721659 BGZ721659 BQV721659 CAR721659 CKN721659 CUJ721659 DEF721659 DOB721659 DXX721659 EHT721659 ERP721659 FBL721659 FLH721659 FVD721659 GEZ721659 GOV721659 GYR721659 HIN721659 HSJ721659 ICF721659 IMB721659 IVX721659 JFT721659 JPP721659 JZL721659 KJH721659 KTD721659 LCZ721659 LMV721659 LWR721659 MGN721659 MQJ721659 NAF721659 NKB721659 NTX721659 ODT721659 ONP721659 OXL721659 PHH721659 PRD721659 QAZ721659 QKV721659 QUR721659 REN721659 ROJ721659 RYF721659 SIB721659 SRX721659 TBT721659 TLP721659 TVL721659 UFH721659 UPD721659 UYZ721659 VIV721659 VSR721659 WCN721659 WMJ721659 WWF721659 X787195 JT787195 TP787195 ADL787195 ANH787195 AXD787195 BGZ787195 BQV787195 CAR787195 CKN787195 CUJ787195 DEF787195 DOB787195 DXX787195 EHT787195 ERP787195 FBL787195 FLH787195 FVD787195 GEZ787195 GOV787195 GYR787195 HIN787195 HSJ787195 ICF787195 IMB787195 IVX787195 JFT787195 JPP787195 JZL787195 KJH787195 KTD787195 LCZ787195 LMV787195 LWR787195 MGN787195 MQJ787195 NAF787195 NKB787195 NTX787195 ODT787195 ONP787195 OXL787195 PHH787195 PRD787195 QAZ787195 QKV787195 QUR787195 REN787195 ROJ787195 RYF787195 SIB787195 SRX787195 TBT787195 TLP787195 TVL787195 UFH787195 UPD787195 UYZ787195 VIV787195 VSR787195 WCN787195 WMJ787195 WWF787195 X852731 JT852731 TP852731 ADL852731 ANH852731 AXD852731 BGZ852731 BQV852731 CAR852731 CKN852731 CUJ852731 DEF852731 DOB852731 DXX852731 EHT852731 ERP852731 FBL852731 FLH852731 FVD852731 GEZ852731 GOV852731 GYR852731 HIN852731 HSJ852731 ICF852731 IMB852731 IVX852731 JFT852731 JPP852731 JZL852731 KJH852731 KTD852731 LCZ852731 LMV852731 LWR852731 MGN852731 MQJ852731 NAF852731 NKB852731 NTX852731 ODT852731 ONP852731 OXL852731 PHH852731 PRD852731 QAZ852731 QKV852731 QUR852731 REN852731 ROJ852731 RYF852731 SIB852731 SRX852731 TBT852731 TLP852731 TVL852731 UFH852731 UPD852731 UYZ852731 VIV852731 VSR852731 WCN852731 WMJ852731 WWF852731 X918267 JT918267 TP918267 ADL918267 ANH918267 AXD918267 BGZ918267 BQV918267 CAR918267 CKN918267 CUJ918267 DEF918267 DOB918267 DXX918267 EHT918267 ERP918267 FBL918267 FLH918267 FVD918267 GEZ918267 GOV918267 GYR918267 HIN918267 HSJ918267 ICF918267 IMB918267 IVX918267 JFT918267 JPP918267 JZL918267 KJH918267 KTD918267 LCZ918267 LMV918267 LWR918267 MGN918267 MQJ918267 NAF918267 NKB918267 NTX918267 ODT918267 ONP918267 OXL918267 PHH918267 PRD918267 QAZ918267 QKV918267 QUR918267 REN918267 ROJ918267 RYF918267 SIB918267 SRX918267 TBT918267 TLP918267 TVL918267 UFH918267 UPD918267 UYZ918267 VIV918267 VSR918267 WCN918267 WMJ918267 WWF918267 X983803 JT983803 TP983803 ADL983803 ANH983803 AXD983803 BGZ983803 BQV983803 CAR983803 CKN983803 CUJ983803 DEF983803 DOB983803 DXX983803 EHT983803 ERP983803 FBL983803 FLH983803 FVD983803 GEZ983803 GOV983803 GYR983803 HIN983803 HSJ983803 ICF983803 IMB983803 IVX983803 JFT983803 JPP983803 JZL983803 KJH983803 KTD983803 LCZ983803 LMV983803 LWR983803 MGN983803 MQJ983803 NAF983803 NKB983803 NTX983803 ODT983803 ONP983803 OXL983803 PHH983803 PRD983803 QAZ983803 QKV983803 QUR983803 REN983803 ROJ983803 RYF983803 SIB983803 SRX983803 TBT983803 TLP983803 TVL983803 UFH983803 UPD983803 UYZ983803 VIV983803 VSR983803 WCN983803 WMJ983803 WWF983803" xr:uid="{545505AE-344C-40B1-A32B-7FBE3A4C7A5A}">
      <formula1>$V$758:$V$760</formula1>
    </dataValidation>
    <dataValidation type="list" allowBlank="1" showInputMessage="1" showErrorMessage="1" sqref="R779 JN779 TJ779 ADF779 ANB779 AWX779 BGT779 BQP779 CAL779 CKH779 CUD779 DDZ779 DNV779 DXR779 EHN779 ERJ779 FBF779 FLB779 FUX779 GET779 GOP779 GYL779 HIH779 HSD779 IBZ779 ILV779 IVR779 JFN779 JPJ779 JZF779 KJB779 KSX779 LCT779 LMP779 LWL779 MGH779 MQD779 MZZ779 NJV779 NTR779 ODN779 ONJ779 OXF779 PHB779 PQX779 QAT779 QKP779 QUL779 REH779 ROD779 RXZ779 SHV779 SRR779 TBN779 TLJ779 TVF779 UFB779 UOX779 UYT779 VIP779 VSL779 WCH779 WMD779 WVZ779 R66315 JN66315 TJ66315 ADF66315 ANB66315 AWX66315 BGT66315 BQP66315 CAL66315 CKH66315 CUD66315 DDZ66315 DNV66315 DXR66315 EHN66315 ERJ66315 FBF66315 FLB66315 FUX66315 GET66315 GOP66315 GYL66315 HIH66315 HSD66315 IBZ66315 ILV66315 IVR66315 JFN66315 JPJ66315 JZF66315 KJB66315 KSX66315 LCT66315 LMP66315 LWL66315 MGH66315 MQD66315 MZZ66315 NJV66315 NTR66315 ODN66315 ONJ66315 OXF66315 PHB66315 PQX66315 QAT66315 QKP66315 QUL66315 REH66315 ROD66315 RXZ66315 SHV66315 SRR66315 TBN66315 TLJ66315 TVF66315 UFB66315 UOX66315 UYT66315 VIP66315 VSL66315 WCH66315 WMD66315 WVZ66315 R131851 JN131851 TJ131851 ADF131851 ANB131851 AWX131851 BGT131851 BQP131851 CAL131851 CKH131851 CUD131851 DDZ131851 DNV131851 DXR131851 EHN131851 ERJ131851 FBF131851 FLB131851 FUX131851 GET131851 GOP131851 GYL131851 HIH131851 HSD131851 IBZ131851 ILV131851 IVR131851 JFN131851 JPJ131851 JZF131851 KJB131851 KSX131851 LCT131851 LMP131851 LWL131851 MGH131851 MQD131851 MZZ131851 NJV131851 NTR131851 ODN131851 ONJ131851 OXF131851 PHB131851 PQX131851 QAT131851 QKP131851 QUL131851 REH131851 ROD131851 RXZ131851 SHV131851 SRR131851 TBN131851 TLJ131851 TVF131851 UFB131851 UOX131851 UYT131851 VIP131851 VSL131851 WCH131851 WMD131851 WVZ131851 R197387 JN197387 TJ197387 ADF197387 ANB197387 AWX197387 BGT197387 BQP197387 CAL197387 CKH197387 CUD197387 DDZ197387 DNV197387 DXR197387 EHN197387 ERJ197387 FBF197387 FLB197387 FUX197387 GET197387 GOP197387 GYL197387 HIH197387 HSD197387 IBZ197387 ILV197387 IVR197387 JFN197387 JPJ197387 JZF197387 KJB197387 KSX197387 LCT197387 LMP197387 LWL197387 MGH197387 MQD197387 MZZ197387 NJV197387 NTR197387 ODN197387 ONJ197387 OXF197387 PHB197387 PQX197387 QAT197387 QKP197387 QUL197387 REH197387 ROD197387 RXZ197387 SHV197387 SRR197387 TBN197387 TLJ197387 TVF197387 UFB197387 UOX197387 UYT197387 VIP197387 VSL197387 WCH197387 WMD197387 WVZ197387 R262923 JN262923 TJ262923 ADF262923 ANB262923 AWX262923 BGT262923 BQP262923 CAL262923 CKH262923 CUD262923 DDZ262923 DNV262923 DXR262923 EHN262923 ERJ262923 FBF262923 FLB262923 FUX262923 GET262923 GOP262923 GYL262923 HIH262923 HSD262923 IBZ262923 ILV262923 IVR262923 JFN262923 JPJ262923 JZF262923 KJB262923 KSX262923 LCT262923 LMP262923 LWL262923 MGH262923 MQD262923 MZZ262923 NJV262923 NTR262923 ODN262923 ONJ262923 OXF262923 PHB262923 PQX262923 QAT262923 QKP262923 QUL262923 REH262923 ROD262923 RXZ262923 SHV262923 SRR262923 TBN262923 TLJ262923 TVF262923 UFB262923 UOX262923 UYT262923 VIP262923 VSL262923 WCH262923 WMD262923 WVZ262923 R328459 JN328459 TJ328459 ADF328459 ANB328459 AWX328459 BGT328459 BQP328459 CAL328459 CKH328459 CUD328459 DDZ328459 DNV328459 DXR328459 EHN328459 ERJ328459 FBF328459 FLB328459 FUX328459 GET328459 GOP328459 GYL328459 HIH328459 HSD328459 IBZ328459 ILV328459 IVR328459 JFN328459 JPJ328459 JZF328459 KJB328459 KSX328459 LCT328459 LMP328459 LWL328459 MGH328459 MQD328459 MZZ328459 NJV328459 NTR328459 ODN328459 ONJ328459 OXF328459 PHB328459 PQX328459 QAT328459 QKP328459 QUL328459 REH328459 ROD328459 RXZ328459 SHV328459 SRR328459 TBN328459 TLJ328459 TVF328459 UFB328459 UOX328459 UYT328459 VIP328459 VSL328459 WCH328459 WMD328459 WVZ328459 R393995 JN393995 TJ393995 ADF393995 ANB393995 AWX393995 BGT393995 BQP393995 CAL393995 CKH393995 CUD393995 DDZ393995 DNV393995 DXR393995 EHN393995 ERJ393995 FBF393995 FLB393995 FUX393995 GET393995 GOP393995 GYL393995 HIH393995 HSD393995 IBZ393995 ILV393995 IVR393995 JFN393995 JPJ393995 JZF393995 KJB393995 KSX393995 LCT393995 LMP393995 LWL393995 MGH393995 MQD393995 MZZ393995 NJV393995 NTR393995 ODN393995 ONJ393995 OXF393995 PHB393995 PQX393995 QAT393995 QKP393995 QUL393995 REH393995 ROD393995 RXZ393995 SHV393995 SRR393995 TBN393995 TLJ393995 TVF393995 UFB393995 UOX393995 UYT393995 VIP393995 VSL393995 WCH393995 WMD393995 WVZ393995 R459531 JN459531 TJ459531 ADF459531 ANB459531 AWX459531 BGT459531 BQP459531 CAL459531 CKH459531 CUD459531 DDZ459531 DNV459531 DXR459531 EHN459531 ERJ459531 FBF459531 FLB459531 FUX459531 GET459531 GOP459531 GYL459531 HIH459531 HSD459531 IBZ459531 ILV459531 IVR459531 JFN459531 JPJ459531 JZF459531 KJB459531 KSX459531 LCT459531 LMP459531 LWL459531 MGH459531 MQD459531 MZZ459531 NJV459531 NTR459531 ODN459531 ONJ459531 OXF459531 PHB459531 PQX459531 QAT459531 QKP459531 QUL459531 REH459531 ROD459531 RXZ459531 SHV459531 SRR459531 TBN459531 TLJ459531 TVF459531 UFB459531 UOX459531 UYT459531 VIP459531 VSL459531 WCH459531 WMD459531 WVZ459531 R525067 JN525067 TJ525067 ADF525067 ANB525067 AWX525067 BGT525067 BQP525067 CAL525067 CKH525067 CUD525067 DDZ525067 DNV525067 DXR525067 EHN525067 ERJ525067 FBF525067 FLB525067 FUX525067 GET525067 GOP525067 GYL525067 HIH525067 HSD525067 IBZ525067 ILV525067 IVR525067 JFN525067 JPJ525067 JZF525067 KJB525067 KSX525067 LCT525067 LMP525067 LWL525067 MGH525067 MQD525067 MZZ525067 NJV525067 NTR525067 ODN525067 ONJ525067 OXF525067 PHB525067 PQX525067 QAT525067 QKP525067 QUL525067 REH525067 ROD525067 RXZ525067 SHV525067 SRR525067 TBN525067 TLJ525067 TVF525067 UFB525067 UOX525067 UYT525067 VIP525067 VSL525067 WCH525067 WMD525067 WVZ525067 R590603 JN590603 TJ590603 ADF590603 ANB590603 AWX590603 BGT590603 BQP590603 CAL590603 CKH590603 CUD590603 DDZ590603 DNV590603 DXR590603 EHN590603 ERJ590603 FBF590603 FLB590603 FUX590603 GET590603 GOP590603 GYL590603 HIH590603 HSD590603 IBZ590603 ILV590603 IVR590603 JFN590603 JPJ590603 JZF590603 KJB590603 KSX590603 LCT590603 LMP590603 LWL590603 MGH590603 MQD590603 MZZ590603 NJV590603 NTR590603 ODN590603 ONJ590603 OXF590603 PHB590603 PQX590603 QAT590603 QKP590603 QUL590603 REH590603 ROD590603 RXZ590603 SHV590603 SRR590603 TBN590603 TLJ590603 TVF590603 UFB590603 UOX590603 UYT590603 VIP590603 VSL590603 WCH590603 WMD590603 WVZ590603 R656139 JN656139 TJ656139 ADF656139 ANB656139 AWX656139 BGT656139 BQP656139 CAL656139 CKH656139 CUD656139 DDZ656139 DNV656139 DXR656139 EHN656139 ERJ656139 FBF656139 FLB656139 FUX656139 GET656139 GOP656139 GYL656139 HIH656139 HSD656139 IBZ656139 ILV656139 IVR656139 JFN656139 JPJ656139 JZF656139 KJB656139 KSX656139 LCT656139 LMP656139 LWL656139 MGH656139 MQD656139 MZZ656139 NJV656139 NTR656139 ODN656139 ONJ656139 OXF656139 PHB656139 PQX656139 QAT656139 QKP656139 QUL656139 REH656139 ROD656139 RXZ656139 SHV656139 SRR656139 TBN656139 TLJ656139 TVF656139 UFB656139 UOX656139 UYT656139 VIP656139 VSL656139 WCH656139 WMD656139 WVZ656139 R721675 JN721675 TJ721675 ADF721675 ANB721675 AWX721675 BGT721675 BQP721675 CAL721675 CKH721675 CUD721675 DDZ721675 DNV721675 DXR721675 EHN721675 ERJ721675 FBF721675 FLB721675 FUX721675 GET721675 GOP721675 GYL721675 HIH721675 HSD721675 IBZ721675 ILV721675 IVR721675 JFN721675 JPJ721675 JZF721675 KJB721675 KSX721675 LCT721675 LMP721675 LWL721675 MGH721675 MQD721675 MZZ721675 NJV721675 NTR721675 ODN721675 ONJ721675 OXF721675 PHB721675 PQX721675 QAT721675 QKP721675 QUL721675 REH721675 ROD721675 RXZ721675 SHV721675 SRR721675 TBN721675 TLJ721675 TVF721675 UFB721675 UOX721675 UYT721675 VIP721675 VSL721675 WCH721675 WMD721675 WVZ721675 R787211 JN787211 TJ787211 ADF787211 ANB787211 AWX787211 BGT787211 BQP787211 CAL787211 CKH787211 CUD787211 DDZ787211 DNV787211 DXR787211 EHN787211 ERJ787211 FBF787211 FLB787211 FUX787211 GET787211 GOP787211 GYL787211 HIH787211 HSD787211 IBZ787211 ILV787211 IVR787211 JFN787211 JPJ787211 JZF787211 KJB787211 KSX787211 LCT787211 LMP787211 LWL787211 MGH787211 MQD787211 MZZ787211 NJV787211 NTR787211 ODN787211 ONJ787211 OXF787211 PHB787211 PQX787211 QAT787211 QKP787211 QUL787211 REH787211 ROD787211 RXZ787211 SHV787211 SRR787211 TBN787211 TLJ787211 TVF787211 UFB787211 UOX787211 UYT787211 VIP787211 VSL787211 WCH787211 WMD787211 WVZ787211 R852747 JN852747 TJ852747 ADF852747 ANB852747 AWX852747 BGT852747 BQP852747 CAL852747 CKH852747 CUD852747 DDZ852747 DNV852747 DXR852747 EHN852747 ERJ852747 FBF852747 FLB852747 FUX852747 GET852747 GOP852747 GYL852747 HIH852747 HSD852747 IBZ852747 ILV852747 IVR852747 JFN852747 JPJ852747 JZF852747 KJB852747 KSX852747 LCT852747 LMP852747 LWL852747 MGH852747 MQD852747 MZZ852747 NJV852747 NTR852747 ODN852747 ONJ852747 OXF852747 PHB852747 PQX852747 QAT852747 QKP852747 QUL852747 REH852747 ROD852747 RXZ852747 SHV852747 SRR852747 TBN852747 TLJ852747 TVF852747 UFB852747 UOX852747 UYT852747 VIP852747 VSL852747 WCH852747 WMD852747 WVZ852747 R918283 JN918283 TJ918283 ADF918283 ANB918283 AWX918283 BGT918283 BQP918283 CAL918283 CKH918283 CUD918283 DDZ918283 DNV918283 DXR918283 EHN918283 ERJ918283 FBF918283 FLB918283 FUX918283 GET918283 GOP918283 GYL918283 HIH918283 HSD918283 IBZ918283 ILV918283 IVR918283 JFN918283 JPJ918283 JZF918283 KJB918283 KSX918283 LCT918283 LMP918283 LWL918283 MGH918283 MQD918283 MZZ918283 NJV918283 NTR918283 ODN918283 ONJ918283 OXF918283 PHB918283 PQX918283 QAT918283 QKP918283 QUL918283 REH918283 ROD918283 RXZ918283 SHV918283 SRR918283 TBN918283 TLJ918283 TVF918283 UFB918283 UOX918283 UYT918283 VIP918283 VSL918283 WCH918283 WMD918283 WVZ918283 R983819 JN983819 TJ983819 ADF983819 ANB983819 AWX983819 BGT983819 BQP983819 CAL983819 CKH983819 CUD983819 DDZ983819 DNV983819 DXR983819 EHN983819 ERJ983819 FBF983819 FLB983819 FUX983819 GET983819 GOP983819 GYL983819 HIH983819 HSD983819 IBZ983819 ILV983819 IVR983819 JFN983819 JPJ983819 JZF983819 KJB983819 KSX983819 LCT983819 LMP983819 LWL983819 MGH983819 MQD983819 MZZ983819 NJV983819 NTR983819 ODN983819 ONJ983819 OXF983819 PHB983819 PQX983819 QAT983819 QKP983819 QUL983819 REH983819 ROD983819 RXZ983819 SHV983819 SRR983819 TBN983819 TLJ983819 TVF983819 UFB983819 UOX983819 UYT983819 VIP983819 VSL983819 WCH983819 WMD983819 WVZ983819" xr:uid="{E996B333-F034-46A1-9B83-A7FC214F69CB}">
      <formula1>$AA$754:$AA$755</formula1>
    </dataValidation>
    <dataValidation type="list" allowBlank="1" showInputMessage="1" showErrorMessage="1" sqref="P705 JL705 TH705 ADD705 AMZ705 AWV705 BGR705 BQN705 CAJ705 CKF705 CUB705 DDX705 DNT705 DXP705 EHL705 ERH705 FBD705 FKZ705 FUV705 GER705 GON705 GYJ705 HIF705 HSB705 IBX705 ILT705 IVP705 JFL705 JPH705 JZD705 KIZ705 KSV705 LCR705 LMN705 LWJ705 MGF705 MQB705 MZX705 NJT705 NTP705 ODL705 ONH705 OXD705 PGZ705 PQV705 QAR705 QKN705 QUJ705 REF705 ROB705 RXX705 SHT705 SRP705 TBL705 TLH705 TVD705 UEZ705 UOV705 UYR705 VIN705 VSJ705 WCF705 WMB705 WVX705 P66241 JL66241 TH66241 ADD66241 AMZ66241 AWV66241 BGR66241 BQN66241 CAJ66241 CKF66241 CUB66241 DDX66241 DNT66241 DXP66241 EHL66241 ERH66241 FBD66241 FKZ66241 FUV66241 GER66241 GON66241 GYJ66241 HIF66241 HSB66241 IBX66241 ILT66241 IVP66241 JFL66241 JPH66241 JZD66241 KIZ66241 KSV66241 LCR66241 LMN66241 LWJ66241 MGF66241 MQB66241 MZX66241 NJT66241 NTP66241 ODL66241 ONH66241 OXD66241 PGZ66241 PQV66241 QAR66241 QKN66241 QUJ66241 REF66241 ROB66241 RXX66241 SHT66241 SRP66241 TBL66241 TLH66241 TVD66241 UEZ66241 UOV66241 UYR66241 VIN66241 VSJ66241 WCF66241 WMB66241 WVX66241 P131777 JL131777 TH131777 ADD131777 AMZ131777 AWV131777 BGR131777 BQN131777 CAJ131777 CKF131777 CUB131777 DDX131777 DNT131777 DXP131777 EHL131777 ERH131777 FBD131777 FKZ131777 FUV131777 GER131777 GON131777 GYJ131777 HIF131777 HSB131777 IBX131777 ILT131777 IVP131777 JFL131777 JPH131777 JZD131777 KIZ131777 KSV131777 LCR131777 LMN131777 LWJ131777 MGF131777 MQB131777 MZX131777 NJT131777 NTP131777 ODL131777 ONH131777 OXD131777 PGZ131777 PQV131777 QAR131777 QKN131777 QUJ131777 REF131777 ROB131777 RXX131777 SHT131777 SRP131777 TBL131777 TLH131777 TVD131777 UEZ131777 UOV131777 UYR131777 VIN131777 VSJ131777 WCF131777 WMB131777 WVX131777 P197313 JL197313 TH197313 ADD197313 AMZ197313 AWV197313 BGR197313 BQN197313 CAJ197313 CKF197313 CUB197313 DDX197313 DNT197313 DXP197313 EHL197313 ERH197313 FBD197313 FKZ197313 FUV197313 GER197313 GON197313 GYJ197313 HIF197313 HSB197313 IBX197313 ILT197313 IVP197313 JFL197313 JPH197313 JZD197313 KIZ197313 KSV197313 LCR197313 LMN197313 LWJ197313 MGF197313 MQB197313 MZX197313 NJT197313 NTP197313 ODL197313 ONH197313 OXD197313 PGZ197313 PQV197313 QAR197313 QKN197313 QUJ197313 REF197313 ROB197313 RXX197313 SHT197313 SRP197313 TBL197313 TLH197313 TVD197313 UEZ197313 UOV197313 UYR197313 VIN197313 VSJ197313 WCF197313 WMB197313 WVX197313 P262849 JL262849 TH262849 ADD262849 AMZ262849 AWV262849 BGR262849 BQN262849 CAJ262849 CKF262849 CUB262849 DDX262849 DNT262849 DXP262849 EHL262849 ERH262849 FBD262849 FKZ262849 FUV262849 GER262849 GON262849 GYJ262849 HIF262849 HSB262849 IBX262849 ILT262849 IVP262849 JFL262849 JPH262849 JZD262849 KIZ262849 KSV262849 LCR262849 LMN262849 LWJ262849 MGF262849 MQB262849 MZX262849 NJT262849 NTP262849 ODL262849 ONH262849 OXD262849 PGZ262849 PQV262849 QAR262849 QKN262849 QUJ262849 REF262849 ROB262849 RXX262849 SHT262849 SRP262849 TBL262849 TLH262849 TVD262849 UEZ262849 UOV262849 UYR262849 VIN262849 VSJ262849 WCF262849 WMB262849 WVX262849 P328385 JL328385 TH328385 ADD328385 AMZ328385 AWV328385 BGR328385 BQN328385 CAJ328385 CKF328385 CUB328385 DDX328385 DNT328385 DXP328385 EHL328385 ERH328385 FBD328385 FKZ328385 FUV328385 GER328385 GON328385 GYJ328385 HIF328385 HSB328385 IBX328385 ILT328385 IVP328385 JFL328385 JPH328385 JZD328385 KIZ328385 KSV328385 LCR328385 LMN328385 LWJ328385 MGF328385 MQB328385 MZX328385 NJT328385 NTP328385 ODL328385 ONH328385 OXD328385 PGZ328385 PQV328385 QAR328385 QKN328385 QUJ328385 REF328385 ROB328385 RXX328385 SHT328385 SRP328385 TBL328385 TLH328385 TVD328385 UEZ328385 UOV328385 UYR328385 VIN328385 VSJ328385 WCF328385 WMB328385 WVX328385 P393921 JL393921 TH393921 ADD393921 AMZ393921 AWV393921 BGR393921 BQN393921 CAJ393921 CKF393921 CUB393921 DDX393921 DNT393921 DXP393921 EHL393921 ERH393921 FBD393921 FKZ393921 FUV393921 GER393921 GON393921 GYJ393921 HIF393921 HSB393921 IBX393921 ILT393921 IVP393921 JFL393921 JPH393921 JZD393921 KIZ393921 KSV393921 LCR393921 LMN393921 LWJ393921 MGF393921 MQB393921 MZX393921 NJT393921 NTP393921 ODL393921 ONH393921 OXD393921 PGZ393921 PQV393921 QAR393921 QKN393921 QUJ393921 REF393921 ROB393921 RXX393921 SHT393921 SRP393921 TBL393921 TLH393921 TVD393921 UEZ393921 UOV393921 UYR393921 VIN393921 VSJ393921 WCF393921 WMB393921 WVX393921 P459457 JL459457 TH459457 ADD459457 AMZ459457 AWV459457 BGR459457 BQN459457 CAJ459457 CKF459457 CUB459457 DDX459457 DNT459457 DXP459457 EHL459457 ERH459457 FBD459457 FKZ459457 FUV459457 GER459457 GON459457 GYJ459457 HIF459457 HSB459457 IBX459457 ILT459457 IVP459457 JFL459457 JPH459457 JZD459457 KIZ459457 KSV459457 LCR459457 LMN459457 LWJ459457 MGF459457 MQB459457 MZX459457 NJT459457 NTP459457 ODL459457 ONH459457 OXD459457 PGZ459457 PQV459457 QAR459457 QKN459457 QUJ459457 REF459457 ROB459457 RXX459457 SHT459457 SRP459457 TBL459457 TLH459457 TVD459457 UEZ459457 UOV459457 UYR459457 VIN459457 VSJ459457 WCF459457 WMB459457 WVX459457 P524993 JL524993 TH524993 ADD524993 AMZ524993 AWV524993 BGR524993 BQN524993 CAJ524993 CKF524993 CUB524993 DDX524993 DNT524993 DXP524993 EHL524993 ERH524993 FBD524993 FKZ524993 FUV524993 GER524993 GON524993 GYJ524993 HIF524993 HSB524993 IBX524993 ILT524993 IVP524993 JFL524993 JPH524993 JZD524993 KIZ524993 KSV524993 LCR524993 LMN524993 LWJ524993 MGF524993 MQB524993 MZX524993 NJT524993 NTP524993 ODL524993 ONH524993 OXD524993 PGZ524993 PQV524993 QAR524993 QKN524993 QUJ524993 REF524993 ROB524993 RXX524993 SHT524993 SRP524993 TBL524993 TLH524993 TVD524993 UEZ524993 UOV524993 UYR524993 VIN524993 VSJ524993 WCF524993 WMB524993 WVX524993 P590529 JL590529 TH590529 ADD590529 AMZ590529 AWV590529 BGR590529 BQN590529 CAJ590529 CKF590529 CUB590529 DDX590529 DNT590529 DXP590529 EHL590529 ERH590529 FBD590529 FKZ590529 FUV590529 GER590529 GON590529 GYJ590529 HIF590529 HSB590529 IBX590529 ILT590529 IVP590529 JFL590529 JPH590529 JZD590529 KIZ590529 KSV590529 LCR590529 LMN590529 LWJ590529 MGF590529 MQB590529 MZX590529 NJT590529 NTP590529 ODL590529 ONH590529 OXD590529 PGZ590529 PQV590529 QAR590529 QKN590529 QUJ590529 REF590529 ROB590529 RXX590529 SHT590529 SRP590529 TBL590529 TLH590529 TVD590529 UEZ590529 UOV590529 UYR590529 VIN590529 VSJ590529 WCF590529 WMB590529 WVX590529 P656065 JL656065 TH656065 ADD656065 AMZ656065 AWV656065 BGR656065 BQN656065 CAJ656065 CKF656065 CUB656065 DDX656065 DNT656065 DXP656065 EHL656065 ERH656065 FBD656065 FKZ656065 FUV656065 GER656065 GON656065 GYJ656065 HIF656065 HSB656065 IBX656065 ILT656065 IVP656065 JFL656065 JPH656065 JZD656065 KIZ656065 KSV656065 LCR656065 LMN656065 LWJ656065 MGF656065 MQB656065 MZX656065 NJT656065 NTP656065 ODL656065 ONH656065 OXD656065 PGZ656065 PQV656065 QAR656065 QKN656065 QUJ656065 REF656065 ROB656065 RXX656065 SHT656065 SRP656065 TBL656065 TLH656065 TVD656065 UEZ656065 UOV656065 UYR656065 VIN656065 VSJ656065 WCF656065 WMB656065 WVX656065 P721601 JL721601 TH721601 ADD721601 AMZ721601 AWV721601 BGR721601 BQN721601 CAJ721601 CKF721601 CUB721601 DDX721601 DNT721601 DXP721601 EHL721601 ERH721601 FBD721601 FKZ721601 FUV721601 GER721601 GON721601 GYJ721601 HIF721601 HSB721601 IBX721601 ILT721601 IVP721601 JFL721601 JPH721601 JZD721601 KIZ721601 KSV721601 LCR721601 LMN721601 LWJ721601 MGF721601 MQB721601 MZX721601 NJT721601 NTP721601 ODL721601 ONH721601 OXD721601 PGZ721601 PQV721601 QAR721601 QKN721601 QUJ721601 REF721601 ROB721601 RXX721601 SHT721601 SRP721601 TBL721601 TLH721601 TVD721601 UEZ721601 UOV721601 UYR721601 VIN721601 VSJ721601 WCF721601 WMB721601 WVX721601 P787137 JL787137 TH787137 ADD787137 AMZ787137 AWV787137 BGR787137 BQN787137 CAJ787137 CKF787137 CUB787137 DDX787137 DNT787137 DXP787137 EHL787137 ERH787137 FBD787137 FKZ787137 FUV787137 GER787137 GON787137 GYJ787137 HIF787137 HSB787137 IBX787137 ILT787137 IVP787137 JFL787137 JPH787137 JZD787137 KIZ787137 KSV787137 LCR787137 LMN787137 LWJ787137 MGF787137 MQB787137 MZX787137 NJT787137 NTP787137 ODL787137 ONH787137 OXD787137 PGZ787137 PQV787137 QAR787137 QKN787137 QUJ787137 REF787137 ROB787137 RXX787137 SHT787137 SRP787137 TBL787137 TLH787137 TVD787137 UEZ787137 UOV787137 UYR787137 VIN787137 VSJ787137 WCF787137 WMB787137 WVX787137 P852673 JL852673 TH852673 ADD852673 AMZ852673 AWV852673 BGR852673 BQN852673 CAJ852673 CKF852673 CUB852673 DDX852673 DNT852673 DXP852673 EHL852673 ERH852673 FBD852673 FKZ852673 FUV852673 GER852673 GON852673 GYJ852673 HIF852673 HSB852673 IBX852673 ILT852673 IVP852673 JFL852673 JPH852673 JZD852673 KIZ852673 KSV852673 LCR852673 LMN852673 LWJ852673 MGF852673 MQB852673 MZX852673 NJT852673 NTP852673 ODL852673 ONH852673 OXD852673 PGZ852673 PQV852673 QAR852673 QKN852673 QUJ852673 REF852673 ROB852673 RXX852673 SHT852673 SRP852673 TBL852673 TLH852673 TVD852673 UEZ852673 UOV852673 UYR852673 VIN852673 VSJ852673 WCF852673 WMB852673 WVX852673 P918209 JL918209 TH918209 ADD918209 AMZ918209 AWV918209 BGR918209 BQN918209 CAJ918209 CKF918209 CUB918209 DDX918209 DNT918209 DXP918209 EHL918209 ERH918209 FBD918209 FKZ918209 FUV918209 GER918209 GON918209 GYJ918209 HIF918209 HSB918209 IBX918209 ILT918209 IVP918209 JFL918209 JPH918209 JZD918209 KIZ918209 KSV918209 LCR918209 LMN918209 LWJ918209 MGF918209 MQB918209 MZX918209 NJT918209 NTP918209 ODL918209 ONH918209 OXD918209 PGZ918209 PQV918209 QAR918209 QKN918209 QUJ918209 REF918209 ROB918209 RXX918209 SHT918209 SRP918209 TBL918209 TLH918209 TVD918209 UEZ918209 UOV918209 UYR918209 VIN918209 VSJ918209 WCF918209 WMB918209 WVX918209 P983745 JL983745 TH983745 ADD983745 AMZ983745 AWV983745 BGR983745 BQN983745 CAJ983745 CKF983745 CUB983745 DDX983745 DNT983745 DXP983745 EHL983745 ERH983745 FBD983745 FKZ983745 FUV983745 GER983745 GON983745 GYJ983745 HIF983745 HSB983745 IBX983745 ILT983745 IVP983745 JFL983745 JPH983745 JZD983745 KIZ983745 KSV983745 LCR983745 LMN983745 LWJ983745 MGF983745 MQB983745 MZX983745 NJT983745 NTP983745 ODL983745 ONH983745 OXD983745 PGZ983745 PQV983745 QAR983745 QKN983745 QUJ983745 REF983745 ROB983745 RXX983745 SHT983745 SRP983745 TBL983745 TLH983745 TVD983745 UEZ983745 UOV983745 UYR983745 VIN983745 VSJ983745 WCF983745 WMB983745 WVX983745" xr:uid="{53C3260E-0081-413E-BA52-4EA86FA274A5}">
      <formula1>$BC$801:$BC$807</formula1>
    </dataValidation>
    <dataValidation type="list" allowBlank="1" showInputMessage="1" showErrorMessage="1" sqref="AL724:AL731 KH724:KH731 UD724:UD731 ADZ724:ADZ731 ANV724:ANV731 AXR724:AXR731 BHN724:BHN731 BRJ724:BRJ731 CBF724:CBF731 CLB724:CLB731 CUX724:CUX731 DET724:DET731 DOP724:DOP731 DYL724:DYL731 EIH724:EIH731 ESD724:ESD731 FBZ724:FBZ731 FLV724:FLV731 FVR724:FVR731 GFN724:GFN731 GPJ724:GPJ731 GZF724:GZF731 HJB724:HJB731 HSX724:HSX731 ICT724:ICT731 IMP724:IMP731 IWL724:IWL731 JGH724:JGH731 JQD724:JQD731 JZZ724:JZZ731 KJV724:KJV731 KTR724:KTR731 LDN724:LDN731 LNJ724:LNJ731 LXF724:LXF731 MHB724:MHB731 MQX724:MQX731 NAT724:NAT731 NKP724:NKP731 NUL724:NUL731 OEH724:OEH731 OOD724:OOD731 OXZ724:OXZ731 PHV724:PHV731 PRR724:PRR731 QBN724:QBN731 QLJ724:QLJ731 QVF724:QVF731 RFB724:RFB731 ROX724:ROX731 RYT724:RYT731 SIP724:SIP731 SSL724:SSL731 TCH724:TCH731 TMD724:TMD731 TVZ724:TVZ731 UFV724:UFV731 UPR724:UPR731 UZN724:UZN731 VJJ724:VJJ731 VTF724:VTF731 WDB724:WDB731 WMX724:WMX731 WWT724:WWT731 AL66260:AL66267 KH66260:KH66267 UD66260:UD66267 ADZ66260:ADZ66267 ANV66260:ANV66267 AXR66260:AXR66267 BHN66260:BHN66267 BRJ66260:BRJ66267 CBF66260:CBF66267 CLB66260:CLB66267 CUX66260:CUX66267 DET66260:DET66267 DOP66260:DOP66267 DYL66260:DYL66267 EIH66260:EIH66267 ESD66260:ESD66267 FBZ66260:FBZ66267 FLV66260:FLV66267 FVR66260:FVR66267 GFN66260:GFN66267 GPJ66260:GPJ66267 GZF66260:GZF66267 HJB66260:HJB66267 HSX66260:HSX66267 ICT66260:ICT66267 IMP66260:IMP66267 IWL66260:IWL66267 JGH66260:JGH66267 JQD66260:JQD66267 JZZ66260:JZZ66267 KJV66260:KJV66267 KTR66260:KTR66267 LDN66260:LDN66267 LNJ66260:LNJ66267 LXF66260:LXF66267 MHB66260:MHB66267 MQX66260:MQX66267 NAT66260:NAT66267 NKP66260:NKP66267 NUL66260:NUL66267 OEH66260:OEH66267 OOD66260:OOD66267 OXZ66260:OXZ66267 PHV66260:PHV66267 PRR66260:PRR66267 QBN66260:QBN66267 QLJ66260:QLJ66267 QVF66260:QVF66267 RFB66260:RFB66267 ROX66260:ROX66267 RYT66260:RYT66267 SIP66260:SIP66267 SSL66260:SSL66267 TCH66260:TCH66267 TMD66260:TMD66267 TVZ66260:TVZ66267 UFV66260:UFV66267 UPR66260:UPR66267 UZN66260:UZN66267 VJJ66260:VJJ66267 VTF66260:VTF66267 WDB66260:WDB66267 WMX66260:WMX66267 WWT66260:WWT66267 AL131796:AL131803 KH131796:KH131803 UD131796:UD131803 ADZ131796:ADZ131803 ANV131796:ANV131803 AXR131796:AXR131803 BHN131796:BHN131803 BRJ131796:BRJ131803 CBF131796:CBF131803 CLB131796:CLB131803 CUX131796:CUX131803 DET131796:DET131803 DOP131796:DOP131803 DYL131796:DYL131803 EIH131796:EIH131803 ESD131796:ESD131803 FBZ131796:FBZ131803 FLV131796:FLV131803 FVR131796:FVR131803 GFN131796:GFN131803 GPJ131796:GPJ131803 GZF131796:GZF131803 HJB131796:HJB131803 HSX131796:HSX131803 ICT131796:ICT131803 IMP131796:IMP131803 IWL131796:IWL131803 JGH131796:JGH131803 JQD131796:JQD131803 JZZ131796:JZZ131803 KJV131796:KJV131803 KTR131796:KTR131803 LDN131796:LDN131803 LNJ131796:LNJ131803 LXF131796:LXF131803 MHB131796:MHB131803 MQX131796:MQX131803 NAT131796:NAT131803 NKP131796:NKP131803 NUL131796:NUL131803 OEH131796:OEH131803 OOD131796:OOD131803 OXZ131796:OXZ131803 PHV131796:PHV131803 PRR131796:PRR131803 QBN131796:QBN131803 QLJ131796:QLJ131803 QVF131796:QVF131803 RFB131796:RFB131803 ROX131796:ROX131803 RYT131796:RYT131803 SIP131796:SIP131803 SSL131796:SSL131803 TCH131796:TCH131803 TMD131796:TMD131803 TVZ131796:TVZ131803 UFV131796:UFV131803 UPR131796:UPR131803 UZN131796:UZN131803 VJJ131796:VJJ131803 VTF131796:VTF131803 WDB131796:WDB131803 WMX131796:WMX131803 WWT131796:WWT131803 AL197332:AL197339 KH197332:KH197339 UD197332:UD197339 ADZ197332:ADZ197339 ANV197332:ANV197339 AXR197332:AXR197339 BHN197332:BHN197339 BRJ197332:BRJ197339 CBF197332:CBF197339 CLB197332:CLB197339 CUX197332:CUX197339 DET197332:DET197339 DOP197332:DOP197339 DYL197332:DYL197339 EIH197332:EIH197339 ESD197332:ESD197339 FBZ197332:FBZ197339 FLV197332:FLV197339 FVR197332:FVR197339 GFN197332:GFN197339 GPJ197332:GPJ197339 GZF197332:GZF197339 HJB197332:HJB197339 HSX197332:HSX197339 ICT197332:ICT197339 IMP197332:IMP197339 IWL197332:IWL197339 JGH197332:JGH197339 JQD197332:JQD197339 JZZ197332:JZZ197339 KJV197332:KJV197339 KTR197332:KTR197339 LDN197332:LDN197339 LNJ197332:LNJ197339 LXF197332:LXF197339 MHB197332:MHB197339 MQX197332:MQX197339 NAT197332:NAT197339 NKP197332:NKP197339 NUL197332:NUL197339 OEH197332:OEH197339 OOD197332:OOD197339 OXZ197332:OXZ197339 PHV197332:PHV197339 PRR197332:PRR197339 QBN197332:QBN197339 QLJ197332:QLJ197339 QVF197332:QVF197339 RFB197332:RFB197339 ROX197332:ROX197339 RYT197332:RYT197339 SIP197332:SIP197339 SSL197332:SSL197339 TCH197332:TCH197339 TMD197332:TMD197339 TVZ197332:TVZ197339 UFV197332:UFV197339 UPR197332:UPR197339 UZN197332:UZN197339 VJJ197332:VJJ197339 VTF197332:VTF197339 WDB197332:WDB197339 WMX197332:WMX197339 WWT197332:WWT197339 AL262868:AL262875 KH262868:KH262875 UD262868:UD262875 ADZ262868:ADZ262875 ANV262868:ANV262875 AXR262868:AXR262875 BHN262868:BHN262875 BRJ262868:BRJ262875 CBF262868:CBF262875 CLB262868:CLB262875 CUX262868:CUX262875 DET262868:DET262875 DOP262868:DOP262875 DYL262868:DYL262875 EIH262868:EIH262875 ESD262868:ESD262875 FBZ262868:FBZ262875 FLV262868:FLV262875 FVR262868:FVR262875 GFN262868:GFN262875 GPJ262868:GPJ262875 GZF262868:GZF262875 HJB262868:HJB262875 HSX262868:HSX262875 ICT262868:ICT262875 IMP262868:IMP262875 IWL262868:IWL262875 JGH262868:JGH262875 JQD262868:JQD262875 JZZ262868:JZZ262875 KJV262868:KJV262875 KTR262868:KTR262875 LDN262868:LDN262875 LNJ262868:LNJ262875 LXF262868:LXF262875 MHB262868:MHB262875 MQX262868:MQX262875 NAT262868:NAT262875 NKP262868:NKP262875 NUL262868:NUL262875 OEH262868:OEH262875 OOD262868:OOD262875 OXZ262868:OXZ262875 PHV262868:PHV262875 PRR262868:PRR262875 QBN262868:QBN262875 QLJ262868:QLJ262875 QVF262868:QVF262875 RFB262868:RFB262875 ROX262868:ROX262875 RYT262868:RYT262875 SIP262868:SIP262875 SSL262868:SSL262875 TCH262868:TCH262875 TMD262868:TMD262875 TVZ262868:TVZ262875 UFV262868:UFV262875 UPR262868:UPR262875 UZN262868:UZN262875 VJJ262868:VJJ262875 VTF262868:VTF262875 WDB262868:WDB262875 WMX262868:WMX262875 WWT262868:WWT262875 AL328404:AL328411 KH328404:KH328411 UD328404:UD328411 ADZ328404:ADZ328411 ANV328404:ANV328411 AXR328404:AXR328411 BHN328404:BHN328411 BRJ328404:BRJ328411 CBF328404:CBF328411 CLB328404:CLB328411 CUX328404:CUX328411 DET328404:DET328411 DOP328404:DOP328411 DYL328404:DYL328411 EIH328404:EIH328411 ESD328404:ESD328411 FBZ328404:FBZ328411 FLV328404:FLV328411 FVR328404:FVR328411 GFN328404:GFN328411 GPJ328404:GPJ328411 GZF328404:GZF328411 HJB328404:HJB328411 HSX328404:HSX328411 ICT328404:ICT328411 IMP328404:IMP328411 IWL328404:IWL328411 JGH328404:JGH328411 JQD328404:JQD328411 JZZ328404:JZZ328411 KJV328404:KJV328411 KTR328404:KTR328411 LDN328404:LDN328411 LNJ328404:LNJ328411 LXF328404:LXF328411 MHB328404:MHB328411 MQX328404:MQX328411 NAT328404:NAT328411 NKP328404:NKP328411 NUL328404:NUL328411 OEH328404:OEH328411 OOD328404:OOD328411 OXZ328404:OXZ328411 PHV328404:PHV328411 PRR328404:PRR328411 QBN328404:QBN328411 QLJ328404:QLJ328411 QVF328404:QVF328411 RFB328404:RFB328411 ROX328404:ROX328411 RYT328404:RYT328411 SIP328404:SIP328411 SSL328404:SSL328411 TCH328404:TCH328411 TMD328404:TMD328411 TVZ328404:TVZ328411 UFV328404:UFV328411 UPR328404:UPR328411 UZN328404:UZN328411 VJJ328404:VJJ328411 VTF328404:VTF328411 WDB328404:WDB328411 WMX328404:WMX328411 WWT328404:WWT328411 AL393940:AL393947 KH393940:KH393947 UD393940:UD393947 ADZ393940:ADZ393947 ANV393940:ANV393947 AXR393940:AXR393947 BHN393940:BHN393947 BRJ393940:BRJ393947 CBF393940:CBF393947 CLB393940:CLB393947 CUX393940:CUX393947 DET393940:DET393947 DOP393940:DOP393947 DYL393940:DYL393947 EIH393940:EIH393947 ESD393940:ESD393947 FBZ393940:FBZ393947 FLV393940:FLV393947 FVR393940:FVR393947 GFN393940:GFN393947 GPJ393940:GPJ393947 GZF393940:GZF393947 HJB393940:HJB393947 HSX393940:HSX393947 ICT393940:ICT393947 IMP393940:IMP393947 IWL393940:IWL393947 JGH393940:JGH393947 JQD393940:JQD393947 JZZ393940:JZZ393947 KJV393940:KJV393947 KTR393940:KTR393947 LDN393940:LDN393947 LNJ393940:LNJ393947 LXF393940:LXF393947 MHB393940:MHB393947 MQX393940:MQX393947 NAT393940:NAT393947 NKP393940:NKP393947 NUL393940:NUL393947 OEH393940:OEH393947 OOD393940:OOD393947 OXZ393940:OXZ393947 PHV393940:PHV393947 PRR393940:PRR393947 QBN393940:QBN393947 QLJ393940:QLJ393947 QVF393940:QVF393947 RFB393940:RFB393947 ROX393940:ROX393947 RYT393940:RYT393947 SIP393940:SIP393947 SSL393940:SSL393947 TCH393940:TCH393947 TMD393940:TMD393947 TVZ393940:TVZ393947 UFV393940:UFV393947 UPR393940:UPR393947 UZN393940:UZN393947 VJJ393940:VJJ393947 VTF393940:VTF393947 WDB393940:WDB393947 WMX393940:WMX393947 WWT393940:WWT393947 AL459476:AL459483 KH459476:KH459483 UD459476:UD459483 ADZ459476:ADZ459483 ANV459476:ANV459483 AXR459476:AXR459483 BHN459476:BHN459483 BRJ459476:BRJ459483 CBF459476:CBF459483 CLB459476:CLB459483 CUX459476:CUX459483 DET459476:DET459483 DOP459476:DOP459483 DYL459476:DYL459483 EIH459476:EIH459483 ESD459476:ESD459483 FBZ459476:FBZ459483 FLV459476:FLV459483 FVR459476:FVR459483 GFN459476:GFN459483 GPJ459476:GPJ459483 GZF459476:GZF459483 HJB459476:HJB459483 HSX459476:HSX459483 ICT459476:ICT459483 IMP459476:IMP459483 IWL459476:IWL459483 JGH459476:JGH459483 JQD459476:JQD459483 JZZ459476:JZZ459483 KJV459476:KJV459483 KTR459476:KTR459483 LDN459476:LDN459483 LNJ459476:LNJ459483 LXF459476:LXF459483 MHB459476:MHB459483 MQX459476:MQX459483 NAT459476:NAT459483 NKP459476:NKP459483 NUL459476:NUL459483 OEH459476:OEH459483 OOD459476:OOD459483 OXZ459476:OXZ459483 PHV459476:PHV459483 PRR459476:PRR459483 QBN459476:QBN459483 QLJ459476:QLJ459483 QVF459476:QVF459483 RFB459476:RFB459483 ROX459476:ROX459483 RYT459476:RYT459483 SIP459476:SIP459483 SSL459476:SSL459483 TCH459476:TCH459483 TMD459476:TMD459483 TVZ459476:TVZ459483 UFV459476:UFV459483 UPR459476:UPR459483 UZN459476:UZN459483 VJJ459476:VJJ459483 VTF459476:VTF459483 WDB459476:WDB459483 WMX459476:WMX459483 WWT459476:WWT459483 AL525012:AL525019 KH525012:KH525019 UD525012:UD525019 ADZ525012:ADZ525019 ANV525012:ANV525019 AXR525012:AXR525019 BHN525012:BHN525019 BRJ525012:BRJ525019 CBF525012:CBF525019 CLB525012:CLB525019 CUX525012:CUX525019 DET525012:DET525019 DOP525012:DOP525019 DYL525012:DYL525019 EIH525012:EIH525019 ESD525012:ESD525019 FBZ525012:FBZ525019 FLV525012:FLV525019 FVR525012:FVR525019 GFN525012:GFN525019 GPJ525012:GPJ525019 GZF525012:GZF525019 HJB525012:HJB525019 HSX525012:HSX525019 ICT525012:ICT525019 IMP525012:IMP525019 IWL525012:IWL525019 JGH525012:JGH525019 JQD525012:JQD525019 JZZ525012:JZZ525019 KJV525012:KJV525019 KTR525012:KTR525019 LDN525012:LDN525019 LNJ525012:LNJ525019 LXF525012:LXF525019 MHB525012:MHB525019 MQX525012:MQX525019 NAT525012:NAT525019 NKP525012:NKP525019 NUL525012:NUL525019 OEH525012:OEH525019 OOD525012:OOD525019 OXZ525012:OXZ525019 PHV525012:PHV525019 PRR525012:PRR525019 QBN525012:QBN525019 QLJ525012:QLJ525019 QVF525012:QVF525019 RFB525012:RFB525019 ROX525012:ROX525019 RYT525012:RYT525019 SIP525012:SIP525019 SSL525012:SSL525019 TCH525012:TCH525019 TMD525012:TMD525019 TVZ525012:TVZ525019 UFV525012:UFV525019 UPR525012:UPR525019 UZN525012:UZN525019 VJJ525012:VJJ525019 VTF525012:VTF525019 WDB525012:WDB525019 WMX525012:WMX525019 WWT525012:WWT525019 AL590548:AL590555 KH590548:KH590555 UD590548:UD590555 ADZ590548:ADZ590555 ANV590548:ANV590555 AXR590548:AXR590555 BHN590548:BHN590555 BRJ590548:BRJ590555 CBF590548:CBF590555 CLB590548:CLB590555 CUX590548:CUX590555 DET590548:DET590555 DOP590548:DOP590555 DYL590548:DYL590555 EIH590548:EIH590555 ESD590548:ESD590555 FBZ590548:FBZ590555 FLV590548:FLV590555 FVR590548:FVR590555 GFN590548:GFN590555 GPJ590548:GPJ590555 GZF590548:GZF590555 HJB590548:HJB590555 HSX590548:HSX590555 ICT590548:ICT590555 IMP590548:IMP590555 IWL590548:IWL590555 JGH590548:JGH590555 JQD590548:JQD590555 JZZ590548:JZZ590555 KJV590548:KJV590555 KTR590548:KTR590555 LDN590548:LDN590555 LNJ590548:LNJ590555 LXF590548:LXF590555 MHB590548:MHB590555 MQX590548:MQX590555 NAT590548:NAT590555 NKP590548:NKP590555 NUL590548:NUL590555 OEH590548:OEH590555 OOD590548:OOD590555 OXZ590548:OXZ590555 PHV590548:PHV590555 PRR590548:PRR590555 QBN590548:QBN590555 QLJ590548:QLJ590555 QVF590548:QVF590555 RFB590548:RFB590555 ROX590548:ROX590555 RYT590548:RYT590555 SIP590548:SIP590555 SSL590548:SSL590555 TCH590548:TCH590555 TMD590548:TMD590555 TVZ590548:TVZ590555 UFV590548:UFV590555 UPR590548:UPR590555 UZN590548:UZN590555 VJJ590548:VJJ590555 VTF590548:VTF590555 WDB590548:WDB590555 WMX590548:WMX590555 WWT590548:WWT590555 AL656084:AL656091 KH656084:KH656091 UD656084:UD656091 ADZ656084:ADZ656091 ANV656084:ANV656091 AXR656084:AXR656091 BHN656084:BHN656091 BRJ656084:BRJ656091 CBF656084:CBF656091 CLB656084:CLB656091 CUX656084:CUX656091 DET656084:DET656091 DOP656084:DOP656091 DYL656084:DYL656091 EIH656084:EIH656091 ESD656084:ESD656091 FBZ656084:FBZ656091 FLV656084:FLV656091 FVR656084:FVR656091 GFN656084:GFN656091 GPJ656084:GPJ656091 GZF656084:GZF656091 HJB656084:HJB656091 HSX656084:HSX656091 ICT656084:ICT656091 IMP656084:IMP656091 IWL656084:IWL656091 JGH656084:JGH656091 JQD656084:JQD656091 JZZ656084:JZZ656091 KJV656084:KJV656091 KTR656084:KTR656091 LDN656084:LDN656091 LNJ656084:LNJ656091 LXF656084:LXF656091 MHB656084:MHB656091 MQX656084:MQX656091 NAT656084:NAT656091 NKP656084:NKP656091 NUL656084:NUL656091 OEH656084:OEH656091 OOD656084:OOD656091 OXZ656084:OXZ656091 PHV656084:PHV656091 PRR656084:PRR656091 QBN656084:QBN656091 QLJ656084:QLJ656091 QVF656084:QVF656091 RFB656084:RFB656091 ROX656084:ROX656091 RYT656084:RYT656091 SIP656084:SIP656091 SSL656084:SSL656091 TCH656084:TCH656091 TMD656084:TMD656091 TVZ656084:TVZ656091 UFV656084:UFV656091 UPR656084:UPR656091 UZN656084:UZN656091 VJJ656084:VJJ656091 VTF656084:VTF656091 WDB656084:WDB656091 WMX656084:WMX656091 WWT656084:WWT656091 AL721620:AL721627 KH721620:KH721627 UD721620:UD721627 ADZ721620:ADZ721627 ANV721620:ANV721627 AXR721620:AXR721627 BHN721620:BHN721627 BRJ721620:BRJ721627 CBF721620:CBF721627 CLB721620:CLB721627 CUX721620:CUX721627 DET721620:DET721627 DOP721620:DOP721627 DYL721620:DYL721627 EIH721620:EIH721627 ESD721620:ESD721627 FBZ721620:FBZ721627 FLV721620:FLV721627 FVR721620:FVR721627 GFN721620:GFN721627 GPJ721620:GPJ721627 GZF721620:GZF721627 HJB721620:HJB721627 HSX721620:HSX721627 ICT721620:ICT721627 IMP721620:IMP721627 IWL721620:IWL721627 JGH721620:JGH721627 JQD721620:JQD721627 JZZ721620:JZZ721627 KJV721620:KJV721627 KTR721620:KTR721627 LDN721620:LDN721627 LNJ721620:LNJ721627 LXF721620:LXF721627 MHB721620:MHB721627 MQX721620:MQX721627 NAT721620:NAT721627 NKP721620:NKP721627 NUL721620:NUL721627 OEH721620:OEH721627 OOD721620:OOD721627 OXZ721620:OXZ721627 PHV721620:PHV721627 PRR721620:PRR721627 QBN721620:QBN721627 QLJ721620:QLJ721627 QVF721620:QVF721627 RFB721620:RFB721627 ROX721620:ROX721627 RYT721620:RYT721627 SIP721620:SIP721627 SSL721620:SSL721627 TCH721620:TCH721627 TMD721620:TMD721627 TVZ721620:TVZ721627 UFV721620:UFV721627 UPR721620:UPR721627 UZN721620:UZN721627 VJJ721620:VJJ721627 VTF721620:VTF721627 WDB721620:WDB721627 WMX721620:WMX721627 WWT721620:WWT721627 AL787156:AL787163 KH787156:KH787163 UD787156:UD787163 ADZ787156:ADZ787163 ANV787156:ANV787163 AXR787156:AXR787163 BHN787156:BHN787163 BRJ787156:BRJ787163 CBF787156:CBF787163 CLB787156:CLB787163 CUX787156:CUX787163 DET787156:DET787163 DOP787156:DOP787163 DYL787156:DYL787163 EIH787156:EIH787163 ESD787156:ESD787163 FBZ787156:FBZ787163 FLV787156:FLV787163 FVR787156:FVR787163 GFN787156:GFN787163 GPJ787156:GPJ787163 GZF787156:GZF787163 HJB787156:HJB787163 HSX787156:HSX787163 ICT787156:ICT787163 IMP787156:IMP787163 IWL787156:IWL787163 JGH787156:JGH787163 JQD787156:JQD787163 JZZ787156:JZZ787163 KJV787156:KJV787163 KTR787156:KTR787163 LDN787156:LDN787163 LNJ787156:LNJ787163 LXF787156:LXF787163 MHB787156:MHB787163 MQX787156:MQX787163 NAT787156:NAT787163 NKP787156:NKP787163 NUL787156:NUL787163 OEH787156:OEH787163 OOD787156:OOD787163 OXZ787156:OXZ787163 PHV787156:PHV787163 PRR787156:PRR787163 QBN787156:QBN787163 QLJ787156:QLJ787163 QVF787156:QVF787163 RFB787156:RFB787163 ROX787156:ROX787163 RYT787156:RYT787163 SIP787156:SIP787163 SSL787156:SSL787163 TCH787156:TCH787163 TMD787156:TMD787163 TVZ787156:TVZ787163 UFV787156:UFV787163 UPR787156:UPR787163 UZN787156:UZN787163 VJJ787156:VJJ787163 VTF787156:VTF787163 WDB787156:WDB787163 WMX787156:WMX787163 WWT787156:WWT787163 AL852692:AL852699 KH852692:KH852699 UD852692:UD852699 ADZ852692:ADZ852699 ANV852692:ANV852699 AXR852692:AXR852699 BHN852692:BHN852699 BRJ852692:BRJ852699 CBF852692:CBF852699 CLB852692:CLB852699 CUX852692:CUX852699 DET852692:DET852699 DOP852692:DOP852699 DYL852692:DYL852699 EIH852692:EIH852699 ESD852692:ESD852699 FBZ852692:FBZ852699 FLV852692:FLV852699 FVR852692:FVR852699 GFN852692:GFN852699 GPJ852692:GPJ852699 GZF852692:GZF852699 HJB852692:HJB852699 HSX852692:HSX852699 ICT852692:ICT852699 IMP852692:IMP852699 IWL852692:IWL852699 JGH852692:JGH852699 JQD852692:JQD852699 JZZ852692:JZZ852699 KJV852692:KJV852699 KTR852692:KTR852699 LDN852692:LDN852699 LNJ852692:LNJ852699 LXF852692:LXF852699 MHB852692:MHB852699 MQX852692:MQX852699 NAT852692:NAT852699 NKP852692:NKP852699 NUL852692:NUL852699 OEH852692:OEH852699 OOD852692:OOD852699 OXZ852692:OXZ852699 PHV852692:PHV852699 PRR852692:PRR852699 QBN852692:QBN852699 QLJ852692:QLJ852699 QVF852692:QVF852699 RFB852692:RFB852699 ROX852692:ROX852699 RYT852692:RYT852699 SIP852692:SIP852699 SSL852692:SSL852699 TCH852692:TCH852699 TMD852692:TMD852699 TVZ852692:TVZ852699 UFV852692:UFV852699 UPR852692:UPR852699 UZN852692:UZN852699 VJJ852692:VJJ852699 VTF852692:VTF852699 WDB852692:WDB852699 WMX852692:WMX852699 WWT852692:WWT852699 AL918228:AL918235 KH918228:KH918235 UD918228:UD918235 ADZ918228:ADZ918235 ANV918228:ANV918235 AXR918228:AXR918235 BHN918228:BHN918235 BRJ918228:BRJ918235 CBF918228:CBF918235 CLB918228:CLB918235 CUX918228:CUX918235 DET918228:DET918235 DOP918228:DOP918235 DYL918228:DYL918235 EIH918228:EIH918235 ESD918228:ESD918235 FBZ918228:FBZ918235 FLV918228:FLV918235 FVR918228:FVR918235 GFN918228:GFN918235 GPJ918228:GPJ918235 GZF918228:GZF918235 HJB918228:HJB918235 HSX918228:HSX918235 ICT918228:ICT918235 IMP918228:IMP918235 IWL918228:IWL918235 JGH918228:JGH918235 JQD918228:JQD918235 JZZ918228:JZZ918235 KJV918228:KJV918235 KTR918228:KTR918235 LDN918228:LDN918235 LNJ918228:LNJ918235 LXF918228:LXF918235 MHB918228:MHB918235 MQX918228:MQX918235 NAT918228:NAT918235 NKP918228:NKP918235 NUL918228:NUL918235 OEH918228:OEH918235 OOD918228:OOD918235 OXZ918228:OXZ918235 PHV918228:PHV918235 PRR918228:PRR918235 QBN918228:QBN918235 QLJ918228:QLJ918235 QVF918228:QVF918235 RFB918228:RFB918235 ROX918228:ROX918235 RYT918228:RYT918235 SIP918228:SIP918235 SSL918228:SSL918235 TCH918228:TCH918235 TMD918228:TMD918235 TVZ918228:TVZ918235 UFV918228:UFV918235 UPR918228:UPR918235 UZN918228:UZN918235 VJJ918228:VJJ918235 VTF918228:VTF918235 WDB918228:WDB918235 WMX918228:WMX918235 WWT918228:WWT918235 AL983764:AL983771 KH983764:KH983771 UD983764:UD983771 ADZ983764:ADZ983771 ANV983764:ANV983771 AXR983764:AXR983771 BHN983764:BHN983771 BRJ983764:BRJ983771 CBF983764:CBF983771 CLB983764:CLB983771 CUX983764:CUX983771 DET983764:DET983771 DOP983764:DOP983771 DYL983764:DYL983771 EIH983764:EIH983771 ESD983764:ESD983771 FBZ983764:FBZ983771 FLV983764:FLV983771 FVR983764:FVR983771 GFN983764:GFN983771 GPJ983764:GPJ983771 GZF983764:GZF983771 HJB983764:HJB983771 HSX983764:HSX983771 ICT983764:ICT983771 IMP983764:IMP983771 IWL983764:IWL983771 JGH983764:JGH983771 JQD983764:JQD983771 JZZ983764:JZZ983771 KJV983764:KJV983771 KTR983764:KTR983771 LDN983764:LDN983771 LNJ983764:LNJ983771 LXF983764:LXF983771 MHB983764:MHB983771 MQX983764:MQX983771 NAT983764:NAT983771 NKP983764:NKP983771 NUL983764:NUL983771 OEH983764:OEH983771 OOD983764:OOD983771 OXZ983764:OXZ983771 PHV983764:PHV983771 PRR983764:PRR983771 QBN983764:QBN983771 QLJ983764:QLJ983771 QVF983764:QVF983771 RFB983764:RFB983771 ROX983764:ROX983771 RYT983764:RYT983771 SIP983764:SIP983771 SSL983764:SSL983771 TCH983764:TCH983771 TMD983764:TMD983771 TVZ983764:TVZ983771 UFV983764:UFV983771 UPR983764:UPR983771 UZN983764:UZN983771 VJJ983764:VJJ983771 VTF983764:VTF983771 WDB983764:WDB983771 WMX983764:WMX983771 WWT983764:WWT983771" xr:uid="{87F1ABBE-06B9-4021-8AD3-D6C338CB3621}">
      <formula1>$AE$736:$AE$736</formula1>
    </dataValidation>
    <dataValidation type="list" allowBlank="1" showInputMessage="1" showErrorMessage="1" sqref="BB780 KX780 UT780 AEP780 AOL780 AYH780 BID780 BRZ780 CBV780 CLR780 CVN780 DFJ780 DPF780 DZB780 EIX780 EST780 FCP780 FML780 FWH780 GGD780 GPZ780 GZV780 HJR780 HTN780 IDJ780 INF780 IXB780 JGX780 JQT780 KAP780 KKL780 KUH780 LED780 LNZ780 LXV780 MHR780 MRN780 NBJ780 NLF780 NVB780 OEX780 OOT780 OYP780 PIL780 PSH780 QCD780 QLZ780 QVV780 RFR780 RPN780 RZJ780 SJF780 STB780 TCX780 TMT780 TWP780 UGL780 UQH780 VAD780 VJZ780 VTV780 WDR780 WNN780 WXJ780 BB66316 KX66316 UT66316 AEP66316 AOL66316 AYH66316 BID66316 BRZ66316 CBV66316 CLR66316 CVN66316 DFJ66316 DPF66316 DZB66316 EIX66316 EST66316 FCP66316 FML66316 FWH66316 GGD66316 GPZ66316 GZV66316 HJR66316 HTN66316 IDJ66316 INF66316 IXB66316 JGX66316 JQT66316 KAP66316 KKL66316 KUH66316 LED66316 LNZ66316 LXV66316 MHR66316 MRN66316 NBJ66316 NLF66316 NVB66316 OEX66316 OOT66316 OYP66316 PIL66316 PSH66316 QCD66316 QLZ66316 QVV66316 RFR66316 RPN66316 RZJ66316 SJF66316 STB66316 TCX66316 TMT66316 TWP66316 UGL66316 UQH66316 VAD66316 VJZ66316 VTV66316 WDR66316 WNN66316 WXJ66316 BB131852 KX131852 UT131852 AEP131852 AOL131852 AYH131852 BID131852 BRZ131852 CBV131852 CLR131852 CVN131852 DFJ131852 DPF131852 DZB131852 EIX131852 EST131852 FCP131852 FML131852 FWH131852 GGD131852 GPZ131852 GZV131852 HJR131852 HTN131852 IDJ131852 INF131852 IXB131852 JGX131852 JQT131852 KAP131852 KKL131852 KUH131852 LED131852 LNZ131852 LXV131852 MHR131852 MRN131852 NBJ131852 NLF131852 NVB131852 OEX131852 OOT131852 OYP131852 PIL131852 PSH131852 QCD131852 QLZ131852 QVV131852 RFR131852 RPN131852 RZJ131852 SJF131852 STB131852 TCX131852 TMT131852 TWP131852 UGL131852 UQH131852 VAD131852 VJZ131852 VTV131852 WDR131852 WNN131852 WXJ131852 BB197388 KX197388 UT197388 AEP197388 AOL197388 AYH197388 BID197388 BRZ197388 CBV197388 CLR197388 CVN197388 DFJ197388 DPF197388 DZB197388 EIX197388 EST197388 FCP197388 FML197388 FWH197388 GGD197388 GPZ197388 GZV197388 HJR197388 HTN197388 IDJ197388 INF197388 IXB197388 JGX197388 JQT197388 KAP197388 KKL197388 KUH197388 LED197388 LNZ197388 LXV197388 MHR197388 MRN197388 NBJ197388 NLF197388 NVB197388 OEX197388 OOT197388 OYP197388 PIL197388 PSH197388 QCD197388 QLZ197388 QVV197388 RFR197388 RPN197388 RZJ197388 SJF197388 STB197388 TCX197388 TMT197388 TWP197388 UGL197388 UQH197388 VAD197388 VJZ197388 VTV197388 WDR197388 WNN197388 WXJ197388 BB262924 KX262924 UT262924 AEP262924 AOL262924 AYH262924 BID262924 BRZ262924 CBV262924 CLR262924 CVN262924 DFJ262924 DPF262924 DZB262924 EIX262924 EST262924 FCP262924 FML262924 FWH262924 GGD262924 GPZ262924 GZV262924 HJR262924 HTN262924 IDJ262924 INF262924 IXB262924 JGX262924 JQT262924 KAP262924 KKL262924 KUH262924 LED262924 LNZ262924 LXV262924 MHR262924 MRN262924 NBJ262924 NLF262924 NVB262924 OEX262924 OOT262924 OYP262924 PIL262924 PSH262924 QCD262924 QLZ262924 QVV262924 RFR262924 RPN262924 RZJ262924 SJF262924 STB262924 TCX262924 TMT262924 TWP262924 UGL262924 UQH262924 VAD262924 VJZ262924 VTV262924 WDR262924 WNN262924 WXJ262924 BB328460 KX328460 UT328460 AEP328460 AOL328460 AYH328460 BID328460 BRZ328460 CBV328460 CLR328460 CVN328460 DFJ328460 DPF328460 DZB328460 EIX328460 EST328460 FCP328460 FML328460 FWH328460 GGD328460 GPZ328460 GZV328460 HJR328460 HTN328460 IDJ328460 INF328460 IXB328460 JGX328460 JQT328460 KAP328460 KKL328460 KUH328460 LED328460 LNZ328460 LXV328460 MHR328460 MRN328460 NBJ328460 NLF328460 NVB328460 OEX328460 OOT328460 OYP328460 PIL328460 PSH328460 QCD328460 QLZ328460 QVV328460 RFR328460 RPN328460 RZJ328460 SJF328460 STB328460 TCX328460 TMT328460 TWP328460 UGL328460 UQH328460 VAD328460 VJZ328460 VTV328460 WDR328460 WNN328460 WXJ328460 BB393996 KX393996 UT393996 AEP393996 AOL393996 AYH393996 BID393996 BRZ393996 CBV393996 CLR393996 CVN393996 DFJ393996 DPF393996 DZB393996 EIX393996 EST393996 FCP393996 FML393996 FWH393996 GGD393996 GPZ393996 GZV393996 HJR393996 HTN393996 IDJ393996 INF393996 IXB393996 JGX393996 JQT393996 KAP393996 KKL393996 KUH393996 LED393996 LNZ393996 LXV393996 MHR393996 MRN393996 NBJ393996 NLF393996 NVB393996 OEX393996 OOT393996 OYP393996 PIL393996 PSH393996 QCD393996 QLZ393996 QVV393996 RFR393996 RPN393996 RZJ393996 SJF393996 STB393996 TCX393996 TMT393996 TWP393996 UGL393996 UQH393996 VAD393996 VJZ393996 VTV393996 WDR393996 WNN393996 WXJ393996 BB459532 KX459532 UT459532 AEP459532 AOL459532 AYH459532 BID459532 BRZ459532 CBV459532 CLR459532 CVN459532 DFJ459532 DPF459532 DZB459532 EIX459532 EST459532 FCP459532 FML459532 FWH459532 GGD459532 GPZ459532 GZV459532 HJR459532 HTN459532 IDJ459532 INF459532 IXB459532 JGX459532 JQT459532 KAP459532 KKL459532 KUH459532 LED459532 LNZ459532 LXV459532 MHR459532 MRN459532 NBJ459532 NLF459532 NVB459532 OEX459532 OOT459532 OYP459532 PIL459532 PSH459532 QCD459532 QLZ459532 QVV459532 RFR459532 RPN459532 RZJ459532 SJF459532 STB459532 TCX459532 TMT459532 TWP459532 UGL459532 UQH459532 VAD459532 VJZ459532 VTV459532 WDR459532 WNN459532 WXJ459532 BB525068 KX525068 UT525068 AEP525068 AOL525068 AYH525068 BID525068 BRZ525068 CBV525068 CLR525068 CVN525068 DFJ525068 DPF525068 DZB525068 EIX525068 EST525068 FCP525068 FML525068 FWH525068 GGD525068 GPZ525068 GZV525068 HJR525068 HTN525068 IDJ525068 INF525068 IXB525068 JGX525068 JQT525068 KAP525068 KKL525068 KUH525068 LED525068 LNZ525068 LXV525068 MHR525068 MRN525068 NBJ525068 NLF525068 NVB525068 OEX525068 OOT525068 OYP525068 PIL525068 PSH525068 QCD525068 QLZ525068 QVV525068 RFR525068 RPN525068 RZJ525068 SJF525068 STB525068 TCX525068 TMT525068 TWP525068 UGL525068 UQH525068 VAD525068 VJZ525068 VTV525068 WDR525068 WNN525068 WXJ525068 BB590604 KX590604 UT590604 AEP590604 AOL590604 AYH590604 BID590604 BRZ590604 CBV590604 CLR590604 CVN590604 DFJ590604 DPF590604 DZB590604 EIX590604 EST590604 FCP590604 FML590604 FWH590604 GGD590604 GPZ590604 GZV590604 HJR590604 HTN590604 IDJ590604 INF590604 IXB590604 JGX590604 JQT590604 KAP590604 KKL590604 KUH590604 LED590604 LNZ590604 LXV590604 MHR590604 MRN590604 NBJ590604 NLF590604 NVB590604 OEX590604 OOT590604 OYP590604 PIL590604 PSH590604 QCD590604 QLZ590604 QVV590604 RFR590604 RPN590604 RZJ590604 SJF590604 STB590604 TCX590604 TMT590604 TWP590604 UGL590604 UQH590604 VAD590604 VJZ590604 VTV590604 WDR590604 WNN590604 WXJ590604 BB656140 KX656140 UT656140 AEP656140 AOL656140 AYH656140 BID656140 BRZ656140 CBV656140 CLR656140 CVN656140 DFJ656140 DPF656140 DZB656140 EIX656140 EST656140 FCP656140 FML656140 FWH656140 GGD656140 GPZ656140 GZV656140 HJR656140 HTN656140 IDJ656140 INF656140 IXB656140 JGX656140 JQT656140 KAP656140 KKL656140 KUH656140 LED656140 LNZ656140 LXV656140 MHR656140 MRN656140 NBJ656140 NLF656140 NVB656140 OEX656140 OOT656140 OYP656140 PIL656140 PSH656140 QCD656140 QLZ656140 QVV656140 RFR656140 RPN656140 RZJ656140 SJF656140 STB656140 TCX656140 TMT656140 TWP656140 UGL656140 UQH656140 VAD656140 VJZ656140 VTV656140 WDR656140 WNN656140 WXJ656140 BB721676 KX721676 UT721676 AEP721676 AOL721676 AYH721676 BID721676 BRZ721676 CBV721676 CLR721676 CVN721676 DFJ721676 DPF721676 DZB721676 EIX721676 EST721676 FCP721676 FML721676 FWH721676 GGD721676 GPZ721676 GZV721676 HJR721676 HTN721676 IDJ721676 INF721676 IXB721676 JGX721676 JQT721676 KAP721676 KKL721676 KUH721676 LED721676 LNZ721676 LXV721676 MHR721676 MRN721676 NBJ721676 NLF721676 NVB721676 OEX721676 OOT721676 OYP721676 PIL721676 PSH721676 QCD721676 QLZ721676 QVV721676 RFR721676 RPN721676 RZJ721676 SJF721676 STB721676 TCX721676 TMT721676 TWP721676 UGL721676 UQH721676 VAD721676 VJZ721676 VTV721676 WDR721676 WNN721676 WXJ721676 BB787212 KX787212 UT787212 AEP787212 AOL787212 AYH787212 BID787212 BRZ787212 CBV787212 CLR787212 CVN787212 DFJ787212 DPF787212 DZB787212 EIX787212 EST787212 FCP787212 FML787212 FWH787212 GGD787212 GPZ787212 GZV787212 HJR787212 HTN787212 IDJ787212 INF787212 IXB787212 JGX787212 JQT787212 KAP787212 KKL787212 KUH787212 LED787212 LNZ787212 LXV787212 MHR787212 MRN787212 NBJ787212 NLF787212 NVB787212 OEX787212 OOT787212 OYP787212 PIL787212 PSH787212 QCD787212 QLZ787212 QVV787212 RFR787212 RPN787212 RZJ787212 SJF787212 STB787212 TCX787212 TMT787212 TWP787212 UGL787212 UQH787212 VAD787212 VJZ787212 VTV787212 WDR787212 WNN787212 WXJ787212 BB852748 KX852748 UT852748 AEP852748 AOL852748 AYH852748 BID852748 BRZ852748 CBV852748 CLR852748 CVN852748 DFJ852748 DPF852748 DZB852748 EIX852748 EST852748 FCP852748 FML852748 FWH852748 GGD852748 GPZ852748 GZV852748 HJR852748 HTN852748 IDJ852748 INF852748 IXB852748 JGX852748 JQT852748 KAP852748 KKL852748 KUH852748 LED852748 LNZ852748 LXV852748 MHR852748 MRN852748 NBJ852748 NLF852748 NVB852748 OEX852748 OOT852748 OYP852748 PIL852748 PSH852748 QCD852748 QLZ852748 QVV852748 RFR852748 RPN852748 RZJ852748 SJF852748 STB852748 TCX852748 TMT852748 TWP852748 UGL852748 UQH852748 VAD852748 VJZ852748 VTV852748 WDR852748 WNN852748 WXJ852748 BB918284 KX918284 UT918284 AEP918284 AOL918284 AYH918284 BID918284 BRZ918284 CBV918284 CLR918284 CVN918284 DFJ918284 DPF918284 DZB918284 EIX918284 EST918284 FCP918284 FML918284 FWH918284 GGD918284 GPZ918284 GZV918284 HJR918284 HTN918284 IDJ918284 INF918284 IXB918284 JGX918284 JQT918284 KAP918284 KKL918284 KUH918284 LED918284 LNZ918284 LXV918284 MHR918284 MRN918284 NBJ918284 NLF918284 NVB918284 OEX918284 OOT918284 OYP918284 PIL918284 PSH918284 QCD918284 QLZ918284 QVV918284 RFR918284 RPN918284 RZJ918284 SJF918284 STB918284 TCX918284 TMT918284 TWP918284 UGL918284 UQH918284 VAD918284 VJZ918284 VTV918284 WDR918284 WNN918284 WXJ918284 BB983820 KX983820 UT983820 AEP983820 AOL983820 AYH983820 BID983820 BRZ983820 CBV983820 CLR983820 CVN983820 DFJ983820 DPF983820 DZB983820 EIX983820 EST983820 FCP983820 FML983820 FWH983820 GGD983820 GPZ983820 GZV983820 HJR983820 HTN983820 IDJ983820 INF983820 IXB983820 JGX983820 JQT983820 KAP983820 KKL983820 KUH983820 LED983820 LNZ983820 LXV983820 MHR983820 MRN983820 NBJ983820 NLF983820 NVB983820 OEX983820 OOT983820 OYP983820 PIL983820 PSH983820 QCD983820 QLZ983820 QVV983820 RFR983820 RPN983820 RZJ983820 SJF983820 STB983820 TCX983820 TMT983820 TWP983820 UGL983820 UQH983820 VAD983820 VJZ983820 VTV983820 WDR983820 WNN983820 WXJ983820" xr:uid="{EC0EB54C-C4DF-4865-8E26-130BDADF83A2}">
      <formula1>$V$705:$V$718</formula1>
    </dataValidation>
    <dataValidation type="list" allowBlank="1" showInputMessage="1" showErrorMessage="1" sqref="BB777 KX777 UT777 AEP777 AOL777 AYH777 BID777 BRZ777 CBV777 CLR777 CVN777 DFJ777 DPF777 DZB777 EIX777 EST777 FCP777 FML777 FWH777 GGD777 GPZ777 GZV777 HJR777 HTN777 IDJ777 INF777 IXB777 JGX777 JQT777 KAP777 KKL777 KUH777 LED777 LNZ777 LXV777 MHR777 MRN777 NBJ777 NLF777 NVB777 OEX777 OOT777 OYP777 PIL777 PSH777 QCD777 QLZ777 QVV777 RFR777 RPN777 RZJ777 SJF777 STB777 TCX777 TMT777 TWP777 UGL777 UQH777 VAD777 VJZ777 VTV777 WDR777 WNN777 WXJ777 BB66313 KX66313 UT66313 AEP66313 AOL66313 AYH66313 BID66313 BRZ66313 CBV66313 CLR66313 CVN66313 DFJ66313 DPF66313 DZB66313 EIX66313 EST66313 FCP66313 FML66313 FWH66313 GGD66313 GPZ66313 GZV66313 HJR66313 HTN66313 IDJ66313 INF66313 IXB66313 JGX66313 JQT66313 KAP66313 KKL66313 KUH66313 LED66313 LNZ66313 LXV66313 MHR66313 MRN66313 NBJ66313 NLF66313 NVB66313 OEX66313 OOT66313 OYP66313 PIL66313 PSH66313 QCD66313 QLZ66313 QVV66313 RFR66313 RPN66313 RZJ66313 SJF66313 STB66313 TCX66313 TMT66313 TWP66313 UGL66313 UQH66313 VAD66313 VJZ66313 VTV66313 WDR66313 WNN66313 WXJ66313 BB131849 KX131849 UT131849 AEP131849 AOL131849 AYH131849 BID131849 BRZ131849 CBV131849 CLR131849 CVN131849 DFJ131849 DPF131849 DZB131849 EIX131849 EST131849 FCP131849 FML131849 FWH131849 GGD131849 GPZ131849 GZV131849 HJR131849 HTN131849 IDJ131849 INF131849 IXB131849 JGX131849 JQT131849 KAP131849 KKL131849 KUH131849 LED131849 LNZ131849 LXV131849 MHR131849 MRN131849 NBJ131849 NLF131849 NVB131849 OEX131849 OOT131849 OYP131849 PIL131849 PSH131849 QCD131849 QLZ131849 QVV131849 RFR131849 RPN131849 RZJ131849 SJF131849 STB131849 TCX131849 TMT131849 TWP131849 UGL131849 UQH131849 VAD131849 VJZ131849 VTV131849 WDR131849 WNN131849 WXJ131849 BB197385 KX197385 UT197385 AEP197385 AOL197385 AYH197385 BID197385 BRZ197385 CBV197385 CLR197385 CVN197385 DFJ197385 DPF197385 DZB197385 EIX197385 EST197385 FCP197385 FML197385 FWH197385 GGD197385 GPZ197385 GZV197385 HJR197385 HTN197385 IDJ197385 INF197385 IXB197385 JGX197385 JQT197385 KAP197385 KKL197385 KUH197385 LED197385 LNZ197385 LXV197385 MHR197385 MRN197385 NBJ197385 NLF197385 NVB197385 OEX197385 OOT197385 OYP197385 PIL197385 PSH197385 QCD197385 QLZ197385 QVV197385 RFR197385 RPN197385 RZJ197385 SJF197385 STB197385 TCX197385 TMT197385 TWP197385 UGL197385 UQH197385 VAD197385 VJZ197385 VTV197385 WDR197385 WNN197385 WXJ197385 BB262921 KX262921 UT262921 AEP262921 AOL262921 AYH262921 BID262921 BRZ262921 CBV262921 CLR262921 CVN262921 DFJ262921 DPF262921 DZB262921 EIX262921 EST262921 FCP262921 FML262921 FWH262921 GGD262921 GPZ262921 GZV262921 HJR262921 HTN262921 IDJ262921 INF262921 IXB262921 JGX262921 JQT262921 KAP262921 KKL262921 KUH262921 LED262921 LNZ262921 LXV262921 MHR262921 MRN262921 NBJ262921 NLF262921 NVB262921 OEX262921 OOT262921 OYP262921 PIL262921 PSH262921 QCD262921 QLZ262921 QVV262921 RFR262921 RPN262921 RZJ262921 SJF262921 STB262921 TCX262921 TMT262921 TWP262921 UGL262921 UQH262921 VAD262921 VJZ262921 VTV262921 WDR262921 WNN262921 WXJ262921 BB328457 KX328457 UT328457 AEP328457 AOL328457 AYH328457 BID328457 BRZ328457 CBV328457 CLR328457 CVN328457 DFJ328457 DPF328457 DZB328457 EIX328457 EST328457 FCP328457 FML328457 FWH328457 GGD328457 GPZ328457 GZV328457 HJR328457 HTN328457 IDJ328457 INF328457 IXB328457 JGX328457 JQT328457 KAP328457 KKL328457 KUH328457 LED328457 LNZ328457 LXV328457 MHR328457 MRN328457 NBJ328457 NLF328457 NVB328457 OEX328457 OOT328457 OYP328457 PIL328457 PSH328457 QCD328457 QLZ328457 QVV328457 RFR328457 RPN328457 RZJ328457 SJF328457 STB328457 TCX328457 TMT328457 TWP328457 UGL328457 UQH328457 VAD328457 VJZ328457 VTV328457 WDR328457 WNN328457 WXJ328457 BB393993 KX393993 UT393993 AEP393993 AOL393993 AYH393993 BID393993 BRZ393993 CBV393993 CLR393993 CVN393993 DFJ393993 DPF393993 DZB393993 EIX393993 EST393993 FCP393993 FML393993 FWH393993 GGD393993 GPZ393993 GZV393993 HJR393993 HTN393993 IDJ393993 INF393993 IXB393993 JGX393993 JQT393993 KAP393993 KKL393993 KUH393993 LED393993 LNZ393993 LXV393993 MHR393993 MRN393993 NBJ393993 NLF393993 NVB393993 OEX393993 OOT393993 OYP393993 PIL393993 PSH393993 QCD393993 QLZ393993 QVV393993 RFR393993 RPN393993 RZJ393993 SJF393993 STB393993 TCX393993 TMT393993 TWP393993 UGL393993 UQH393993 VAD393993 VJZ393993 VTV393993 WDR393993 WNN393993 WXJ393993 BB459529 KX459529 UT459529 AEP459529 AOL459529 AYH459529 BID459529 BRZ459529 CBV459529 CLR459529 CVN459529 DFJ459529 DPF459529 DZB459529 EIX459529 EST459529 FCP459529 FML459529 FWH459529 GGD459529 GPZ459529 GZV459529 HJR459529 HTN459529 IDJ459529 INF459529 IXB459529 JGX459529 JQT459529 KAP459529 KKL459529 KUH459529 LED459529 LNZ459529 LXV459529 MHR459529 MRN459529 NBJ459529 NLF459529 NVB459529 OEX459529 OOT459529 OYP459529 PIL459529 PSH459529 QCD459529 QLZ459529 QVV459529 RFR459529 RPN459529 RZJ459529 SJF459529 STB459529 TCX459529 TMT459529 TWP459529 UGL459529 UQH459529 VAD459529 VJZ459529 VTV459529 WDR459529 WNN459529 WXJ459529 BB525065 KX525065 UT525065 AEP525065 AOL525065 AYH525065 BID525065 BRZ525065 CBV525065 CLR525065 CVN525065 DFJ525065 DPF525065 DZB525065 EIX525065 EST525065 FCP525065 FML525065 FWH525065 GGD525065 GPZ525065 GZV525065 HJR525065 HTN525065 IDJ525065 INF525065 IXB525065 JGX525065 JQT525065 KAP525065 KKL525065 KUH525065 LED525065 LNZ525065 LXV525065 MHR525065 MRN525065 NBJ525065 NLF525065 NVB525065 OEX525065 OOT525065 OYP525065 PIL525065 PSH525065 QCD525065 QLZ525065 QVV525065 RFR525065 RPN525065 RZJ525065 SJF525065 STB525065 TCX525065 TMT525065 TWP525065 UGL525065 UQH525065 VAD525065 VJZ525065 VTV525065 WDR525065 WNN525065 WXJ525065 BB590601 KX590601 UT590601 AEP590601 AOL590601 AYH590601 BID590601 BRZ590601 CBV590601 CLR590601 CVN590601 DFJ590601 DPF590601 DZB590601 EIX590601 EST590601 FCP590601 FML590601 FWH590601 GGD590601 GPZ590601 GZV590601 HJR590601 HTN590601 IDJ590601 INF590601 IXB590601 JGX590601 JQT590601 KAP590601 KKL590601 KUH590601 LED590601 LNZ590601 LXV590601 MHR590601 MRN590601 NBJ590601 NLF590601 NVB590601 OEX590601 OOT590601 OYP590601 PIL590601 PSH590601 QCD590601 QLZ590601 QVV590601 RFR590601 RPN590601 RZJ590601 SJF590601 STB590601 TCX590601 TMT590601 TWP590601 UGL590601 UQH590601 VAD590601 VJZ590601 VTV590601 WDR590601 WNN590601 WXJ590601 BB656137 KX656137 UT656137 AEP656137 AOL656137 AYH656137 BID656137 BRZ656137 CBV656137 CLR656137 CVN656137 DFJ656137 DPF656137 DZB656137 EIX656137 EST656137 FCP656137 FML656137 FWH656137 GGD656137 GPZ656137 GZV656137 HJR656137 HTN656137 IDJ656137 INF656137 IXB656137 JGX656137 JQT656137 KAP656137 KKL656137 KUH656137 LED656137 LNZ656137 LXV656137 MHR656137 MRN656137 NBJ656137 NLF656137 NVB656137 OEX656137 OOT656137 OYP656137 PIL656137 PSH656137 QCD656137 QLZ656137 QVV656137 RFR656137 RPN656137 RZJ656137 SJF656137 STB656137 TCX656137 TMT656137 TWP656137 UGL656137 UQH656137 VAD656137 VJZ656137 VTV656137 WDR656137 WNN656137 WXJ656137 BB721673 KX721673 UT721673 AEP721673 AOL721673 AYH721673 BID721673 BRZ721673 CBV721673 CLR721673 CVN721673 DFJ721673 DPF721673 DZB721673 EIX721673 EST721673 FCP721673 FML721673 FWH721673 GGD721673 GPZ721673 GZV721673 HJR721673 HTN721673 IDJ721673 INF721673 IXB721673 JGX721673 JQT721673 KAP721673 KKL721673 KUH721673 LED721673 LNZ721673 LXV721673 MHR721673 MRN721673 NBJ721673 NLF721673 NVB721673 OEX721673 OOT721673 OYP721673 PIL721673 PSH721673 QCD721673 QLZ721673 QVV721673 RFR721673 RPN721673 RZJ721673 SJF721673 STB721673 TCX721673 TMT721673 TWP721673 UGL721673 UQH721673 VAD721673 VJZ721673 VTV721673 WDR721673 WNN721673 WXJ721673 BB787209 KX787209 UT787209 AEP787209 AOL787209 AYH787209 BID787209 BRZ787209 CBV787209 CLR787209 CVN787209 DFJ787209 DPF787209 DZB787209 EIX787209 EST787209 FCP787209 FML787209 FWH787209 GGD787209 GPZ787209 GZV787209 HJR787209 HTN787209 IDJ787209 INF787209 IXB787209 JGX787209 JQT787209 KAP787209 KKL787209 KUH787209 LED787209 LNZ787209 LXV787209 MHR787209 MRN787209 NBJ787209 NLF787209 NVB787209 OEX787209 OOT787209 OYP787209 PIL787209 PSH787209 QCD787209 QLZ787209 QVV787209 RFR787209 RPN787209 RZJ787209 SJF787209 STB787209 TCX787209 TMT787209 TWP787209 UGL787209 UQH787209 VAD787209 VJZ787209 VTV787209 WDR787209 WNN787209 WXJ787209 BB852745 KX852745 UT852745 AEP852745 AOL852745 AYH852745 BID852745 BRZ852745 CBV852745 CLR852745 CVN852745 DFJ852745 DPF852745 DZB852745 EIX852745 EST852745 FCP852745 FML852745 FWH852745 GGD852745 GPZ852745 GZV852745 HJR852745 HTN852745 IDJ852745 INF852745 IXB852745 JGX852745 JQT852745 KAP852745 KKL852745 KUH852745 LED852745 LNZ852745 LXV852745 MHR852745 MRN852745 NBJ852745 NLF852745 NVB852745 OEX852745 OOT852745 OYP852745 PIL852745 PSH852745 QCD852745 QLZ852745 QVV852745 RFR852745 RPN852745 RZJ852745 SJF852745 STB852745 TCX852745 TMT852745 TWP852745 UGL852745 UQH852745 VAD852745 VJZ852745 VTV852745 WDR852745 WNN852745 WXJ852745 BB918281 KX918281 UT918281 AEP918281 AOL918281 AYH918281 BID918281 BRZ918281 CBV918281 CLR918281 CVN918281 DFJ918281 DPF918281 DZB918281 EIX918281 EST918281 FCP918281 FML918281 FWH918281 GGD918281 GPZ918281 GZV918281 HJR918281 HTN918281 IDJ918281 INF918281 IXB918281 JGX918281 JQT918281 KAP918281 KKL918281 KUH918281 LED918281 LNZ918281 LXV918281 MHR918281 MRN918281 NBJ918281 NLF918281 NVB918281 OEX918281 OOT918281 OYP918281 PIL918281 PSH918281 QCD918281 QLZ918281 QVV918281 RFR918281 RPN918281 RZJ918281 SJF918281 STB918281 TCX918281 TMT918281 TWP918281 UGL918281 UQH918281 VAD918281 VJZ918281 VTV918281 WDR918281 WNN918281 WXJ918281 BB983817 KX983817 UT983817 AEP983817 AOL983817 AYH983817 BID983817 BRZ983817 CBV983817 CLR983817 CVN983817 DFJ983817 DPF983817 DZB983817 EIX983817 EST983817 FCP983817 FML983817 FWH983817 GGD983817 GPZ983817 GZV983817 HJR983817 HTN983817 IDJ983817 INF983817 IXB983817 JGX983817 JQT983817 KAP983817 KKL983817 KUH983817 LED983817 LNZ983817 LXV983817 MHR983817 MRN983817 NBJ983817 NLF983817 NVB983817 OEX983817 OOT983817 OYP983817 PIL983817 PSH983817 QCD983817 QLZ983817 QVV983817 RFR983817 RPN983817 RZJ983817 SJF983817 STB983817 TCX983817 TMT983817 TWP983817 UGL983817 UQH983817 VAD983817 VJZ983817 VTV983817 WDR983817 WNN983817 WXJ983817" xr:uid="{44AB47BE-B791-4CF4-BE65-CA44056C9C7F}">
      <formula1>$Z$706:$Z$713</formula1>
    </dataValidation>
    <dataValidation type="list" allowBlank="1" showInputMessage="1" showErrorMessage="1" sqref="BB775 KX775 UT775 AEP775 AOL775 AYH775 BID775 BRZ775 CBV775 CLR775 CVN775 DFJ775 DPF775 DZB775 EIX775 EST775 FCP775 FML775 FWH775 GGD775 GPZ775 GZV775 HJR775 HTN775 IDJ775 INF775 IXB775 JGX775 JQT775 KAP775 KKL775 KUH775 LED775 LNZ775 LXV775 MHR775 MRN775 NBJ775 NLF775 NVB775 OEX775 OOT775 OYP775 PIL775 PSH775 QCD775 QLZ775 QVV775 RFR775 RPN775 RZJ775 SJF775 STB775 TCX775 TMT775 TWP775 UGL775 UQH775 VAD775 VJZ775 VTV775 WDR775 WNN775 WXJ775 BB66311 KX66311 UT66311 AEP66311 AOL66311 AYH66311 BID66311 BRZ66311 CBV66311 CLR66311 CVN66311 DFJ66311 DPF66311 DZB66311 EIX66311 EST66311 FCP66311 FML66311 FWH66311 GGD66311 GPZ66311 GZV66311 HJR66311 HTN66311 IDJ66311 INF66311 IXB66311 JGX66311 JQT66311 KAP66311 KKL66311 KUH66311 LED66311 LNZ66311 LXV66311 MHR66311 MRN66311 NBJ66311 NLF66311 NVB66311 OEX66311 OOT66311 OYP66311 PIL66311 PSH66311 QCD66311 QLZ66311 QVV66311 RFR66311 RPN66311 RZJ66311 SJF66311 STB66311 TCX66311 TMT66311 TWP66311 UGL66311 UQH66311 VAD66311 VJZ66311 VTV66311 WDR66311 WNN66311 WXJ66311 BB131847 KX131847 UT131847 AEP131847 AOL131847 AYH131847 BID131847 BRZ131847 CBV131847 CLR131847 CVN131847 DFJ131847 DPF131847 DZB131847 EIX131847 EST131847 FCP131847 FML131847 FWH131847 GGD131847 GPZ131847 GZV131847 HJR131847 HTN131847 IDJ131847 INF131847 IXB131847 JGX131847 JQT131847 KAP131847 KKL131847 KUH131847 LED131847 LNZ131847 LXV131847 MHR131847 MRN131847 NBJ131847 NLF131847 NVB131847 OEX131847 OOT131847 OYP131847 PIL131847 PSH131847 QCD131847 QLZ131847 QVV131847 RFR131847 RPN131847 RZJ131847 SJF131847 STB131847 TCX131847 TMT131847 TWP131847 UGL131847 UQH131847 VAD131847 VJZ131847 VTV131847 WDR131847 WNN131847 WXJ131847 BB197383 KX197383 UT197383 AEP197383 AOL197383 AYH197383 BID197383 BRZ197383 CBV197383 CLR197383 CVN197383 DFJ197383 DPF197383 DZB197383 EIX197383 EST197383 FCP197383 FML197383 FWH197383 GGD197383 GPZ197383 GZV197383 HJR197383 HTN197383 IDJ197383 INF197383 IXB197383 JGX197383 JQT197383 KAP197383 KKL197383 KUH197383 LED197383 LNZ197383 LXV197383 MHR197383 MRN197383 NBJ197383 NLF197383 NVB197383 OEX197383 OOT197383 OYP197383 PIL197383 PSH197383 QCD197383 QLZ197383 QVV197383 RFR197383 RPN197383 RZJ197383 SJF197383 STB197383 TCX197383 TMT197383 TWP197383 UGL197383 UQH197383 VAD197383 VJZ197383 VTV197383 WDR197383 WNN197383 WXJ197383 BB262919 KX262919 UT262919 AEP262919 AOL262919 AYH262919 BID262919 BRZ262919 CBV262919 CLR262919 CVN262919 DFJ262919 DPF262919 DZB262919 EIX262919 EST262919 FCP262919 FML262919 FWH262919 GGD262919 GPZ262919 GZV262919 HJR262919 HTN262919 IDJ262919 INF262919 IXB262919 JGX262919 JQT262919 KAP262919 KKL262919 KUH262919 LED262919 LNZ262919 LXV262919 MHR262919 MRN262919 NBJ262919 NLF262919 NVB262919 OEX262919 OOT262919 OYP262919 PIL262919 PSH262919 QCD262919 QLZ262919 QVV262919 RFR262919 RPN262919 RZJ262919 SJF262919 STB262919 TCX262919 TMT262919 TWP262919 UGL262919 UQH262919 VAD262919 VJZ262919 VTV262919 WDR262919 WNN262919 WXJ262919 BB328455 KX328455 UT328455 AEP328455 AOL328455 AYH328455 BID328455 BRZ328455 CBV328455 CLR328455 CVN328455 DFJ328455 DPF328455 DZB328455 EIX328455 EST328455 FCP328455 FML328455 FWH328455 GGD328455 GPZ328455 GZV328455 HJR328455 HTN328455 IDJ328455 INF328455 IXB328455 JGX328455 JQT328455 KAP328455 KKL328455 KUH328455 LED328455 LNZ328455 LXV328455 MHR328455 MRN328455 NBJ328455 NLF328455 NVB328455 OEX328455 OOT328455 OYP328455 PIL328455 PSH328455 QCD328455 QLZ328455 QVV328455 RFR328455 RPN328455 RZJ328455 SJF328455 STB328455 TCX328455 TMT328455 TWP328455 UGL328455 UQH328455 VAD328455 VJZ328455 VTV328455 WDR328455 WNN328455 WXJ328455 BB393991 KX393991 UT393991 AEP393991 AOL393991 AYH393991 BID393991 BRZ393991 CBV393991 CLR393991 CVN393991 DFJ393991 DPF393991 DZB393991 EIX393991 EST393991 FCP393991 FML393991 FWH393991 GGD393991 GPZ393991 GZV393991 HJR393991 HTN393991 IDJ393991 INF393991 IXB393991 JGX393991 JQT393991 KAP393991 KKL393991 KUH393991 LED393991 LNZ393991 LXV393991 MHR393991 MRN393991 NBJ393991 NLF393991 NVB393991 OEX393991 OOT393991 OYP393991 PIL393991 PSH393991 QCD393991 QLZ393991 QVV393991 RFR393991 RPN393991 RZJ393991 SJF393991 STB393991 TCX393991 TMT393991 TWP393991 UGL393991 UQH393991 VAD393991 VJZ393991 VTV393991 WDR393991 WNN393991 WXJ393991 BB459527 KX459527 UT459527 AEP459527 AOL459527 AYH459527 BID459527 BRZ459527 CBV459527 CLR459527 CVN459527 DFJ459527 DPF459527 DZB459527 EIX459527 EST459527 FCP459527 FML459527 FWH459527 GGD459527 GPZ459527 GZV459527 HJR459527 HTN459527 IDJ459527 INF459527 IXB459527 JGX459527 JQT459527 KAP459527 KKL459527 KUH459527 LED459527 LNZ459527 LXV459527 MHR459527 MRN459527 NBJ459527 NLF459527 NVB459527 OEX459527 OOT459527 OYP459527 PIL459527 PSH459527 QCD459527 QLZ459527 QVV459527 RFR459527 RPN459527 RZJ459527 SJF459527 STB459527 TCX459527 TMT459527 TWP459527 UGL459527 UQH459527 VAD459527 VJZ459527 VTV459527 WDR459527 WNN459527 WXJ459527 BB525063 KX525063 UT525063 AEP525063 AOL525063 AYH525063 BID525063 BRZ525063 CBV525063 CLR525063 CVN525063 DFJ525063 DPF525063 DZB525063 EIX525063 EST525063 FCP525063 FML525063 FWH525063 GGD525063 GPZ525063 GZV525063 HJR525063 HTN525063 IDJ525063 INF525063 IXB525063 JGX525063 JQT525063 KAP525063 KKL525063 KUH525063 LED525063 LNZ525063 LXV525063 MHR525063 MRN525063 NBJ525063 NLF525063 NVB525063 OEX525063 OOT525063 OYP525063 PIL525063 PSH525063 QCD525063 QLZ525063 QVV525063 RFR525063 RPN525063 RZJ525063 SJF525063 STB525063 TCX525063 TMT525063 TWP525063 UGL525063 UQH525063 VAD525063 VJZ525063 VTV525063 WDR525063 WNN525063 WXJ525063 BB590599 KX590599 UT590599 AEP590599 AOL590599 AYH590599 BID590599 BRZ590599 CBV590599 CLR590599 CVN590599 DFJ590599 DPF590599 DZB590599 EIX590599 EST590599 FCP590599 FML590599 FWH590599 GGD590599 GPZ590599 GZV590599 HJR590599 HTN590599 IDJ590599 INF590599 IXB590599 JGX590599 JQT590599 KAP590599 KKL590599 KUH590599 LED590599 LNZ590599 LXV590599 MHR590599 MRN590599 NBJ590599 NLF590599 NVB590599 OEX590599 OOT590599 OYP590599 PIL590599 PSH590599 QCD590599 QLZ590599 QVV590599 RFR590599 RPN590599 RZJ590599 SJF590599 STB590599 TCX590599 TMT590599 TWP590599 UGL590599 UQH590599 VAD590599 VJZ590599 VTV590599 WDR590599 WNN590599 WXJ590599 BB656135 KX656135 UT656135 AEP656135 AOL656135 AYH656135 BID656135 BRZ656135 CBV656135 CLR656135 CVN656135 DFJ656135 DPF656135 DZB656135 EIX656135 EST656135 FCP656135 FML656135 FWH656135 GGD656135 GPZ656135 GZV656135 HJR656135 HTN656135 IDJ656135 INF656135 IXB656135 JGX656135 JQT656135 KAP656135 KKL656135 KUH656135 LED656135 LNZ656135 LXV656135 MHR656135 MRN656135 NBJ656135 NLF656135 NVB656135 OEX656135 OOT656135 OYP656135 PIL656135 PSH656135 QCD656135 QLZ656135 QVV656135 RFR656135 RPN656135 RZJ656135 SJF656135 STB656135 TCX656135 TMT656135 TWP656135 UGL656135 UQH656135 VAD656135 VJZ656135 VTV656135 WDR656135 WNN656135 WXJ656135 BB721671 KX721671 UT721671 AEP721671 AOL721671 AYH721671 BID721671 BRZ721671 CBV721671 CLR721671 CVN721671 DFJ721671 DPF721671 DZB721671 EIX721671 EST721671 FCP721671 FML721671 FWH721671 GGD721671 GPZ721671 GZV721671 HJR721671 HTN721671 IDJ721671 INF721671 IXB721671 JGX721671 JQT721671 KAP721671 KKL721671 KUH721671 LED721671 LNZ721671 LXV721671 MHR721671 MRN721671 NBJ721671 NLF721671 NVB721671 OEX721671 OOT721671 OYP721671 PIL721671 PSH721671 QCD721671 QLZ721671 QVV721671 RFR721671 RPN721671 RZJ721671 SJF721671 STB721671 TCX721671 TMT721671 TWP721671 UGL721671 UQH721671 VAD721671 VJZ721671 VTV721671 WDR721671 WNN721671 WXJ721671 BB787207 KX787207 UT787207 AEP787207 AOL787207 AYH787207 BID787207 BRZ787207 CBV787207 CLR787207 CVN787207 DFJ787207 DPF787207 DZB787207 EIX787207 EST787207 FCP787207 FML787207 FWH787207 GGD787207 GPZ787207 GZV787207 HJR787207 HTN787207 IDJ787207 INF787207 IXB787207 JGX787207 JQT787207 KAP787207 KKL787207 KUH787207 LED787207 LNZ787207 LXV787207 MHR787207 MRN787207 NBJ787207 NLF787207 NVB787207 OEX787207 OOT787207 OYP787207 PIL787207 PSH787207 QCD787207 QLZ787207 QVV787207 RFR787207 RPN787207 RZJ787207 SJF787207 STB787207 TCX787207 TMT787207 TWP787207 UGL787207 UQH787207 VAD787207 VJZ787207 VTV787207 WDR787207 WNN787207 WXJ787207 BB852743 KX852743 UT852743 AEP852743 AOL852743 AYH852743 BID852743 BRZ852743 CBV852743 CLR852743 CVN852743 DFJ852743 DPF852743 DZB852743 EIX852743 EST852743 FCP852743 FML852743 FWH852743 GGD852743 GPZ852743 GZV852743 HJR852743 HTN852743 IDJ852743 INF852743 IXB852743 JGX852743 JQT852743 KAP852743 KKL852743 KUH852743 LED852743 LNZ852743 LXV852743 MHR852743 MRN852743 NBJ852743 NLF852743 NVB852743 OEX852743 OOT852743 OYP852743 PIL852743 PSH852743 QCD852743 QLZ852743 QVV852743 RFR852743 RPN852743 RZJ852743 SJF852743 STB852743 TCX852743 TMT852743 TWP852743 UGL852743 UQH852743 VAD852743 VJZ852743 VTV852743 WDR852743 WNN852743 WXJ852743 BB918279 KX918279 UT918279 AEP918279 AOL918279 AYH918279 BID918279 BRZ918279 CBV918279 CLR918279 CVN918279 DFJ918279 DPF918279 DZB918279 EIX918279 EST918279 FCP918279 FML918279 FWH918279 GGD918279 GPZ918279 GZV918279 HJR918279 HTN918279 IDJ918279 INF918279 IXB918279 JGX918279 JQT918279 KAP918279 KKL918279 KUH918279 LED918279 LNZ918279 LXV918279 MHR918279 MRN918279 NBJ918279 NLF918279 NVB918279 OEX918279 OOT918279 OYP918279 PIL918279 PSH918279 QCD918279 QLZ918279 QVV918279 RFR918279 RPN918279 RZJ918279 SJF918279 STB918279 TCX918279 TMT918279 TWP918279 UGL918279 UQH918279 VAD918279 VJZ918279 VTV918279 WDR918279 WNN918279 WXJ918279 BB983815 KX983815 UT983815 AEP983815 AOL983815 AYH983815 BID983815 BRZ983815 CBV983815 CLR983815 CVN983815 DFJ983815 DPF983815 DZB983815 EIX983815 EST983815 FCP983815 FML983815 FWH983815 GGD983815 GPZ983815 GZV983815 HJR983815 HTN983815 IDJ983815 INF983815 IXB983815 JGX983815 JQT983815 KAP983815 KKL983815 KUH983815 LED983815 LNZ983815 LXV983815 MHR983815 MRN983815 NBJ983815 NLF983815 NVB983815 OEX983815 OOT983815 OYP983815 PIL983815 PSH983815 QCD983815 QLZ983815 QVV983815 RFR983815 RPN983815 RZJ983815 SJF983815 STB983815 TCX983815 TMT983815 TWP983815 UGL983815 UQH983815 VAD983815 VJZ983815 VTV983815 WDR983815 WNN983815 WXJ983815" xr:uid="{286EC12B-3F79-4C9E-A951-E48E2CCDE0DB}">
      <formula1>$S$709:$S$712</formula1>
    </dataValidation>
    <dataValidation type="list" allowBlank="1" showInputMessage="1" showErrorMessage="1" sqref="BB769 KX769 UT769 AEP769 AOL769 AYH769 BID769 BRZ769 CBV769 CLR769 CVN769 DFJ769 DPF769 DZB769 EIX769 EST769 FCP769 FML769 FWH769 GGD769 GPZ769 GZV769 HJR769 HTN769 IDJ769 INF769 IXB769 JGX769 JQT769 KAP769 KKL769 KUH769 LED769 LNZ769 LXV769 MHR769 MRN769 NBJ769 NLF769 NVB769 OEX769 OOT769 OYP769 PIL769 PSH769 QCD769 QLZ769 QVV769 RFR769 RPN769 RZJ769 SJF769 STB769 TCX769 TMT769 TWP769 UGL769 UQH769 VAD769 VJZ769 VTV769 WDR769 WNN769 WXJ769 BB66305 KX66305 UT66305 AEP66305 AOL66305 AYH66305 BID66305 BRZ66305 CBV66305 CLR66305 CVN66305 DFJ66305 DPF66305 DZB66305 EIX66305 EST66305 FCP66305 FML66305 FWH66305 GGD66305 GPZ66305 GZV66305 HJR66305 HTN66305 IDJ66305 INF66305 IXB66305 JGX66305 JQT66305 KAP66305 KKL66305 KUH66305 LED66305 LNZ66305 LXV66305 MHR66305 MRN66305 NBJ66305 NLF66305 NVB66305 OEX66305 OOT66305 OYP66305 PIL66305 PSH66305 QCD66305 QLZ66305 QVV66305 RFR66305 RPN66305 RZJ66305 SJF66305 STB66305 TCX66305 TMT66305 TWP66305 UGL66305 UQH66305 VAD66305 VJZ66305 VTV66305 WDR66305 WNN66305 WXJ66305 BB131841 KX131841 UT131841 AEP131841 AOL131841 AYH131841 BID131841 BRZ131841 CBV131841 CLR131841 CVN131841 DFJ131841 DPF131841 DZB131841 EIX131841 EST131841 FCP131841 FML131841 FWH131841 GGD131841 GPZ131841 GZV131841 HJR131841 HTN131841 IDJ131841 INF131841 IXB131841 JGX131841 JQT131841 KAP131841 KKL131841 KUH131841 LED131841 LNZ131841 LXV131841 MHR131841 MRN131841 NBJ131841 NLF131841 NVB131841 OEX131841 OOT131841 OYP131841 PIL131841 PSH131841 QCD131841 QLZ131841 QVV131841 RFR131841 RPN131841 RZJ131841 SJF131841 STB131841 TCX131841 TMT131841 TWP131841 UGL131841 UQH131841 VAD131841 VJZ131841 VTV131841 WDR131841 WNN131841 WXJ131841 BB197377 KX197377 UT197377 AEP197377 AOL197377 AYH197377 BID197377 BRZ197377 CBV197377 CLR197377 CVN197377 DFJ197377 DPF197377 DZB197377 EIX197377 EST197377 FCP197377 FML197377 FWH197377 GGD197377 GPZ197377 GZV197377 HJR197377 HTN197377 IDJ197377 INF197377 IXB197377 JGX197377 JQT197377 KAP197377 KKL197377 KUH197377 LED197377 LNZ197377 LXV197377 MHR197377 MRN197377 NBJ197377 NLF197377 NVB197377 OEX197377 OOT197377 OYP197377 PIL197377 PSH197377 QCD197377 QLZ197377 QVV197377 RFR197377 RPN197377 RZJ197377 SJF197377 STB197377 TCX197377 TMT197377 TWP197377 UGL197377 UQH197377 VAD197377 VJZ197377 VTV197377 WDR197377 WNN197377 WXJ197377 BB262913 KX262913 UT262913 AEP262913 AOL262913 AYH262913 BID262913 BRZ262913 CBV262913 CLR262913 CVN262913 DFJ262913 DPF262913 DZB262913 EIX262913 EST262913 FCP262913 FML262913 FWH262913 GGD262913 GPZ262913 GZV262913 HJR262913 HTN262913 IDJ262913 INF262913 IXB262913 JGX262913 JQT262913 KAP262913 KKL262913 KUH262913 LED262913 LNZ262913 LXV262913 MHR262913 MRN262913 NBJ262913 NLF262913 NVB262913 OEX262913 OOT262913 OYP262913 PIL262913 PSH262913 QCD262913 QLZ262913 QVV262913 RFR262913 RPN262913 RZJ262913 SJF262913 STB262913 TCX262913 TMT262913 TWP262913 UGL262913 UQH262913 VAD262913 VJZ262913 VTV262913 WDR262913 WNN262913 WXJ262913 BB328449 KX328449 UT328449 AEP328449 AOL328449 AYH328449 BID328449 BRZ328449 CBV328449 CLR328449 CVN328449 DFJ328449 DPF328449 DZB328449 EIX328449 EST328449 FCP328449 FML328449 FWH328449 GGD328449 GPZ328449 GZV328449 HJR328449 HTN328449 IDJ328449 INF328449 IXB328449 JGX328449 JQT328449 KAP328449 KKL328449 KUH328449 LED328449 LNZ328449 LXV328449 MHR328449 MRN328449 NBJ328449 NLF328449 NVB328449 OEX328449 OOT328449 OYP328449 PIL328449 PSH328449 QCD328449 QLZ328449 QVV328449 RFR328449 RPN328449 RZJ328449 SJF328449 STB328449 TCX328449 TMT328449 TWP328449 UGL328449 UQH328449 VAD328449 VJZ328449 VTV328449 WDR328449 WNN328449 WXJ328449 BB393985 KX393985 UT393985 AEP393985 AOL393985 AYH393985 BID393985 BRZ393985 CBV393985 CLR393985 CVN393985 DFJ393985 DPF393985 DZB393985 EIX393985 EST393985 FCP393985 FML393985 FWH393985 GGD393985 GPZ393985 GZV393985 HJR393985 HTN393985 IDJ393985 INF393985 IXB393985 JGX393985 JQT393985 KAP393985 KKL393985 KUH393985 LED393985 LNZ393985 LXV393985 MHR393985 MRN393985 NBJ393985 NLF393985 NVB393985 OEX393985 OOT393985 OYP393985 PIL393985 PSH393985 QCD393985 QLZ393985 QVV393985 RFR393985 RPN393985 RZJ393985 SJF393985 STB393985 TCX393985 TMT393985 TWP393985 UGL393985 UQH393985 VAD393985 VJZ393985 VTV393985 WDR393985 WNN393985 WXJ393985 BB459521 KX459521 UT459521 AEP459521 AOL459521 AYH459521 BID459521 BRZ459521 CBV459521 CLR459521 CVN459521 DFJ459521 DPF459521 DZB459521 EIX459521 EST459521 FCP459521 FML459521 FWH459521 GGD459521 GPZ459521 GZV459521 HJR459521 HTN459521 IDJ459521 INF459521 IXB459521 JGX459521 JQT459521 KAP459521 KKL459521 KUH459521 LED459521 LNZ459521 LXV459521 MHR459521 MRN459521 NBJ459521 NLF459521 NVB459521 OEX459521 OOT459521 OYP459521 PIL459521 PSH459521 QCD459521 QLZ459521 QVV459521 RFR459521 RPN459521 RZJ459521 SJF459521 STB459521 TCX459521 TMT459521 TWP459521 UGL459521 UQH459521 VAD459521 VJZ459521 VTV459521 WDR459521 WNN459521 WXJ459521 BB525057 KX525057 UT525057 AEP525057 AOL525057 AYH525057 BID525057 BRZ525057 CBV525057 CLR525057 CVN525057 DFJ525057 DPF525057 DZB525057 EIX525057 EST525057 FCP525057 FML525057 FWH525057 GGD525057 GPZ525057 GZV525057 HJR525057 HTN525057 IDJ525057 INF525057 IXB525057 JGX525057 JQT525057 KAP525057 KKL525057 KUH525057 LED525057 LNZ525057 LXV525057 MHR525057 MRN525057 NBJ525057 NLF525057 NVB525057 OEX525057 OOT525057 OYP525057 PIL525057 PSH525057 QCD525057 QLZ525057 QVV525057 RFR525057 RPN525057 RZJ525057 SJF525057 STB525057 TCX525057 TMT525057 TWP525057 UGL525057 UQH525057 VAD525057 VJZ525057 VTV525057 WDR525057 WNN525057 WXJ525057 BB590593 KX590593 UT590593 AEP590593 AOL590593 AYH590593 BID590593 BRZ590593 CBV590593 CLR590593 CVN590593 DFJ590593 DPF590593 DZB590593 EIX590593 EST590593 FCP590593 FML590593 FWH590593 GGD590593 GPZ590593 GZV590593 HJR590593 HTN590593 IDJ590593 INF590593 IXB590593 JGX590593 JQT590593 KAP590593 KKL590593 KUH590593 LED590593 LNZ590593 LXV590593 MHR590593 MRN590593 NBJ590593 NLF590593 NVB590593 OEX590593 OOT590593 OYP590593 PIL590593 PSH590593 QCD590593 QLZ590593 QVV590593 RFR590593 RPN590593 RZJ590593 SJF590593 STB590593 TCX590593 TMT590593 TWP590593 UGL590593 UQH590593 VAD590593 VJZ590593 VTV590593 WDR590593 WNN590593 WXJ590593 BB656129 KX656129 UT656129 AEP656129 AOL656129 AYH656129 BID656129 BRZ656129 CBV656129 CLR656129 CVN656129 DFJ656129 DPF656129 DZB656129 EIX656129 EST656129 FCP656129 FML656129 FWH656129 GGD656129 GPZ656129 GZV656129 HJR656129 HTN656129 IDJ656129 INF656129 IXB656129 JGX656129 JQT656129 KAP656129 KKL656129 KUH656129 LED656129 LNZ656129 LXV656129 MHR656129 MRN656129 NBJ656129 NLF656129 NVB656129 OEX656129 OOT656129 OYP656129 PIL656129 PSH656129 QCD656129 QLZ656129 QVV656129 RFR656129 RPN656129 RZJ656129 SJF656129 STB656129 TCX656129 TMT656129 TWP656129 UGL656129 UQH656129 VAD656129 VJZ656129 VTV656129 WDR656129 WNN656129 WXJ656129 BB721665 KX721665 UT721665 AEP721665 AOL721665 AYH721665 BID721665 BRZ721665 CBV721665 CLR721665 CVN721665 DFJ721665 DPF721665 DZB721665 EIX721665 EST721665 FCP721665 FML721665 FWH721665 GGD721665 GPZ721665 GZV721665 HJR721665 HTN721665 IDJ721665 INF721665 IXB721665 JGX721665 JQT721665 KAP721665 KKL721665 KUH721665 LED721665 LNZ721665 LXV721665 MHR721665 MRN721665 NBJ721665 NLF721665 NVB721665 OEX721665 OOT721665 OYP721665 PIL721665 PSH721665 QCD721665 QLZ721665 QVV721665 RFR721665 RPN721665 RZJ721665 SJF721665 STB721665 TCX721665 TMT721665 TWP721665 UGL721665 UQH721665 VAD721665 VJZ721665 VTV721665 WDR721665 WNN721665 WXJ721665 BB787201 KX787201 UT787201 AEP787201 AOL787201 AYH787201 BID787201 BRZ787201 CBV787201 CLR787201 CVN787201 DFJ787201 DPF787201 DZB787201 EIX787201 EST787201 FCP787201 FML787201 FWH787201 GGD787201 GPZ787201 GZV787201 HJR787201 HTN787201 IDJ787201 INF787201 IXB787201 JGX787201 JQT787201 KAP787201 KKL787201 KUH787201 LED787201 LNZ787201 LXV787201 MHR787201 MRN787201 NBJ787201 NLF787201 NVB787201 OEX787201 OOT787201 OYP787201 PIL787201 PSH787201 QCD787201 QLZ787201 QVV787201 RFR787201 RPN787201 RZJ787201 SJF787201 STB787201 TCX787201 TMT787201 TWP787201 UGL787201 UQH787201 VAD787201 VJZ787201 VTV787201 WDR787201 WNN787201 WXJ787201 BB852737 KX852737 UT852737 AEP852737 AOL852737 AYH852737 BID852737 BRZ852737 CBV852737 CLR852737 CVN852737 DFJ852737 DPF852737 DZB852737 EIX852737 EST852737 FCP852737 FML852737 FWH852737 GGD852737 GPZ852737 GZV852737 HJR852737 HTN852737 IDJ852737 INF852737 IXB852737 JGX852737 JQT852737 KAP852737 KKL852737 KUH852737 LED852737 LNZ852737 LXV852737 MHR852737 MRN852737 NBJ852737 NLF852737 NVB852737 OEX852737 OOT852737 OYP852737 PIL852737 PSH852737 QCD852737 QLZ852737 QVV852737 RFR852737 RPN852737 RZJ852737 SJF852737 STB852737 TCX852737 TMT852737 TWP852737 UGL852737 UQH852737 VAD852737 VJZ852737 VTV852737 WDR852737 WNN852737 WXJ852737 BB918273 KX918273 UT918273 AEP918273 AOL918273 AYH918273 BID918273 BRZ918273 CBV918273 CLR918273 CVN918273 DFJ918273 DPF918273 DZB918273 EIX918273 EST918273 FCP918273 FML918273 FWH918273 GGD918273 GPZ918273 GZV918273 HJR918273 HTN918273 IDJ918273 INF918273 IXB918273 JGX918273 JQT918273 KAP918273 KKL918273 KUH918273 LED918273 LNZ918273 LXV918273 MHR918273 MRN918273 NBJ918273 NLF918273 NVB918273 OEX918273 OOT918273 OYP918273 PIL918273 PSH918273 QCD918273 QLZ918273 QVV918273 RFR918273 RPN918273 RZJ918273 SJF918273 STB918273 TCX918273 TMT918273 TWP918273 UGL918273 UQH918273 VAD918273 VJZ918273 VTV918273 WDR918273 WNN918273 WXJ918273 BB983809 KX983809 UT983809 AEP983809 AOL983809 AYH983809 BID983809 BRZ983809 CBV983809 CLR983809 CVN983809 DFJ983809 DPF983809 DZB983809 EIX983809 EST983809 FCP983809 FML983809 FWH983809 GGD983809 GPZ983809 GZV983809 HJR983809 HTN983809 IDJ983809 INF983809 IXB983809 JGX983809 JQT983809 KAP983809 KKL983809 KUH983809 LED983809 LNZ983809 LXV983809 MHR983809 MRN983809 NBJ983809 NLF983809 NVB983809 OEX983809 OOT983809 OYP983809 PIL983809 PSH983809 QCD983809 QLZ983809 QVV983809 RFR983809 RPN983809 RZJ983809 SJF983809 STB983809 TCX983809 TMT983809 TWP983809 UGL983809 UQH983809 VAD983809 VJZ983809 VTV983809 WDR983809 WNN983809 WXJ983809" xr:uid="{EF42F3F3-F30A-4F6F-A510-7D23DD67C56A}">
      <formula1>$BW$715:$BY$715</formula1>
    </dataValidation>
    <dataValidation type="list" allowBlank="1" showInputMessage="1" showErrorMessage="1" sqref="BB779 KX779 UT779 AEP779 AOL779 AYH779 BID779 BRZ779 CBV779 CLR779 CVN779 DFJ779 DPF779 DZB779 EIX779 EST779 FCP779 FML779 FWH779 GGD779 GPZ779 GZV779 HJR779 HTN779 IDJ779 INF779 IXB779 JGX779 JQT779 KAP779 KKL779 KUH779 LED779 LNZ779 LXV779 MHR779 MRN779 NBJ779 NLF779 NVB779 OEX779 OOT779 OYP779 PIL779 PSH779 QCD779 QLZ779 QVV779 RFR779 RPN779 RZJ779 SJF779 STB779 TCX779 TMT779 TWP779 UGL779 UQH779 VAD779 VJZ779 VTV779 WDR779 WNN779 WXJ779 BB66315 KX66315 UT66315 AEP66315 AOL66315 AYH66315 BID66315 BRZ66315 CBV66315 CLR66315 CVN66315 DFJ66315 DPF66315 DZB66315 EIX66315 EST66315 FCP66315 FML66315 FWH66315 GGD66315 GPZ66315 GZV66315 HJR66315 HTN66315 IDJ66315 INF66315 IXB66315 JGX66315 JQT66315 KAP66315 KKL66315 KUH66315 LED66315 LNZ66315 LXV66315 MHR66315 MRN66315 NBJ66315 NLF66315 NVB66315 OEX66315 OOT66315 OYP66315 PIL66315 PSH66315 QCD66315 QLZ66315 QVV66315 RFR66315 RPN66315 RZJ66315 SJF66315 STB66315 TCX66315 TMT66315 TWP66315 UGL66315 UQH66315 VAD66315 VJZ66315 VTV66315 WDR66315 WNN66315 WXJ66315 BB131851 KX131851 UT131851 AEP131851 AOL131851 AYH131851 BID131851 BRZ131851 CBV131851 CLR131851 CVN131851 DFJ131851 DPF131851 DZB131851 EIX131851 EST131851 FCP131851 FML131851 FWH131851 GGD131851 GPZ131851 GZV131851 HJR131851 HTN131851 IDJ131851 INF131851 IXB131851 JGX131851 JQT131851 KAP131851 KKL131851 KUH131851 LED131851 LNZ131851 LXV131851 MHR131851 MRN131851 NBJ131851 NLF131851 NVB131851 OEX131851 OOT131851 OYP131851 PIL131851 PSH131851 QCD131851 QLZ131851 QVV131851 RFR131851 RPN131851 RZJ131851 SJF131851 STB131851 TCX131851 TMT131851 TWP131851 UGL131851 UQH131851 VAD131851 VJZ131851 VTV131851 WDR131851 WNN131851 WXJ131851 BB197387 KX197387 UT197387 AEP197387 AOL197387 AYH197387 BID197387 BRZ197387 CBV197387 CLR197387 CVN197387 DFJ197387 DPF197387 DZB197387 EIX197387 EST197387 FCP197387 FML197387 FWH197387 GGD197387 GPZ197387 GZV197387 HJR197387 HTN197387 IDJ197387 INF197387 IXB197387 JGX197387 JQT197387 KAP197387 KKL197387 KUH197387 LED197387 LNZ197387 LXV197387 MHR197387 MRN197387 NBJ197387 NLF197387 NVB197387 OEX197387 OOT197387 OYP197387 PIL197387 PSH197387 QCD197387 QLZ197387 QVV197387 RFR197387 RPN197387 RZJ197387 SJF197387 STB197387 TCX197387 TMT197387 TWP197387 UGL197387 UQH197387 VAD197387 VJZ197387 VTV197387 WDR197387 WNN197387 WXJ197387 BB262923 KX262923 UT262923 AEP262923 AOL262923 AYH262923 BID262923 BRZ262923 CBV262923 CLR262923 CVN262923 DFJ262923 DPF262923 DZB262923 EIX262923 EST262923 FCP262923 FML262923 FWH262923 GGD262923 GPZ262923 GZV262923 HJR262923 HTN262923 IDJ262923 INF262923 IXB262923 JGX262923 JQT262923 KAP262923 KKL262923 KUH262923 LED262923 LNZ262923 LXV262923 MHR262923 MRN262923 NBJ262923 NLF262923 NVB262923 OEX262923 OOT262923 OYP262923 PIL262923 PSH262923 QCD262923 QLZ262923 QVV262923 RFR262923 RPN262923 RZJ262923 SJF262923 STB262923 TCX262923 TMT262923 TWP262923 UGL262923 UQH262923 VAD262923 VJZ262923 VTV262923 WDR262923 WNN262923 WXJ262923 BB328459 KX328459 UT328459 AEP328459 AOL328459 AYH328459 BID328459 BRZ328459 CBV328459 CLR328459 CVN328459 DFJ328459 DPF328459 DZB328459 EIX328459 EST328459 FCP328459 FML328459 FWH328459 GGD328459 GPZ328459 GZV328459 HJR328459 HTN328459 IDJ328459 INF328459 IXB328459 JGX328459 JQT328459 KAP328459 KKL328459 KUH328459 LED328459 LNZ328459 LXV328459 MHR328459 MRN328459 NBJ328459 NLF328459 NVB328459 OEX328459 OOT328459 OYP328459 PIL328459 PSH328459 QCD328459 QLZ328459 QVV328459 RFR328459 RPN328459 RZJ328459 SJF328459 STB328459 TCX328459 TMT328459 TWP328459 UGL328459 UQH328459 VAD328459 VJZ328459 VTV328459 WDR328459 WNN328459 WXJ328459 BB393995 KX393995 UT393995 AEP393995 AOL393995 AYH393995 BID393995 BRZ393995 CBV393995 CLR393995 CVN393995 DFJ393995 DPF393995 DZB393995 EIX393995 EST393995 FCP393995 FML393995 FWH393995 GGD393995 GPZ393995 GZV393995 HJR393995 HTN393995 IDJ393995 INF393995 IXB393995 JGX393995 JQT393995 KAP393995 KKL393995 KUH393995 LED393995 LNZ393995 LXV393995 MHR393995 MRN393995 NBJ393995 NLF393995 NVB393995 OEX393995 OOT393995 OYP393995 PIL393995 PSH393995 QCD393995 QLZ393995 QVV393995 RFR393995 RPN393995 RZJ393995 SJF393995 STB393995 TCX393995 TMT393995 TWP393995 UGL393995 UQH393995 VAD393995 VJZ393995 VTV393995 WDR393995 WNN393995 WXJ393995 BB459531 KX459531 UT459531 AEP459531 AOL459531 AYH459531 BID459531 BRZ459531 CBV459531 CLR459531 CVN459531 DFJ459531 DPF459531 DZB459531 EIX459531 EST459531 FCP459531 FML459531 FWH459531 GGD459531 GPZ459531 GZV459531 HJR459531 HTN459531 IDJ459531 INF459531 IXB459531 JGX459531 JQT459531 KAP459531 KKL459531 KUH459531 LED459531 LNZ459531 LXV459531 MHR459531 MRN459531 NBJ459531 NLF459531 NVB459531 OEX459531 OOT459531 OYP459531 PIL459531 PSH459531 QCD459531 QLZ459531 QVV459531 RFR459531 RPN459531 RZJ459531 SJF459531 STB459531 TCX459531 TMT459531 TWP459531 UGL459531 UQH459531 VAD459531 VJZ459531 VTV459531 WDR459531 WNN459531 WXJ459531 BB525067 KX525067 UT525067 AEP525067 AOL525067 AYH525067 BID525067 BRZ525067 CBV525067 CLR525067 CVN525067 DFJ525067 DPF525067 DZB525067 EIX525067 EST525067 FCP525067 FML525067 FWH525067 GGD525067 GPZ525067 GZV525067 HJR525067 HTN525067 IDJ525067 INF525067 IXB525067 JGX525067 JQT525067 KAP525067 KKL525067 KUH525067 LED525067 LNZ525067 LXV525067 MHR525067 MRN525067 NBJ525067 NLF525067 NVB525067 OEX525067 OOT525067 OYP525067 PIL525067 PSH525067 QCD525067 QLZ525067 QVV525067 RFR525067 RPN525067 RZJ525067 SJF525067 STB525067 TCX525067 TMT525067 TWP525067 UGL525067 UQH525067 VAD525067 VJZ525067 VTV525067 WDR525067 WNN525067 WXJ525067 BB590603 KX590603 UT590603 AEP590603 AOL590603 AYH590603 BID590603 BRZ590603 CBV590603 CLR590603 CVN590603 DFJ590603 DPF590603 DZB590603 EIX590603 EST590603 FCP590603 FML590603 FWH590603 GGD590603 GPZ590603 GZV590603 HJR590603 HTN590603 IDJ590603 INF590603 IXB590603 JGX590603 JQT590603 KAP590603 KKL590603 KUH590603 LED590603 LNZ590603 LXV590603 MHR590603 MRN590603 NBJ590603 NLF590603 NVB590603 OEX590603 OOT590603 OYP590603 PIL590603 PSH590603 QCD590603 QLZ590603 QVV590603 RFR590603 RPN590603 RZJ590603 SJF590603 STB590603 TCX590603 TMT590603 TWP590603 UGL590603 UQH590603 VAD590603 VJZ590603 VTV590603 WDR590603 WNN590603 WXJ590603 BB656139 KX656139 UT656139 AEP656139 AOL656139 AYH656139 BID656139 BRZ656139 CBV656139 CLR656139 CVN656139 DFJ656139 DPF656139 DZB656139 EIX656139 EST656139 FCP656139 FML656139 FWH656139 GGD656139 GPZ656139 GZV656139 HJR656139 HTN656139 IDJ656139 INF656139 IXB656139 JGX656139 JQT656139 KAP656139 KKL656139 KUH656139 LED656139 LNZ656139 LXV656139 MHR656139 MRN656139 NBJ656139 NLF656139 NVB656139 OEX656139 OOT656139 OYP656139 PIL656139 PSH656139 QCD656139 QLZ656139 QVV656139 RFR656139 RPN656139 RZJ656139 SJF656139 STB656139 TCX656139 TMT656139 TWP656139 UGL656139 UQH656139 VAD656139 VJZ656139 VTV656139 WDR656139 WNN656139 WXJ656139 BB721675 KX721675 UT721675 AEP721675 AOL721675 AYH721675 BID721675 BRZ721675 CBV721675 CLR721675 CVN721675 DFJ721675 DPF721675 DZB721675 EIX721675 EST721675 FCP721675 FML721675 FWH721675 GGD721675 GPZ721675 GZV721675 HJR721675 HTN721675 IDJ721675 INF721675 IXB721675 JGX721675 JQT721675 KAP721675 KKL721675 KUH721675 LED721675 LNZ721675 LXV721675 MHR721675 MRN721675 NBJ721675 NLF721675 NVB721675 OEX721675 OOT721675 OYP721675 PIL721675 PSH721675 QCD721675 QLZ721675 QVV721675 RFR721675 RPN721675 RZJ721675 SJF721675 STB721675 TCX721675 TMT721675 TWP721675 UGL721675 UQH721675 VAD721675 VJZ721675 VTV721675 WDR721675 WNN721675 WXJ721675 BB787211 KX787211 UT787211 AEP787211 AOL787211 AYH787211 BID787211 BRZ787211 CBV787211 CLR787211 CVN787211 DFJ787211 DPF787211 DZB787211 EIX787211 EST787211 FCP787211 FML787211 FWH787211 GGD787211 GPZ787211 GZV787211 HJR787211 HTN787211 IDJ787211 INF787211 IXB787211 JGX787211 JQT787211 KAP787211 KKL787211 KUH787211 LED787211 LNZ787211 LXV787211 MHR787211 MRN787211 NBJ787211 NLF787211 NVB787211 OEX787211 OOT787211 OYP787211 PIL787211 PSH787211 QCD787211 QLZ787211 QVV787211 RFR787211 RPN787211 RZJ787211 SJF787211 STB787211 TCX787211 TMT787211 TWP787211 UGL787211 UQH787211 VAD787211 VJZ787211 VTV787211 WDR787211 WNN787211 WXJ787211 BB852747 KX852747 UT852747 AEP852747 AOL852747 AYH852747 BID852747 BRZ852747 CBV852747 CLR852747 CVN852747 DFJ852747 DPF852747 DZB852747 EIX852747 EST852747 FCP852747 FML852747 FWH852747 GGD852747 GPZ852747 GZV852747 HJR852747 HTN852747 IDJ852747 INF852747 IXB852747 JGX852747 JQT852747 KAP852747 KKL852747 KUH852747 LED852747 LNZ852747 LXV852747 MHR852747 MRN852747 NBJ852747 NLF852747 NVB852747 OEX852747 OOT852747 OYP852747 PIL852747 PSH852747 QCD852747 QLZ852747 QVV852747 RFR852747 RPN852747 RZJ852747 SJF852747 STB852747 TCX852747 TMT852747 TWP852747 UGL852747 UQH852747 VAD852747 VJZ852747 VTV852747 WDR852747 WNN852747 WXJ852747 BB918283 KX918283 UT918283 AEP918283 AOL918283 AYH918283 BID918283 BRZ918283 CBV918283 CLR918283 CVN918283 DFJ918283 DPF918283 DZB918283 EIX918283 EST918283 FCP918283 FML918283 FWH918283 GGD918283 GPZ918283 GZV918283 HJR918283 HTN918283 IDJ918283 INF918283 IXB918283 JGX918283 JQT918283 KAP918283 KKL918283 KUH918283 LED918283 LNZ918283 LXV918283 MHR918283 MRN918283 NBJ918283 NLF918283 NVB918283 OEX918283 OOT918283 OYP918283 PIL918283 PSH918283 QCD918283 QLZ918283 QVV918283 RFR918283 RPN918283 RZJ918283 SJF918283 STB918283 TCX918283 TMT918283 TWP918283 UGL918283 UQH918283 VAD918283 VJZ918283 VTV918283 WDR918283 WNN918283 WXJ918283 BB983819 KX983819 UT983819 AEP983819 AOL983819 AYH983819 BID983819 BRZ983819 CBV983819 CLR983819 CVN983819 DFJ983819 DPF983819 DZB983819 EIX983819 EST983819 FCP983819 FML983819 FWH983819 GGD983819 GPZ983819 GZV983819 HJR983819 HTN983819 IDJ983819 INF983819 IXB983819 JGX983819 JQT983819 KAP983819 KKL983819 KUH983819 LED983819 LNZ983819 LXV983819 MHR983819 MRN983819 NBJ983819 NLF983819 NVB983819 OEX983819 OOT983819 OYP983819 PIL983819 PSH983819 QCD983819 QLZ983819 QVV983819 RFR983819 RPN983819 RZJ983819 SJF983819 STB983819 TCX983819 TMT983819 TWP983819 UGL983819 UQH983819 VAD983819 VJZ983819 VTV983819 WDR983819 WNN983819 WXJ983819" xr:uid="{0B2EBBA1-6DD0-4692-B188-55C0D861B38C}">
      <formula1>$AV$705:$AV$721</formula1>
    </dataValidation>
    <dataValidation type="list" allowBlank="1" showInputMessage="1" showErrorMessage="1" sqref="BB770 KX770 UT770 AEP770 AOL770 AYH770 BID770 BRZ770 CBV770 CLR770 CVN770 DFJ770 DPF770 DZB770 EIX770 EST770 FCP770 FML770 FWH770 GGD770 GPZ770 GZV770 HJR770 HTN770 IDJ770 INF770 IXB770 JGX770 JQT770 KAP770 KKL770 KUH770 LED770 LNZ770 LXV770 MHR770 MRN770 NBJ770 NLF770 NVB770 OEX770 OOT770 OYP770 PIL770 PSH770 QCD770 QLZ770 QVV770 RFR770 RPN770 RZJ770 SJF770 STB770 TCX770 TMT770 TWP770 UGL770 UQH770 VAD770 VJZ770 VTV770 WDR770 WNN770 WXJ770 BB66306 KX66306 UT66306 AEP66306 AOL66306 AYH66306 BID66306 BRZ66306 CBV66306 CLR66306 CVN66306 DFJ66306 DPF66306 DZB66306 EIX66306 EST66306 FCP66306 FML66306 FWH66306 GGD66306 GPZ66306 GZV66306 HJR66306 HTN66306 IDJ66306 INF66306 IXB66306 JGX66306 JQT66306 KAP66306 KKL66306 KUH66306 LED66306 LNZ66306 LXV66306 MHR66306 MRN66306 NBJ66306 NLF66306 NVB66306 OEX66306 OOT66306 OYP66306 PIL66306 PSH66306 QCD66306 QLZ66306 QVV66306 RFR66306 RPN66306 RZJ66306 SJF66306 STB66306 TCX66306 TMT66306 TWP66306 UGL66306 UQH66306 VAD66306 VJZ66306 VTV66306 WDR66306 WNN66306 WXJ66306 BB131842 KX131842 UT131842 AEP131842 AOL131842 AYH131842 BID131842 BRZ131842 CBV131842 CLR131842 CVN131842 DFJ131842 DPF131842 DZB131842 EIX131842 EST131842 FCP131842 FML131842 FWH131842 GGD131842 GPZ131842 GZV131842 HJR131842 HTN131842 IDJ131842 INF131842 IXB131842 JGX131842 JQT131842 KAP131842 KKL131842 KUH131842 LED131842 LNZ131842 LXV131842 MHR131842 MRN131842 NBJ131842 NLF131842 NVB131842 OEX131842 OOT131842 OYP131842 PIL131842 PSH131842 QCD131842 QLZ131842 QVV131842 RFR131842 RPN131842 RZJ131842 SJF131842 STB131842 TCX131842 TMT131842 TWP131842 UGL131842 UQH131842 VAD131842 VJZ131842 VTV131842 WDR131842 WNN131842 WXJ131842 BB197378 KX197378 UT197378 AEP197378 AOL197378 AYH197378 BID197378 BRZ197378 CBV197378 CLR197378 CVN197378 DFJ197378 DPF197378 DZB197378 EIX197378 EST197378 FCP197378 FML197378 FWH197378 GGD197378 GPZ197378 GZV197378 HJR197378 HTN197378 IDJ197378 INF197378 IXB197378 JGX197378 JQT197378 KAP197378 KKL197378 KUH197378 LED197378 LNZ197378 LXV197378 MHR197378 MRN197378 NBJ197378 NLF197378 NVB197378 OEX197378 OOT197378 OYP197378 PIL197378 PSH197378 QCD197378 QLZ197378 QVV197378 RFR197378 RPN197378 RZJ197378 SJF197378 STB197378 TCX197378 TMT197378 TWP197378 UGL197378 UQH197378 VAD197378 VJZ197378 VTV197378 WDR197378 WNN197378 WXJ197378 BB262914 KX262914 UT262914 AEP262914 AOL262914 AYH262914 BID262914 BRZ262914 CBV262914 CLR262914 CVN262914 DFJ262914 DPF262914 DZB262914 EIX262914 EST262914 FCP262914 FML262914 FWH262914 GGD262914 GPZ262914 GZV262914 HJR262914 HTN262914 IDJ262914 INF262914 IXB262914 JGX262914 JQT262914 KAP262914 KKL262914 KUH262914 LED262914 LNZ262914 LXV262914 MHR262914 MRN262914 NBJ262914 NLF262914 NVB262914 OEX262914 OOT262914 OYP262914 PIL262914 PSH262914 QCD262914 QLZ262914 QVV262914 RFR262914 RPN262914 RZJ262914 SJF262914 STB262914 TCX262914 TMT262914 TWP262914 UGL262914 UQH262914 VAD262914 VJZ262914 VTV262914 WDR262914 WNN262914 WXJ262914 BB328450 KX328450 UT328450 AEP328450 AOL328450 AYH328450 BID328450 BRZ328450 CBV328450 CLR328450 CVN328450 DFJ328450 DPF328450 DZB328450 EIX328450 EST328450 FCP328450 FML328450 FWH328450 GGD328450 GPZ328450 GZV328450 HJR328450 HTN328450 IDJ328450 INF328450 IXB328450 JGX328450 JQT328450 KAP328450 KKL328450 KUH328450 LED328450 LNZ328450 LXV328450 MHR328450 MRN328450 NBJ328450 NLF328450 NVB328450 OEX328450 OOT328450 OYP328450 PIL328450 PSH328450 QCD328450 QLZ328450 QVV328450 RFR328450 RPN328450 RZJ328450 SJF328450 STB328450 TCX328450 TMT328450 TWP328450 UGL328450 UQH328450 VAD328450 VJZ328450 VTV328450 WDR328450 WNN328450 WXJ328450 BB393986 KX393986 UT393986 AEP393986 AOL393986 AYH393986 BID393986 BRZ393986 CBV393986 CLR393986 CVN393986 DFJ393986 DPF393986 DZB393986 EIX393986 EST393986 FCP393986 FML393986 FWH393986 GGD393986 GPZ393986 GZV393986 HJR393986 HTN393986 IDJ393986 INF393986 IXB393986 JGX393986 JQT393986 KAP393986 KKL393986 KUH393986 LED393986 LNZ393986 LXV393986 MHR393986 MRN393986 NBJ393986 NLF393986 NVB393986 OEX393986 OOT393986 OYP393986 PIL393986 PSH393986 QCD393986 QLZ393986 QVV393986 RFR393986 RPN393986 RZJ393986 SJF393986 STB393986 TCX393986 TMT393986 TWP393986 UGL393986 UQH393986 VAD393986 VJZ393986 VTV393986 WDR393986 WNN393986 WXJ393986 BB459522 KX459522 UT459522 AEP459522 AOL459522 AYH459522 BID459522 BRZ459522 CBV459522 CLR459522 CVN459522 DFJ459522 DPF459522 DZB459522 EIX459522 EST459522 FCP459522 FML459522 FWH459522 GGD459522 GPZ459522 GZV459522 HJR459522 HTN459522 IDJ459522 INF459522 IXB459522 JGX459522 JQT459522 KAP459522 KKL459522 KUH459522 LED459522 LNZ459522 LXV459522 MHR459522 MRN459522 NBJ459522 NLF459522 NVB459522 OEX459522 OOT459522 OYP459522 PIL459522 PSH459522 QCD459522 QLZ459522 QVV459522 RFR459522 RPN459522 RZJ459522 SJF459522 STB459522 TCX459522 TMT459522 TWP459522 UGL459522 UQH459522 VAD459522 VJZ459522 VTV459522 WDR459522 WNN459522 WXJ459522 BB525058 KX525058 UT525058 AEP525058 AOL525058 AYH525058 BID525058 BRZ525058 CBV525058 CLR525058 CVN525058 DFJ525058 DPF525058 DZB525058 EIX525058 EST525058 FCP525058 FML525058 FWH525058 GGD525058 GPZ525058 GZV525058 HJR525058 HTN525058 IDJ525058 INF525058 IXB525058 JGX525058 JQT525058 KAP525058 KKL525058 KUH525058 LED525058 LNZ525058 LXV525058 MHR525058 MRN525058 NBJ525058 NLF525058 NVB525058 OEX525058 OOT525058 OYP525058 PIL525058 PSH525058 QCD525058 QLZ525058 QVV525058 RFR525058 RPN525058 RZJ525058 SJF525058 STB525058 TCX525058 TMT525058 TWP525058 UGL525058 UQH525058 VAD525058 VJZ525058 VTV525058 WDR525058 WNN525058 WXJ525058 BB590594 KX590594 UT590594 AEP590594 AOL590594 AYH590594 BID590594 BRZ590594 CBV590594 CLR590594 CVN590594 DFJ590594 DPF590594 DZB590594 EIX590594 EST590594 FCP590594 FML590594 FWH590594 GGD590594 GPZ590594 GZV590594 HJR590594 HTN590594 IDJ590594 INF590594 IXB590594 JGX590594 JQT590594 KAP590594 KKL590594 KUH590594 LED590594 LNZ590594 LXV590594 MHR590594 MRN590594 NBJ590594 NLF590594 NVB590594 OEX590594 OOT590594 OYP590594 PIL590594 PSH590594 QCD590594 QLZ590594 QVV590594 RFR590594 RPN590594 RZJ590594 SJF590594 STB590594 TCX590594 TMT590594 TWP590594 UGL590594 UQH590594 VAD590594 VJZ590594 VTV590594 WDR590594 WNN590594 WXJ590594 BB656130 KX656130 UT656130 AEP656130 AOL656130 AYH656130 BID656130 BRZ656130 CBV656130 CLR656130 CVN656130 DFJ656130 DPF656130 DZB656130 EIX656130 EST656130 FCP656130 FML656130 FWH656130 GGD656130 GPZ656130 GZV656130 HJR656130 HTN656130 IDJ656130 INF656130 IXB656130 JGX656130 JQT656130 KAP656130 KKL656130 KUH656130 LED656130 LNZ656130 LXV656130 MHR656130 MRN656130 NBJ656130 NLF656130 NVB656130 OEX656130 OOT656130 OYP656130 PIL656130 PSH656130 QCD656130 QLZ656130 QVV656130 RFR656130 RPN656130 RZJ656130 SJF656130 STB656130 TCX656130 TMT656130 TWP656130 UGL656130 UQH656130 VAD656130 VJZ656130 VTV656130 WDR656130 WNN656130 WXJ656130 BB721666 KX721666 UT721666 AEP721666 AOL721666 AYH721666 BID721666 BRZ721666 CBV721666 CLR721666 CVN721666 DFJ721666 DPF721666 DZB721666 EIX721666 EST721666 FCP721666 FML721666 FWH721666 GGD721666 GPZ721666 GZV721666 HJR721666 HTN721666 IDJ721666 INF721666 IXB721666 JGX721666 JQT721666 KAP721666 KKL721666 KUH721666 LED721666 LNZ721666 LXV721666 MHR721666 MRN721666 NBJ721666 NLF721666 NVB721666 OEX721666 OOT721666 OYP721666 PIL721666 PSH721666 QCD721666 QLZ721666 QVV721666 RFR721666 RPN721666 RZJ721666 SJF721666 STB721666 TCX721666 TMT721666 TWP721666 UGL721666 UQH721666 VAD721666 VJZ721666 VTV721666 WDR721666 WNN721666 WXJ721666 BB787202 KX787202 UT787202 AEP787202 AOL787202 AYH787202 BID787202 BRZ787202 CBV787202 CLR787202 CVN787202 DFJ787202 DPF787202 DZB787202 EIX787202 EST787202 FCP787202 FML787202 FWH787202 GGD787202 GPZ787202 GZV787202 HJR787202 HTN787202 IDJ787202 INF787202 IXB787202 JGX787202 JQT787202 KAP787202 KKL787202 KUH787202 LED787202 LNZ787202 LXV787202 MHR787202 MRN787202 NBJ787202 NLF787202 NVB787202 OEX787202 OOT787202 OYP787202 PIL787202 PSH787202 QCD787202 QLZ787202 QVV787202 RFR787202 RPN787202 RZJ787202 SJF787202 STB787202 TCX787202 TMT787202 TWP787202 UGL787202 UQH787202 VAD787202 VJZ787202 VTV787202 WDR787202 WNN787202 WXJ787202 BB852738 KX852738 UT852738 AEP852738 AOL852738 AYH852738 BID852738 BRZ852738 CBV852738 CLR852738 CVN852738 DFJ852738 DPF852738 DZB852738 EIX852738 EST852738 FCP852738 FML852738 FWH852738 GGD852738 GPZ852738 GZV852738 HJR852738 HTN852738 IDJ852738 INF852738 IXB852738 JGX852738 JQT852738 KAP852738 KKL852738 KUH852738 LED852738 LNZ852738 LXV852738 MHR852738 MRN852738 NBJ852738 NLF852738 NVB852738 OEX852738 OOT852738 OYP852738 PIL852738 PSH852738 QCD852738 QLZ852738 QVV852738 RFR852738 RPN852738 RZJ852738 SJF852738 STB852738 TCX852738 TMT852738 TWP852738 UGL852738 UQH852738 VAD852738 VJZ852738 VTV852738 WDR852738 WNN852738 WXJ852738 BB918274 KX918274 UT918274 AEP918274 AOL918274 AYH918274 BID918274 BRZ918274 CBV918274 CLR918274 CVN918274 DFJ918274 DPF918274 DZB918274 EIX918274 EST918274 FCP918274 FML918274 FWH918274 GGD918274 GPZ918274 GZV918274 HJR918274 HTN918274 IDJ918274 INF918274 IXB918274 JGX918274 JQT918274 KAP918274 KKL918274 KUH918274 LED918274 LNZ918274 LXV918274 MHR918274 MRN918274 NBJ918274 NLF918274 NVB918274 OEX918274 OOT918274 OYP918274 PIL918274 PSH918274 QCD918274 QLZ918274 QVV918274 RFR918274 RPN918274 RZJ918274 SJF918274 STB918274 TCX918274 TMT918274 TWP918274 UGL918274 UQH918274 VAD918274 VJZ918274 VTV918274 WDR918274 WNN918274 WXJ918274 BB983810 KX983810 UT983810 AEP983810 AOL983810 AYH983810 BID983810 BRZ983810 CBV983810 CLR983810 CVN983810 DFJ983810 DPF983810 DZB983810 EIX983810 EST983810 FCP983810 FML983810 FWH983810 GGD983810 GPZ983810 GZV983810 HJR983810 HTN983810 IDJ983810 INF983810 IXB983810 JGX983810 JQT983810 KAP983810 KKL983810 KUH983810 LED983810 LNZ983810 LXV983810 MHR983810 MRN983810 NBJ983810 NLF983810 NVB983810 OEX983810 OOT983810 OYP983810 PIL983810 PSH983810 QCD983810 QLZ983810 QVV983810 RFR983810 RPN983810 RZJ983810 SJF983810 STB983810 TCX983810 TMT983810 TWP983810 UGL983810 UQH983810 VAD983810 VJZ983810 VTV983810 WDR983810 WNN983810 WXJ983810" xr:uid="{0F92E82B-4AF0-47DC-B970-36FD2B0280FE}">
      <formula1>$AI$706:$AI$722</formula1>
    </dataValidation>
    <dataValidation type="list" allowBlank="1" showInputMessage="1" showErrorMessage="1" sqref="F156 JB156 SX156 ACT156 AMP156 AWL156 BGH156 BQD156 BZZ156 CJV156 CTR156 DDN156 DNJ156 DXF156 EHB156 EQX156 FAT156 FKP156 FUL156 GEH156 GOD156 GXZ156 HHV156 HRR156 IBN156 ILJ156 IVF156 JFB156 JOX156 JYT156 KIP156 KSL156 LCH156 LMD156 LVZ156 MFV156 MPR156 MZN156 NJJ156 NTF156 ODB156 OMX156 OWT156 PGP156 PQL156 QAH156 QKD156 QTZ156 RDV156 RNR156 RXN156 SHJ156 SRF156 TBB156 TKX156 TUT156 UEP156 UOL156 UYH156 VID156 VRZ156 WBV156 WLR156 WVN156 F65692 JB65692 SX65692 ACT65692 AMP65692 AWL65692 BGH65692 BQD65692 BZZ65692 CJV65692 CTR65692 DDN65692 DNJ65692 DXF65692 EHB65692 EQX65692 FAT65692 FKP65692 FUL65692 GEH65692 GOD65692 GXZ65692 HHV65692 HRR65692 IBN65692 ILJ65692 IVF65692 JFB65692 JOX65692 JYT65692 KIP65692 KSL65692 LCH65692 LMD65692 LVZ65692 MFV65692 MPR65692 MZN65692 NJJ65692 NTF65692 ODB65692 OMX65692 OWT65692 PGP65692 PQL65692 QAH65692 QKD65692 QTZ65692 RDV65692 RNR65692 RXN65692 SHJ65692 SRF65692 TBB65692 TKX65692 TUT65692 UEP65692 UOL65692 UYH65692 VID65692 VRZ65692 WBV65692 WLR65692 WVN65692 F131228 JB131228 SX131228 ACT131228 AMP131228 AWL131228 BGH131228 BQD131228 BZZ131228 CJV131228 CTR131228 DDN131228 DNJ131228 DXF131228 EHB131228 EQX131228 FAT131228 FKP131228 FUL131228 GEH131228 GOD131228 GXZ131228 HHV131228 HRR131228 IBN131228 ILJ131228 IVF131228 JFB131228 JOX131228 JYT131228 KIP131228 KSL131228 LCH131228 LMD131228 LVZ131228 MFV131228 MPR131228 MZN131228 NJJ131228 NTF131228 ODB131228 OMX131228 OWT131228 PGP131228 PQL131228 QAH131228 QKD131228 QTZ131228 RDV131228 RNR131228 RXN131228 SHJ131228 SRF131228 TBB131228 TKX131228 TUT131228 UEP131228 UOL131228 UYH131228 VID131228 VRZ131228 WBV131228 WLR131228 WVN131228 F196764 JB196764 SX196764 ACT196764 AMP196764 AWL196764 BGH196764 BQD196764 BZZ196764 CJV196764 CTR196764 DDN196764 DNJ196764 DXF196764 EHB196764 EQX196764 FAT196764 FKP196764 FUL196764 GEH196764 GOD196764 GXZ196764 HHV196764 HRR196764 IBN196764 ILJ196764 IVF196764 JFB196764 JOX196764 JYT196764 KIP196764 KSL196764 LCH196764 LMD196764 LVZ196764 MFV196764 MPR196764 MZN196764 NJJ196764 NTF196764 ODB196764 OMX196764 OWT196764 PGP196764 PQL196764 QAH196764 QKD196764 QTZ196764 RDV196764 RNR196764 RXN196764 SHJ196764 SRF196764 TBB196764 TKX196764 TUT196764 UEP196764 UOL196764 UYH196764 VID196764 VRZ196764 WBV196764 WLR196764 WVN196764 F262300 JB262300 SX262300 ACT262300 AMP262300 AWL262300 BGH262300 BQD262300 BZZ262300 CJV262300 CTR262300 DDN262300 DNJ262300 DXF262300 EHB262300 EQX262300 FAT262300 FKP262300 FUL262300 GEH262300 GOD262300 GXZ262300 HHV262300 HRR262300 IBN262300 ILJ262300 IVF262300 JFB262300 JOX262300 JYT262300 KIP262300 KSL262300 LCH262300 LMD262300 LVZ262300 MFV262300 MPR262300 MZN262300 NJJ262300 NTF262300 ODB262300 OMX262300 OWT262300 PGP262300 PQL262300 QAH262300 QKD262300 QTZ262300 RDV262300 RNR262300 RXN262300 SHJ262300 SRF262300 TBB262300 TKX262300 TUT262300 UEP262300 UOL262300 UYH262300 VID262300 VRZ262300 WBV262300 WLR262300 WVN262300 F327836 JB327836 SX327836 ACT327836 AMP327836 AWL327836 BGH327836 BQD327836 BZZ327836 CJV327836 CTR327836 DDN327836 DNJ327836 DXF327836 EHB327836 EQX327836 FAT327836 FKP327836 FUL327836 GEH327836 GOD327836 GXZ327836 HHV327836 HRR327836 IBN327836 ILJ327836 IVF327836 JFB327836 JOX327836 JYT327836 KIP327836 KSL327836 LCH327836 LMD327836 LVZ327836 MFV327836 MPR327836 MZN327836 NJJ327836 NTF327836 ODB327836 OMX327836 OWT327836 PGP327836 PQL327836 QAH327836 QKD327836 QTZ327836 RDV327836 RNR327836 RXN327836 SHJ327836 SRF327836 TBB327836 TKX327836 TUT327836 UEP327836 UOL327836 UYH327836 VID327836 VRZ327836 WBV327836 WLR327836 WVN327836 F393372 JB393372 SX393372 ACT393372 AMP393372 AWL393372 BGH393372 BQD393372 BZZ393372 CJV393372 CTR393372 DDN393372 DNJ393372 DXF393372 EHB393372 EQX393372 FAT393372 FKP393372 FUL393372 GEH393372 GOD393372 GXZ393372 HHV393372 HRR393372 IBN393372 ILJ393372 IVF393372 JFB393372 JOX393372 JYT393372 KIP393372 KSL393372 LCH393372 LMD393372 LVZ393372 MFV393372 MPR393372 MZN393372 NJJ393372 NTF393372 ODB393372 OMX393372 OWT393372 PGP393372 PQL393372 QAH393372 QKD393372 QTZ393372 RDV393372 RNR393372 RXN393372 SHJ393372 SRF393372 TBB393372 TKX393372 TUT393372 UEP393372 UOL393372 UYH393372 VID393372 VRZ393372 WBV393372 WLR393372 WVN393372 F458908 JB458908 SX458908 ACT458908 AMP458908 AWL458908 BGH458908 BQD458908 BZZ458908 CJV458908 CTR458908 DDN458908 DNJ458908 DXF458908 EHB458908 EQX458908 FAT458908 FKP458908 FUL458908 GEH458908 GOD458908 GXZ458908 HHV458908 HRR458908 IBN458908 ILJ458908 IVF458908 JFB458908 JOX458908 JYT458908 KIP458908 KSL458908 LCH458908 LMD458908 LVZ458908 MFV458908 MPR458908 MZN458908 NJJ458908 NTF458908 ODB458908 OMX458908 OWT458908 PGP458908 PQL458908 QAH458908 QKD458908 QTZ458908 RDV458908 RNR458908 RXN458908 SHJ458908 SRF458908 TBB458908 TKX458908 TUT458908 UEP458908 UOL458908 UYH458908 VID458908 VRZ458908 WBV458908 WLR458908 WVN458908 F524444 JB524444 SX524444 ACT524444 AMP524444 AWL524444 BGH524444 BQD524444 BZZ524444 CJV524444 CTR524444 DDN524444 DNJ524444 DXF524444 EHB524444 EQX524444 FAT524444 FKP524444 FUL524444 GEH524444 GOD524444 GXZ524444 HHV524444 HRR524444 IBN524444 ILJ524444 IVF524444 JFB524444 JOX524444 JYT524444 KIP524444 KSL524444 LCH524444 LMD524444 LVZ524444 MFV524444 MPR524444 MZN524444 NJJ524444 NTF524444 ODB524444 OMX524444 OWT524444 PGP524444 PQL524444 QAH524444 QKD524444 QTZ524444 RDV524444 RNR524444 RXN524444 SHJ524444 SRF524444 TBB524444 TKX524444 TUT524444 UEP524444 UOL524444 UYH524444 VID524444 VRZ524444 WBV524444 WLR524444 WVN524444 F589980 JB589980 SX589980 ACT589980 AMP589980 AWL589980 BGH589980 BQD589980 BZZ589980 CJV589980 CTR589980 DDN589980 DNJ589980 DXF589980 EHB589980 EQX589980 FAT589980 FKP589980 FUL589980 GEH589980 GOD589980 GXZ589980 HHV589980 HRR589980 IBN589980 ILJ589980 IVF589980 JFB589980 JOX589980 JYT589980 KIP589980 KSL589980 LCH589980 LMD589980 LVZ589980 MFV589980 MPR589980 MZN589980 NJJ589980 NTF589980 ODB589980 OMX589980 OWT589980 PGP589980 PQL589980 QAH589980 QKD589980 QTZ589980 RDV589980 RNR589980 RXN589980 SHJ589980 SRF589980 TBB589980 TKX589980 TUT589980 UEP589980 UOL589980 UYH589980 VID589980 VRZ589980 WBV589980 WLR589980 WVN589980 F655516 JB655516 SX655516 ACT655516 AMP655516 AWL655516 BGH655516 BQD655516 BZZ655516 CJV655516 CTR655516 DDN655516 DNJ655516 DXF655516 EHB655516 EQX655516 FAT655516 FKP655516 FUL655516 GEH655516 GOD655516 GXZ655516 HHV655516 HRR655516 IBN655516 ILJ655516 IVF655516 JFB655516 JOX655516 JYT655516 KIP655516 KSL655516 LCH655516 LMD655516 LVZ655516 MFV655516 MPR655516 MZN655516 NJJ655516 NTF655516 ODB655516 OMX655516 OWT655516 PGP655516 PQL655516 QAH655516 QKD655516 QTZ655516 RDV655516 RNR655516 RXN655516 SHJ655516 SRF655516 TBB655516 TKX655516 TUT655516 UEP655516 UOL655516 UYH655516 VID655516 VRZ655516 WBV655516 WLR655516 WVN655516 F721052 JB721052 SX721052 ACT721052 AMP721052 AWL721052 BGH721052 BQD721052 BZZ721052 CJV721052 CTR721052 DDN721052 DNJ721052 DXF721052 EHB721052 EQX721052 FAT721052 FKP721052 FUL721052 GEH721052 GOD721052 GXZ721052 HHV721052 HRR721052 IBN721052 ILJ721052 IVF721052 JFB721052 JOX721052 JYT721052 KIP721052 KSL721052 LCH721052 LMD721052 LVZ721052 MFV721052 MPR721052 MZN721052 NJJ721052 NTF721052 ODB721052 OMX721052 OWT721052 PGP721052 PQL721052 QAH721052 QKD721052 QTZ721052 RDV721052 RNR721052 RXN721052 SHJ721052 SRF721052 TBB721052 TKX721052 TUT721052 UEP721052 UOL721052 UYH721052 VID721052 VRZ721052 WBV721052 WLR721052 WVN721052 F786588 JB786588 SX786588 ACT786588 AMP786588 AWL786588 BGH786588 BQD786588 BZZ786588 CJV786588 CTR786588 DDN786588 DNJ786588 DXF786588 EHB786588 EQX786588 FAT786588 FKP786588 FUL786588 GEH786588 GOD786588 GXZ786588 HHV786588 HRR786588 IBN786588 ILJ786588 IVF786588 JFB786588 JOX786588 JYT786588 KIP786588 KSL786588 LCH786588 LMD786588 LVZ786588 MFV786588 MPR786588 MZN786588 NJJ786588 NTF786588 ODB786588 OMX786588 OWT786588 PGP786588 PQL786588 QAH786588 QKD786588 QTZ786588 RDV786588 RNR786588 RXN786588 SHJ786588 SRF786588 TBB786588 TKX786588 TUT786588 UEP786588 UOL786588 UYH786588 VID786588 VRZ786588 WBV786588 WLR786588 WVN786588 F852124 JB852124 SX852124 ACT852124 AMP852124 AWL852124 BGH852124 BQD852124 BZZ852124 CJV852124 CTR852124 DDN852124 DNJ852124 DXF852124 EHB852124 EQX852124 FAT852124 FKP852124 FUL852124 GEH852124 GOD852124 GXZ852124 HHV852124 HRR852124 IBN852124 ILJ852124 IVF852124 JFB852124 JOX852124 JYT852124 KIP852124 KSL852124 LCH852124 LMD852124 LVZ852124 MFV852124 MPR852124 MZN852124 NJJ852124 NTF852124 ODB852124 OMX852124 OWT852124 PGP852124 PQL852124 QAH852124 QKD852124 QTZ852124 RDV852124 RNR852124 RXN852124 SHJ852124 SRF852124 TBB852124 TKX852124 TUT852124 UEP852124 UOL852124 UYH852124 VID852124 VRZ852124 WBV852124 WLR852124 WVN852124 F917660 JB917660 SX917660 ACT917660 AMP917660 AWL917660 BGH917660 BQD917660 BZZ917660 CJV917660 CTR917660 DDN917660 DNJ917660 DXF917660 EHB917660 EQX917660 FAT917660 FKP917660 FUL917660 GEH917660 GOD917660 GXZ917660 HHV917660 HRR917660 IBN917660 ILJ917660 IVF917660 JFB917660 JOX917660 JYT917660 KIP917660 KSL917660 LCH917660 LMD917660 LVZ917660 MFV917660 MPR917660 MZN917660 NJJ917660 NTF917660 ODB917660 OMX917660 OWT917660 PGP917660 PQL917660 QAH917660 QKD917660 QTZ917660 RDV917660 RNR917660 RXN917660 SHJ917660 SRF917660 TBB917660 TKX917660 TUT917660 UEP917660 UOL917660 UYH917660 VID917660 VRZ917660 WBV917660 WLR917660 WVN917660 F983196 JB983196 SX983196 ACT983196 AMP983196 AWL983196 BGH983196 BQD983196 BZZ983196 CJV983196 CTR983196 DDN983196 DNJ983196 DXF983196 EHB983196 EQX983196 FAT983196 FKP983196 FUL983196 GEH983196 GOD983196 GXZ983196 HHV983196 HRR983196 IBN983196 ILJ983196 IVF983196 JFB983196 JOX983196 JYT983196 KIP983196 KSL983196 LCH983196 LMD983196 LVZ983196 MFV983196 MPR983196 MZN983196 NJJ983196 NTF983196 ODB983196 OMX983196 OWT983196 PGP983196 PQL983196 QAH983196 QKD983196 QTZ983196 RDV983196 RNR983196 RXN983196 SHJ983196 SRF983196 TBB983196 TKX983196 TUT983196 UEP983196 UOL983196 UYH983196 VID983196 VRZ983196 WBV983196 WLR983196 WVN983196" xr:uid="{E5331656-600A-4A03-9E4F-51CC88FF7457}">
      <formula1>$AN$2:$AN$19</formula1>
    </dataValidation>
    <dataValidation type="list" allowBlank="1" showInputMessage="1" showErrorMessage="1" sqref="W69 JS69 TO69 ADK69 ANG69 AXC69 BGY69 BQU69 CAQ69 CKM69 CUI69 DEE69 DOA69 DXW69 EHS69 ERO69 FBK69 FLG69 FVC69 GEY69 GOU69 GYQ69 HIM69 HSI69 ICE69 IMA69 IVW69 JFS69 JPO69 JZK69 KJG69 KTC69 LCY69 LMU69 LWQ69 MGM69 MQI69 NAE69 NKA69 NTW69 ODS69 ONO69 OXK69 PHG69 PRC69 QAY69 QKU69 QUQ69 REM69 ROI69 RYE69 SIA69 SRW69 TBS69 TLO69 TVK69 UFG69 UPC69 UYY69 VIU69 VSQ69 WCM69 WMI69 WWE69 W65605 JS65605 TO65605 ADK65605 ANG65605 AXC65605 BGY65605 BQU65605 CAQ65605 CKM65605 CUI65605 DEE65605 DOA65605 DXW65605 EHS65605 ERO65605 FBK65605 FLG65605 FVC65605 GEY65605 GOU65605 GYQ65605 HIM65605 HSI65605 ICE65605 IMA65605 IVW65605 JFS65605 JPO65605 JZK65605 KJG65605 KTC65605 LCY65605 LMU65605 LWQ65605 MGM65605 MQI65605 NAE65605 NKA65605 NTW65605 ODS65605 ONO65605 OXK65605 PHG65605 PRC65605 QAY65605 QKU65605 QUQ65605 REM65605 ROI65605 RYE65605 SIA65605 SRW65605 TBS65605 TLO65605 TVK65605 UFG65605 UPC65605 UYY65605 VIU65605 VSQ65605 WCM65605 WMI65605 WWE65605 W131141 JS131141 TO131141 ADK131141 ANG131141 AXC131141 BGY131141 BQU131141 CAQ131141 CKM131141 CUI131141 DEE131141 DOA131141 DXW131141 EHS131141 ERO131141 FBK131141 FLG131141 FVC131141 GEY131141 GOU131141 GYQ131141 HIM131141 HSI131141 ICE131141 IMA131141 IVW131141 JFS131141 JPO131141 JZK131141 KJG131141 KTC131141 LCY131141 LMU131141 LWQ131141 MGM131141 MQI131141 NAE131141 NKA131141 NTW131141 ODS131141 ONO131141 OXK131141 PHG131141 PRC131141 QAY131141 QKU131141 QUQ131141 REM131141 ROI131141 RYE131141 SIA131141 SRW131141 TBS131141 TLO131141 TVK131141 UFG131141 UPC131141 UYY131141 VIU131141 VSQ131141 WCM131141 WMI131141 WWE131141 W196677 JS196677 TO196677 ADK196677 ANG196677 AXC196677 BGY196677 BQU196677 CAQ196677 CKM196677 CUI196677 DEE196677 DOA196677 DXW196677 EHS196677 ERO196677 FBK196677 FLG196677 FVC196677 GEY196677 GOU196677 GYQ196677 HIM196677 HSI196677 ICE196677 IMA196677 IVW196677 JFS196677 JPO196677 JZK196677 KJG196677 KTC196677 LCY196677 LMU196677 LWQ196677 MGM196677 MQI196677 NAE196677 NKA196677 NTW196677 ODS196677 ONO196677 OXK196677 PHG196677 PRC196677 QAY196677 QKU196677 QUQ196677 REM196677 ROI196677 RYE196677 SIA196677 SRW196677 TBS196677 TLO196677 TVK196677 UFG196677 UPC196677 UYY196677 VIU196677 VSQ196677 WCM196677 WMI196677 WWE196677 W262213 JS262213 TO262213 ADK262213 ANG262213 AXC262213 BGY262213 BQU262213 CAQ262213 CKM262213 CUI262213 DEE262213 DOA262213 DXW262213 EHS262213 ERO262213 FBK262213 FLG262213 FVC262213 GEY262213 GOU262213 GYQ262213 HIM262213 HSI262213 ICE262213 IMA262213 IVW262213 JFS262213 JPO262213 JZK262213 KJG262213 KTC262213 LCY262213 LMU262213 LWQ262213 MGM262213 MQI262213 NAE262213 NKA262213 NTW262213 ODS262213 ONO262213 OXK262213 PHG262213 PRC262213 QAY262213 QKU262213 QUQ262213 REM262213 ROI262213 RYE262213 SIA262213 SRW262213 TBS262213 TLO262213 TVK262213 UFG262213 UPC262213 UYY262213 VIU262213 VSQ262213 WCM262213 WMI262213 WWE262213 W327749 JS327749 TO327749 ADK327749 ANG327749 AXC327749 BGY327749 BQU327749 CAQ327749 CKM327749 CUI327749 DEE327749 DOA327749 DXW327749 EHS327749 ERO327749 FBK327749 FLG327749 FVC327749 GEY327749 GOU327749 GYQ327749 HIM327749 HSI327749 ICE327749 IMA327749 IVW327749 JFS327749 JPO327749 JZK327749 KJG327749 KTC327749 LCY327749 LMU327749 LWQ327749 MGM327749 MQI327749 NAE327749 NKA327749 NTW327749 ODS327749 ONO327749 OXK327749 PHG327749 PRC327749 QAY327749 QKU327749 QUQ327749 REM327749 ROI327749 RYE327749 SIA327749 SRW327749 TBS327749 TLO327749 TVK327749 UFG327749 UPC327749 UYY327749 VIU327749 VSQ327749 WCM327749 WMI327749 WWE327749 W393285 JS393285 TO393285 ADK393285 ANG393285 AXC393285 BGY393285 BQU393285 CAQ393285 CKM393285 CUI393285 DEE393285 DOA393285 DXW393285 EHS393285 ERO393285 FBK393285 FLG393285 FVC393285 GEY393285 GOU393285 GYQ393285 HIM393285 HSI393285 ICE393285 IMA393285 IVW393285 JFS393285 JPO393285 JZK393285 KJG393285 KTC393285 LCY393285 LMU393285 LWQ393285 MGM393285 MQI393285 NAE393285 NKA393285 NTW393285 ODS393285 ONO393285 OXK393285 PHG393285 PRC393285 QAY393285 QKU393285 QUQ393285 REM393285 ROI393285 RYE393285 SIA393285 SRW393285 TBS393285 TLO393285 TVK393285 UFG393285 UPC393285 UYY393285 VIU393285 VSQ393285 WCM393285 WMI393285 WWE393285 W458821 JS458821 TO458821 ADK458821 ANG458821 AXC458821 BGY458821 BQU458821 CAQ458821 CKM458821 CUI458821 DEE458821 DOA458821 DXW458821 EHS458821 ERO458821 FBK458821 FLG458821 FVC458821 GEY458821 GOU458821 GYQ458821 HIM458821 HSI458821 ICE458821 IMA458821 IVW458821 JFS458821 JPO458821 JZK458821 KJG458821 KTC458821 LCY458821 LMU458821 LWQ458821 MGM458821 MQI458821 NAE458821 NKA458821 NTW458821 ODS458821 ONO458821 OXK458821 PHG458821 PRC458821 QAY458821 QKU458821 QUQ458821 REM458821 ROI458821 RYE458821 SIA458821 SRW458821 TBS458821 TLO458821 TVK458821 UFG458821 UPC458821 UYY458821 VIU458821 VSQ458821 WCM458821 WMI458821 WWE458821 W524357 JS524357 TO524357 ADK524357 ANG524357 AXC524357 BGY524357 BQU524357 CAQ524357 CKM524357 CUI524357 DEE524357 DOA524357 DXW524357 EHS524357 ERO524357 FBK524357 FLG524357 FVC524357 GEY524357 GOU524357 GYQ524357 HIM524357 HSI524357 ICE524357 IMA524357 IVW524357 JFS524357 JPO524357 JZK524357 KJG524357 KTC524357 LCY524357 LMU524357 LWQ524357 MGM524357 MQI524357 NAE524357 NKA524357 NTW524357 ODS524357 ONO524357 OXK524357 PHG524357 PRC524357 QAY524357 QKU524357 QUQ524357 REM524357 ROI524357 RYE524357 SIA524357 SRW524357 TBS524357 TLO524357 TVK524357 UFG524357 UPC524357 UYY524357 VIU524357 VSQ524357 WCM524357 WMI524357 WWE524357 W589893 JS589893 TO589893 ADK589893 ANG589893 AXC589893 BGY589893 BQU589893 CAQ589893 CKM589893 CUI589893 DEE589893 DOA589893 DXW589893 EHS589893 ERO589893 FBK589893 FLG589893 FVC589893 GEY589893 GOU589893 GYQ589893 HIM589893 HSI589893 ICE589893 IMA589893 IVW589893 JFS589893 JPO589893 JZK589893 KJG589893 KTC589893 LCY589893 LMU589893 LWQ589893 MGM589893 MQI589893 NAE589893 NKA589893 NTW589893 ODS589893 ONO589893 OXK589893 PHG589893 PRC589893 QAY589893 QKU589893 QUQ589893 REM589893 ROI589893 RYE589893 SIA589893 SRW589893 TBS589893 TLO589893 TVK589893 UFG589893 UPC589893 UYY589893 VIU589893 VSQ589893 WCM589893 WMI589893 WWE589893 W655429 JS655429 TO655429 ADK655429 ANG655429 AXC655429 BGY655429 BQU655429 CAQ655429 CKM655429 CUI655429 DEE655429 DOA655429 DXW655429 EHS655429 ERO655429 FBK655429 FLG655429 FVC655429 GEY655429 GOU655429 GYQ655429 HIM655429 HSI655429 ICE655429 IMA655429 IVW655429 JFS655429 JPO655429 JZK655429 KJG655429 KTC655429 LCY655429 LMU655429 LWQ655429 MGM655429 MQI655429 NAE655429 NKA655429 NTW655429 ODS655429 ONO655429 OXK655429 PHG655429 PRC655429 QAY655429 QKU655429 QUQ655429 REM655429 ROI655429 RYE655429 SIA655429 SRW655429 TBS655429 TLO655429 TVK655429 UFG655429 UPC655429 UYY655429 VIU655429 VSQ655429 WCM655429 WMI655429 WWE655429 W720965 JS720965 TO720965 ADK720965 ANG720965 AXC720965 BGY720965 BQU720965 CAQ720965 CKM720965 CUI720965 DEE720965 DOA720965 DXW720965 EHS720965 ERO720965 FBK720965 FLG720965 FVC720965 GEY720965 GOU720965 GYQ720965 HIM720965 HSI720965 ICE720965 IMA720965 IVW720965 JFS720965 JPO720965 JZK720965 KJG720965 KTC720965 LCY720965 LMU720965 LWQ720965 MGM720965 MQI720965 NAE720965 NKA720965 NTW720965 ODS720965 ONO720965 OXK720965 PHG720965 PRC720965 QAY720965 QKU720965 QUQ720965 REM720965 ROI720965 RYE720965 SIA720965 SRW720965 TBS720965 TLO720965 TVK720965 UFG720965 UPC720965 UYY720965 VIU720965 VSQ720965 WCM720965 WMI720965 WWE720965 W786501 JS786501 TO786501 ADK786501 ANG786501 AXC786501 BGY786501 BQU786501 CAQ786501 CKM786501 CUI786501 DEE786501 DOA786501 DXW786501 EHS786501 ERO786501 FBK786501 FLG786501 FVC786501 GEY786501 GOU786501 GYQ786501 HIM786501 HSI786501 ICE786501 IMA786501 IVW786501 JFS786501 JPO786501 JZK786501 KJG786501 KTC786501 LCY786501 LMU786501 LWQ786501 MGM786501 MQI786501 NAE786501 NKA786501 NTW786501 ODS786501 ONO786501 OXK786501 PHG786501 PRC786501 QAY786501 QKU786501 QUQ786501 REM786501 ROI786501 RYE786501 SIA786501 SRW786501 TBS786501 TLO786501 TVK786501 UFG786501 UPC786501 UYY786501 VIU786501 VSQ786501 WCM786501 WMI786501 WWE786501 W852037 JS852037 TO852037 ADK852037 ANG852037 AXC852037 BGY852037 BQU852037 CAQ852037 CKM852037 CUI852037 DEE852037 DOA852037 DXW852037 EHS852037 ERO852037 FBK852037 FLG852037 FVC852037 GEY852037 GOU852037 GYQ852037 HIM852037 HSI852037 ICE852037 IMA852037 IVW852037 JFS852037 JPO852037 JZK852037 KJG852037 KTC852037 LCY852037 LMU852037 LWQ852037 MGM852037 MQI852037 NAE852037 NKA852037 NTW852037 ODS852037 ONO852037 OXK852037 PHG852037 PRC852037 QAY852037 QKU852037 QUQ852037 REM852037 ROI852037 RYE852037 SIA852037 SRW852037 TBS852037 TLO852037 TVK852037 UFG852037 UPC852037 UYY852037 VIU852037 VSQ852037 WCM852037 WMI852037 WWE852037 W917573 JS917573 TO917573 ADK917573 ANG917573 AXC917573 BGY917573 BQU917573 CAQ917573 CKM917573 CUI917573 DEE917573 DOA917573 DXW917573 EHS917573 ERO917573 FBK917573 FLG917573 FVC917573 GEY917573 GOU917573 GYQ917573 HIM917573 HSI917573 ICE917573 IMA917573 IVW917573 JFS917573 JPO917573 JZK917573 KJG917573 KTC917573 LCY917573 LMU917573 LWQ917573 MGM917573 MQI917573 NAE917573 NKA917573 NTW917573 ODS917573 ONO917573 OXK917573 PHG917573 PRC917573 QAY917573 QKU917573 QUQ917573 REM917573 ROI917573 RYE917573 SIA917573 SRW917573 TBS917573 TLO917573 TVK917573 UFG917573 UPC917573 UYY917573 VIU917573 VSQ917573 WCM917573 WMI917573 WWE917573 W983109 JS983109 TO983109 ADK983109 ANG983109 AXC983109 BGY983109 BQU983109 CAQ983109 CKM983109 CUI983109 DEE983109 DOA983109 DXW983109 EHS983109 ERO983109 FBK983109 FLG983109 FVC983109 GEY983109 GOU983109 GYQ983109 HIM983109 HSI983109 ICE983109 IMA983109 IVW983109 JFS983109 JPO983109 JZK983109 KJG983109 KTC983109 LCY983109 LMU983109 LWQ983109 MGM983109 MQI983109 NAE983109 NKA983109 NTW983109 ODS983109 ONO983109 OXK983109 PHG983109 PRC983109 QAY983109 QKU983109 QUQ983109 REM983109 ROI983109 RYE983109 SIA983109 SRW983109 TBS983109 TLO983109 TVK983109 UFG983109 UPC983109 UYY983109 VIU983109 VSQ983109 WCM983109 WMI983109 WWE983109" xr:uid="{10392FF7-57EF-4333-9F1F-0C513C8818F1}">
      <formula1>$AF$44:$AF$45</formula1>
    </dataValidation>
    <dataValidation type="list" allowBlank="1" showInputMessage="1" showErrorMessage="1" sqref="BG70 LC70 UY70 AEU70 AOQ70 AYM70 BII70 BSE70 CCA70 CLW70 CVS70 DFO70 DPK70 DZG70 EJC70 ESY70 FCU70 FMQ70 FWM70 GGI70 GQE70 HAA70 HJW70 HTS70 IDO70 INK70 IXG70 JHC70 JQY70 KAU70 KKQ70 KUM70 LEI70 LOE70 LYA70 MHW70 MRS70 NBO70 NLK70 NVG70 OFC70 OOY70 OYU70 PIQ70 PSM70 QCI70 QME70 QWA70 RFW70 RPS70 RZO70 SJK70 STG70 TDC70 TMY70 TWU70 UGQ70 UQM70 VAI70 VKE70 VUA70 WDW70 WNS70 WXO70 BG65606 LC65606 UY65606 AEU65606 AOQ65606 AYM65606 BII65606 BSE65606 CCA65606 CLW65606 CVS65606 DFO65606 DPK65606 DZG65606 EJC65606 ESY65606 FCU65606 FMQ65606 FWM65606 GGI65606 GQE65606 HAA65606 HJW65606 HTS65606 IDO65606 INK65606 IXG65606 JHC65606 JQY65606 KAU65606 KKQ65606 KUM65606 LEI65606 LOE65606 LYA65606 MHW65606 MRS65606 NBO65606 NLK65606 NVG65606 OFC65606 OOY65606 OYU65606 PIQ65606 PSM65606 QCI65606 QME65606 QWA65606 RFW65606 RPS65606 RZO65606 SJK65606 STG65606 TDC65606 TMY65606 TWU65606 UGQ65606 UQM65606 VAI65606 VKE65606 VUA65606 WDW65606 WNS65606 WXO65606 BG131142 LC131142 UY131142 AEU131142 AOQ131142 AYM131142 BII131142 BSE131142 CCA131142 CLW131142 CVS131142 DFO131142 DPK131142 DZG131142 EJC131142 ESY131142 FCU131142 FMQ131142 FWM131142 GGI131142 GQE131142 HAA131142 HJW131142 HTS131142 IDO131142 INK131142 IXG131142 JHC131142 JQY131142 KAU131142 KKQ131142 KUM131142 LEI131142 LOE131142 LYA131142 MHW131142 MRS131142 NBO131142 NLK131142 NVG131142 OFC131142 OOY131142 OYU131142 PIQ131142 PSM131142 QCI131142 QME131142 QWA131142 RFW131142 RPS131142 RZO131142 SJK131142 STG131142 TDC131142 TMY131142 TWU131142 UGQ131142 UQM131142 VAI131142 VKE131142 VUA131142 WDW131142 WNS131142 WXO131142 BG196678 LC196678 UY196678 AEU196678 AOQ196678 AYM196678 BII196678 BSE196678 CCA196678 CLW196678 CVS196678 DFO196678 DPK196678 DZG196678 EJC196678 ESY196678 FCU196678 FMQ196678 FWM196678 GGI196678 GQE196678 HAA196678 HJW196678 HTS196678 IDO196678 INK196678 IXG196678 JHC196678 JQY196678 KAU196678 KKQ196678 KUM196678 LEI196678 LOE196678 LYA196678 MHW196678 MRS196678 NBO196678 NLK196678 NVG196678 OFC196678 OOY196678 OYU196678 PIQ196678 PSM196678 QCI196678 QME196678 QWA196678 RFW196678 RPS196678 RZO196678 SJK196678 STG196678 TDC196678 TMY196678 TWU196678 UGQ196678 UQM196678 VAI196678 VKE196678 VUA196678 WDW196678 WNS196678 WXO196678 BG262214 LC262214 UY262214 AEU262214 AOQ262214 AYM262214 BII262214 BSE262214 CCA262214 CLW262214 CVS262214 DFO262214 DPK262214 DZG262214 EJC262214 ESY262214 FCU262214 FMQ262214 FWM262214 GGI262214 GQE262214 HAA262214 HJW262214 HTS262214 IDO262214 INK262214 IXG262214 JHC262214 JQY262214 KAU262214 KKQ262214 KUM262214 LEI262214 LOE262214 LYA262214 MHW262214 MRS262214 NBO262214 NLK262214 NVG262214 OFC262214 OOY262214 OYU262214 PIQ262214 PSM262214 QCI262214 QME262214 QWA262214 RFW262214 RPS262214 RZO262214 SJK262214 STG262214 TDC262214 TMY262214 TWU262214 UGQ262214 UQM262214 VAI262214 VKE262214 VUA262214 WDW262214 WNS262214 WXO262214 BG327750 LC327750 UY327750 AEU327750 AOQ327750 AYM327750 BII327750 BSE327750 CCA327750 CLW327750 CVS327750 DFO327750 DPK327750 DZG327750 EJC327750 ESY327750 FCU327750 FMQ327750 FWM327750 GGI327750 GQE327750 HAA327750 HJW327750 HTS327750 IDO327750 INK327750 IXG327750 JHC327750 JQY327750 KAU327750 KKQ327750 KUM327750 LEI327750 LOE327750 LYA327750 MHW327750 MRS327750 NBO327750 NLK327750 NVG327750 OFC327750 OOY327750 OYU327750 PIQ327750 PSM327750 QCI327750 QME327750 QWA327750 RFW327750 RPS327750 RZO327750 SJK327750 STG327750 TDC327750 TMY327750 TWU327750 UGQ327750 UQM327750 VAI327750 VKE327750 VUA327750 WDW327750 WNS327750 WXO327750 BG393286 LC393286 UY393286 AEU393286 AOQ393286 AYM393286 BII393286 BSE393286 CCA393286 CLW393286 CVS393286 DFO393286 DPK393286 DZG393286 EJC393286 ESY393286 FCU393286 FMQ393286 FWM393286 GGI393286 GQE393286 HAA393286 HJW393286 HTS393286 IDO393286 INK393286 IXG393286 JHC393286 JQY393286 KAU393286 KKQ393286 KUM393286 LEI393286 LOE393286 LYA393286 MHW393286 MRS393286 NBO393286 NLK393286 NVG393286 OFC393286 OOY393286 OYU393286 PIQ393286 PSM393286 QCI393286 QME393286 QWA393286 RFW393286 RPS393286 RZO393286 SJK393286 STG393286 TDC393286 TMY393286 TWU393286 UGQ393286 UQM393286 VAI393286 VKE393286 VUA393286 WDW393286 WNS393286 WXO393286 BG458822 LC458822 UY458822 AEU458822 AOQ458822 AYM458822 BII458822 BSE458822 CCA458822 CLW458822 CVS458822 DFO458822 DPK458822 DZG458822 EJC458822 ESY458822 FCU458822 FMQ458822 FWM458822 GGI458822 GQE458822 HAA458822 HJW458822 HTS458822 IDO458822 INK458822 IXG458822 JHC458822 JQY458822 KAU458822 KKQ458822 KUM458822 LEI458822 LOE458822 LYA458822 MHW458822 MRS458822 NBO458822 NLK458822 NVG458822 OFC458822 OOY458822 OYU458822 PIQ458822 PSM458822 QCI458822 QME458822 QWA458822 RFW458822 RPS458822 RZO458822 SJK458822 STG458822 TDC458822 TMY458822 TWU458822 UGQ458822 UQM458822 VAI458822 VKE458822 VUA458822 WDW458822 WNS458822 WXO458822 BG524358 LC524358 UY524358 AEU524358 AOQ524358 AYM524358 BII524358 BSE524358 CCA524358 CLW524358 CVS524358 DFO524358 DPK524358 DZG524358 EJC524358 ESY524358 FCU524358 FMQ524358 FWM524358 GGI524358 GQE524358 HAA524358 HJW524358 HTS524358 IDO524358 INK524358 IXG524358 JHC524358 JQY524358 KAU524358 KKQ524358 KUM524358 LEI524358 LOE524358 LYA524358 MHW524358 MRS524358 NBO524358 NLK524358 NVG524358 OFC524358 OOY524358 OYU524358 PIQ524358 PSM524358 QCI524358 QME524358 QWA524358 RFW524358 RPS524358 RZO524358 SJK524358 STG524358 TDC524358 TMY524358 TWU524358 UGQ524358 UQM524358 VAI524358 VKE524358 VUA524358 WDW524358 WNS524358 WXO524358 BG589894 LC589894 UY589894 AEU589894 AOQ589894 AYM589894 BII589894 BSE589894 CCA589894 CLW589894 CVS589894 DFO589894 DPK589894 DZG589894 EJC589894 ESY589894 FCU589894 FMQ589894 FWM589894 GGI589894 GQE589894 HAA589894 HJW589894 HTS589894 IDO589894 INK589894 IXG589894 JHC589894 JQY589894 KAU589894 KKQ589894 KUM589894 LEI589894 LOE589894 LYA589894 MHW589894 MRS589894 NBO589894 NLK589894 NVG589894 OFC589894 OOY589894 OYU589894 PIQ589894 PSM589894 QCI589894 QME589894 QWA589894 RFW589894 RPS589894 RZO589894 SJK589894 STG589894 TDC589894 TMY589894 TWU589894 UGQ589894 UQM589894 VAI589894 VKE589894 VUA589894 WDW589894 WNS589894 WXO589894 BG655430 LC655430 UY655430 AEU655430 AOQ655430 AYM655430 BII655430 BSE655430 CCA655430 CLW655430 CVS655430 DFO655430 DPK655430 DZG655430 EJC655430 ESY655430 FCU655430 FMQ655430 FWM655430 GGI655430 GQE655430 HAA655430 HJW655430 HTS655430 IDO655430 INK655430 IXG655430 JHC655430 JQY655430 KAU655430 KKQ655430 KUM655430 LEI655430 LOE655430 LYA655430 MHW655430 MRS655430 NBO655430 NLK655430 NVG655430 OFC655430 OOY655430 OYU655430 PIQ655430 PSM655430 QCI655430 QME655430 QWA655430 RFW655430 RPS655430 RZO655430 SJK655430 STG655430 TDC655430 TMY655430 TWU655430 UGQ655430 UQM655430 VAI655430 VKE655430 VUA655430 WDW655430 WNS655430 WXO655430 BG720966 LC720966 UY720966 AEU720966 AOQ720966 AYM720966 BII720966 BSE720966 CCA720966 CLW720966 CVS720966 DFO720966 DPK720966 DZG720966 EJC720966 ESY720966 FCU720966 FMQ720966 FWM720966 GGI720966 GQE720966 HAA720966 HJW720966 HTS720966 IDO720966 INK720966 IXG720966 JHC720966 JQY720966 KAU720966 KKQ720966 KUM720966 LEI720966 LOE720966 LYA720966 MHW720966 MRS720966 NBO720966 NLK720966 NVG720966 OFC720966 OOY720966 OYU720966 PIQ720966 PSM720966 QCI720966 QME720966 QWA720966 RFW720966 RPS720966 RZO720966 SJK720966 STG720966 TDC720966 TMY720966 TWU720966 UGQ720966 UQM720966 VAI720966 VKE720966 VUA720966 WDW720966 WNS720966 WXO720966 BG786502 LC786502 UY786502 AEU786502 AOQ786502 AYM786502 BII786502 BSE786502 CCA786502 CLW786502 CVS786502 DFO786502 DPK786502 DZG786502 EJC786502 ESY786502 FCU786502 FMQ786502 FWM786502 GGI786502 GQE786502 HAA786502 HJW786502 HTS786502 IDO786502 INK786502 IXG786502 JHC786502 JQY786502 KAU786502 KKQ786502 KUM786502 LEI786502 LOE786502 LYA786502 MHW786502 MRS786502 NBO786502 NLK786502 NVG786502 OFC786502 OOY786502 OYU786502 PIQ786502 PSM786502 QCI786502 QME786502 QWA786502 RFW786502 RPS786502 RZO786502 SJK786502 STG786502 TDC786502 TMY786502 TWU786502 UGQ786502 UQM786502 VAI786502 VKE786502 VUA786502 WDW786502 WNS786502 WXO786502 BG852038 LC852038 UY852038 AEU852038 AOQ852038 AYM852038 BII852038 BSE852038 CCA852038 CLW852038 CVS852038 DFO852038 DPK852038 DZG852038 EJC852038 ESY852038 FCU852038 FMQ852038 FWM852038 GGI852038 GQE852038 HAA852038 HJW852038 HTS852038 IDO852038 INK852038 IXG852038 JHC852038 JQY852038 KAU852038 KKQ852038 KUM852038 LEI852038 LOE852038 LYA852038 MHW852038 MRS852038 NBO852038 NLK852038 NVG852038 OFC852038 OOY852038 OYU852038 PIQ852038 PSM852038 QCI852038 QME852038 QWA852038 RFW852038 RPS852038 RZO852038 SJK852038 STG852038 TDC852038 TMY852038 TWU852038 UGQ852038 UQM852038 VAI852038 VKE852038 VUA852038 WDW852038 WNS852038 WXO852038 BG917574 LC917574 UY917574 AEU917574 AOQ917574 AYM917574 BII917574 BSE917574 CCA917574 CLW917574 CVS917574 DFO917574 DPK917574 DZG917574 EJC917574 ESY917574 FCU917574 FMQ917574 FWM917574 GGI917574 GQE917574 HAA917574 HJW917574 HTS917574 IDO917574 INK917574 IXG917574 JHC917574 JQY917574 KAU917574 KKQ917574 KUM917574 LEI917574 LOE917574 LYA917574 MHW917574 MRS917574 NBO917574 NLK917574 NVG917574 OFC917574 OOY917574 OYU917574 PIQ917574 PSM917574 QCI917574 QME917574 QWA917574 RFW917574 RPS917574 RZO917574 SJK917574 STG917574 TDC917574 TMY917574 TWU917574 UGQ917574 UQM917574 VAI917574 VKE917574 VUA917574 WDW917574 WNS917574 WXO917574 BG983110 LC983110 UY983110 AEU983110 AOQ983110 AYM983110 BII983110 BSE983110 CCA983110 CLW983110 CVS983110 DFO983110 DPK983110 DZG983110 EJC983110 ESY983110 FCU983110 FMQ983110 FWM983110 GGI983110 GQE983110 HAA983110 HJW983110 HTS983110 IDO983110 INK983110 IXG983110 JHC983110 JQY983110 KAU983110 KKQ983110 KUM983110 LEI983110 LOE983110 LYA983110 MHW983110 MRS983110 NBO983110 NLK983110 NVG983110 OFC983110 OOY983110 OYU983110 PIQ983110 PSM983110 QCI983110 QME983110 QWA983110 RFW983110 RPS983110 RZO983110 SJK983110 STG983110 TDC983110 TMY983110 TWU983110 UGQ983110 UQM983110 VAI983110 VKE983110 VUA983110 WDW983110 WNS983110 WXO983110" xr:uid="{A7AB4F31-BE94-4A35-8ABE-3630B7C91E7A}">
      <formula1>$AA$2:$AA$15</formula1>
    </dataValidation>
    <dataValidation type="list" allowBlank="1" showInputMessage="1" showErrorMessage="1" sqref="BG71 LC71 UY71 AEU71 AOQ71 AYM71 BII71 BSE71 CCA71 CLW71 CVS71 DFO71 DPK71 DZG71 EJC71 ESY71 FCU71 FMQ71 FWM71 GGI71 GQE71 HAA71 HJW71 HTS71 IDO71 INK71 IXG71 JHC71 JQY71 KAU71 KKQ71 KUM71 LEI71 LOE71 LYA71 MHW71 MRS71 NBO71 NLK71 NVG71 OFC71 OOY71 OYU71 PIQ71 PSM71 QCI71 QME71 QWA71 RFW71 RPS71 RZO71 SJK71 STG71 TDC71 TMY71 TWU71 UGQ71 UQM71 VAI71 VKE71 VUA71 WDW71 WNS71 WXO71 BG65607 LC65607 UY65607 AEU65607 AOQ65607 AYM65607 BII65607 BSE65607 CCA65607 CLW65607 CVS65607 DFO65607 DPK65607 DZG65607 EJC65607 ESY65607 FCU65607 FMQ65607 FWM65607 GGI65607 GQE65607 HAA65607 HJW65607 HTS65607 IDO65607 INK65607 IXG65607 JHC65607 JQY65607 KAU65607 KKQ65607 KUM65607 LEI65607 LOE65607 LYA65607 MHW65607 MRS65607 NBO65607 NLK65607 NVG65607 OFC65607 OOY65607 OYU65607 PIQ65607 PSM65607 QCI65607 QME65607 QWA65607 RFW65607 RPS65607 RZO65607 SJK65607 STG65607 TDC65607 TMY65607 TWU65607 UGQ65607 UQM65607 VAI65607 VKE65607 VUA65607 WDW65607 WNS65607 WXO65607 BG131143 LC131143 UY131143 AEU131143 AOQ131143 AYM131143 BII131143 BSE131143 CCA131143 CLW131143 CVS131143 DFO131143 DPK131143 DZG131143 EJC131143 ESY131143 FCU131143 FMQ131143 FWM131143 GGI131143 GQE131143 HAA131143 HJW131143 HTS131143 IDO131143 INK131143 IXG131143 JHC131143 JQY131143 KAU131143 KKQ131143 KUM131143 LEI131143 LOE131143 LYA131143 MHW131143 MRS131143 NBO131143 NLK131143 NVG131143 OFC131143 OOY131143 OYU131143 PIQ131143 PSM131143 QCI131143 QME131143 QWA131143 RFW131143 RPS131143 RZO131143 SJK131143 STG131143 TDC131143 TMY131143 TWU131143 UGQ131143 UQM131143 VAI131143 VKE131143 VUA131143 WDW131143 WNS131143 WXO131143 BG196679 LC196679 UY196679 AEU196679 AOQ196679 AYM196679 BII196679 BSE196679 CCA196679 CLW196679 CVS196679 DFO196679 DPK196679 DZG196679 EJC196679 ESY196679 FCU196679 FMQ196679 FWM196679 GGI196679 GQE196679 HAA196679 HJW196679 HTS196679 IDO196679 INK196679 IXG196679 JHC196679 JQY196679 KAU196679 KKQ196679 KUM196679 LEI196679 LOE196679 LYA196679 MHW196679 MRS196679 NBO196679 NLK196679 NVG196679 OFC196679 OOY196679 OYU196679 PIQ196679 PSM196679 QCI196679 QME196679 QWA196679 RFW196679 RPS196679 RZO196679 SJK196679 STG196679 TDC196679 TMY196679 TWU196679 UGQ196679 UQM196679 VAI196679 VKE196679 VUA196679 WDW196679 WNS196679 WXO196679 BG262215 LC262215 UY262215 AEU262215 AOQ262215 AYM262215 BII262215 BSE262215 CCA262215 CLW262215 CVS262215 DFO262215 DPK262215 DZG262215 EJC262215 ESY262215 FCU262215 FMQ262215 FWM262215 GGI262215 GQE262215 HAA262215 HJW262215 HTS262215 IDO262215 INK262215 IXG262215 JHC262215 JQY262215 KAU262215 KKQ262215 KUM262215 LEI262215 LOE262215 LYA262215 MHW262215 MRS262215 NBO262215 NLK262215 NVG262215 OFC262215 OOY262215 OYU262215 PIQ262215 PSM262215 QCI262215 QME262215 QWA262215 RFW262215 RPS262215 RZO262215 SJK262215 STG262215 TDC262215 TMY262215 TWU262215 UGQ262215 UQM262215 VAI262215 VKE262215 VUA262215 WDW262215 WNS262215 WXO262215 BG327751 LC327751 UY327751 AEU327751 AOQ327751 AYM327751 BII327751 BSE327751 CCA327751 CLW327751 CVS327751 DFO327751 DPK327751 DZG327751 EJC327751 ESY327751 FCU327751 FMQ327751 FWM327751 GGI327751 GQE327751 HAA327751 HJW327751 HTS327751 IDO327751 INK327751 IXG327751 JHC327751 JQY327751 KAU327751 KKQ327751 KUM327751 LEI327751 LOE327751 LYA327751 MHW327751 MRS327751 NBO327751 NLK327751 NVG327751 OFC327751 OOY327751 OYU327751 PIQ327751 PSM327751 QCI327751 QME327751 QWA327751 RFW327751 RPS327751 RZO327751 SJK327751 STG327751 TDC327751 TMY327751 TWU327751 UGQ327751 UQM327751 VAI327751 VKE327751 VUA327751 WDW327751 WNS327751 WXO327751 BG393287 LC393287 UY393287 AEU393287 AOQ393287 AYM393287 BII393287 BSE393287 CCA393287 CLW393287 CVS393287 DFO393287 DPK393287 DZG393287 EJC393287 ESY393287 FCU393287 FMQ393287 FWM393287 GGI393287 GQE393287 HAA393287 HJW393287 HTS393287 IDO393287 INK393287 IXG393287 JHC393287 JQY393287 KAU393287 KKQ393287 KUM393287 LEI393287 LOE393287 LYA393287 MHW393287 MRS393287 NBO393287 NLK393287 NVG393287 OFC393287 OOY393287 OYU393287 PIQ393287 PSM393287 QCI393287 QME393287 QWA393287 RFW393287 RPS393287 RZO393287 SJK393287 STG393287 TDC393287 TMY393287 TWU393287 UGQ393287 UQM393287 VAI393287 VKE393287 VUA393287 WDW393287 WNS393287 WXO393287 BG458823 LC458823 UY458823 AEU458823 AOQ458823 AYM458823 BII458823 BSE458823 CCA458823 CLW458823 CVS458823 DFO458823 DPK458823 DZG458823 EJC458823 ESY458823 FCU458823 FMQ458823 FWM458823 GGI458823 GQE458823 HAA458823 HJW458823 HTS458823 IDO458823 INK458823 IXG458823 JHC458823 JQY458823 KAU458823 KKQ458823 KUM458823 LEI458823 LOE458823 LYA458823 MHW458823 MRS458823 NBO458823 NLK458823 NVG458823 OFC458823 OOY458823 OYU458823 PIQ458823 PSM458823 QCI458823 QME458823 QWA458823 RFW458823 RPS458823 RZO458823 SJK458823 STG458823 TDC458823 TMY458823 TWU458823 UGQ458823 UQM458823 VAI458823 VKE458823 VUA458823 WDW458823 WNS458823 WXO458823 BG524359 LC524359 UY524359 AEU524359 AOQ524359 AYM524359 BII524359 BSE524359 CCA524359 CLW524359 CVS524359 DFO524359 DPK524359 DZG524359 EJC524359 ESY524359 FCU524359 FMQ524359 FWM524359 GGI524359 GQE524359 HAA524359 HJW524359 HTS524359 IDO524359 INK524359 IXG524359 JHC524359 JQY524359 KAU524359 KKQ524359 KUM524359 LEI524359 LOE524359 LYA524359 MHW524359 MRS524359 NBO524359 NLK524359 NVG524359 OFC524359 OOY524359 OYU524359 PIQ524359 PSM524359 QCI524359 QME524359 QWA524359 RFW524359 RPS524359 RZO524359 SJK524359 STG524359 TDC524359 TMY524359 TWU524359 UGQ524359 UQM524359 VAI524359 VKE524359 VUA524359 WDW524359 WNS524359 WXO524359 BG589895 LC589895 UY589895 AEU589895 AOQ589895 AYM589895 BII589895 BSE589895 CCA589895 CLW589895 CVS589895 DFO589895 DPK589895 DZG589895 EJC589895 ESY589895 FCU589895 FMQ589895 FWM589895 GGI589895 GQE589895 HAA589895 HJW589895 HTS589895 IDO589895 INK589895 IXG589895 JHC589895 JQY589895 KAU589895 KKQ589895 KUM589895 LEI589895 LOE589895 LYA589895 MHW589895 MRS589895 NBO589895 NLK589895 NVG589895 OFC589895 OOY589895 OYU589895 PIQ589895 PSM589895 QCI589895 QME589895 QWA589895 RFW589895 RPS589895 RZO589895 SJK589895 STG589895 TDC589895 TMY589895 TWU589895 UGQ589895 UQM589895 VAI589895 VKE589895 VUA589895 WDW589895 WNS589895 WXO589895 BG655431 LC655431 UY655431 AEU655431 AOQ655431 AYM655431 BII655431 BSE655431 CCA655431 CLW655431 CVS655431 DFO655431 DPK655431 DZG655431 EJC655431 ESY655431 FCU655431 FMQ655431 FWM655431 GGI655431 GQE655431 HAA655431 HJW655431 HTS655431 IDO655431 INK655431 IXG655431 JHC655431 JQY655431 KAU655431 KKQ655431 KUM655431 LEI655431 LOE655431 LYA655431 MHW655431 MRS655431 NBO655431 NLK655431 NVG655431 OFC655431 OOY655431 OYU655431 PIQ655431 PSM655431 QCI655431 QME655431 QWA655431 RFW655431 RPS655431 RZO655431 SJK655431 STG655431 TDC655431 TMY655431 TWU655431 UGQ655431 UQM655431 VAI655431 VKE655431 VUA655431 WDW655431 WNS655431 WXO655431 BG720967 LC720967 UY720967 AEU720967 AOQ720967 AYM720967 BII720967 BSE720967 CCA720967 CLW720967 CVS720967 DFO720967 DPK720967 DZG720967 EJC720967 ESY720967 FCU720967 FMQ720967 FWM720967 GGI720967 GQE720967 HAA720967 HJW720967 HTS720967 IDO720967 INK720967 IXG720967 JHC720967 JQY720967 KAU720967 KKQ720967 KUM720967 LEI720967 LOE720967 LYA720967 MHW720967 MRS720967 NBO720967 NLK720967 NVG720967 OFC720967 OOY720967 OYU720967 PIQ720967 PSM720967 QCI720967 QME720967 QWA720967 RFW720967 RPS720967 RZO720967 SJK720967 STG720967 TDC720967 TMY720967 TWU720967 UGQ720967 UQM720967 VAI720967 VKE720967 VUA720967 WDW720967 WNS720967 WXO720967 BG786503 LC786503 UY786503 AEU786503 AOQ786503 AYM786503 BII786503 BSE786503 CCA786503 CLW786503 CVS786503 DFO786503 DPK786503 DZG786503 EJC786503 ESY786503 FCU786503 FMQ786503 FWM786503 GGI786503 GQE786503 HAA786503 HJW786503 HTS786503 IDO786503 INK786503 IXG786503 JHC786503 JQY786503 KAU786503 KKQ786503 KUM786503 LEI786503 LOE786503 LYA786503 MHW786503 MRS786503 NBO786503 NLK786503 NVG786503 OFC786503 OOY786503 OYU786503 PIQ786503 PSM786503 QCI786503 QME786503 QWA786503 RFW786503 RPS786503 RZO786503 SJK786503 STG786503 TDC786503 TMY786503 TWU786503 UGQ786503 UQM786503 VAI786503 VKE786503 VUA786503 WDW786503 WNS786503 WXO786503 BG852039 LC852039 UY852039 AEU852039 AOQ852039 AYM852039 BII852039 BSE852039 CCA852039 CLW852039 CVS852039 DFO852039 DPK852039 DZG852039 EJC852039 ESY852039 FCU852039 FMQ852039 FWM852039 GGI852039 GQE852039 HAA852039 HJW852039 HTS852039 IDO852039 INK852039 IXG852039 JHC852039 JQY852039 KAU852039 KKQ852039 KUM852039 LEI852039 LOE852039 LYA852039 MHW852039 MRS852039 NBO852039 NLK852039 NVG852039 OFC852039 OOY852039 OYU852039 PIQ852039 PSM852039 QCI852039 QME852039 QWA852039 RFW852039 RPS852039 RZO852039 SJK852039 STG852039 TDC852039 TMY852039 TWU852039 UGQ852039 UQM852039 VAI852039 VKE852039 VUA852039 WDW852039 WNS852039 WXO852039 BG917575 LC917575 UY917575 AEU917575 AOQ917575 AYM917575 BII917575 BSE917575 CCA917575 CLW917575 CVS917575 DFO917575 DPK917575 DZG917575 EJC917575 ESY917575 FCU917575 FMQ917575 FWM917575 GGI917575 GQE917575 HAA917575 HJW917575 HTS917575 IDO917575 INK917575 IXG917575 JHC917575 JQY917575 KAU917575 KKQ917575 KUM917575 LEI917575 LOE917575 LYA917575 MHW917575 MRS917575 NBO917575 NLK917575 NVG917575 OFC917575 OOY917575 OYU917575 PIQ917575 PSM917575 QCI917575 QME917575 QWA917575 RFW917575 RPS917575 RZO917575 SJK917575 STG917575 TDC917575 TMY917575 TWU917575 UGQ917575 UQM917575 VAI917575 VKE917575 VUA917575 WDW917575 WNS917575 WXO917575 BG983111 LC983111 UY983111 AEU983111 AOQ983111 AYM983111 BII983111 BSE983111 CCA983111 CLW983111 CVS983111 DFO983111 DPK983111 DZG983111 EJC983111 ESY983111 FCU983111 FMQ983111 FWM983111 GGI983111 GQE983111 HAA983111 HJW983111 HTS983111 IDO983111 INK983111 IXG983111 JHC983111 JQY983111 KAU983111 KKQ983111 KUM983111 LEI983111 LOE983111 LYA983111 MHW983111 MRS983111 NBO983111 NLK983111 NVG983111 OFC983111 OOY983111 OYU983111 PIQ983111 PSM983111 QCI983111 QME983111 QWA983111 RFW983111 RPS983111 RZO983111 SJK983111 STG983111 TDC983111 TMY983111 TWU983111 UGQ983111 UQM983111 VAI983111 VKE983111 VUA983111 WDW983111 WNS983111 WXO983111" xr:uid="{CCAC38F4-1CF0-436C-81C2-EDC9AB53858D}">
      <formula1>$AD$20:$AD$21</formula1>
    </dataValidation>
    <dataValidation type="list" allowBlank="1" showInputMessage="1" showErrorMessage="1" sqref="BG69 LC69 UY69 AEU69 AOQ69 AYM69 BII69 BSE69 CCA69 CLW69 CVS69 DFO69 DPK69 DZG69 EJC69 ESY69 FCU69 FMQ69 FWM69 GGI69 GQE69 HAA69 HJW69 HTS69 IDO69 INK69 IXG69 JHC69 JQY69 KAU69 KKQ69 KUM69 LEI69 LOE69 LYA69 MHW69 MRS69 NBO69 NLK69 NVG69 OFC69 OOY69 OYU69 PIQ69 PSM69 QCI69 QME69 QWA69 RFW69 RPS69 RZO69 SJK69 STG69 TDC69 TMY69 TWU69 UGQ69 UQM69 VAI69 VKE69 VUA69 WDW69 WNS69 WXO69 BG65605 LC65605 UY65605 AEU65605 AOQ65605 AYM65605 BII65605 BSE65605 CCA65605 CLW65605 CVS65605 DFO65605 DPK65605 DZG65605 EJC65605 ESY65605 FCU65605 FMQ65605 FWM65605 GGI65605 GQE65605 HAA65605 HJW65605 HTS65605 IDO65605 INK65605 IXG65605 JHC65605 JQY65605 KAU65605 KKQ65605 KUM65605 LEI65605 LOE65605 LYA65605 MHW65605 MRS65605 NBO65605 NLK65605 NVG65605 OFC65605 OOY65605 OYU65605 PIQ65605 PSM65605 QCI65605 QME65605 QWA65605 RFW65605 RPS65605 RZO65605 SJK65605 STG65605 TDC65605 TMY65605 TWU65605 UGQ65605 UQM65605 VAI65605 VKE65605 VUA65605 WDW65605 WNS65605 WXO65605 BG131141 LC131141 UY131141 AEU131141 AOQ131141 AYM131141 BII131141 BSE131141 CCA131141 CLW131141 CVS131141 DFO131141 DPK131141 DZG131141 EJC131141 ESY131141 FCU131141 FMQ131141 FWM131141 GGI131141 GQE131141 HAA131141 HJW131141 HTS131141 IDO131141 INK131141 IXG131141 JHC131141 JQY131141 KAU131141 KKQ131141 KUM131141 LEI131141 LOE131141 LYA131141 MHW131141 MRS131141 NBO131141 NLK131141 NVG131141 OFC131141 OOY131141 OYU131141 PIQ131141 PSM131141 QCI131141 QME131141 QWA131141 RFW131141 RPS131141 RZO131141 SJK131141 STG131141 TDC131141 TMY131141 TWU131141 UGQ131141 UQM131141 VAI131141 VKE131141 VUA131141 WDW131141 WNS131141 WXO131141 BG196677 LC196677 UY196677 AEU196677 AOQ196677 AYM196677 BII196677 BSE196677 CCA196677 CLW196677 CVS196677 DFO196677 DPK196677 DZG196677 EJC196677 ESY196677 FCU196677 FMQ196677 FWM196677 GGI196677 GQE196677 HAA196677 HJW196677 HTS196677 IDO196677 INK196677 IXG196677 JHC196677 JQY196677 KAU196677 KKQ196677 KUM196677 LEI196677 LOE196677 LYA196677 MHW196677 MRS196677 NBO196677 NLK196677 NVG196677 OFC196677 OOY196677 OYU196677 PIQ196677 PSM196677 QCI196677 QME196677 QWA196677 RFW196677 RPS196677 RZO196677 SJK196677 STG196677 TDC196677 TMY196677 TWU196677 UGQ196677 UQM196677 VAI196677 VKE196677 VUA196677 WDW196677 WNS196677 WXO196677 BG262213 LC262213 UY262213 AEU262213 AOQ262213 AYM262213 BII262213 BSE262213 CCA262213 CLW262213 CVS262213 DFO262213 DPK262213 DZG262213 EJC262213 ESY262213 FCU262213 FMQ262213 FWM262213 GGI262213 GQE262213 HAA262213 HJW262213 HTS262213 IDO262213 INK262213 IXG262213 JHC262213 JQY262213 KAU262213 KKQ262213 KUM262213 LEI262213 LOE262213 LYA262213 MHW262213 MRS262213 NBO262213 NLK262213 NVG262213 OFC262213 OOY262213 OYU262213 PIQ262213 PSM262213 QCI262213 QME262213 QWA262213 RFW262213 RPS262213 RZO262213 SJK262213 STG262213 TDC262213 TMY262213 TWU262213 UGQ262213 UQM262213 VAI262213 VKE262213 VUA262213 WDW262213 WNS262213 WXO262213 BG327749 LC327749 UY327749 AEU327749 AOQ327749 AYM327749 BII327749 BSE327749 CCA327749 CLW327749 CVS327749 DFO327749 DPK327749 DZG327749 EJC327749 ESY327749 FCU327749 FMQ327749 FWM327749 GGI327749 GQE327749 HAA327749 HJW327749 HTS327749 IDO327749 INK327749 IXG327749 JHC327749 JQY327749 KAU327749 KKQ327749 KUM327749 LEI327749 LOE327749 LYA327749 MHW327749 MRS327749 NBO327749 NLK327749 NVG327749 OFC327749 OOY327749 OYU327749 PIQ327749 PSM327749 QCI327749 QME327749 QWA327749 RFW327749 RPS327749 RZO327749 SJK327749 STG327749 TDC327749 TMY327749 TWU327749 UGQ327749 UQM327749 VAI327749 VKE327749 VUA327749 WDW327749 WNS327749 WXO327749 BG393285 LC393285 UY393285 AEU393285 AOQ393285 AYM393285 BII393285 BSE393285 CCA393285 CLW393285 CVS393285 DFO393285 DPK393285 DZG393285 EJC393285 ESY393285 FCU393285 FMQ393285 FWM393285 GGI393285 GQE393285 HAA393285 HJW393285 HTS393285 IDO393285 INK393285 IXG393285 JHC393285 JQY393285 KAU393285 KKQ393285 KUM393285 LEI393285 LOE393285 LYA393285 MHW393285 MRS393285 NBO393285 NLK393285 NVG393285 OFC393285 OOY393285 OYU393285 PIQ393285 PSM393285 QCI393285 QME393285 QWA393285 RFW393285 RPS393285 RZO393285 SJK393285 STG393285 TDC393285 TMY393285 TWU393285 UGQ393285 UQM393285 VAI393285 VKE393285 VUA393285 WDW393285 WNS393285 WXO393285 BG458821 LC458821 UY458821 AEU458821 AOQ458821 AYM458821 BII458821 BSE458821 CCA458821 CLW458821 CVS458821 DFO458821 DPK458821 DZG458821 EJC458821 ESY458821 FCU458821 FMQ458821 FWM458821 GGI458821 GQE458821 HAA458821 HJW458821 HTS458821 IDO458821 INK458821 IXG458821 JHC458821 JQY458821 KAU458821 KKQ458821 KUM458821 LEI458821 LOE458821 LYA458821 MHW458821 MRS458821 NBO458821 NLK458821 NVG458821 OFC458821 OOY458821 OYU458821 PIQ458821 PSM458821 QCI458821 QME458821 QWA458821 RFW458821 RPS458821 RZO458821 SJK458821 STG458821 TDC458821 TMY458821 TWU458821 UGQ458821 UQM458821 VAI458821 VKE458821 VUA458821 WDW458821 WNS458821 WXO458821 BG524357 LC524357 UY524357 AEU524357 AOQ524357 AYM524357 BII524357 BSE524357 CCA524357 CLW524357 CVS524357 DFO524357 DPK524357 DZG524357 EJC524357 ESY524357 FCU524357 FMQ524357 FWM524357 GGI524357 GQE524357 HAA524357 HJW524357 HTS524357 IDO524357 INK524357 IXG524357 JHC524357 JQY524357 KAU524357 KKQ524357 KUM524357 LEI524357 LOE524357 LYA524357 MHW524357 MRS524357 NBO524357 NLK524357 NVG524357 OFC524357 OOY524357 OYU524357 PIQ524357 PSM524357 QCI524357 QME524357 QWA524357 RFW524357 RPS524357 RZO524357 SJK524357 STG524357 TDC524357 TMY524357 TWU524357 UGQ524357 UQM524357 VAI524357 VKE524357 VUA524357 WDW524357 WNS524357 WXO524357 BG589893 LC589893 UY589893 AEU589893 AOQ589893 AYM589893 BII589893 BSE589893 CCA589893 CLW589893 CVS589893 DFO589893 DPK589893 DZG589893 EJC589893 ESY589893 FCU589893 FMQ589893 FWM589893 GGI589893 GQE589893 HAA589893 HJW589893 HTS589893 IDO589893 INK589893 IXG589893 JHC589893 JQY589893 KAU589893 KKQ589893 KUM589893 LEI589893 LOE589893 LYA589893 MHW589893 MRS589893 NBO589893 NLK589893 NVG589893 OFC589893 OOY589893 OYU589893 PIQ589893 PSM589893 QCI589893 QME589893 QWA589893 RFW589893 RPS589893 RZO589893 SJK589893 STG589893 TDC589893 TMY589893 TWU589893 UGQ589893 UQM589893 VAI589893 VKE589893 VUA589893 WDW589893 WNS589893 WXO589893 BG655429 LC655429 UY655429 AEU655429 AOQ655429 AYM655429 BII655429 BSE655429 CCA655429 CLW655429 CVS655429 DFO655429 DPK655429 DZG655429 EJC655429 ESY655429 FCU655429 FMQ655429 FWM655429 GGI655429 GQE655429 HAA655429 HJW655429 HTS655429 IDO655429 INK655429 IXG655429 JHC655429 JQY655429 KAU655429 KKQ655429 KUM655429 LEI655429 LOE655429 LYA655429 MHW655429 MRS655429 NBO655429 NLK655429 NVG655429 OFC655429 OOY655429 OYU655429 PIQ655429 PSM655429 QCI655429 QME655429 QWA655429 RFW655429 RPS655429 RZO655429 SJK655429 STG655429 TDC655429 TMY655429 TWU655429 UGQ655429 UQM655429 VAI655429 VKE655429 VUA655429 WDW655429 WNS655429 WXO655429 BG720965 LC720965 UY720965 AEU720965 AOQ720965 AYM720965 BII720965 BSE720965 CCA720965 CLW720965 CVS720965 DFO720965 DPK720965 DZG720965 EJC720965 ESY720965 FCU720965 FMQ720965 FWM720965 GGI720965 GQE720965 HAA720965 HJW720965 HTS720965 IDO720965 INK720965 IXG720965 JHC720965 JQY720965 KAU720965 KKQ720965 KUM720965 LEI720965 LOE720965 LYA720965 MHW720965 MRS720965 NBO720965 NLK720965 NVG720965 OFC720965 OOY720965 OYU720965 PIQ720965 PSM720965 QCI720965 QME720965 QWA720965 RFW720965 RPS720965 RZO720965 SJK720965 STG720965 TDC720965 TMY720965 TWU720965 UGQ720965 UQM720965 VAI720965 VKE720965 VUA720965 WDW720965 WNS720965 WXO720965 BG786501 LC786501 UY786501 AEU786501 AOQ786501 AYM786501 BII786501 BSE786501 CCA786501 CLW786501 CVS786501 DFO786501 DPK786501 DZG786501 EJC786501 ESY786501 FCU786501 FMQ786501 FWM786501 GGI786501 GQE786501 HAA786501 HJW786501 HTS786501 IDO786501 INK786501 IXG786501 JHC786501 JQY786501 KAU786501 KKQ786501 KUM786501 LEI786501 LOE786501 LYA786501 MHW786501 MRS786501 NBO786501 NLK786501 NVG786501 OFC786501 OOY786501 OYU786501 PIQ786501 PSM786501 QCI786501 QME786501 QWA786501 RFW786501 RPS786501 RZO786501 SJK786501 STG786501 TDC786501 TMY786501 TWU786501 UGQ786501 UQM786501 VAI786501 VKE786501 VUA786501 WDW786501 WNS786501 WXO786501 BG852037 LC852037 UY852037 AEU852037 AOQ852037 AYM852037 BII852037 BSE852037 CCA852037 CLW852037 CVS852037 DFO852037 DPK852037 DZG852037 EJC852037 ESY852037 FCU852037 FMQ852037 FWM852037 GGI852037 GQE852037 HAA852037 HJW852037 HTS852037 IDO852037 INK852037 IXG852037 JHC852037 JQY852037 KAU852037 KKQ852037 KUM852037 LEI852037 LOE852037 LYA852037 MHW852037 MRS852037 NBO852037 NLK852037 NVG852037 OFC852037 OOY852037 OYU852037 PIQ852037 PSM852037 QCI852037 QME852037 QWA852037 RFW852037 RPS852037 RZO852037 SJK852037 STG852037 TDC852037 TMY852037 TWU852037 UGQ852037 UQM852037 VAI852037 VKE852037 VUA852037 WDW852037 WNS852037 WXO852037 BG917573 LC917573 UY917573 AEU917573 AOQ917573 AYM917573 BII917573 BSE917573 CCA917573 CLW917573 CVS917573 DFO917573 DPK917573 DZG917573 EJC917573 ESY917573 FCU917573 FMQ917573 FWM917573 GGI917573 GQE917573 HAA917573 HJW917573 HTS917573 IDO917573 INK917573 IXG917573 JHC917573 JQY917573 KAU917573 KKQ917573 KUM917573 LEI917573 LOE917573 LYA917573 MHW917573 MRS917573 NBO917573 NLK917573 NVG917573 OFC917573 OOY917573 OYU917573 PIQ917573 PSM917573 QCI917573 QME917573 QWA917573 RFW917573 RPS917573 RZO917573 SJK917573 STG917573 TDC917573 TMY917573 TWU917573 UGQ917573 UQM917573 VAI917573 VKE917573 VUA917573 WDW917573 WNS917573 WXO917573 BG983109 LC983109 UY983109 AEU983109 AOQ983109 AYM983109 BII983109 BSE983109 CCA983109 CLW983109 CVS983109 DFO983109 DPK983109 DZG983109 EJC983109 ESY983109 FCU983109 FMQ983109 FWM983109 GGI983109 GQE983109 HAA983109 HJW983109 HTS983109 IDO983109 INK983109 IXG983109 JHC983109 JQY983109 KAU983109 KKQ983109 KUM983109 LEI983109 LOE983109 LYA983109 MHW983109 MRS983109 NBO983109 NLK983109 NVG983109 OFC983109 OOY983109 OYU983109 PIQ983109 PSM983109 QCI983109 QME983109 QWA983109 RFW983109 RPS983109 RZO983109 SJK983109 STG983109 TDC983109 TMY983109 TWU983109 UGQ983109 UQM983109 VAI983109 VKE983109 VUA983109 WDW983109 WNS983109 WXO983109 B168 IX168 ST168 ACP168 AML168 AWH168 BGD168 BPZ168 BZV168 CJR168 CTN168 DDJ168 DNF168 DXB168 EGX168 EQT168 FAP168 FKL168 FUH168 GED168 GNZ168 GXV168 HHR168 HRN168 IBJ168 ILF168 IVB168 JEX168 JOT168 JYP168 KIL168 KSH168 LCD168 LLZ168 LVV168 MFR168 MPN168 MZJ168 NJF168 NTB168 OCX168 OMT168 OWP168 PGL168 PQH168 QAD168 QJZ168 QTV168 RDR168 RNN168 RXJ168 SHF168 SRB168 TAX168 TKT168 TUP168 UEL168 UOH168 UYD168 VHZ168 VRV168 WBR168 WLN168 WVJ168 B65704 IX65704 ST65704 ACP65704 AML65704 AWH65704 BGD65704 BPZ65704 BZV65704 CJR65704 CTN65704 DDJ65704 DNF65704 DXB65704 EGX65704 EQT65704 FAP65704 FKL65704 FUH65704 GED65704 GNZ65704 GXV65704 HHR65704 HRN65704 IBJ65704 ILF65704 IVB65704 JEX65704 JOT65704 JYP65704 KIL65704 KSH65704 LCD65704 LLZ65704 LVV65704 MFR65704 MPN65704 MZJ65704 NJF65704 NTB65704 OCX65704 OMT65704 OWP65704 PGL65704 PQH65704 QAD65704 QJZ65704 QTV65704 RDR65704 RNN65704 RXJ65704 SHF65704 SRB65704 TAX65704 TKT65704 TUP65704 UEL65704 UOH65704 UYD65704 VHZ65704 VRV65704 WBR65704 WLN65704 WVJ65704 B131240 IX131240 ST131240 ACP131240 AML131240 AWH131240 BGD131240 BPZ131240 BZV131240 CJR131240 CTN131240 DDJ131240 DNF131240 DXB131240 EGX131240 EQT131240 FAP131240 FKL131240 FUH131240 GED131240 GNZ131240 GXV131240 HHR131240 HRN131240 IBJ131240 ILF131240 IVB131240 JEX131240 JOT131240 JYP131240 KIL131240 KSH131240 LCD131240 LLZ131240 LVV131240 MFR131240 MPN131240 MZJ131240 NJF131240 NTB131240 OCX131240 OMT131240 OWP131240 PGL131240 PQH131240 QAD131240 QJZ131240 QTV131240 RDR131240 RNN131240 RXJ131240 SHF131240 SRB131240 TAX131240 TKT131240 TUP131240 UEL131240 UOH131240 UYD131240 VHZ131240 VRV131240 WBR131240 WLN131240 WVJ131240 B196776 IX196776 ST196776 ACP196776 AML196776 AWH196776 BGD196776 BPZ196776 BZV196776 CJR196776 CTN196776 DDJ196776 DNF196776 DXB196776 EGX196776 EQT196776 FAP196776 FKL196776 FUH196776 GED196776 GNZ196776 GXV196776 HHR196776 HRN196776 IBJ196776 ILF196776 IVB196776 JEX196776 JOT196776 JYP196776 KIL196776 KSH196776 LCD196776 LLZ196776 LVV196776 MFR196776 MPN196776 MZJ196776 NJF196776 NTB196776 OCX196776 OMT196776 OWP196776 PGL196776 PQH196776 QAD196776 QJZ196776 QTV196776 RDR196776 RNN196776 RXJ196776 SHF196776 SRB196776 TAX196776 TKT196776 TUP196776 UEL196776 UOH196776 UYD196776 VHZ196776 VRV196776 WBR196776 WLN196776 WVJ196776 B262312 IX262312 ST262312 ACP262312 AML262312 AWH262312 BGD262312 BPZ262312 BZV262312 CJR262312 CTN262312 DDJ262312 DNF262312 DXB262312 EGX262312 EQT262312 FAP262312 FKL262312 FUH262312 GED262312 GNZ262312 GXV262312 HHR262312 HRN262312 IBJ262312 ILF262312 IVB262312 JEX262312 JOT262312 JYP262312 KIL262312 KSH262312 LCD262312 LLZ262312 LVV262312 MFR262312 MPN262312 MZJ262312 NJF262312 NTB262312 OCX262312 OMT262312 OWP262312 PGL262312 PQH262312 QAD262312 QJZ262312 QTV262312 RDR262312 RNN262312 RXJ262312 SHF262312 SRB262312 TAX262312 TKT262312 TUP262312 UEL262312 UOH262312 UYD262312 VHZ262312 VRV262312 WBR262312 WLN262312 WVJ262312 B327848 IX327848 ST327848 ACP327848 AML327848 AWH327848 BGD327848 BPZ327848 BZV327848 CJR327848 CTN327848 DDJ327848 DNF327848 DXB327848 EGX327848 EQT327848 FAP327848 FKL327848 FUH327848 GED327848 GNZ327848 GXV327848 HHR327848 HRN327848 IBJ327848 ILF327848 IVB327848 JEX327848 JOT327848 JYP327848 KIL327848 KSH327848 LCD327848 LLZ327848 LVV327848 MFR327848 MPN327848 MZJ327848 NJF327848 NTB327848 OCX327848 OMT327848 OWP327848 PGL327848 PQH327848 QAD327848 QJZ327848 QTV327848 RDR327848 RNN327848 RXJ327848 SHF327848 SRB327848 TAX327848 TKT327848 TUP327848 UEL327848 UOH327848 UYD327848 VHZ327848 VRV327848 WBR327848 WLN327848 WVJ327848 B393384 IX393384 ST393384 ACP393384 AML393384 AWH393384 BGD393384 BPZ393384 BZV393384 CJR393384 CTN393384 DDJ393384 DNF393384 DXB393384 EGX393384 EQT393384 FAP393384 FKL393384 FUH393384 GED393384 GNZ393384 GXV393384 HHR393384 HRN393384 IBJ393384 ILF393384 IVB393384 JEX393384 JOT393384 JYP393384 KIL393384 KSH393384 LCD393384 LLZ393384 LVV393384 MFR393384 MPN393384 MZJ393384 NJF393384 NTB393384 OCX393384 OMT393384 OWP393384 PGL393384 PQH393384 QAD393384 QJZ393384 QTV393384 RDR393384 RNN393384 RXJ393384 SHF393384 SRB393384 TAX393384 TKT393384 TUP393384 UEL393384 UOH393384 UYD393384 VHZ393384 VRV393384 WBR393384 WLN393384 WVJ393384 B458920 IX458920 ST458920 ACP458920 AML458920 AWH458920 BGD458920 BPZ458920 BZV458920 CJR458920 CTN458920 DDJ458920 DNF458920 DXB458920 EGX458920 EQT458920 FAP458920 FKL458920 FUH458920 GED458920 GNZ458920 GXV458920 HHR458920 HRN458920 IBJ458920 ILF458920 IVB458920 JEX458920 JOT458920 JYP458920 KIL458920 KSH458920 LCD458920 LLZ458920 LVV458920 MFR458920 MPN458920 MZJ458920 NJF458920 NTB458920 OCX458920 OMT458920 OWP458920 PGL458920 PQH458920 QAD458920 QJZ458920 QTV458920 RDR458920 RNN458920 RXJ458920 SHF458920 SRB458920 TAX458920 TKT458920 TUP458920 UEL458920 UOH458920 UYD458920 VHZ458920 VRV458920 WBR458920 WLN458920 WVJ458920 B524456 IX524456 ST524456 ACP524456 AML524456 AWH524456 BGD524456 BPZ524456 BZV524456 CJR524456 CTN524456 DDJ524456 DNF524456 DXB524456 EGX524456 EQT524456 FAP524456 FKL524456 FUH524456 GED524456 GNZ524456 GXV524456 HHR524456 HRN524456 IBJ524456 ILF524456 IVB524456 JEX524456 JOT524456 JYP524456 KIL524456 KSH524456 LCD524456 LLZ524456 LVV524456 MFR524456 MPN524456 MZJ524456 NJF524456 NTB524456 OCX524456 OMT524456 OWP524456 PGL524456 PQH524456 QAD524456 QJZ524456 QTV524456 RDR524456 RNN524456 RXJ524456 SHF524456 SRB524456 TAX524456 TKT524456 TUP524456 UEL524456 UOH524456 UYD524456 VHZ524456 VRV524456 WBR524456 WLN524456 WVJ524456 B589992 IX589992 ST589992 ACP589992 AML589992 AWH589992 BGD589992 BPZ589992 BZV589992 CJR589992 CTN589992 DDJ589992 DNF589992 DXB589992 EGX589992 EQT589992 FAP589992 FKL589992 FUH589992 GED589992 GNZ589992 GXV589992 HHR589992 HRN589992 IBJ589992 ILF589992 IVB589992 JEX589992 JOT589992 JYP589992 KIL589992 KSH589992 LCD589992 LLZ589992 LVV589992 MFR589992 MPN589992 MZJ589992 NJF589992 NTB589992 OCX589992 OMT589992 OWP589992 PGL589992 PQH589992 QAD589992 QJZ589992 QTV589992 RDR589992 RNN589992 RXJ589992 SHF589992 SRB589992 TAX589992 TKT589992 TUP589992 UEL589992 UOH589992 UYD589992 VHZ589992 VRV589992 WBR589992 WLN589992 WVJ589992 B655528 IX655528 ST655528 ACP655528 AML655528 AWH655528 BGD655528 BPZ655528 BZV655528 CJR655528 CTN655528 DDJ655528 DNF655528 DXB655528 EGX655528 EQT655528 FAP655528 FKL655528 FUH655528 GED655528 GNZ655528 GXV655528 HHR655528 HRN655528 IBJ655528 ILF655528 IVB655528 JEX655528 JOT655528 JYP655528 KIL655528 KSH655528 LCD655528 LLZ655528 LVV655528 MFR655528 MPN655528 MZJ655528 NJF655528 NTB655528 OCX655528 OMT655528 OWP655528 PGL655528 PQH655528 QAD655528 QJZ655528 QTV655528 RDR655528 RNN655528 RXJ655528 SHF655528 SRB655528 TAX655528 TKT655528 TUP655528 UEL655528 UOH655528 UYD655528 VHZ655528 VRV655528 WBR655528 WLN655528 WVJ655528 B721064 IX721064 ST721064 ACP721064 AML721064 AWH721064 BGD721064 BPZ721064 BZV721064 CJR721064 CTN721064 DDJ721064 DNF721064 DXB721064 EGX721064 EQT721064 FAP721064 FKL721064 FUH721064 GED721064 GNZ721064 GXV721064 HHR721064 HRN721064 IBJ721064 ILF721064 IVB721064 JEX721064 JOT721064 JYP721064 KIL721064 KSH721064 LCD721064 LLZ721064 LVV721064 MFR721064 MPN721064 MZJ721064 NJF721064 NTB721064 OCX721064 OMT721064 OWP721064 PGL721064 PQH721064 QAD721064 QJZ721064 QTV721064 RDR721064 RNN721064 RXJ721064 SHF721064 SRB721064 TAX721064 TKT721064 TUP721064 UEL721064 UOH721064 UYD721064 VHZ721064 VRV721064 WBR721064 WLN721064 WVJ721064 B786600 IX786600 ST786600 ACP786600 AML786600 AWH786600 BGD786600 BPZ786600 BZV786600 CJR786600 CTN786600 DDJ786600 DNF786600 DXB786600 EGX786600 EQT786600 FAP786600 FKL786600 FUH786600 GED786600 GNZ786600 GXV786600 HHR786600 HRN786600 IBJ786600 ILF786600 IVB786600 JEX786600 JOT786600 JYP786600 KIL786600 KSH786600 LCD786600 LLZ786600 LVV786600 MFR786600 MPN786600 MZJ786600 NJF786600 NTB786600 OCX786600 OMT786600 OWP786600 PGL786600 PQH786600 QAD786600 QJZ786600 QTV786600 RDR786600 RNN786600 RXJ786600 SHF786600 SRB786600 TAX786600 TKT786600 TUP786600 UEL786600 UOH786600 UYD786600 VHZ786600 VRV786600 WBR786600 WLN786600 WVJ786600 B852136 IX852136 ST852136 ACP852136 AML852136 AWH852136 BGD852136 BPZ852136 BZV852136 CJR852136 CTN852136 DDJ852136 DNF852136 DXB852136 EGX852136 EQT852136 FAP852136 FKL852136 FUH852136 GED852136 GNZ852136 GXV852136 HHR852136 HRN852136 IBJ852136 ILF852136 IVB852136 JEX852136 JOT852136 JYP852136 KIL852136 KSH852136 LCD852136 LLZ852136 LVV852136 MFR852136 MPN852136 MZJ852136 NJF852136 NTB852136 OCX852136 OMT852136 OWP852136 PGL852136 PQH852136 QAD852136 QJZ852136 QTV852136 RDR852136 RNN852136 RXJ852136 SHF852136 SRB852136 TAX852136 TKT852136 TUP852136 UEL852136 UOH852136 UYD852136 VHZ852136 VRV852136 WBR852136 WLN852136 WVJ852136 B917672 IX917672 ST917672 ACP917672 AML917672 AWH917672 BGD917672 BPZ917672 BZV917672 CJR917672 CTN917672 DDJ917672 DNF917672 DXB917672 EGX917672 EQT917672 FAP917672 FKL917672 FUH917672 GED917672 GNZ917672 GXV917672 HHR917672 HRN917672 IBJ917672 ILF917672 IVB917672 JEX917672 JOT917672 JYP917672 KIL917672 KSH917672 LCD917672 LLZ917672 LVV917672 MFR917672 MPN917672 MZJ917672 NJF917672 NTB917672 OCX917672 OMT917672 OWP917672 PGL917672 PQH917672 QAD917672 QJZ917672 QTV917672 RDR917672 RNN917672 RXJ917672 SHF917672 SRB917672 TAX917672 TKT917672 TUP917672 UEL917672 UOH917672 UYD917672 VHZ917672 VRV917672 WBR917672 WLN917672 WVJ917672 B983208 IX983208 ST983208 ACP983208 AML983208 AWH983208 BGD983208 BPZ983208 BZV983208 CJR983208 CTN983208 DDJ983208 DNF983208 DXB983208 EGX983208 EQT983208 FAP983208 FKL983208 FUH983208 GED983208 GNZ983208 GXV983208 HHR983208 HRN983208 IBJ983208 ILF983208 IVB983208 JEX983208 JOT983208 JYP983208 KIL983208 KSH983208 LCD983208 LLZ983208 LVV983208 MFR983208 MPN983208 MZJ983208 NJF983208 NTB983208 OCX983208 OMT983208 OWP983208 PGL983208 PQH983208 QAD983208 QJZ983208 QTV983208 RDR983208 RNN983208 RXJ983208 SHF983208 SRB983208 TAX983208 TKT983208 TUP983208 UEL983208 UOH983208 UYD983208 VHZ983208 VRV983208 WBR983208 WLN983208 WVJ983208" xr:uid="{77FE7C47-DA52-4C39-B46E-F8729C91216F}">
      <formula1>$BA$2:$BA$18</formula1>
    </dataValidation>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xr:uid="{4CC6D241-203A-46B4-9BE2-70D5E3C792AB}">
      <formula1>$F$18:$F$19</formula1>
    </dataValidation>
  </dataValidations>
  <hyperlinks>
    <hyperlink ref="W745" location="'עובדי הוראה'!H528" display="'עובדי הוראה'!H528" xr:uid="{DAC41258-7460-4725-8275-D5AE953685FA}"/>
    <hyperlink ref="V746" location="'עובדי הוראה'!I381" display="'עובדי הוראה'!I381" xr:uid="{3E2B0B07-F94D-4FDD-85E7-814BE443A348}"/>
    <hyperlink ref="Y721" r:id="rId1" display="אתר לעדכון גרסה " xr:uid="{7FCC82A4-C063-4D66-863B-C53BE12DC483}"/>
    <hyperlink ref="U757" location="'כלל המגזר צבורי'!B1" display="'כלל המגזר צבורי'!B1" xr:uid="{ECB55D00-DC34-4E19-8843-51CDB4E24231}"/>
    <hyperlink ref="R770" location="'רשות המיסים'!B56" display="'רשות המיסים'!B56" xr:uid="{86402D9B-3A86-4B22-B2F8-D4535DD32E43}"/>
    <hyperlink ref="R770:S770" location="'מורים אופק חדש'!B65" display="'מורים אופק חדש'!B65" xr:uid="{9E0F3F8D-8D9F-483B-B487-8858560665CD}"/>
    <hyperlink ref="R770:U770" location="'עובדי הוראה אופק חדש'!B65" display="'עובדי הוראה אופק חדש'!B65" xr:uid="{2215DBCD-CAE8-49DE-8AAA-0C8A682CD9EC}"/>
    <hyperlink ref="E899" location="'מורים אופק חדש'!B1" display="כל  תוצאה  המתקבלת בסימולטור ובטבלאות השונות הינה באחריות המשתמש בלבד !!!" xr:uid="{A6C89FFC-8F1D-405F-B5F5-3E02838456B7}"/>
    <hyperlink ref="F920" location="'מורים אופק חדש'!B40" display="'מורים אופק חדש'!B40" xr:uid="{27EBA2E0-9834-41D3-8383-11ADF4552D3F}"/>
    <hyperlink ref="P707" location="'מורים אופק חדש'!B466" display="'מורים אופק חדש'!B466" xr:uid="{626D41CB-66E8-4102-8472-7A96A8523CEF}"/>
    <hyperlink ref="O707" location="'מורים אופק חדש'!H528" display="'מורים אופק חדש'!H528" xr:uid="{2F62CF60-6356-4C17-ABF9-9B36F858B655}"/>
    <hyperlink ref="B926" location="'מורים אופק חדש'!B40" display="'מורים אופק חדש'!B40" xr:uid="{D261B398-C0D0-4538-86DA-2C6AC18C8387}"/>
    <hyperlink ref="G947" location="'מורים אופק חדש'!B40" display="'מורים אופק חדש'!B40" xr:uid="{CA0FCF58-A17D-493E-9F04-15DC4A39E6FA}"/>
    <hyperlink ref="E977" location="'מורים אופק חדש'!B40" display="'מורים אופק חדש'!B40" xr:uid="{36B40126-D721-46F2-838F-1ABC69A54149}"/>
    <hyperlink ref="C900" location="'מורים אופק חדש'!H331" display="'מורים אופק חדש'!H331" xr:uid="{7EED97F1-73E1-4DB4-ACAC-741946FC2E4F}"/>
    <hyperlink ref="R770:T770" location="'מורים אופק חדש'!B65" display="'מורים אופק חדש'!B65" xr:uid="{FD69AA53-8DE9-41E7-A96D-28CF98DE5813}"/>
    <hyperlink ref="C915:F916" r:id="rId2" display="בעת מילוי טופס 161א בקש פטור מס מוגדל   למענק  החייב,  בסך  :" xr:uid="{08A91331-42E0-4EE1-BF2D-0FD4D8794692}"/>
    <hyperlink ref="C919:E919" r:id="rId3" display="אם ברצונך בפריסת מס עליך להגיש בקשה בטופס  116ג" xr:uid="{4826C22C-F171-4D2B-8D76-32174181604E}"/>
    <hyperlink ref="B948" location="'מורים אופק חדש'!B40" display="'מורים אופק חדש'!B40" xr:uid="{319D44D4-FF45-446F-AB9F-B602EC5CDC02}"/>
    <hyperlink ref="H776" r:id="rId4" display="האימייל שלי " xr:uid="{309FE27B-6168-40C1-9CEF-1E4EBBFCACB5}"/>
    <hyperlink ref="I776" r:id="rId5" xr:uid="{28E8A789-845F-4887-A810-D04A04F0D56B}"/>
    <hyperlink ref="AB35" location="'עובדי הוראה'!H528" display="'עובדי הוראה'!H528" xr:uid="{4797E48A-34FA-4DB9-9C23-8C152135B123}"/>
    <hyperlink ref="AA36" location="'עובדי הוראה'!I381" display="'עובדי הוראה'!I381" xr:uid="{C7D7637E-9F66-45F4-8FB5-2C4CFC99820F}"/>
    <hyperlink ref="AD18" r:id="rId6" display="אתר לעדכון גרסה " xr:uid="{A906F4B3-15DF-4A23-BE49-6E9563CFADAD}"/>
    <hyperlink ref="Z47" location="'כלל המגזר צבורי'!B1" display="'כלל המגזר צבורי'!B1" xr:uid="{3E181184-47E7-43EB-B457-7519815A0E57}"/>
    <hyperlink ref="W60" location="'רשות המיסים'!B56" display="'רשות המיסים'!B56" xr:uid="{079F6C82-B197-4AF3-AE2C-457B67C72308}"/>
    <hyperlink ref="W60:X60" location="'מורים אופק חדש'!B65" display="'מורים אופק חדש'!B65" xr:uid="{8DF832C7-08F4-47BB-ACDE-7330F7307455}"/>
    <hyperlink ref="W60:Z60" location="'עובדי הוראה אופק חדש'!B65" display="'עובדי הוראה אופק חדש'!B65" xr:uid="{449349E7-03D3-4847-BEE2-BA3F4EF11293}"/>
    <hyperlink ref="G195" location="'מורים אופק חדש'!B40" display="'מורים אופק חדש'!B40" xr:uid="{4AEA4BD8-D654-40DA-8790-AE7C72251FE9}"/>
    <hyperlink ref="U4" location="'מורים אופק חדש'!B466" display="'מורים אופק חדש'!B466" xr:uid="{B2407B7A-8AEC-420F-8AAD-689CCC2CB407}"/>
    <hyperlink ref="T4" location="'מורים אופק חדש'!H528" display="'מורים אופק חדש'!H528" xr:uid="{5B2166B8-C935-42AA-B07C-ED10AA82CC1A}"/>
    <hyperlink ref="B214" location="'מורים אופק חדש'!B40" display="'מורים אופק חדש'!B40" xr:uid="{F32F9C35-4AFA-4364-A6DB-3D6AEB6C7C69}"/>
    <hyperlink ref="C184" location="'מורים אופק חדש'!H331" display="'מורים אופק חדש'!H331" xr:uid="{33E1ACB0-266E-4CD9-ACF7-BB444131ACF9}"/>
    <hyperlink ref="W60:Y60" location="'מורים אופק חדש'!B65" display="'מורים אופק חדש'!B65" xr:uid="{7A8E8C9A-4395-43D7-96C1-4E6A67A3F511}"/>
    <hyperlink ref="C190:G191" r:id="rId7" display="בעת מילוי טופס 161א בקש פטור מס מוגדל   למענק  החייב,  בסך  :" xr:uid="{788E0E68-A687-4B1D-BE47-C65BFB1343A3}"/>
    <hyperlink ref="C195:F195" r:id="rId8" display="אם ברצונך בפריסת מס עליך להגיש בקשה בטופס  116ג" xr:uid="{918A97EF-FFCB-4078-BD12-AF8FDB1EA6DA}"/>
    <hyperlink ref="H849" location="'כלל המגזר צבורי'!H262" display="'כלל המגזר צבורי'!H262" xr:uid="{C5D81CC1-87A2-4AF2-9711-A03BF409FDA2}"/>
    <hyperlink ref="H851" location="'מה חדש'!A51" display="'מה חדש'!A51" xr:uid="{74545F70-9226-46B9-838F-6402AE3FE399}"/>
    <hyperlink ref="H850" location="'כלל המגזר צבורי'!I103" display="'כלל המגזר צבורי'!I103" xr:uid="{A757E507-6E61-40E5-9CD6-BEFFEFF32D03}"/>
  </hyperlinks>
  <pageMargins left="0.7" right="0.7" top="0.75" bottom="0.75" header="0.3" footer="0.3"/>
  <pageSetup paperSize="9" orientation="portrait" horizontalDpi="1200" verticalDpi="1200" r:id="rId9"/>
  <legacyDrawing r:id="rId1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790665-C972-42F9-BB65-F637C70D0A1E}">
  <dimension ref="A1:DT984"/>
  <sheetViews>
    <sheetView rightToLeft="1" topLeftCell="A2" zoomScale="85" zoomScaleNormal="85" workbookViewId="0">
      <selection activeCell="C26" sqref="C26"/>
    </sheetView>
  </sheetViews>
  <sheetFormatPr defaultRowHeight="14.25" x14ac:dyDescent="0.2"/>
  <cols>
    <col min="1" max="1" width="0.375" customWidth="1"/>
    <col min="2" max="2" width="17.25" customWidth="1"/>
    <col min="3" max="3" width="13.375" customWidth="1"/>
    <col min="4" max="4" width="9.625" style="10" customWidth="1"/>
    <col min="5" max="5" width="13.375" style="10" customWidth="1"/>
    <col min="6" max="6" width="8.625" style="10" customWidth="1"/>
    <col min="7" max="7" width="15.625" style="10" customWidth="1"/>
    <col min="8" max="8" width="16.125" style="10" customWidth="1"/>
    <col min="9" max="9" width="12.5" style="10" customWidth="1"/>
    <col min="10" max="10" width="12.125" style="10" customWidth="1"/>
    <col min="11" max="11" width="18.125" customWidth="1"/>
    <col min="12" max="12" width="16.25" customWidth="1"/>
    <col min="13" max="14" width="12.875" customWidth="1"/>
    <col min="15" max="15" width="11.375" customWidth="1"/>
    <col min="16" max="16" width="11.75" customWidth="1"/>
    <col min="17" max="17" width="10.875" customWidth="1"/>
    <col min="18" max="18" width="16" customWidth="1"/>
    <col min="19" max="19" width="14.125" customWidth="1"/>
    <col min="20" max="20" width="11.75" customWidth="1"/>
    <col min="21" max="21" width="13.375" customWidth="1"/>
    <col min="22" max="22" width="21.625" customWidth="1"/>
    <col min="23" max="23" width="16.125" customWidth="1"/>
    <col min="24" max="25" width="14" customWidth="1"/>
    <col min="26" max="26" width="9.625" customWidth="1"/>
    <col min="27" max="27" width="10.75" customWidth="1"/>
    <col min="28" max="28" width="9.625" customWidth="1"/>
    <col min="29" max="29" width="9.25" customWidth="1"/>
    <col min="30" max="30" width="9.375" customWidth="1"/>
    <col min="31" max="32" width="13.25" customWidth="1"/>
    <col min="33" max="33" width="8.25" bestFit="1" customWidth="1"/>
    <col min="34" max="34" width="10" style="65" customWidth="1"/>
    <col min="36" max="36" width="9.75" customWidth="1"/>
    <col min="37" max="37" width="9.375" customWidth="1"/>
    <col min="38" max="38" width="10.5" bestFit="1" customWidth="1"/>
    <col min="45" max="45" width="9.625" customWidth="1"/>
    <col min="46" max="46" width="14.75" customWidth="1"/>
    <col min="47" max="47" width="11.375" customWidth="1"/>
    <col min="48" max="48" width="9.875" customWidth="1"/>
    <col min="49" max="49" width="10.75" customWidth="1"/>
    <col min="50" max="50" width="10.125" bestFit="1" customWidth="1"/>
    <col min="51" max="51" width="12.5" customWidth="1"/>
    <col min="52" max="52" width="10.625" customWidth="1"/>
    <col min="55" max="55" width="15.75" customWidth="1"/>
    <col min="56" max="56" width="10" customWidth="1"/>
    <col min="59" max="59" width="8.875" customWidth="1"/>
    <col min="60" max="60" width="9.625" bestFit="1" customWidth="1"/>
    <col min="61" max="61" width="9.375" customWidth="1"/>
    <col min="63" max="63" width="7.25" customWidth="1"/>
    <col min="64" max="64" width="0" hidden="1" customWidth="1"/>
    <col min="66" max="66" width="9.375" customWidth="1"/>
    <col min="67" max="67" width="10.375" customWidth="1"/>
    <col min="68" max="68" width="15.875" customWidth="1"/>
    <col min="70" max="70" width="6.75" customWidth="1"/>
    <col min="257" max="257" width="0.375" customWidth="1"/>
    <col min="258" max="258" width="17.25" customWidth="1"/>
    <col min="259" max="259" width="13.375" customWidth="1"/>
    <col min="260" max="260" width="9.625" customWidth="1"/>
    <col min="261" max="261" width="13.375" customWidth="1"/>
    <col min="262" max="262" width="8.625" customWidth="1"/>
    <col min="263" max="263" width="15.625" customWidth="1"/>
    <col min="264" max="264" width="16.125" customWidth="1"/>
    <col min="265" max="265" width="12.5" customWidth="1"/>
    <col min="266" max="266" width="12.125" customWidth="1"/>
    <col min="267" max="267" width="18.125" customWidth="1"/>
    <col min="268" max="268" width="16.25" customWidth="1"/>
    <col min="269" max="270" width="12.875" customWidth="1"/>
    <col min="271" max="271" width="11.375" customWidth="1"/>
    <col min="272" max="272" width="11.75" customWidth="1"/>
    <col min="273" max="273" width="10.875" customWidth="1"/>
    <col min="274" max="274" width="16" customWidth="1"/>
    <col min="275" max="275" width="14.125" customWidth="1"/>
    <col min="276" max="276" width="11.75" customWidth="1"/>
    <col min="277" max="277" width="13.375" customWidth="1"/>
    <col min="278" max="278" width="21.625" customWidth="1"/>
    <col min="279" max="279" width="16.125" customWidth="1"/>
    <col min="280" max="281" width="14" customWidth="1"/>
    <col min="282" max="282" width="9.625" customWidth="1"/>
    <col min="283" max="283" width="10.75" customWidth="1"/>
    <col min="284" max="284" width="9.625" customWidth="1"/>
    <col min="285" max="285" width="9.25" customWidth="1"/>
    <col min="286" max="286" width="9.375" customWidth="1"/>
    <col min="287" max="288" width="13.25" customWidth="1"/>
    <col min="289" max="289" width="8.25" bestFit="1" customWidth="1"/>
    <col min="290" max="290" width="10" customWidth="1"/>
    <col min="292" max="292" width="9.75" customWidth="1"/>
    <col min="293" max="293" width="9.375" customWidth="1"/>
    <col min="294" max="294" width="10.5" bestFit="1" customWidth="1"/>
    <col min="301" max="301" width="9.625" customWidth="1"/>
    <col min="302" max="302" width="14.75" customWidth="1"/>
    <col min="303" max="303" width="11.375" customWidth="1"/>
    <col min="304" max="304" width="9.875" customWidth="1"/>
    <col min="305" max="305" width="10.75" customWidth="1"/>
    <col min="306" max="306" width="10.125" bestFit="1" customWidth="1"/>
    <col min="307" max="307" width="12.5" customWidth="1"/>
    <col min="308" max="308" width="10.625" customWidth="1"/>
    <col min="311" max="311" width="15.75" customWidth="1"/>
    <col min="312" max="312" width="10" customWidth="1"/>
    <col min="315" max="315" width="8.875" customWidth="1"/>
    <col min="316" max="316" width="9.625" bestFit="1" customWidth="1"/>
    <col min="317" max="317" width="9.375" customWidth="1"/>
    <col min="319" max="319" width="7.25" customWidth="1"/>
    <col min="320" max="320" width="0" hidden="1" customWidth="1"/>
    <col min="322" max="322" width="9.375" customWidth="1"/>
    <col min="323" max="323" width="10.375" customWidth="1"/>
    <col min="324" max="324" width="15.875" customWidth="1"/>
    <col min="326" max="326" width="6.75" customWidth="1"/>
    <col min="513" max="513" width="0.375" customWidth="1"/>
    <col min="514" max="514" width="17.25" customWidth="1"/>
    <col min="515" max="515" width="13.375" customWidth="1"/>
    <col min="516" max="516" width="9.625" customWidth="1"/>
    <col min="517" max="517" width="13.375" customWidth="1"/>
    <col min="518" max="518" width="8.625" customWidth="1"/>
    <col min="519" max="519" width="15.625" customWidth="1"/>
    <col min="520" max="520" width="16.125" customWidth="1"/>
    <col min="521" max="521" width="12.5" customWidth="1"/>
    <col min="522" max="522" width="12.125" customWidth="1"/>
    <col min="523" max="523" width="18.125" customWidth="1"/>
    <col min="524" max="524" width="16.25" customWidth="1"/>
    <col min="525" max="526" width="12.875" customWidth="1"/>
    <col min="527" max="527" width="11.375" customWidth="1"/>
    <col min="528" max="528" width="11.75" customWidth="1"/>
    <col min="529" max="529" width="10.875" customWidth="1"/>
    <col min="530" max="530" width="16" customWidth="1"/>
    <col min="531" max="531" width="14.125" customWidth="1"/>
    <col min="532" max="532" width="11.75" customWidth="1"/>
    <col min="533" max="533" width="13.375" customWidth="1"/>
    <col min="534" max="534" width="21.625" customWidth="1"/>
    <col min="535" max="535" width="16.125" customWidth="1"/>
    <col min="536" max="537" width="14" customWidth="1"/>
    <col min="538" max="538" width="9.625" customWidth="1"/>
    <col min="539" max="539" width="10.75" customWidth="1"/>
    <col min="540" max="540" width="9.625" customWidth="1"/>
    <col min="541" max="541" width="9.25" customWidth="1"/>
    <col min="542" max="542" width="9.375" customWidth="1"/>
    <col min="543" max="544" width="13.25" customWidth="1"/>
    <col min="545" max="545" width="8.25" bestFit="1" customWidth="1"/>
    <col min="546" max="546" width="10" customWidth="1"/>
    <col min="548" max="548" width="9.75" customWidth="1"/>
    <col min="549" max="549" width="9.375" customWidth="1"/>
    <col min="550" max="550" width="10.5" bestFit="1" customWidth="1"/>
    <col min="557" max="557" width="9.625" customWidth="1"/>
    <col min="558" max="558" width="14.75" customWidth="1"/>
    <col min="559" max="559" width="11.375" customWidth="1"/>
    <col min="560" max="560" width="9.875" customWidth="1"/>
    <col min="561" max="561" width="10.75" customWidth="1"/>
    <col min="562" max="562" width="10.125" bestFit="1" customWidth="1"/>
    <col min="563" max="563" width="12.5" customWidth="1"/>
    <col min="564" max="564" width="10.625" customWidth="1"/>
    <col min="567" max="567" width="15.75" customWidth="1"/>
    <col min="568" max="568" width="10" customWidth="1"/>
    <col min="571" max="571" width="8.875" customWidth="1"/>
    <col min="572" max="572" width="9.625" bestFit="1" customWidth="1"/>
    <col min="573" max="573" width="9.375" customWidth="1"/>
    <col min="575" max="575" width="7.25" customWidth="1"/>
    <col min="576" max="576" width="0" hidden="1" customWidth="1"/>
    <col min="578" max="578" width="9.375" customWidth="1"/>
    <col min="579" max="579" width="10.375" customWidth="1"/>
    <col min="580" max="580" width="15.875" customWidth="1"/>
    <col min="582" max="582" width="6.75" customWidth="1"/>
    <col min="769" max="769" width="0.375" customWidth="1"/>
    <col min="770" max="770" width="17.25" customWidth="1"/>
    <col min="771" max="771" width="13.375" customWidth="1"/>
    <col min="772" max="772" width="9.625" customWidth="1"/>
    <col min="773" max="773" width="13.375" customWidth="1"/>
    <col min="774" max="774" width="8.625" customWidth="1"/>
    <col min="775" max="775" width="15.625" customWidth="1"/>
    <col min="776" max="776" width="16.125" customWidth="1"/>
    <col min="777" max="777" width="12.5" customWidth="1"/>
    <col min="778" max="778" width="12.125" customWidth="1"/>
    <col min="779" max="779" width="18.125" customWidth="1"/>
    <col min="780" max="780" width="16.25" customWidth="1"/>
    <col min="781" max="782" width="12.875" customWidth="1"/>
    <col min="783" max="783" width="11.375" customWidth="1"/>
    <col min="784" max="784" width="11.75" customWidth="1"/>
    <col min="785" max="785" width="10.875" customWidth="1"/>
    <col min="786" max="786" width="16" customWidth="1"/>
    <col min="787" max="787" width="14.125" customWidth="1"/>
    <col min="788" max="788" width="11.75" customWidth="1"/>
    <col min="789" max="789" width="13.375" customWidth="1"/>
    <col min="790" max="790" width="21.625" customWidth="1"/>
    <col min="791" max="791" width="16.125" customWidth="1"/>
    <col min="792" max="793" width="14" customWidth="1"/>
    <col min="794" max="794" width="9.625" customWidth="1"/>
    <col min="795" max="795" width="10.75" customWidth="1"/>
    <col min="796" max="796" width="9.625" customWidth="1"/>
    <col min="797" max="797" width="9.25" customWidth="1"/>
    <col min="798" max="798" width="9.375" customWidth="1"/>
    <col min="799" max="800" width="13.25" customWidth="1"/>
    <col min="801" max="801" width="8.25" bestFit="1" customWidth="1"/>
    <col min="802" max="802" width="10" customWidth="1"/>
    <col min="804" max="804" width="9.75" customWidth="1"/>
    <col min="805" max="805" width="9.375" customWidth="1"/>
    <col min="806" max="806" width="10.5" bestFit="1" customWidth="1"/>
    <col min="813" max="813" width="9.625" customWidth="1"/>
    <col min="814" max="814" width="14.75" customWidth="1"/>
    <col min="815" max="815" width="11.375" customWidth="1"/>
    <col min="816" max="816" width="9.875" customWidth="1"/>
    <col min="817" max="817" width="10.75" customWidth="1"/>
    <col min="818" max="818" width="10.125" bestFit="1" customWidth="1"/>
    <col min="819" max="819" width="12.5" customWidth="1"/>
    <col min="820" max="820" width="10.625" customWidth="1"/>
    <col min="823" max="823" width="15.75" customWidth="1"/>
    <col min="824" max="824" width="10" customWidth="1"/>
    <col min="827" max="827" width="8.875" customWidth="1"/>
    <col min="828" max="828" width="9.625" bestFit="1" customWidth="1"/>
    <col min="829" max="829" width="9.375" customWidth="1"/>
    <col min="831" max="831" width="7.25" customWidth="1"/>
    <col min="832" max="832" width="0" hidden="1" customWidth="1"/>
    <col min="834" max="834" width="9.375" customWidth="1"/>
    <col min="835" max="835" width="10.375" customWidth="1"/>
    <col min="836" max="836" width="15.875" customWidth="1"/>
    <col min="838" max="838" width="6.75" customWidth="1"/>
    <col min="1025" max="1025" width="0.375" customWidth="1"/>
    <col min="1026" max="1026" width="17.25" customWidth="1"/>
    <col min="1027" max="1027" width="13.375" customWidth="1"/>
    <col min="1028" max="1028" width="9.625" customWidth="1"/>
    <col min="1029" max="1029" width="13.375" customWidth="1"/>
    <col min="1030" max="1030" width="8.625" customWidth="1"/>
    <col min="1031" max="1031" width="15.625" customWidth="1"/>
    <col min="1032" max="1032" width="16.125" customWidth="1"/>
    <col min="1033" max="1033" width="12.5" customWidth="1"/>
    <col min="1034" max="1034" width="12.125" customWidth="1"/>
    <col min="1035" max="1035" width="18.125" customWidth="1"/>
    <col min="1036" max="1036" width="16.25" customWidth="1"/>
    <col min="1037" max="1038" width="12.875" customWidth="1"/>
    <col min="1039" max="1039" width="11.375" customWidth="1"/>
    <col min="1040" max="1040" width="11.75" customWidth="1"/>
    <col min="1041" max="1041" width="10.875" customWidth="1"/>
    <col min="1042" max="1042" width="16" customWidth="1"/>
    <col min="1043" max="1043" width="14.125" customWidth="1"/>
    <col min="1044" max="1044" width="11.75" customWidth="1"/>
    <col min="1045" max="1045" width="13.375" customWidth="1"/>
    <col min="1046" max="1046" width="21.625" customWidth="1"/>
    <col min="1047" max="1047" width="16.125" customWidth="1"/>
    <col min="1048" max="1049" width="14" customWidth="1"/>
    <col min="1050" max="1050" width="9.625" customWidth="1"/>
    <col min="1051" max="1051" width="10.75" customWidth="1"/>
    <col min="1052" max="1052" width="9.625" customWidth="1"/>
    <col min="1053" max="1053" width="9.25" customWidth="1"/>
    <col min="1054" max="1054" width="9.375" customWidth="1"/>
    <col min="1055" max="1056" width="13.25" customWidth="1"/>
    <col min="1057" max="1057" width="8.25" bestFit="1" customWidth="1"/>
    <col min="1058" max="1058" width="10" customWidth="1"/>
    <col min="1060" max="1060" width="9.75" customWidth="1"/>
    <col min="1061" max="1061" width="9.375" customWidth="1"/>
    <col min="1062" max="1062" width="10.5" bestFit="1" customWidth="1"/>
    <col min="1069" max="1069" width="9.625" customWidth="1"/>
    <col min="1070" max="1070" width="14.75" customWidth="1"/>
    <col min="1071" max="1071" width="11.375" customWidth="1"/>
    <col min="1072" max="1072" width="9.875" customWidth="1"/>
    <col min="1073" max="1073" width="10.75" customWidth="1"/>
    <col min="1074" max="1074" width="10.125" bestFit="1" customWidth="1"/>
    <col min="1075" max="1075" width="12.5" customWidth="1"/>
    <col min="1076" max="1076" width="10.625" customWidth="1"/>
    <col min="1079" max="1079" width="15.75" customWidth="1"/>
    <col min="1080" max="1080" width="10" customWidth="1"/>
    <col min="1083" max="1083" width="8.875" customWidth="1"/>
    <col min="1084" max="1084" width="9.625" bestFit="1" customWidth="1"/>
    <col min="1085" max="1085" width="9.375" customWidth="1"/>
    <col min="1087" max="1087" width="7.25" customWidth="1"/>
    <col min="1088" max="1088" width="0" hidden="1" customWidth="1"/>
    <col min="1090" max="1090" width="9.375" customWidth="1"/>
    <col min="1091" max="1091" width="10.375" customWidth="1"/>
    <col min="1092" max="1092" width="15.875" customWidth="1"/>
    <col min="1094" max="1094" width="6.75" customWidth="1"/>
    <col min="1281" max="1281" width="0.375" customWidth="1"/>
    <col min="1282" max="1282" width="17.25" customWidth="1"/>
    <col min="1283" max="1283" width="13.375" customWidth="1"/>
    <col min="1284" max="1284" width="9.625" customWidth="1"/>
    <col min="1285" max="1285" width="13.375" customWidth="1"/>
    <col min="1286" max="1286" width="8.625" customWidth="1"/>
    <col min="1287" max="1287" width="15.625" customWidth="1"/>
    <col min="1288" max="1288" width="16.125" customWidth="1"/>
    <col min="1289" max="1289" width="12.5" customWidth="1"/>
    <col min="1290" max="1290" width="12.125" customWidth="1"/>
    <col min="1291" max="1291" width="18.125" customWidth="1"/>
    <col min="1292" max="1292" width="16.25" customWidth="1"/>
    <col min="1293" max="1294" width="12.875" customWidth="1"/>
    <col min="1295" max="1295" width="11.375" customWidth="1"/>
    <col min="1296" max="1296" width="11.75" customWidth="1"/>
    <col min="1297" max="1297" width="10.875" customWidth="1"/>
    <col min="1298" max="1298" width="16" customWidth="1"/>
    <col min="1299" max="1299" width="14.125" customWidth="1"/>
    <col min="1300" max="1300" width="11.75" customWidth="1"/>
    <col min="1301" max="1301" width="13.375" customWidth="1"/>
    <col min="1302" max="1302" width="21.625" customWidth="1"/>
    <col min="1303" max="1303" width="16.125" customWidth="1"/>
    <col min="1304" max="1305" width="14" customWidth="1"/>
    <col min="1306" max="1306" width="9.625" customWidth="1"/>
    <col min="1307" max="1307" width="10.75" customWidth="1"/>
    <col min="1308" max="1308" width="9.625" customWidth="1"/>
    <col min="1309" max="1309" width="9.25" customWidth="1"/>
    <col min="1310" max="1310" width="9.375" customWidth="1"/>
    <col min="1311" max="1312" width="13.25" customWidth="1"/>
    <col min="1313" max="1313" width="8.25" bestFit="1" customWidth="1"/>
    <col min="1314" max="1314" width="10" customWidth="1"/>
    <col min="1316" max="1316" width="9.75" customWidth="1"/>
    <col min="1317" max="1317" width="9.375" customWidth="1"/>
    <col min="1318" max="1318" width="10.5" bestFit="1" customWidth="1"/>
    <col min="1325" max="1325" width="9.625" customWidth="1"/>
    <col min="1326" max="1326" width="14.75" customWidth="1"/>
    <col min="1327" max="1327" width="11.375" customWidth="1"/>
    <col min="1328" max="1328" width="9.875" customWidth="1"/>
    <col min="1329" max="1329" width="10.75" customWidth="1"/>
    <col min="1330" max="1330" width="10.125" bestFit="1" customWidth="1"/>
    <col min="1331" max="1331" width="12.5" customWidth="1"/>
    <col min="1332" max="1332" width="10.625" customWidth="1"/>
    <col min="1335" max="1335" width="15.75" customWidth="1"/>
    <col min="1336" max="1336" width="10" customWidth="1"/>
    <col min="1339" max="1339" width="8.875" customWidth="1"/>
    <col min="1340" max="1340" width="9.625" bestFit="1" customWidth="1"/>
    <col min="1341" max="1341" width="9.375" customWidth="1"/>
    <col min="1343" max="1343" width="7.25" customWidth="1"/>
    <col min="1344" max="1344" width="0" hidden="1" customWidth="1"/>
    <col min="1346" max="1346" width="9.375" customWidth="1"/>
    <col min="1347" max="1347" width="10.375" customWidth="1"/>
    <col min="1348" max="1348" width="15.875" customWidth="1"/>
    <col min="1350" max="1350" width="6.75" customWidth="1"/>
    <col min="1537" max="1537" width="0.375" customWidth="1"/>
    <col min="1538" max="1538" width="17.25" customWidth="1"/>
    <col min="1539" max="1539" width="13.375" customWidth="1"/>
    <col min="1540" max="1540" width="9.625" customWidth="1"/>
    <col min="1541" max="1541" width="13.375" customWidth="1"/>
    <col min="1542" max="1542" width="8.625" customWidth="1"/>
    <col min="1543" max="1543" width="15.625" customWidth="1"/>
    <col min="1544" max="1544" width="16.125" customWidth="1"/>
    <col min="1545" max="1545" width="12.5" customWidth="1"/>
    <col min="1546" max="1546" width="12.125" customWidth="1"/>
    <col min="1547" max="1547" width="18.125" customWidth="1"/>
    <col min="1548" max="1548" width="16.25" customWidth="1"/>
    <col min="1549" max="1550" width="12.875" customWidth="1"/>
    <col min="1551" max="1551" width="11.375" customWidth="1"/>
    <col min="1552" max="1552" width="11.75" customWidth="1"/>
    <col min="1553" max="1553" width="10.875" customWidth="1"/>
    <col min="1554" max="1554" width="16" customWidth="1"/>
    <col min="1555" max="1555" width="14.125" customWidth="1"/>
    <col min="1556" max="1556" width="11.75" customWidth="1"/>
    <col min="1557" max="1557" width="13.375" customWidth="1"/>
    <col min="1558" max="1558" width="21.625" customWidth="1"/>
    <col min="1559" max="1559" width="16.125" customWidth="1"/>
    <col min="1560" max="1561" width="14" customWidth="1"/>
    <col min="1562" max="1562" width="9.625" customWidth="1"/>
    <col min="1563" max="1563" width="10.75" customWidth="1"/>
    <col min="1564" max="1564" width="9.625" customWidth="1"/>
    <col min="1565" max="1565" width="9.25" customWidth="1"/>
    <col min="1566" max="1566" width="9.375" customWidth="1"/>
    <col min="1567" max="1568" width="13.25" customWidth="1"/>
    <col min="1569" max="1569" width="8.25" bestFit="1" customWidth="1"/>
    <col min="1570" max="1570" width="10" customWidth="1"/>
    <col min="1572" max="1572" width="9.75" customWidth="1"/>
    <col min="1573" max="1573" width="9.375" customWidth="1"/>
    <col min="1574" max="1574" width="10.5" bestFit="1" customWidth="1"/>
    <col min="1581" max="1581" width="9.625" customWidth="1"/>
    <col min="1582" max="1582" width="14.75" customWidth="1"/>
    <col min="1583" max="1583" width="11.375" customWidth="1"/>
    <col min="1584" max="1584" width="9.875" customWidth="1"/>
    <col min="1585" max="1585" width="10.75" customWidth="1"/>
    <col min="1586" max="1586" width="10.125" bestFit="1" customWidth="1"/>
    <col min="1587" max="1587" width="12.5" customWidth="1"/>
    <col min="1588" max="1588" width="10.625" customWidth="1"/>
    <col min="1591" max="1591" width="15.75" customWidth="1"/>
    <col min="1592" max="1592" width="10" customWidth="1"/>
    <col min="1595" max="1595" width="8.875" customWidth="1"/>
    <col min="1596" max="1596" width="9.625" bestFit="1" customWidth="1"/>
    <col min="1597" max="1597" width="9.375" customWidth="1"/>
    <col min="1599" max="1599" width="7.25" customWidth="1"/>
    <col min="1600" max="1600" width="0" hidden="1" customWidth="1"/>
    <col min="1602" max="1602" width="9.375" customWidth="1"/>
    <col min="1603" max="1603" width="10.375" customWidth="1"/>
    <col min="1604" max="1604" width="15.875" customWidth="1"/>
    <col min="1606" max="1606" width="6.75" customWidth="1"/>
    <col min="1793" max="1793" width="0.375" customWidth="1"/>
    <col min="1794" max="1794" width="17.25" customWidth="1"/>
    <col min="1795" max="1795" width="13.375" customWidth="1"/>
    <col min="1796" max="1796" width="9.625" customWidth="1"/>
    <col min="1797" max="1797" width="13.375" customWidth="1"/>
    <col min="1798" max="1798" width="8.625" customWidth="1"/>
    <col min="1799" max="1799" width="15.625" customWidth="1"/>
    <col min="1800" max="1800" width="16.125" customWidth="1"/>
    <col min="1801" max="1801" width="12.5" customWidth="1"/>
    <col min="1802" max="1802" width="12.125" customWidth="1"/>
    <col min="1803" max="1803" width="18.125" customWidth="1"/>
    <col min="1804" max="1804" width="16.25" customWidth="1"/>
    <col min="1805" max="1806" width="12.875" customWidth="1"/>
    <col min="1807" max="1807" width="11.375" customWidth="1"/>
    <col min="1808" max="1808" width="11.75" customWidth="1"/>
    <col min="1809" max="1809" width="10.875" customWidth="1"/>
    <col min="1810" max="1810" width="16" customWidth="1"/>
    <col min="1811" max="1811" width="14.125" customWidth="1"/>
    <col min="1812" max="1812" width="11.75" customWidth="1"/>
    <col min="1813" max="1813" width="13.375" customWidth="1"/>
    <col min="1814" max="1814" width="21.625" customWidth="1"/>
    <col min="1815" max="1815" width="16.125" customWidth="1"/>
    <col min="1816" max="1817" width="14" customWidth="1"/>
    <col min="1818" max="1818" width="9.625" customWidth="1"/>
    <col min="1819" max="1819" width="10.75" customWidth="1"/>
    <col min="1820" max="1820" width="9.625" customWidth="1"/>
    <col min="1821" max="1821" width="9.25" customWidth="1"/>
    <col min="1822" max="1822" width="9.375" customWidth="1"/>
    <col min="1823" max="1824" width="13.25" customWidth="1"/>
    <col min="1825" max="1825" width="8.25" bestFit="1" customWidth="1"/>
    <col min="1826" max="1826" width="10" customWidth="1"/>
    <col min="1828" max="1828" width="9.75" customWidth="1"/>
    <col min="1829" max="1829" width="9.375" customWidth="1"/>
    <col min="1830" max="1830" width="10.5" bestFit="1" customWidth="1"/>
    <col min="1837" max="1837" width="9.625" customWidth="1"/>
    <col min="1838" max="1838" width="14.75" customWidth="1"/>
    <col min="1839" max="1839" width="11.375" customWidth="1"/>
    <col min="1840" max="1840" width="9.875" customWidth="1"/>
    <col min="1841" max="1841" width="10.75" customWidth="1"/>
    <col min="1842" max="1842" width="10.125" bestFit="1" customWidth="1"/>
    <col min="1843" max="1843" width="12.5" customWidth="1"/>
    <col min="1844" max="1844" width="10.625" customWidth="1"/>
    <col min="1847" max="1847" width="15.75" customWidth="1"/>
    <col min="1848" max="1848" width="10" customWidth="1"/>
    <col min="1851" max="1851" width="8.875" customWidth="1"/>
    <col min="1852" max="1852" width="9.625" bestFit="1" customWidth="1"/>
    <col min="1853" max="1853" width="9.375" customWidth="1"/>
    <col min="1855" max="1855" width="7.25" customWidth="1"/>
    <col min="1856" max="1856" width="0" hidden="1" customWidth="1"/>
    <col min="1858" max="1858" width="9.375" customWidth="1"/>
    <col min="1859" max="1859" width="10.375" customWidth="1"/>
    <col min="1860" max="1860" width="15.875" customWidth="1"/>
    <col min="1862" max="1862" width="6.75" customWidth="1"/>
    <col min="2049" max="2049" width="0.375" customWidth="1"/>
    <col min="2050" max="2050" width="17.25" customWidth="1"/>
    <col min="2051" max="2051" width="13.375" customWidth="1"/>
    <col min="2052" max="2052" width="9.625" customWidth="1"/>
    <col min="2053" max="2053" width="13.375" customWidth="1"/>
    <col min="2054" max="2054" width="8.625" customWidth="1"/>
    <col min="2055" max="2055" width="15.625" customWidth="1"/>
    <col min="2056" max="2056" width="16.125" customWidth="1"/>
    <col min="2057" max="2057" width="12.5" customWidth="1"/>
    <col min="2058" max="2058" width="12.125" customWidth="1"/>
    <col min="2059" max="2059" width="18.125" customWidth="1"/>
    <col min="2060" max="2060" width="16.25" customWidth="1"/>
    <col min="2061" max="2062" width="12.875" customWidth="1"/>
    <col min="2063" max="2063" width="11.375" customWidth="1"/>
    <col min="2064" max="2064" width="11.75" customWidth="1"/>
    <col min="2065" max="2065" width="10.875" customWidth="1"/>
    <col min="2066" max="2066" width="16" customWidth="1"/>
    <col min="2067" max="2067" width="14.125" customWidth="1"/>
    <col min="2068" max="2068" width="11.75" customWidth="1"/>
    <col min="2069" max="2069" width="13.375" customWidth="1"/>
    <col min="2070" max="2070" width="21.625" customWidth="1"/>
    <col min="2071" max="2071" width="16.125" customWidth="1"/>
    <col min="2072" max="2073" width="14" customWidth="1"/>
    <col min="2074" max="2074" width="9.625" customWidth="1"/>
    <col min="2075" max="2075" width="10.75" customWidth="1"/>
    <col min="2076" max="2076" width="9.625" customWidth="1"/>
    <col min="2077" max="2077" width="9.25" customWidth="1"/>
    <col min="2078" max="2078" width="9.375" customWidth="1"/>
    <col min="2079" max="2080" width="13.25" customWidth="1"/>
    <col min="2081" max="2081" width="8.25" bestFit="1" customWidth="1"/>
    <col min="2082" max="2082" width="10" customWidth="1"/>
    <col min="2084" max="2084" width="9.75" customWidth="1"/>
    <col min="2085" max="2085" width="9.375" customWidth="1"/>
    <col min="2086" max="2086" width="10.5" bestFit="1" customWidth="1"/>
    <col min="2093" max="2093" width="9.625" customWidth="1"/>
    <col min="2094" max="2094" width="14.75" customWidth="1"/>
    <col min="2095" max="2095" width="11.375" customWidth="1"/>
    <col min="2096" max="2096" width="9.875" customWidth="1"/>
    <col min="2097" max="2097" width="10.75" customWidth="1"/>
    <col min="2098" max="2098" width="10.125" bestFit="1" customWidth="1"/>
    <col min="2099" max="2099" width="12.5" customWidth="1"/>
    <col min="2100" max="2100" width="10.625" customWidth="1"/>
    <col min="2103" max="2103" width="15.75" customWidth="1"/>
    <col min="2104" max="2104" width="10" customWidth="1"/>
    <col min="2107" max="2107" width="8.875" customWidth="1"/>
    <col min="2108" max="2108" width="9.625" bestFit="1" customWidth="1"/>
    <col min="2109" max="2109" width="9.375" customWidth="1"/>
    <col min="2111" max="2111" width="7.25" customWidth="1"/>
    <col min="2112" max="2112" width="0" hidden="1" customWidth="1"/>
    <col min="2114" max="2114" width="9.375" customWidth="1"/>
    <col min="2115" max="2115" width="10.375" customWidth="1"/>
    <col min="2116" max="2116" width="15.875" customWidth="1"/>
    <col min="2118" max="2118" width="6.75" customWidth="1"/>
    <col min="2305" max="2305" width="0.375" customWidth="1"/>
    <col min="2306" max="2306" width="17.25" customWidth="1"/>
    <col min="2307" max="2307" width="13.375" customWidth="1"/>
    <col min="2308" max="2308" width="9.625" customWidth="1"/>
    <col min="2309" max="2309" width="13.375" customWidth="1"/>
    <col min="2310" max="2310" width="8.625" customWidth="1"/>
    <col min="2311" max="2311" width="15.625" customWidth="1"/>
    <col min="2312" max="2312" width="16.125" customWidth="1"/>
    <col min="2313" max="2313" width="12.5" customWidth="1"/>
    <col min="2314" max="2314" width="12.125" customWidth="1"/>
    <col min="2315" max="2315" width="18.125" customWidth="1"/>
    <col min="2316" max="2316" width="16.25" customWidth="1"/>
    <col min="2317" max="2318" width="12.875" customWidth="1"/>
    <col min="2319" max="2319" width="11.375" customWidth="1"/>
    <col min="2320" max="2320" width="11.75" customWidth="1"/>
    <col min="2321" max="2321" width="10.875" customWidth="1"/>
    <col min="2322" max="2322" width="16" customWidth="1"/>
    <col min="2323" max="2323" width="14.125" customWidth="1"/>
    <col min="2324" max="2324" width="11.75" customWidth="1"/>
    <col min="2325" max="2325" width="13.375" customWidth="1"/>
    <col min="2326" max="2326" width="21.625" customWidth="1"/>
    <col min="2327" max="2327" width="16.125" customWidth="1"/>
    <col min="2328" max="2329" width="14" customWidth="1"/>
    <col min="2330" max="2330" width="9.625" customWidth="1"/>
    <col min="2331" max="2331" width="10.75" customWidth="1"/>
    <col min="2332" max="2332" width="9.625" customWidth="1"/>
    <col min="2333" max="2333" width="9.25" customWidth="1"/>
    <col min="2334" max="2334" width="9.375" customWidth="1"/>
    <col min="2335" max="2336" width="13.25" customWidth="1"/>
    <col min="2337" max="2337" width="8.25" bestFit="1" customWidth="1"/>
    <col min="2338" max="2338" width="10" customWidth="1"/>
    <col min="2340" max="2340" width="9.75" customWidth="1"/>
    <col min="2341" max="2341" width="9.375" customWidth="1"/>
    <col min="2342" max="2342" width="10.5" bestFit="1" customWidth="1"/>
    <col min="2349" max="2349" width="9.625" customWidth="1"/>
    <col min="2350" max="2350" width="14.75" customWidth="1"/>
    <col min="2351" max="2351" width="11.375" customWidth="1"/>
    <col min="2352" max="2352" width="9.875" customWidth="1"/>
    <col min="2353" max="2353" width="10.75" customWidth="1"/>
    <col min="2354" max="2354" width="10.125" bestFit="1" customWidth="1"/>
    <col min="2355" max="2355" width="12.5" customWidth="1"/>
    <col min="2356" max="2356" width="10.625" customWidth="1"/>
    <col min="2359" max="2359" width="15.75" customWidth="1"/>
    <col min="2360" max="2360" width="10" customWidth="1"/>
    <col min="2363" max="2363" width="8.875" customWidth="1"/>
    <col min="2364" max="2364" width="9.625" bestFit="1" customWidth="1"/>
    <col min="2365" max="2365" width="9.375" customWidth="1"/>
    <col min="2367" max="2367" width="7.25" customWidth="1"/>
    <col min="2368" max="2368" width="0" hidden="1" customWidth="1"/>
    <col min="2370" max="2370" width="9.375" customWidth="1"/>
    <col min="2371" max="2371" width="10.375" customWidth="1"/>
    <col min="2372" max="2372" width="15.875" customWidth="1"/>
    <col min="2374" max="2374" width="6.75" customWidth="1"/>
    <col min="2561" max="2561" width="0.375" customWidth="1"/>
    <col min="2562" max="2562" width="17.25" customWidth="1"/>
    <col min="2563" max="2563" width="13.375" customWidth="1"/>
    <col min="2564" max="2564" width="9.625" customWidth="1"/>
    <col min="2565" max="2565" width="13.375" customWidth="1"/>
    <col min="2566" max="2566" width="8.625" customWidth="1"/>
    <col min="2567" max="2567" width="15.625" customWidth="1"/>
    <col min="2568" max="2568" width="16.125" customWidth="1"/>
    <col min="2569" max="2569" width="12.5" customWidth="1"/>
    <col min="2570" max="2570" width="12.125" customWidth="1"/>
    <col min="2571" max="2571" width="18.125" customWidth="1"/>
    <col min="2572" max="2572" width="16.25" customWidth="1"/>
    <col min="2573" max="2574" width="12.875" customWidth="1"/>
    <col min="2575" max="2575" width="11.375" customWidth="1"/>
    <col min="2576" max="2576" width="11.75" customWidth="1"/>
    <col min="2577" max="2577" width="10.875" customWidth="1"/>
    <col min="2578" max="2578" width="16" customWidth="1"/>
    <col min="2579" max="2579" width="14.125" customWidth="1"/>
    <col min="2580" max="2580" width="11.75" customWidth="1"/>
    <col min="2581" max="2581" width="13.375" customWidth="1"/>
    <col min="2582" max="2582" width="21.625" customWidth="1"/>
    <col min="2583" max="2583" width="16.125" customWidth="1"/>
    <col min="2584" max="2585" width="14" customWidth="1"/>
    <col min="2586" max="2586" width="9.625" customWidth="1"/>
    <col min="2587" max="2587" width="10.75" customWidth="1"/>
    <col min="2588" max="2588" width="9.625" customWidth="1"/>
    <col min="2589" max="2589" width="9.25" customWidth="1"/>
    <col min="2590" max="2590" width="9.375" customWidth="1"/>
    <col min="2591" max="2592" width="13.25" customWidth="1"/>
    <col min="2593" max="2593" width="8.25" bestFit="1" customWidth="1"/>
    <col min="2594" max="2594" width="10" customWidth="1"/>
    <col min="2596" max="2596" width="9.75" customWidth="1"/>
    <col min="2597" max="2597" width="9.375" customWidth="1"/>
    <col min="2598" max="2598" width="10.5" bestFit="1" customWidth="1"/>
    <col min="2605" max="2605" width="9.625" customWidth="1"/>
    <col min="2606" max="2606" width="14.75" customWidth="1"/>
    <col min="2607" max="2607" width="11.375" customWidth="1"/>
    <col min="2608" max="2608" width="9.875" customWidth="1"/>
    <col min="2609" max="2609" width="10.75" customWidth="1"/>
    <col min="2610" max="2610" width="10.125" bestFit="1" customWidth="1"/>
    <col min="2611" max="2611" width="12.5" customWidth="1"/>
    <col min="2612" max="2612" width="10.625" customWidth="1"/>
    <col min="2615" max="2615" width="15.75" customWidth="1"/>
    <col min="2616" max="2616" width="10" customWidth="1"/>
    <col min="2619" max="2619" width="8.875" customWidth="1"/>
    <col min="2620" max="2620" width="9.625" bestFit="1" customWidth="1"/>
    <col min="2621" max="2621" width="9.375" customWidth="1"/>
    <col min="2623" max="2623" width="7.25" customWidth="1"/>
    <col min="2624" max="2624" width="0" hidden="1" customWidth="1"/>
    <col min="2626" max="2626" width="9.375" customWidth="1"/>
    <col min="2627" max="2627" width="10.375" customWidth="1"/>
    <col min="2628" max="2628" width="15.875" customWidth="1"/>
    <col min="2630" max="2630" width="6.75" customWidth="1"/>
    <col min="2817" max="2817" width="0.375" customWidth="1"/>
    <col min="2818" max="2818" width="17.25" customWidth="1"/>
    <col min="2819" max="2819" width="13.375" customWidth="1"/>
    <col min="2820" max="2820" width="9.625" customWidth="1"/>
    <col min="2821" max="2821" width="13.375" customWidth="1"/>
    <col min="2822" max="2822" width="8.625" customWidth="1"/>
    <col min="2823" max="2823" width="15.625" customWidth="1"/>
    <col min="2824" max="2824" width="16.125" customWidth="1"/>
    <col min="2825" max="2825" width="12.5" customWidth="1"/>
    <col min="2826" max="2826" width="12.125" customWidth="1"/>
    <col min="2827" max="2827" width="18.125" customWidth="1"/>
    <col min="2828" max="2828" width="16.25" customWidth="1"/>
    <col min="2829" max="2830" width="12.875" customWidth="1"/>
    <col min="2831" max="2831" width="11.375" customWidth="1"/>
    <col min="2832" max="2832" width="11.75" customWidth="1"/>
    <col min="2833" max="2833" width="10.875" customWidth="1"/>
    <col min="2834" max="2834" width="16" customWidth="1"/>
    <col min="2835" max="2835" width="14.125" customWidth="1"/>
    <col min="2836" max="2836" width="11.75" customWidth="1"/>
    <col min="2837" max="2837" width="13.375" customWidth="1"/>
    <col min="2838" max="2838" width="21.625" customWidth="1"/>
    <col min="2839" max="2839" width="16.125" customWidth="1"/>
    <col min="2840" max="2841" width="14" customWidth="1"/>
    <col min="2842" max="2842" width="9.625" customWidth="1"/>
    <col min="2843" max="2843" width="10.75" customWidth="1"/>
    <col min="2844" max="2844" width="9.625" customWidth="1"/>
    <col min="2845" max="2845" width="9.25" customWidth="1"/>
    <col min="2846" max="2846" width="9.375" customWidth="1"/>
    <col min="2847" max="2848" width="13.25" customWidth="1"/>
    <col min="2849" max="2849" width="8.25" bestFit="1" customWidth="1"/>
    <col min="2850" max="2850" width="10" customWidth="1"/>
    <col min="2852" max="2852" width="9.75" customWidth="1"/>
    <col min="2853" max="2853" width="9.375" customWidth="1"/>
    <col min="2854" max="2854" width="10.5" bestFit="1" customWidth="1"/>
    <col min="2861" max="2861" width="9.625" customWidth="1"/>
    <col min="2862" max="2862" width="14.75" customWidth="1"/>
    <col min="2863" max="2863" width="11.375" customWidth="1"/>
    <col min="2864" max="2864" width="9.875" customWidth="1"/>
    <col min="2865" max="2865" width="10.75" customWidth="1"/>
    <col min="2866" max="2866" width="10.125" bestFit="1" customWidth="1"/>
    <col min="2867" max="2867" width="12.5" customWidth="1"/>
    <col min="2868" max="2868" width="10.625" customWidth="1"/>
    <col min="2871" max="2871" width="15.75" customWidth="1"/>
    <col min="2872" max="2872" width="10" customWidth="1"/>
    <col min="2875" max="2875" width="8.875" customWidth="1"/>
    <col min="2876" max="2876" width="9.625" bestFit="1" customWidth="1"/>
    <col min="2877" max="2877" width="9.375" customWidth="1"/>
    <col min="2879" max="2879" width="7.25" customWidth="1"/>
    <col min="2880" max="2880" width="0" hidden="1" customWidth="1"/>
    <col min="2882" max="2882" width="9.375" customWidth="1"/>
    <col min="2883" max="2883" width="10.375" customWidth="1"/>
    <col min="2884" max="2884" width="15.875" customWidth="1"/>
    <col min="2886" max="2886" width="6.75" customWidth="1"/>
    <col min="3073" max="3073" width="0.375" customWidth="1"/>
    <col min="3074" max="3074" width="17.25" customWidth="1"/>
    <col min="3075" max="3075" width="13.375" customWidth="1"/>
    <col min="3076" max="3076" width="9.625" customWidth="1"/>
    <col min="3077" max="3077" width="13.375" customWidth="1"/>
    <col min="3078" max="3078" width="8.625" customWidth="1"/>
    <col min="3079" max="3079" width="15.625" customWidth="1"/>
    <col min="3080" max="3080" width="16.125" customWidth="1"/>
    <col min="3081" max="3081" width="12.5" customWidth="1"/>
    <col min="3082" max="3082" width="12.125" customWidth="1"/>
    <col min="3083" max="3083" width="18.125" customWidth="1"/>
    <col min="3084" max="3084" width="16.25" customWidth="1"/>
    <col min="3085" max="3086" width="12.875" customWidth="1"/>
    <col min="3087" max="3087" width="11.375" customWidth="1"/>
    <col min="3088" max="3088" width="11.75" customWidth="1"/>
    <col min="3089" max="3089" width="10.875" customWidth="1"/>
    <col min="3090" max="3090" width="16" customWidth="1"/>
    <col min="3091" max="3091" width="14.125" customWidth="1"/>
    <col min="3092" max="3092" width="11.75" customWidth="1"/>
    <col min="3093" max="3093" width="13.375" customWidth="1"/>
    <col min="3094" max="3094" width="21.625" customWidth="1"/>
    <col min="3095" max="3095" width="16.125" customWidth="1"/>
    <col min="3096" max="3097" width="14" customWidth="1"/>
    <col min="3098" max="3098" width="9.625" customWidth="1"/>
    <col min="3099" max="3099" width="10.75" customWidth="1"/>
    <col min="3100" max="3100" width="9.625" customWidth="1"/>
    <col min="3101" max="3101" width="9.25" customWidth="1"/>
    <col min="3102" max="3102" width="9.375" customWidth="1"/>
    <col min="3103" max="3104" width="13.25" customWidth="1"/>
    <col min="3105" max="3105" width="8.25" bestFit="1" customWidth="1"/>
    <col min="3106" max="3106" width="10" customWidth="1"/>
    <col min="3108" max="3108" width="9.75" customWidth="1"/>
    <col min="3109" max="3109" width="9.375" customWidth="1"/>
    <col min="3110" max="3110" width="10.5" bestFit="1" customWidth="1"/>
    <col min="3117" max="3117" width="9.625" customWidth="1"/>
    <col min="3118" max="3118" width="14.75" customWidth="1"/>
    <col min="3119" max="3119" width="11.375" customWidth="1"/>
    <col min="3120" max="3120" width="9.875" customWidth="1"/>
    <col min="3121" max="3121" width="10.75" customWidth="1"/>
    <col min="3122" max="3122" width="10.125" bestFit="1" customWidth="1"/>
    <col min="3123" max="3123" width="12.5" customWidth="1"/>
    <col min="3124" max="3124" width="10.625" customWidth="1"/>
    <col min="3127" max="3127" width="15.75" customWidth="1"/>
    <col min="3128" max="3128" width="10" customWidth="1"/>
    <col min="3131" max="3131" width="8.875" customWidth="1"/>
    <col min="3132" max="3132" width="9.625" bestFit="1" customWidth="1"/>
    <col min="3133" max="3133" width="9.375" customWidth="1"/>
    <col min="3135" max="3135" width="7.25" customWidth="1"/>
    <col min="3136" max="3136" width="0" hidden="1" customWidth="1"/>
    <col min="3138" max="3138" width="9.375" customWidth="1"/>
    <col min="3139" max="3139" width="10.375" customWidth="1"/>
    <col min="3140" max="3140" width="15.875" customWidth="1"/>
    <col min="3142" max="3142" width="6.75" customWidth="1"/>
    <col min="3329" max="3329" width="0.375" customWidth="1"/>
    <col min="3330" max="3330" width="17.25" customWidth="1"/>
    <col min="3331" max="3331" width="13.375" customWidth="1"/>
    <col min="3332" max="3332" width="9.625" customWidth="1"/>
    <col min="3333" max="3333" width="13.375" customWidth="1"/>
    <col min="3334" max="3334" width="8.625" customWidth="1"/>
    <col min="3335" max="3335" width="15.625" customWidth="1"/>
    <col min="3336" max="3336" width="16.125" customWidth="1"/>
    <col min="3337" max="3337" width="12.5" customWidth="1"/>
    <col min="3338" max="3338" width="12.125" customWidth="1"/>
    <col min="3339" max="3339" width="18.125" customWidth="1"/>
    <col min="3340" max="3340" width="16.25" customWidth="1"/>
    <col min="3341" max="3342" width="12.875" customWidth="1"/>
    <col min="3343" max="3343" width="11.375" customWidth="1"/>
    <col min="3344" max="3344" width="11.75" customWidth="1"/>
    <col min="3345" max="3345" width="10.875" customWidth="1"/>
    <col min="3346" max="3346" width="16" customWidth="1"/>
    <col min="3347" max="3347" width="14.125" customWidth="1"/>
    <col min="3348" max="3348" width="11.75" customWidth="1"/>
    <col min="3349" max="3349" width="13.375" customWidth="1"/>
    <col min="3350" max="3350" width="21.625" customWidth="1"/>
    <col min="3351" max="3351" width="16.125" customWidth="1"/>
    <col min="3352" max="3353" width="14" customWidth="1"/>
    <col min="3354" max="3354" width="9.625" customWidth="1"/>
    <col min="3355" max="3355" width="10.75" customWidth="1"/>
    <col min="3356" max="3356" width="9.625" customWidth="1"/>
    <col min="3357" max="3357" width="9.25" customWidth="1"/>
    <col min="3358" max="3358" width="9.375" customWidth="1"/>
    <col min="3359" max="3360" width="13.25" customWidth="1"/>
    <col min="3361" max="3361" width="8.25" bestFit="1" customWidth="1"/>
    <col min="3362" max="3362" width="10" customWidth="1"/>
    <col min="3364" max="3364" width="9.75" customWidth="1"/>
    <col min="3365" max="3365" width="9.375" customWidth="1"/>
    <col min="3366" max="3366" width="10.5" bestFit="1" customWidth="1"/>
    <col min="3373" max="3373" width="9.625" customWidth="1"/>
    <col min="3374" max="3374" width="14.75" customWidth="1"/>
    <col min="3375" max="3375" width="11.375" customWidth="1"/>
    <col min="3376" max="3376" width="9.875" customWidth="1"/>
    <col min="3377" max="3377" width="10.75" customWidth="1"/>
    <col min="3378" max="3378" width="10.125" bestFit="1" customWidth="1"/>
    <col min="3379" max="3379" width="12.5" customWidth="1"/>
    <col min="3380" max="3380" width="10.625" customWidth="1"/>
    <col min="3383" max="3383" width="15.75" customWidth="1"/>
    <col min="3384" max="3384" width="10" customWidth="1"/>
    <col min="3387" max="3387" width="8.875" customWidth="1"/>
    <col min="3388" max="3388" width="9.625" bestFit="1" customWidth="1"/>
    <col min="3389" max="3389" width="9.375" customWidth="1"/>
    <col min="3391" max="3391" width="7.25" customWidth="1"/>
    <col min="3392" max="3392" width="0" hidden="1" customWidth="1"/>
    <col min="3394" max="3394" width="9.375" customWidth="1"/>
    <col min="3395" max="3395" width="10.375" customWidth="1"/>
    <col min="3396" max="3396" width="15.875" customWidth="1"/>
    <col min="3398" max="3398" width="6.75" customWidth="1"/>
    <col min="3585" max="3585" width="0.375" customWidth="1"/>
    <col min="3586" max="3586" width="17.25" customWidth="1"/>
    <col min="3587" max="3587" width="13.375" customWidth="1"/>
    <col min="3588" max="3588" width="9.625" customWidth="1"/>
    <col min="3589" max="3589" width="13.375" customWidth="1"/>
    <col min="3590" max="3590" width="8.625" customWidth="1"/>
    <col min="3591" max="3591" width="15.625" customWidth="1"/>
    <col min="3592" max="3592" width="16.125" customWidth="1"/>
    <col min="3593" max="3593" width="12.5" customWidth="1"/>
    <col min="3594" max="3594" width="12.125" customWidth="1"/>
    <col min="3595" max="3595" width="18.125" customWidth="1"/>
    <col min="3596" max="3596" width="16.25" customWidth="1"/>
    <col min="3597" max="3598" width="12.875" customWidth="1"/>
    <col min="3599" max="3599" width="11.375" customWidth="1"/>
    <col min="3600" max="3600" width="11.75" customWidth="1"/>
    <col min="3601" max="3601" width="10.875" customWidth="1"/>
    <col min="3602" max="3602" width="16" customWidth="1"/>
    <col min="3603" max="3603" width="14.125" customWidth="1"/>
    <col min="3604" max="3604" width="11.75" customWidth="1"/>
    <col min="3605" max="3605" width="13.375" customWidth="1"/>
    <col min="3606" max="3606" width="21.625" customWidth="1"/>
    <col min="3607" max="3607" width="16.125" customWidth="1"/>
    <col min="3608" max="3609" width="14" customWidth="1"/>
    <col min="3610" max="3610" width="9.625" customWidth="1"/>
    <col min="3611" max="3611" width="10.75" customWidth="1"/>
    <col min="3612" max="3612" width="9.625" customWidth="1"/>
    <col min="3613" max="3613" width="9.25" customWidth="1"/>
    <col min="3614" max="3614" width="9.375" customWidth="1"/>
    <col min="3615" max="3616" width="13.25" customWidth="1"/>
    <col min="3617" max="3617" width="8.25" bestFit="1" customWidth="1"/>
    <col min="3618" max="3618" width="10" customWidth="1"/>
    <col min="3620" max="3620" width="9.75" customWidth="1"/>
    <col min="3621" max="3621" width="9.375" customWidth="1"/>
    <col min="3622" max="3622" width="10.5" bestFit="1" customWidth="1"/>
    <col min="3629" max="3629" width="9.625" customWidth="1"/>
    <col min="3630" max="3630" width="14.75" customWidth="1"/>
    <col min="3631" max="3631" width="11.375" customWidth="1"/>
    <col min="3632" max="3632" width="9.875" customWidth="1"/>
    <col min="3633" max="3633" width="10.75" customWidth="1"/>
    <col min="3634" max="3634" width="10.125" bestFit="1" customWidth="1"/>
    <col min="3635" max="3635" width="12.5" customWidth="1"/>
    <col min="3636" max="3636" width="10.625" customWidth="1"/>
    <col min="3639" max="3639" width="15.75" customWidth="1"/>
    <col min="3640" max="3640" width="10" customWidth="1"/>
    <col min="3643" max="3643" width="8.875" customWidth="1"/>
    <col min="3644" max="3644" width="9.625" bestFit="1" customWidth="1"/>
    <col min="3645" max="3645" width="9.375" customWidth="1"/>
    <col min="3647" max="3647" width="7.25" customWidth="1"/>
    <col min="3648" max="3648" width="0" hidden="1" customWidth="1"/>
    <col min="3650" max="3650" width="9.375" customWidth="1"/>
    <col min="3651" max="3651" width="10.375" customWidth="1"/>
    <col min="3652" max="3652" width="15.875" customWidth="1"/>
    <col min="3654" max="3654" width="6.75" customWidth="1"/>
    <col min="3841" max="3841" width="0.375" customWidth="1"/>
    <col min="3842" max="3842" width="17.25" customWidth="1"/>
    <col min="3843" max="3843" width="13.375" customWidth="1"/>
    <col min="3844" max="3844" width="9.625" customWidth="1"/>
    <col min="3845" max="3845" width="13.375" customWidth="1"/>
    <col min="3846" max="3846" width="8.625" customWidth="1"/>
    <col min="3847" max="3847" width="15.625" customWidth="1"/>
    <col min="3848" max="3848" width="16.125" customWidth="1"/>
    <col min="3849" max="3849" width="12.5" customWidth="1"/>
    <col min="3850" max="3850" width="12.125" customWidth="1"/>
    <col min="3851" max="3851" width="18.125" customWidth="1"/>
    <col min="3852" max="3852" width="16.25" customWidth="1"/>
    <col min="3853" max="3854" width="12.875" customWidth="1"/>
    <col min="3855" max="3855" width="11.375" customWidth="1"/>
    <col min="3856" max="3856" width="11.75" customWidth="1"/>
    <col min="3857" max="3857" width="10.875" customWidth="1"/>
    <col min="3858" max="3858" width="16" customWidth="1"/>
    <col min="3859" max="3859" width="14.125" customWidth="1"/>
    <col min="3860" max="3860" width="11.75" customWidth="1"/>
    <col min="3861" max="3861" width="13.375" customWidth="1"/>
    <col min="3862" max="3862" width="21.625" customWidth="1"/>
    <col min="3863" max="3863" width="16.125" customWidth="1"/>
    <col min="3864" max="3865" width="14" customWidth="1"/>
    <col min="3866" max="3866" width="9.625" customWidth="1"/>
    <col min="3867" max="3867" width="10.75" customWidth="1"/>
    <col min="3868" max="3868" width="9.625" customWidth="1"/>
    <col min="3869" max="3869" width="9.25" customWidth="1"/>
    <col min="3870" max="3870" width="9.375" customWidth="1"/>
    <col min="3871" max="3872" width="13.25" customWidth="1"/>
    <col min="3873" max="3873" width="8.25" bestFit="1" customWidth="1"/>
    <col min="3874" max="3874" width="10" customWidth="1"/>
    <col min="3876" max="3876" width="9.75" customWidth="1"/>
    <col min="3877" max="3877" width="9.375" customWidth="1"/>
    <col min="3878" max="3878" width="10.5" bestFit="1" customWidth="1"/>
    <col min="3885" max="3885" width="9.625" customWidth="1"/>
    <col min="3886" max="3886" width="14.75" customWidth="1"/>
    <col min="3887" max="3887" width="11.375" customWidth="1"/>
    <col min="3888" max="3888" width="9.875" customWidth="1"/>
    <col min="3889" max="3889" width="10.75" customWidth="1"/>
    <col min="3890" max="3890" width="10.125" bestFit="1" customWidth="1"/>
    <col min="3891" max="3891" width="12.5" customWidth="1"/>
    <col min="3892" max="3892" width="10.625" customWidth="1"/>
    <col min="3895" max="3895" width="15.75" customWidth="1"/>
    <col min="3896" max="3896" width="10" customWidth="1"/>
    <col min="3899" max="3899" width="8.875" customWidth="1"/>
    <col min="3900" max="3900" width="9.625" bestFit="1" customWidth="1"/>
    <col min="3901" max="3901" width="9.375" customWidth="1"/>
    <col min="3903" max="3903" width="7.25" customWidth="1"/>
    <col min="3904" max="3904" width="0" hidden="1" customWidth="1"/>
    <col min="3906" max="3906" width="9.375" customWidth="1"/>
    <col min="3907" max="3907" width="10.375" customWidth="1"/>
    <col min="3908" max="3908" width="15.875" customWidth="1"/>
    <col min="3910" max="3910" width="6.75" customWidth="1"/>
    <col min="4097" max="4097" width="0.375" customWidth="1"/>
    <col min="4098" max="4098" width="17.25" customWidth="1"/>
    <col min="4099" max="4099" width="13.375" customWidth="1"/>
    <col min="4100" max="4100" width="9.625" customWidth="1"/>
    <col min="4101" max="4101" width="13.375" customWidth="1"/>
    <col min="4102" max="4102" width="8.625" customWidth="1"/>
    <col min="4103" max="4103" width="15.625" customWidth="1"/>
    <col min="4104" max="4104" width="16.125" customWidth="1"/>
    <col min="4105" max="4105" width="12.5" customWidth="1"/>
    <col min="4106" max="4106" width="12.125" customWidth="1"/>
    <col min="4107" max="4107" width="18.125" customWidth="1"/>
    <col min="4108" max="4108" width="16.25" customWidth="1"/>
    <col min="4109" max="4110" width="12.875" customWidth="1"/>
    <col min="4111" max="4111" width="11.375" customWidth="1"/>
    <col min="4112" max="4112" width="11.75" customWidth="1"/>
    <col min="4113" max="4113" width="10.875" customWidth="1"/>
    <col min="4114" max="4114" width="16" customWidth="1"/>
    <col min="4115" max="4115" width="14.125" customWidth="1"/>
    <col min="4116" max="4116" width="11.75" customWidth="1"/>
    <col min="4117" max="4117" width="13.375" customWidth="1"/>
    <col min="4118" max="4118" width="21.625" customWidth="1"/>
    <col min="4119" max="4119" width="16.125" customWidth="1"/>
    <col min="4120" max="4121" width="14" customWidth="1"/>
    <col min="4122" max="4122" width="9.625" customWidth="1"/>
    <col min="4123" max="4123" width="10.75" customWidth="1"/>
    <col min="4124" max="4124" width="9.625" customWidth="1"/>
    <col min="4125" max="4125" width="9.25" customWidth="1"/>
    <col min="4126" max="4126" width="9.375" customWidth="1"/>
    <col min="4127" max="4128" width="13.25" customWidth="1"/>
    <col min="4129" max="4129" width="8.25" bestFit="1" customWidth="1"/>
    <col min="4130" max="4130" width="10" customWidth="1"/>
    <col min="4132" max="4132" width="9.75" customWidth="1"/>
    <col min="4133" max="4133" width="9.375" customWidth="1"/>
    <col min="4134" max="4134" width="10.5" bestFit="1" customWidth="1"/>
    <col min="4141" max="4141" width="9.625" customWidth="1"/>
    <col min="4142" max="4142" width="14.75" customWidth="1"/>
    <col min="4143" max="4143" width="11.375" customWidth="1"/>
    <col min="4144" max="4144" width="9.875" customWidth="1"/>
    <col min="4145" max="4145" width="10.75" customWidth="1"/>
    <col min="4146" max="4146" width="10.125" bestFit="1" customWidth="1"/>
    <col min="4147" max="4147" width="12.5" customWidth="1"/>
    <col min="4148" max="4148" width="10.625" customWidth="1"/>
    <col min="4151" max="4151" width="15.75" customWidth="1"/>
    <col min="4152" max="4152" width="10" customWidth="1"/>
    <col min="4155" max="4155" width="8.875" customWidth="1"/>
    <col min="4156" max="4156" width="9.625" bestFit="1" customWidth="1"/>
    <col min="4157" max="4157" width="9.375" customWidth="1"/>
    <col min="4159" max="4159" width="7.25" customWidth="1"/>
    <col min="4160" max="4160" width="0" hidden="1" customWidth="1"/>
    <col min="4162" max="4162" width="9.375" customWidth="1"/>
    <col min="4163" max="4163" width="10.375" customWidth="1"/>
    <col min="4164" max="4164" width="15.875" customWidth="1"/>
    <col min="4166" max="4166" width="6.75" customWidth="1"/>
    <col min="4353" max="4353" width="0.375" customWidth="1"/>
    <col min="4354" max="4354" width="17.25" customWidth="1"/>
    <col min="4355" max="4355" width="13.375" customWidth="1"/>
    <col min="4356" max="4356" width="9.625" customWidth="1"/>
    <col min="4357" max="4357" width="13.375" customWidth="1"/>
    <col min="4358" max="4358" width="8.625" customWidth="1"/>
    <col min="4359" max="4359" width="15.625" customWidth="1"/>
    <col min="4360" max="4360" width="16.125" customWidth="1"/>
    <col min="4361" max="4361" width="12.5" customWidth="1"/>
    <col min="4362" max="4362" width="12.125" customWidth="1"/>
    <col min="4363" max="4363" width="18.125" customWidth="1"/>
    <col min="4364" max="4364" width="16.25" customWidth="1"/>
    <col min="4365" max="4366" width="12.875" customWidth="1"/>
    <col min="4367" max="4367" width="11.375" customWidth="1"/>
    <col min="4368" max="4368" width="11.75" customWidth="1"/>
    <col min="4369" max="4369" width="10.875" customWidth="1"/>
    <col min="4370" max="4370" width="16" customWidth="1"/>
    <col min="4371" max="4371" width="14.125" customWidth="1"/>
    <col min="4372" max="4372" width="11.75" customWidth="1"/>
    <col min="4373" max="4373" width="13.375" customWidth="1"/>
    <col min="4374" max="4374" width="21.625" customWidth="1"/>
    <col min="4375" max="4375" width="16.125" customWidth="1"/>
    <col min="4376" max="4377" width="14" customWidth="1"/>
    <col min="4378" max="4378" width="9.625" customWidth="1"/>
    <col min="4379" max="4379" width="10.75" customWidth="1"/>
    <col min="4380" max="4380" width="9.625" customWidth="1"/>
    <col min="4381" max="4381" width="9.25" customWidth="1"/>
    <col min="4382" max="4382" width="9.375" customWidth="1"/>
    <col min="4383" max="4384" width="13.25" customWidth="1"/>
    <col min="4385" max="4385" width="8.25" bestFit="1" customWidth="1"/>
    <col min="4386" max="4386" width="10" customWidth="1"/>
    <col min="4388" max="4388" width="9.75" customWidth="1"/>
    <col min="4389" max="4389" width="9.375" customWidth="1"/>
    <col min="4390" max="4390" width="10.5" bestFit="1" customWidth="1"/>
    <col min="4397" max="4397" width="9.625" customWidth="1"/>
    <col min="4398" max="4398" width="14.75" customWidth="1"/>
    <col min="4399" max="4399" width="11.375" customWidth="1"/>
    <col min="4400" max="4400" width="9.875" customWidth="1"/>
    <col min="4401" max="4401" width="10.75" customWidth="1"/>
    <col min="4402" max="4402" width="10.125" bestFit="1" customWidth="1"/>
    <col min="4403" max="4403" width="12.5" customWidth="1"/>
    <col min="4404" max="4404" width="10.625" customWidth="1"/>
    <col min="4407" max="4407" width="15.75" customWidth="1"/>
    <col min="4408" max="4408" width="10" customWidth="1"/>
    <col min="4411" max="4411" width="8.875" customWidth="1"/>
    <col min="4412" max="4412" width="9.625" bestFit="1" customWidth="1"/>
    <col min="4413" max="4413" width="9.375" customWidth="1"/>
    <col min="4415" max="4415" width="7.25" customWidth="1"/>
    <col min="4416" max="4416" width="0" hidden="1" customWidth="1"/>
    <col min="4418" max="4418" width="9.375" customWidth="1"/>
    <col min="4419" max="4419" width="10.375" customWidth="1"/>
    <col min="4420" max="4420" width="15.875" customWidth="1"/>
    <col min="4422" max="4422" width="6.75" customWidth="1"/>
    <col min="4609" max="4609" width="0.375" customWidth="1"/>
    <col min="4610" max="4610" width="17.25" customWidth="1"/>
    <col min="4611" max="4611" width="13.375" customWidth="1"/>
    <col min="4612" max="4612" width="9.625" customWidth="1"/>
    <col min="4613" max="4613" width="13.375" customWidth="1"/>
    <col min="4614" max="4614" width="8.625" customWidth="1"/>
    <col min="4615" max="4615" width="15.625" customWidth="1"/>
    <col min="4616" max="4616" width="16.125" customWidth="1"/>
    <col min="4617" max="4617" width="12.5" customWidth="1"/>
    <col min="4618" max="4618" width="12.125" customWidth="1"/>
    <col min="4619" max="4619" width="18.125" customWidth="1"/>
    <col min="4620" max="4620" width="16.25" customWidth="1"/>
    <col min="4621" max="4622" width="12.875" customWidth="1"/>
    <col min="4623" max="4623" width="11.375" customWidth="1"/>
    <col min="4624" max="4624" width="11.75" customWidth="1"/>
    <col min="4625" max="4625" width="10.875" customWidth="1"/>
    <col min="4626" max="4626" width="16" customWidth="1"/>
    <col min="4627" max="4627" width="14.125" customWidth="1"/>
    <col min="4628" max="4628" width="11.75" customWidth="1"/>
    <col min="4629" max="4629" width="13.375" customWidth="1"/>
    <col min="4630" max="4630" width="21.625" customWidth="1"/>
    <col min="4631" max="4631" width="16.125" customWidth="1"/>
    <col min="4632" max="4633" width="14" customWidth="1"/>
    <col min="4634" max="4634" width="9.625" customWidth="1"/>
    <col min="4635" max="4635" width="10.75" customWidth="1"/>
    <col min="4636" max="4636" width="9.625" customWidth="1"/>
    <col min="4637" max="4637" width="9.25" customWidth="1"/>
    <col min="4638" max="4638" width="9.375" customWidth="1"/>
    <col min="4639" max="4640" width="13.25" customWidth="1"/>
    <col min="4641" max="4641" width="8.25" bestFit="1" customWidth="1"/>
    <col min="4642" max="4642" width="10" customWidth="1"/>
    <col min="4644" max="4644" width="9.75" customWidth="1"/>
    <col min="4645" max="4645" width="9.375" customWidth="1"/>
    <col min="4646" max="4646" width="10.5" bestFit="1" customWidth="1"/>
    <col min="4653" max="4653" width="9.625" customWidth="1"/>
    <col min="4654" max="4654" width="14.75" customWidth="1"/>
    <col min="4655" max="4655" width="11.375" customWidth="1"/>
    <col min="4656" max="4656" width="9.875" customWidth="1"/>
    <col min="4657" max="4657" width="10.75" customWidth="1"/>
    <col min="4658" max="4658" width="10.125" bestFit="1" customWidth="1"/>
    <col min="4659" max="4659" width="12.5" customWidth="1"/>
    <col min="4660" max="4660" width="10.625" customWidth="1"/>
    <col min="4663" max="4663" width="15.75" customWidth="1"/>
    <col min="4664" max="4664" width="10" customWidth="1"/>
    <col min="4667" max="4667" width="8.875" customWidth="1"/>
    <col min="4668" max="4668" width="9.625" bestFit="1" customWidth="1"/>
    <col min="4669" max="4669" width="9.375" customWidth="1"/>
    <col min="4671" max="4671" width="7.25" customWidth="1"/>
    <col min="4672" max="4672" width="0" hidden="1" customWidth="1"/>
    <col min="4674" max="4674" width="9.375" customWidth="1"/>
    <col min="4675" max="4675" width="10.375" customWidth="1"/>
    <col min="4676" max="4676" width="15.875" customWidth="1"/>
    <col min="4678" max="4678" width="6.75" customWidth="1"/>
    <col min="4865" max="4865" width="0.375" customWidth="1"/>
    <col min="4866" max="4866" width="17.25" customWidth="1"/>
    <col min="4867" max="4867" width="13.375" customWidth="1"/>
    <col min="4868" max="4868" width="9.625" customWidth="1"/>
    <col min="4869" max="4869" width="13.375" customWidth="1"/>
    <col min="4870" max="4870" width="8.625" customWidth="1"/>
    <col min="4871" max="4871" width="15.625" customWidth="1"/>
    <col min="4872" max="4872" width="16.125" customWidth="1"/>
    <col min="4873" max="4873" width="12.5" customWidth="1"/>
    <col min="4874" max="4874" width="12.125" customWidth="1"/>
    <col min="4875" max="4875" width="18.125" customWidth="1"/>
    <col min="4876" max="4876" width="16.25" customWidth="1"/>
    <col min="4877" max="4878" width="12.875" customWidth="1"/>
    <col min="4879" max="4879" width="11.375" customWidth="1"/>
    <col min="4880" max="4880" width="11.75" customWidth="1"/>
    <col min="4881" max="4881" width="10.875" customWidth="1"/>
    <col min="4882" max="4882" width="16" customWidth="1"/>
    <col min="4883" max="4883" width="14.125" customWidth="1"/>
    <col min="4884" max="4884" width="11.75" customWidth="1"/>
    <col min="4885" max="4885" width="13.375" customWidth="1"/>
    <col min="4886" max="4886" width="21.625" customWidth="1"/>
    <col min="4887" max="4887" width="16.125" customWidth="1"/>
    <col min="4888" max="4889" width="14" customWidth="1"/>
    <col min="4890" max="4890" width="9.625" customWidth="1"/>
    <col min="4891" max="4891" width="10.75" customWidth="1"/>
    <col min="4892" max="4892" width="9.625" customWidth="1"/>
    <col min="4893" max="4893" width="9.25" customWidth="1"/>
    <col min="4894" max="4894" width="9.375" customWidth="1"/>
    <col min="4895" max="4896" width="13.25" customWidth="1"/>
    <col min="4897" max="4897" width="8.25" bestFit="1" customWidth="1"/>
    <col min="4898" max="4898" width="10" customWidth="1"/>
    <col min="4900" max="4900" width="9.75" customWidth="1"/>
    <col min="4901" max="4901" width="9.375" customWidth="1"/>
    <col min="4902" max="4902" width="10.5" bestFit="1" customWidth="1"/>
    <col min="4909" max="4909" width="9.625" customWidth="1"/>
    <col min="4910" max="4910" width="14.75" customWidth="1"/>
    <col min="4911" max="4911" width="11.375" customWidth="1"/>
    <col min="4912" max="4912" width="9.875" customWidth="1"/>
    <col min="4913" max="4913" width="10.75" customWidth="1"/>
    <col min="4914" max="4914" width="10.125" bestFit="1" customWidth="1"/>
    <col min="4915" max="4915" width="12.5" customWidth="1"/>
    <col min="4916" max="4916" width="10.625" customWidth="1"/>
    <col min="4919" max="4919" width="15.75" customWidth="1"/>
    <col min="4920" max="4920" width="10" customWidth="1"/>
    <col min="4923" max="4923" width="8.875" customWidth="1"/>
    <col min="4924" max="4924" width="9.625" bestFit="1" customWidth="1"/>
    <col min="4925" max="4925" width="9.375" customWidth="1"/>
    <col min="4927" max="4927" width="7.25" customWidth="1"/>
    <col min="4928" max="4928" width="0" hidden="1" customWidth="1"/>
    <col min="4930" max="4930" width="9.375" customWidth="1"/>
    <col min="4931" max="4931" width="10.375" customWidth="1"/>
    <col min="4932" max="4932" width="15.875" customWidth="1"/>
    <col min="4934" max="4934" width="6.75" customWidth="1"/>
    <col min="5121" max="5121" width="0.375" customWidth="1"/>
    <col min="5122" max="5122" width="17.25" customWidth="1"/>
    <col min="5123" max="5123" width="13.375" customWidth="1"/>
    <col min="5124" max="5124" width="9.625" customWidth="1"/>
    <col min="5125" max="5125" width="13.375" customWidth="1"/>
    <col min="5126" max="5126" width="8.625" customWidth="1"/>
    <col min="5127" max="5127" width="15.625" customWidth="1"/>
    <col min="5128" max="5128" width="16.125" customWidth="1"/>
    <col min="5129" max="5129" width="12.5" customWidth="1"/>
    <col min="5130" max="5130" width="12.125" customWidth="1"/>
    <col min="5131" max="5131" width="18.125" customWidth="1"/>
    <col min="5132" max="5132" width="16.25" customWidth="1"/>
    <col min="5133" max="5134" width="12.875" customWidth="1"/>
    <col min="5135" max="5135" width="11.375" customWidth="1"/>
    <col min="5136" max="5136" width="11.75" customWidth="1"/>
    <col min="5137" max="5137" width="10.875" customWidth="1"/>
    <col min="5138" max="5138" width="16" customWidth="1"/>
    <col min="5139" max="5139" width="14.125" customWidth="1"/>
    <col min="5140" max="5140" width="11.75" customWidth="1"/>
    <col min="5141" max="5141" width="13.375" customWidth="1"/>
    <col min="5142" max="5142" width="21.625" customWidth="1"/>
    <col min="5143" max="5143" width="16.125" customWidth="1"/>
    <col min="5144" max="5145" width="14" customWidth="1"/>
    <col min="5146" max="5146" width="9.625" customWidth="1"/>
    <col min="5147" max="5147" width="10.75" customWidth="1"/>
    <col min="5148" max="5148" width="9.625" customWidth="1"/>
    <col min="5149" max="5149" width="9.25" customWidth="1"/>
    <col min="5150" max="5150" width="9.375" customWidth="1"/>
    <col min="5151" max="5152" width="13.25" customWidth="1"/>
    <col min="5153" max="5153" width="8.25" bestFit="1" customWidth="1"/>
    <col min="5154" max="5154" width="10" customWidth="1"/>
    <col min="5156" max="5156" width="9.75" customWidth="1"/>
    <col min="5157" max="5157" width="9.375" customWidth="1"/>
    <col min="5158" max="5158" width="10.5" bestFit="1" customWidth="1"/>
    <col min="5165" max="5165" width="9.625" customWidth="1"/>
    <col min="5166" max="5166" width="14.75" customWidth="1"/>
    <col min="5167" max="5167" width="11.375" customWidth="1"/>
    <col min="5168" max="5168" width="9.875" customWidth="1"/>
    <col min="5169" max="5169" width="10.75" customWidth="1"/>
    <col min="5170" max="5170" width="10.125" bestFit="1" customWidth="1"/>
    <col min="5171" max="5171" width="12.5" customWidth="1"/>
    <col min="5172" max="5172" width="10.625" customWidth="1"/>
    <col min="5175" max="5175" width="15.75" customWidth="1"/>
    <col min="5176" max="5176" width="10" customWidth="1"/>
    <col min="5179" max="5179" width="8.875" customWidth="1"/>
    <col min="5180" max="5180" width="9.625" bestFit="1" customWidth="1"/>
    <col min="5181" max="5181" width="9.375" customWidth="1"/>
    <col min="5183" max="5183" width="7.25" customWidth="1"/>
    <col min="5184" max="5184" width="0" hidden="1" customWidth="1"/>
    <col min="5186" max="5186" width="9.375" customWidth="1"/>
    <col min="5187" max="5187" width="10.375" customWidth="1"/>
    <col min="5188" max="5188" width="15.875" customWidth="1"/>
    <col min="5190" max="5190" width="6.75" customWidth="1"/>
    <col min="5377" max="5377" width="0.375" customWidth="1"/>
    <col min="5378" max="5378" width="17.25" customWidth="1"/>
    <col min="5379" max="5379" width="13.375" customWidth="1"/>
    <col min="5380" max="5380" width="9.625" customWidth="1"/>
    <col min="5381" max="5381" width="13.375" customWidth="1"/>
    <col min="5382" max="5382" width="8.625" customWidth="1"/>
    <col min="5383" max="5383" width="15.625" customWidth="1"/>
    <col min="5384" max="5384" width="16.125" customWidth="1"/>
    <col min="5385" max="5385" width="12.5" customWidth="1"/>
    <col min="5386" max="5386" width="12.125" customWidth="1"/>
    <col min="5387" max="5387" width="18.125" customWidth="1"/>
    <col min="5388" max="5388" width="16.25" customWidth="1"/>
    <col min="5389" max="5390" width="12.875" customWidth="1"/>
    <col min="5391" max="5391" width="11.375" customWidth="1"/>
    <col min="5392" max="5392" width="11.75" customWidth="1"/>
    <col min="5393" max="5393" width="10.875" customWidth="1"/>
    <col min="5394" max="5394" width="16" customWidth="1"/>
    <col min="5395" max="5395" width="14.125" customWidth="1"/>
    <col min="5396" max="5396" width="11.75" customWidth="1"/>
    <col min="5397" max="5397" width="13.375" customWidth="1"/>
    <col min="5398" max="5398" width="21.625" customWidth="1"/>
    <col min="5399" max="5399" width="16.125" customWidth="1"/>
    <col min="5400" max="5401" width="14" customWidth="1"/>
    <col min="5402" max="5402" width="9.625" customWidth="1"/>
    <col min="5403" max="5403" width="10.75" customWidth="1"/>
    <col min="5404" max="5404" width="9.625" customWidth="1"/>
    <col min="5405" max="5405" width="9.25" customWidth="1"/>
    <col min="5406" max="5406" width="9.375" customWidth="1"/>
    <col min="5407" max="5408" width="13.25" customWidth="1"/>
    <col min="5409" max="5409" width="8.25" bestFit="1" customWidth="1"/>
    <col min="5410" max="5410" width="10" customWidth="1"/>
    <col min="5412" max="5412" width="9.75" customWidth="1"/>
    <col min="5413" max="5413" width="9.375" customWidth="1"/>
    <col min="5414" max="5414" width="10.5" bestFit="1" customWidth="1"/>
    <col min="5421" max="5421" width="9.625" customWidth="1"/>
    <col min="5422" max="5422" width="14.75" customWidth="1"/>
    <col min="5423" max="5423" width="11.375" customWidth="1"/>
    <col min="5424" max="5424" width="9.875" customWidth="1"/>
    <col min="5425" max="5425" width="10.75" customWidth="1"/>
    <col min="5426" max="5426" width="10.125" bestFit="1" customWidth="1"/>
    <col min="5427" max="5427" width="12.5" customWidth="1"/>
    <col min="5428" max="5428" width="10.625" customWidth="1"/>
    <col min="5431" max="5431" width="15.75" customWidth="1"/>
    <col min="5432" max="5432" width="10" customWidth="1"/>
    <col min="5435" max="5435" width="8.875" customWidth="1"/>
    <col min="5436" max="5436" width="9.625" bestFit="1" customWidth="1"/>
    <col min="5437" max="5437" width="9.375" customWidth="1"/>
    <col min="5439" max="5439" width="7.25" customWidth="1"/>
    <col min="5440" max="5440" width="0" hidden="1" customWidth="1"/>
    <col min="5442" max="5442" width="9.375" customWidth="1"/>
    <col min="5443" max="5443" width="10.375" customWidth="1"/>
    <col min="5444" max="5444" width="15.875" customWidth="1"/>
    <col min="5446" max="5446" width="6.75" customWidth="1"/>
    <col min="5633" max="5633" width="0.375" customWidth="1"/>
    <col min="5634" max="5634" width="17.25" customWidth="1"/>
    <col min="5635" max="5635" width="13.375" customWidth="1"/>
    <col min="5636" max="5636" width="9.625" customWidth="1"/>
    <col min="5637" max="5637" width="13.375" customWidth="1"/>
    <col min="5638" max="5638" width="8.625" customWidth="1"/>
    <col min="5639" max="5639" width="15.625" customWidth="1"/>
    <col min="5640" max="5640" width="16.125" customWidth="1"/>
    <col min="5641" max="5641" width="12.5" customWidth="1"/>
    <col min="5642" max="5642" width="12.125" customWidth="1"/>
    <col min="5643" max="5643" width="18.125" customWidth="1"/>
    <col min="5644" max="5644" width="16.25" customWidth="1"/>
    <col min="5645" max="5646" width="12.875" customWidth="1"/>
    <col min="5647" max="5647" width="11.375" customWidth="1"/>
    <col min="5648" max="5648" width="11.75" customWidth="1"/>
    <col min="5649" max="5649" width="10.875" customWidth="1"/>
    <col min="5650" max="5650" width="16" customWidth="1"/>
    <col min="5651" max="5651" width="14.125" customWidth="1"/>
    <col min="5652" max="5652" width="11.75" customWidth="1"/>
    <col min="5653" max="5653" width="13.375" customWidth="1"/>
    <col min="5654" max="5654" width="21.625" customWidth="1"/>
    <col min="5655" max="5655" width="16.125" customWidth="1"/>
    <col min="5656" max="5657" width="14" customWidth="1"/>
    <col min="5658" max="5658" width="9.625" customWidth="1"/>
    <col min="5659" max="5659" width="10.75" customWidth="1"/>
    <col min="5660" max="5660" width="9.625" customWidth="1"/>
    <col min="5661" max="5661" width="9.25" customWidth="1"/>
    <col min="5662" max="5662" width="9.375" customWidth="1"/>
    <col min="5663" max="5664" width="13.25" customWidth="1"/>
    <col min="5665" max="5665" width="8.25" bestFit="1" customWidth="1"/>
    <col min="5666" max="5666" width="10" customWidth="1"/>
    <col min="5668" max="5668" width="9.75" customWidth="1"/>
    <col min="5669" max="5669" width="9.375" customWidth="1"/>
    <col min="5670" max="5670" width="10.5" bestFit="1" customWidth="1"/>
    <col min="5677" max="5677" width="9.625" customWidth="1"/>
    <col min="5678" max="5678" width="14.75" customWidth="1"/>
    <col min="5679" max="5679" width="11.375" customWidth="1"/>
    <col min="5680" max="5680" width="9.875" customWidth="1"/>
    <col min="5681" max="5681" width="10.75" customWidth="1"/>
    <col min="5682" max="5682" width="10.125" bestFit="1" customWidth="1"/>
    <col min="5683" max="5683" width="12.5" customWidth="1"/>
    <col min="5684" max="5684" width="10.625" customWidth="1"/>
    <col min="5687" max="5687" width="15.75" customWidth="1"/>
    <col min="5688" max="5688" width="10" customWidth="1"/>
    <col min="5691" max="5691" width="8.875" customWidth="1"/>
    <col min="5692" max="5692" width="9.625" bestFit="1" customWidth="1"/>
    <col min="5693" max="5693" width="9.375" customWidth="1"/>
    <col min="5695" max="5695" width="7.25" customWidth="1"/>
    <col min="5696" max="5696" width="0" hidden="1" customWidth="1"/>
    <col min="5698" max="5698" width="9.375" customWidth="1"/>
    <col min="5699" max="5699" width="10.375" customWidth="1"/>
    <col min="5700" max="5700" width="15.875" customWidth="1"/>
    <col min="5702" max="5702" width="6.75" customWidth="1"/>
    <col min="5889" max="5889" width="0.375" customWidth="1"/>
    <col min="5890" max="5890" width="17.25" customWidth="1"/>
    <col min="5891" max="5891" width="13.375" customWidth="1"/>
    <col min="5892" max="5892" width="9.625" customWidth="1"/>
    <col min="5893" max="5893" width="13.375" customWidth="1"/>
    <col min="5894" max="5894" width="8.625" customWidth="1"/>
    <col min="5895" max="5895" width="15.625" customWidth="1"/>
    <col min="5896" max="5896" width="16.125" customWidth="1"/>
    <col min="5897" max="5897" width="12.5" customWidth="1"/>
    <col min="5898" max="5898" width="12.125" customWidth="1"/>
    <col min="5899" max="5899" width="18.125" customWidth="1"/>
    <col min="5900" max="5900" width="16.25" customWidth="1"/>
    <col min="5901" max="5902" width="12.875" customWidth="1"/>
    <col min="5903" max="5903" width="11.375" customWidth="1"/>
    <col min="5904" max="5904" width="11.75" customWidth="1"/>
    <col min="5905" max="5905" width="10.875" customWidth="1"/>
    <col min="5906" max="5906" width="16" customWidth="1"/>
    <col min="5907" max="5907" width="14.125" customWidth="1"/>
    <col min="5908" max="5908" width="11.75" customWidth="1"/>
    <col min="5909" max="5909" width="13.375" customWidth="1"/>
    <col min="5910" max="5910" width="21.625" customWidth="1"/>
    <col min="5911" max="5911" width="16.125" customWidth="1"/>
    <col min="5912" max="5913" width="14" customWidth="1"/>
    <col min="5914" max="5914" width="9.625" customWidth="1"/>
    <col min="5915" max="5915" width="10.75" customWidth="1"/>
    <col min="5916" max="5916" width="9.625" customWidth="1"/>
    <col min="5917" max="5917" width="9.25" customWidth="1"/>
    <col min="5918" max="5918" width="9.375" customWidth="1"/>
    <col min="5919" max="5920" width="13.25" customWidth="1"/>
    <col min="5921" max="5921" width="8.25" bestFit="1" customWidth="1"/>
    <col min="5922" max="5922" width="10" customWidth="1"/>
    <col min="5924" max="5924" width="9.75" customWidth="1"/>
    <col min="5925" max="5925" width="9.375" customWidth="1"/>
    <col min="5926" max="5926" width="10.5" bestFit="1" customWidth="1"/>
    <col min="5933" max="5933" width="9.625" customWidth="1"/>
    <col min="5934" max="5934" width="14.75" customWidth="1"/>
    <col min="5935" max="5935" width="11.375" customWidth="1"/>
    <col min="5936" max="5936" width="9.875" customWidth="1"/>
    <col min="5937" max="5937" width="10.75" customWidth="1"/>
    <col min="5938" max="5938" width="10.125" bestFit="1" customWidth="1"/>
    <col min="5939" max="5939" width="12.5" customWidth="1"/>
    <col min="5940" max="5940" width="10.625" customWidth="1"/>
    <col min="5943" max="5943" width="15.75" customWidth="1"/>
    <col min="5944" max="5944" width="10" customWidth="1"/>
    <col min="5947" max="5947" width="8.875" customWidth="1"/>
    <col min="5948" max="5948" width="9.625" bestFit="1" customWidth="1"/>
    <col min="5949" max="5949" width="9.375" customWidth="1"/>
    <col min="5951" max="5951" width="7.25" customWidth="1"/>
    <col min="5952" max="5952" width="0" hidden="1" customWidth="1"/>
    <col min="5954" max="5954" width="9.375" customWidth="1"/>
    <col min="5955" max="5955" width="10.375" customWidth="1"/>
    <col min="5956" max="5956" width="15.875" customWidth="1"/>
    <col min="5958" max="5958" width="6.75" customWidth="1"/>
    <col min="6145" max="6145" width="0.375" customWidth="1"/>
    <col min="6146" max="6146" width="17.25" customWidth="1"/>
    <col min="6147" max="6147" width="13.375" customWidth="1"/>
    <col min="6148" max="6148" width="9.625" customWidth="1"/>
    <col min="6149" max="6149" width="13.375" customWidth="1"/>
    <col min="6150" max="6150" width="8.625" customWidth="1"/>
    <col min="6151" max="6151" width="15.625" customWidth="1"/>
    <col min="6152" max="6152" width="16.125" customWidth="1"/>
    <col min="6153" max="6153" width="12.5" customWidth="1"/>
    <col min="6154" max="6154" width="12.125" customWidth="1"/>
    <col min="6155" max="6155" width="18.125" customWidth="1"/>
    <col min="6156" max="6156" width="16.25" customWidth="1"/>
    <col min="6157" max="6158" width="12.875" customWidth="1"/>
    <col min="6159" max="6159" width="11.375" customWidth="1"/>
    <col min="6160" max="6160" width="11.75" customWidth="1"/>
    <col min="6161" max="6161" width="10.875" customWidth="1"/>
    <col min="6162" max="6162" width="16" customWidth="1"/>
    <col min="6163" max="6163" width="14.125" customWidth="1"/>
    <col min="6164" max="6164" width="11.75" customWidth="1"/>
    <col min="6165" max="6165" width="13.375" customWidth="1"/>
    <col min="6166" max="6166" width="21.625" customWidth="1"/>
    <col min="6167" max="6167" width="16.125" customWidth="1"/>
    <col min="6168" max="6169" width="14" customWidth="1"/>
    <col min="6170" max="6170" width="9.625" customWidth="1"/>
    <col min="6171" max="6171" width="10.75" customWidth="1"/>
    <col min="6172" max="6172" width="9.625" customWidth="1"/>
    <col min="6173" max="6173" width="9.25" customWidth="1"/>
    <col min="6174" max="6174" width="9.375" customWidth="1"/>
    <col min="6175" max="6176" width="13.25" customWidth="1"/>
    <col min="6177" max="6177" width="8.25" bestFit="1" customWidth="1"/>
    <col min="6178" max="6178" width="10" customWidth="1"/>
    <col min="6180" max="6180" width="9.75" customWidth="1"/>
    <col min="6181" max="6181" width="9.375" customWidth="1"/>
    <col min="6182" max="6182" width="10.5" bestFit="1" customWidth="1"/>
    <col min="6189" max="6189" width="9.625" customWidth="1"/>
    <col min="6190" max="6190" width="14.75" customWidth="1"/>
    <col min="6191" max="6191" width="11.375" customWidth="1"/>
    <col min="6192" max="6192" width="9.875" customWidth="1"/>
    <col min="6193" max="6193" width="10.75" customWidth="1"/>
    <col min="6194" max="6194" width="10.125" bestFit="1" customWidth="1"/>
    <col min="6195" max="6195" width="12.5" customWidth="1"/>
    <col min="6196" max="6196" width="10.625" customWidth="1"/>
    <col min="6199" max="6199" width="15.75" customWidth="1"/>
    <col min="6200" max="6200" width="10" customWidth="1"/>
    <col min="6203" max="6203" width="8.875" customWidth="1"/>
    <col min="6204" max="6204" width="9.625" bestFit="1" customWidth="1"/>
    <col min="6205" max="6205" width="9.375" customWidth="1"/>
    <col min="6207" max="6207" width="7.25" customWidth="1"/>
    <col min="6208" max="6208" width="0" hidden="1" customWidth="1"/>
    <col min="6210" max="6210" width="9.375" customWidth="1"/>
    <col min="6211" max="6211" width="10.375" customWidth="1"/>
    <col min="6212" max="6212" width="15.875" customWidth="1"/>
    <col min="6214" max="6214" width="6.75" customWidth="1"/>
    <col min="6401" max="6401" width="0.375" customWidth="1"/>
    <col min="6402" max="6402" width="17.25" customWidth="1"/>
    <col min="6403" max="6403" width="13.375" customWidth="1"/>
    <col min="6404" max="6404" width="9.625" customWidth="1"/>
    <col min="6405" max="6405" width="13.375" customWidth="1"/>
    <col min="6406" max="6406" width="8.625" customWidth="1"/>
    <col min="6407" max="6407" width="15.625" customWidth="1"/>
    <col min="6408" max="6408" width="16.125" customWidth="1"/>
    <col min="6409" max="6409" width="12.5" customWidth="1"/>
    <col min="6410" max="6410" width="12.125" customWidth="1"/>
    <col min="6411" max="6411" width="18.125" customWidth="1"/>
    <col min="6412" max="6412" width="16.25" customWidth="1"/>
    <col min="6413" max="6414" width="12.875" customWidth="1"/>
    <col min="6415" max="6415" width="11.375" customWidth="1"/>
    <col min="6416" max="6416" width="11.75" customWidth="1"/>
    <col min="6417" max="6417" width="10.875" customWidth="1"/>
    <col min="6418" max="6418" width="16" customWidth="1"/>
    <col min="6419" max="6419" width="14.125" customWidth="1"/>
    <col min="6420" max="6420" width="11.75" customWidth="1"/>
    <col min="6421" max="6421" width="13.375" customWidth="1"/>
    <col min="6422" max="6422" width="21.625" customWidth="1"/>
    <col min="6423" max="6423" width="16.125" customWidth="1"/>
    <col min="6424" max="6425" width="14" customWidth="1"/>
    <col min="6426" max="6426" width="9.625" customWidth="1"/>
    <col min="6427" max="6427" width="10.75" customWidth="1"/>
    <col min="6428" max="6428" width="9.625" customWidth="1"/>
    <col min="6429" max="6429" width="9.25" customWidth="1"/>
    <col min="6430" max="6430" width="9.375" customWidth="1"/>
    <col min="6431" max="6432" width="13.25" customWidth="1"/>
    <col min="6433" max="6433" width="8.25" bestFit="1" customWidth="1"/>
    <col min="6434" max="6434" width="10" customWidth="1"/>
    <col min="6436" max="6436" width="9.75" customWidth="1"/>
    <col min="6437" max="6437" width="9.375" customWidth="1"/>
    <col min="6438" max="6438" width="10.5" bestFit="1" customWidth="1"/>
    <col min="6445" max="6445" width="9.625" customWidth="1"/>
    <col min="6446" max="6446" width="14.75" customWidth="1"/>
    <col min="6447" max="6447" width="11.375" customWidth="1"/>
    <col min="6448" max="6448" width="9.875" customWidth="1"/>
    <col min="6449" max="6449" width="10.75" customWidth="1"/>
    <col min="6450" max="6450" width="10.125" bestFit="1" customWidth="1"/>
    <col min="6451" max="6451" width="12.5" customWidth="1"/>
    <col min="6452" max="6452" width="10.625" customWidth="1"/>
    <col min="6455" max="6455" width="15.75" customWidth="1"/>
    <col min="6456" max="6456" width="10" customWidth="1"/>
    <col min="6459" max="6459" width="8.875" customWidth="1"/>
    <col min="6460" max="6460" width="9.625" bestFit="1" customWidth="1"/>
    <col min="6461" max="6461" width="9.375" customWidth="1"/>
    <col min="6463" max="6463" width="7.25" customWidth="1"/>
    <col min="6464" max="6464" width="0" hidden="1" customWidth="1"/>
    <col min="6466" max="6466" width="9.375" customWidth="1"/>
    <col min="6467" max="6467" width="10.375" customWidth="1"/>
    <col min="6468" max="6468" width="15.875" customWidth="1"/>
    <col min="6470" max="6470" width="6.75" customWidth="1"/>
    <col min="6657" max="6657" width="0.375" customWidth="1"/>
    <col min="6658" max="6658" width="17.25" customWidth="1"/>
    <col min="6659" max="6659" width="13.375" customWidth="1"/>
    <col min="6660" max="6660" width="9.625" customWidth="1"/>
    <col min="6661" max="6661" width="13.375" customWidth="1"/>
    <col min="6662" max="6662" width="8.625" customWidth="1"/>
    <col min="6663" max="6663" width="15.625" customWidth="1"/>
    <col min="6664" max="6664" width="16.125" customWidth="1"/>
    <col min="6665" max="6665" width="12.5" customWidth="1"/>
    <col min="6666" max="6666" width="12.125" customWidth="1"/>
    <col min="6667" max="6667" width="18.125" customWidth="1"/>
    <col min="6668" max="6668" width="16.25" customWidth="1"/>
    <col min="6669" max="6670" width="12.875" customWidth="1"/>
    <col min="6671" max="6671" width="11.375" customWidth="1"/>
    <col min="6672" max="6672" width="11.75" customWidth="1"/>
    <col min="6673" max="6673" width="10.875" customWidth="1"/>
    <col min="6674" max="6674" width="16" customWidth="1"/>
    <col min="6675" max="6675" width="14.125" customWidth="1"/>
    <col min="6676" max="6676" width="11.75" customWidth="1"/>
    <col min="6677" max="6677" width="13.375" customWidth="1"/>
    <col min="6678" max="6678" width="21.625" customWidth="1"/>
    <col min="6679" max="6679" width="16.125" customWidth="1"/>
    <col min="6680" max="6681" width="14" customWidth="1"/>
    <col min="6682" max="6682" width="9.625" customWidth="1"/>
    <col min="6683" max="6683" width="10.75" customWidth="1"/>
    <col min="6684" max="6684" width="9.625" customWidth="1"/>
    <col min="6685" max="6685" width="9.25" customWidth="1"/>
    <col min="6686" max="6686" width="9.375" customWidth="1"/>
    <col min="6687" max="6688" width="13.25" customWidth="1"/>
    <col min="6689" max="6689" width="8.25" bestFit="1" customWidth="1"/>
    <col min="6690" max="6690" width="10" customWidth="1"/>
    <col min="6692" max="6692" width="9.75" customWidth="1"/>
    <col min="6693" max="6693" width="9.375" customWidth="1"/>
    <col min="6694" max="6694" width="10.5" bestFit="1" customWidth="1"/>
    <col min="6701" max="6701" width="9.625" customWidth="1"/>
    <col min="6702" max="6702" width="14.75" customWidth="1"/>
    <col min="6703" max="6703" width="11.375" customWidth="1"/>
    <col min="6704" max="6704" width="9.875" customWidth="1"/>
    <col min="6705" max="6705" width="10.75" customWidth="1"/>
    <col min="6706" max="6706" width="10.125" bestFit="1" customWidth="1"/>
    <col min="6707" max="6707" width="12.5" customWidth="1"/>
    <col min="6708" max="6708" width="10.625" customWidth="1"/>
    <col min="6711" max="6711" width="15.75" customWidth="1"/>
    <col min="6712" max="6712" width="10" customWidth="1"/>
    <col min="6715" max="6715" width="8.875" customWidth="1"/>
    <col min="6716" max="6716" width="9.625" bestFit="1" customWidth="1"/>
    <col min="6717" max="6717" width="9.375" customWidth="1"/>
    <col min="6719" max="6719" width="7.25" customWidth="1"/>
    <col min="6720" max="6720" width="0" hidden="1" customWidth="1"/>
    <col min="6722" max="6722" width="9.375" customWidth="1"/>
    <col min="6723" max="6723" width="10.375" customWidth="1"/>
    <col min="6724" max="6724" width="15.875" customWidth="1"/>
    <col min="6726" max="6726" width="6.75" customWidth="1"/>
    <col min="6913" max="6913" width="0.375" customWidth="1"/>
    <col min="6914" max="6914" width="17.25" customWidth="1"/>
    <col min="6915" max="6915" width="13.375" customWidth="1"/>
    <col min="6916" max="6916" width="9.625" customWidth="1"/>
    <col min="6917" max="6917" width="13.375" customWidth="1"/>
    <col min="6918" max="6918" width="8.625" customWidth="1"/>
    <col min="6919" max="6919" width="15.625" customWidth="1"/>
    <col min="6920" max="6920" width="16.125" customWidth="1"/>
    <col min="6921" max="6921" width="12.5" customWidth="1"/>
    <col min="6922" max="6922" width="12.125" customWidth="1"/>
    <col min="6923" max="6923" width="18.125" customWidth="1"/>
    <col min="6924" max="6924" width="16.25" customWidth="1"/>
    <col min="6925" max="6926" width="12.875" customWidth="1"/>
    <col min="6927" max="6927" width="11.375" customWidth="1"/>
    <col min="6928" max="6928" width="11.75" customWidth="1"/>
    <col min="6929" max="6929" width="10.875" customWidth="1"/>
    <col min="6930" max="6930" width="16" customWidth="1"/>
    <col min="6931" max="6931" width="14.125" customWidth="1"/>
    <col min="6932" max="6932" width="11.75" customWidth="1"/>
    <col min="6933" max="6933" width="13.375" customWidth="1"/>
    <col min="6934" max="6934" width="21.625" customWidth="1"/>
    <col min="6935" max="6935" width="16.125" customWidth="1"/>
    <col min="6936" max="6937" width="14" customWidth="1"/>
    <col min="6938" max="6938" width="9.625" customWidth="1"/>
    <col min="6939" max="6939" width="10.75" customWidth="1"/>
    <col min="6940" max="6940" width="9.625" customWidth="1"/>
    <col min="6941" max="6941" width="9.25" customWidth="1"/>
    <col min="6942" max="6942" width="9.375" customWidth="1"/>
    <col min="6943" max="6944" width="13.25" customWidth="1"/>
    <col min="6945" max="6945" width="8.25" bestFit="1" customWidth="1"/>
    <col min="6946" max="6946" width="10" customWidth="1"/>
    <col min="6948" max="6948" width="9.75" customWidth="1"/>
    <col min="6949" max="6949" width="9.375" customWidth="1"/>
    <col min="6950" max="6950" width="10.5" bestFit="1" customWidth="1"/>
    <col min="6957" max="6957" width="9.625" customWidth="1"/>
    <col min="6958" max="6958" width="14.75" customWidth="1"/>
    <col min="6959" max="6959" width="11.375" customWidth="1"/>
    <col min="6960" max="6960" width="9.875" customWidth="1"/>
    <col min="6961" max="6961" width="10.75" customWidth="1"/>
    <col min="6962" max="6962" width="10.125" bestFit="1" customWidth="1"/>
    <col min="6963" max="6963" width="12.5" customWidth="1"/>
    <col min="6964" max="6964" width="10.625" customWidth="1"/>
    <col min="6967" max="6967" width="15.75" customWidth="1"/>
    <col min="6968" max="6968" width="10" customWidth="1"/>
    <col min="6971" max="6971" width="8.875" customWidth="1"/>
    <col min="6972" max="6972" width="9.625" bestFit="1" customWidth="1"/>
    <col min="6973" max="6973" width="9.375" customWidth="1"/>
    <col min="6975" max="6975" width="7.25" customWidth="1"/>
    <col min="6976" max="6976" width="0" hidden="1" customWidth="1"/>
    <col min="6978" max="6978" width="9.375" customWidth="1"/>
    <col min="6979" max="6979" width="10.375" customWidth="1"/>
    <col min="6980" max="6980" width="15.875" customWidth="1"/>
    <col min="6982" max="6982" width="6.75" customWidth="1"/>
    <col min="7169" max="7169" width="0.375" customWidth="1"/>
    <col min="7170" max="7170" width="17.25" customWidth="1"/>
    <col min="7171" max="7171" width="13.375" customWidth="1"/>
    <col min="7172" max="7172" width="9.625" customWidth="1"/>
    <col min="7173" max="7173" width="13.375" customWidth="1"/>
    <col min="7174" max="7174" width="8.625" customWidth="1"/>
    <col min="7175" max="7175" width="15.625" customWidth="1"/>
    <col min="7176" max="7176" width="16.125" customWidth="1"/>
    <col min="7177" max="7177" width="12.5" customWidth="1"/>
    <col min="7178" max="7178" width="12.125" customWidth="1"/>
    <col min="7179" max="7179" width="18.125" customWidth="1"/>
    <col min="7180" max="7180" width="16.25" customWidth="1"/>
    <col min="7181" max="7182" width="12.875" customWidth="1"/>
    <col min="7183" max="7183" width="11.375" customWidth="1"/>
    <col min="7184" max="7184" width="11.75" customWidth="1"/>
    <col min="7185" max="7185" width="10.875" customWidth="1"/>
    <col min="7186" max="7186" width="16" customWidth="1"/>
    <col min="7187" max="7187" width="14.125" customWidth="1"/>
    <col min="7188" max="7188" width="11.75" customWidth="1"/>
    <col min="7189" max="7189" width="13.375" customWidth="1"/>
    <col min="7190" max="7190" width="21.625" customWidth="1"/>
    <col min="7191" max="7191" width="16.125" customWidth="1"/>
    <col min="7192" max="7193" width="14" customWidth="1"/>
    <col min="7194" max="7194" width="9.625" customWidth="1"/>
    <col min="7195" max="7195" width="10.75" customWidth="1"/>
    <col min="7196" max="7196" width="9.625" customWidth="1"/>
    <col min="7197" max="7197" width="9.25" customWidth="1"/>
    <col min="7198" max="7198" width="9.375" customWidth="1"/>
    <col min="7199" max="7200" width="13.25" customWidth="1"/>
    <col min="7201" max="7201" width="8.25" bestFit="1" customWidth="1"/>
    <col min="7202" max="7202" width="10" customWidth="1"/>
    <col min="7204" max="7204" width="9.75" customWidth="1"/>
    <col min="7205" max="7205" width="9.375" customWidth="1"/>
    <col min="7206" max="7206" width="10.5" bestFit="1" customWidth="1"/>
    <col min="7213" max="7213" width="9.625" customWidth="1"/>
    <col min="7214" max="7214" width="14.75" customWidth="1"/>
    <col min="7215" max="7215" width="11.375" customWidth="1"/>
    <col min="7216" max="7216" width="9.875" customWidth="1"/>
    <col min="7217" max="7217" width="10.75" customWidth="1"/>
    <col min="7218" max="7218" width="10.125" bestFit="1" customWidth="1"/>
    <col min="7219" max="7219" width="12.5" customWidth="1"/>
    <col min="7220" max="7220" width="10.625" customWidth="1"/>
    <col min="7223" max="7223" width="15.75" customWidth="1"/>
    <col min="7224" max="7224" width="10" customWidth="1"/>
    <col min="7227" max="7227" width="8.875" customWidth="1"/>
    <col min="7228" max="7228" width="9.625" bestFit="1" customWidth="1"/>
    <col min="7229" max="7229" width="9.375" customWidth="1"/>
    <col min="7231" max="7231" width="7.25" customWidth="1"/>
    <col min="7232" max="7232" width="0" hidden="1" customWidth="1"/>
    <col min="7234" max="7234" width="9.375" customWidth="1"/>
    <col min="7235" max="7235" width="10.375" customWidth="1"/>
    <col min="7236" max="7236" width="15.875" customWidth="1"/>
    <col min="7238" max="7238" width="6.75" customWidth="1"/>
    <col min="7425" max="7425" width="0.375" customWidth="1"/>
    <col min="7426" max="7426" width="17.25" customWidth="1"/>
    <col min="7427" max="7427" width="13.375" customWidth="1"/>
    <col min="7428" max="7428" width="9.625" customWidth="1"/>
    <col min="7429" max="7429" width="13.375" customWidth="1"/>
    <col min="7430" max="7430" width="8.625" customWidth="1"/>
    <col min="7431" max="7431" width="15.625" customWidth="1"/>
    <col min="7432" max="7432" width="16.125" customWidth="1"/>
    <col min="7433" max="7433" width="12.5" customWidth="1"/>
    <col min="7434" max="7434" width="12.125" customWidth="1"/>
    <col min="7435" max="7435" width="18.125" customWidth="1"/>
    <col min="7436" max="7436" width="16.25" customWidth="1"/>
    <col min="7437" max="7438" width="12.875" customWidth="1"/>
    <col min="7439" max="7439" width="11.375" customWidth="1"/>
    <col min="7440" max="7440" width="11.75" customWidth="1"/>
    <col min="7441" max="7441" width="10.875" customWidth="1"/>
    <col min="7442" max="7442" width="16" customWidth="1"/>
    <col min="7443" max="7443" width="14.125" customWidth="1"/>
    <col min="7444" max="7444" width="11.75" customWidth="1"/>
    <col min="7445" max="7445" width="13.375" customWidth="1"/>
    <col min="7446" max="7446" width="21.625" customWidth="1"/>
    <col min="7447" max="7447" width="16.125" customWidth="1"/>
    <col min="7448" max="7449" width="14" customWidth="1"/>
    <col min="7450" max="7450" width="9.625" customWidth="1"/>
    <col min="7451" max="7451" width="10.75" customWidth="1"/>
    <col min="7452" max="7452" width="9.625" customWidth="1"/>
    <col min="7453" max="7453" width="9.25" customWidth="1"/>
    <col min="7454" max="7454" width="9.375" customWidth="1"/>
    <col min="7455" max="7456" width="13.25" customWidth="1"/>
    <col min="7457" max="7457" width="8.25" bestFit="1" customWidth="1"/>
    <col min="7458" max="7458" width="10" customWidth="1"/>
    <col min="7460" max="7460" width="9.75" customWidth="1"/>
    <col min="7461" max="7461" width="9.375" customWidth="1"/>
    <col min="7462" max="7462" width="10.5" bestFit="1" customWidth="1"/>
    <col min="7469" max="7469" width="9.625" customWidth="1"/>
    <col min="7470" max="7470" width="14.75" customWidth="1"/>
    <col min="7471" max="7471" width="11.375" customWidth="1"/>
    <col min="7472" max="7472" width="9.875" customWidth="1"/>
    <col min="7473" max="7473" width="10.75" customWidth="1"/>
    <col min="7474" max="7474" width="10.125" bestFit="1" customWidth="1"/>
    <col min="7475" max="7475" width="12.5" customWidth="1"/>
    <col min="7476" max="7476" width="10.625" customWidth="1"/>
    <col min="7479" max="7479" width="15.75" customWidth="1"/>
    <col min="7480" max="7480" width="10" customWidth="1"/>
    <col min="7483" max="7483" width="8.875" customWidth="1"/>
    <col min="7484" max="7484" width="9.625" bestFit="1" customWidth="1"/>
    <col min="7485" max="7485" width="9.375" customWidth="1"/>
    <col min="7487" max="7487" width="7.25" customWidth="1"/>
    <col min="7488" max="7488" width="0" hidden="1" customWidth="1"/>
    <col min="7490" max="7490" width="9.375" customWidth="1"/>
    <col min="7491" max="7491" width="10.375" customWidth="1"/>
    <col min="7492" max="7492" width="15.875" customWidth="1"/>
    <col min="7494" max="7494" width="6.75" customWidth="1"/>
    <col min="7681" max="7681" width="0.375" customWidth="1"/>
    <col min="7682" max="7682" width="17.25" customWidth="1"/>
    <col min="7683" max="7683" width="13.375" customWidth="1"/>
    <col min="7684" max="7684" width="9.625" customWidth="1"/>
    <col min="7685" max="7685" width="13.375" customWidth="1"/>
    <col min="7686" max="7686" width="8.625" customWidth="1"/>
    <col min="7687" max="7687" width="15.625" customWidth="1"/>
    <col min="7688" max="7688" width="16.125" customWidth="1"/>
    <col min="7689" max="7689" width="12.5" customWidth="1"/>
    <col min="7690" max="7690" width="12.125" customWidth="1"/>
    <col min="7691" max="7691" width="18.125" customWidth="1"/>
    <col min="7692" max="7692" width="16.25" customWidth="1"/>
    <col min="7693" max="7694" width="12.875" customWidth="1"/>
    <col min="7695" max="7695" width="11.375" customWidth="1"/>
    <col min="7696" max="7696" width="11.75" customWidth="1"/>
    <col min="7697" max="7697" width="10.875" customWidth="1"/>
    <col min="7698" max="7698" width="16" customWidth="1"/>
    <col min="7699" max="7699" width="14.125" customWidth="1"/>
    <col min="7700" max="7700" width="11.75" customWidth="1"/>
    <col min="7701" max="7701" width="13.375" customWidth="1"/>
    <col min="7702" max="7702" width="21.625" customWidth="1"/>
    <col min="7703" max="7703" width="16.125" customWidth="1"/>
    <col min="7704" max="7705" width="14" customWidth="1"/>
    <col min="7706" max="7706" width="9.625" customWidth="1"/>
    <col min="7707" max="7707" width="10.75" customWidth="1"/>
    <col min="7708" max="7708" width="9.625" customWidth="1"/>
    <col min="7709" max="7709" width="9.25" customWidth="1"/>
    <col min="7710" max="7710" width="9.375" customWidth="1"/>
    <col min="7711" max="7712" width="13.25" customWidth="1"/>
    <col min="7713" max="7713" width="8.25" bestFit="1" customWidth="1"/>
    <col min="7714" max="7714" width="10" customWidth="1"/>
    <col min="7716" max="7716" width="9.75" customWidth="1"/>
    <col min="7717" max="7717" width="9.375" customWidth="1"/>
    <col min="7718" max="7718" width="10.5" bestFit="1" customWidth="1"/>
    <col min="7725" max="7725" width="9.625" customWidth="1"/>
    <col min="7726" max="7726" width="14.75" customWidth="1"/>
    <col min="7727" max="7727" width="11.375" customWidth="1"/>
    <col min="7728" max="7728" width="9.875" customWidth="1"/>
    <col min="7729" max="7729" width="10.75" customWidth="1"/>
    <col min="7730" max="7730" width="10.125" bestFit="1" customWidth="1"/>
    <col min="7731" max="7731" width="12.5" customWidth="1"/>
    <col min="7732" max="7732" width="10.625" customWidth="1"/>
    <col min="7735" max="7735" width="15.75" customWidth="1"/>
    <col min="7736" max="7736" width="10" customWidth="1"/>
    <col min="7739" max="7739" width="8.875" customWidth="1"/>
    <col min="7740" max="7740" width="9.625" bestFit="1" customWidth="1"/>
    <col min="7741" max="7741" width="9.375" customWidth="1"/>
    <col min="7743" max="7743" width="7.25" customWidth="1"/>
    <col min="7744" max="7744" width="0" hidden="1" customWidth="1"/>
    <col min="7746" max="7746" width="9.375" customWidth="1"/>
    <col min="7747" max="7747" width="10.375" customWidth="1"/>
    <col min="7748" max="7748" width="15.875" customWidth="1"/>
    <col min="7750" max="7750" width="6.75" customWidth="1"/>
    <col min="7937" max="7937" width="0.375" customWidth="1"/>
    <col min="7938" max="7938" width="17.25" customWidth="1"/>
    <col min="7939" max="7939" width="13.375" customWidth="1"/>
    <col min="7940" max="7940" width="9.625" customWidth="1"/>
    <col min="7941" max="7941" width="13.375" customWidth="1"/>
    <col min="7942" max="7942" width="8.625" customWidth="1"/>
    <col min="7943" max="7943" width="15.625" customWidth="1"/>
    <col min="7944" max="7944" width="16.125" customWidth="1"/>
    <col min="7945" max="7945" width="12.5" customWidth="1"/>
    <col min="7946" max="7946" width="12.125" customWidth="1"/>
    <col min="7947" max="7947" width="18.125" customWidth="1"/>
    <col min="7948" max="7948" width="16.25" customWidth="1"/>
    <col min="7949" max="7950" width="12.875" customWidth="1"/>
    <col min="7951" max="7951" width="11.375" customWidth="1"/>
    <col min="7952" max="7952" width="11.75" customWidth="1"/>
    <col min="7953" max="7953" width="10.875" customWidth="1"/>
    <col min="7954" max="7954" width="16" customWidth="1"/>
    <col min="7955" max="7955" width="14.125" customWidth="1"/>
    <col min="7956" max="7956" width="11.75" customWidth="1"/>
    <col min="7957" max="7957" width="13.375" customWidth="1"/>
    <col min="7958" max="7958" width="21.625" customWidth="1"/>
    <col min="7959" max="7959" width="16.125" customWidth="1"/>
    <col min="7960" max="7961" width="14" customWidth="1"/>
    <col min="7962" max="7962" width="9.625" customWidth="1"/>
    <col min="7963" max="7963" width="10.75" customWidth="1"/>
    <col min="7964" max="7964" width="9.625" customWidth="1"/>
    <col min="7965" max="7965" width="9.25" customWidth="1"/>
    <col min="7966" max="7966" width="9.375" customWidth="1"/>
    <col min="7967" max="7968" width="13.25" customWidth="1"/>
    <col min="7969" max="7969" width="8.25" bestFit="1" customWidth="1"/>
    <col min="7970" max="7970" width="10" customWidth="1"/>
    <col min="7972" max="7972" width="9.75" customWidth="1"/>
    <col min="7973" max="7973" width="9.375" customWidth="1"/>
    <col min="7974" max="7974" width="10.5" bestFit="1" customWidth="1"/>
    <col min="7981" max="7981" width="9.625" customWidth="1"/>
    <col min="7982" max="7982" width="14.75" customWidth="1"/>
    <col min="7983" max="7983" width="11.375" customWidth="1"/>
    <col min="7984" max="7984" width="9.875" customWidth="1"/>
    <col min="7985" max="7985" width="10.75" customWidth="1"/>
    <col min="7986" max="7986" width="10.125" bestFit="1" customWidth="1"/>
    <col min="7987" max="7987" width="12.5" customWidth="1"/>
    <col min="7988" max="7988" width="10.625" customWidth="1"/>
    <col min="7991" max="7991" width="15.75" customWidth="1"/>
    <col min="7992" max="7992" width="10" customWidth="1"/>
    <col min="7995" max="7995" width="8.875" customWidth="1"/>
    <col min="7996" max="7996" width="9.625" bestFit="1" customWidth="1"/>
    <col min="7997" max="7997" width="9.375" customWidth="1"/>
    <col min="7999" max="7999" width="7.25" customWidth="1"/>
    <col min="8000" max="8000" width="0" hidden="1" customWidth="1"/>
    <col min="8002" max="8002" width="9.375" customWidth="1"/>
    <col min="8003" max="8003" width="10.375" customWidth="1"/>
    <col min="8004" max="8004" width="15.875" customWidth="1"/>
    <col min="8006" max="8006" width="6.75" customWidth="1"/>
    <col min="8193" max="8193" width="0.375" customWidth="1"/>
    <col min="8194" max="8194" width="17.25" customWidth="1"/>
    <col min="8195" max="8195" width="13.375" customWidth="1"/>
    <col min="8196" max="8196" width="9.625" customWidth="1"/>
    <col min="8197" max="8197" width="13.375" customWidth="1"/>
    <col min="8198" max="8198" width="8.625" customWidth="1"/>
    <col min="8199" max="8199" width="15.625" customWidth="1"/>
    <col min="8200" max="8200" width="16.125" customWidth="1"/>
    <col min="8201" max="8201" width="12.5" customWidth="1"/>
    <col min="8202" max="8202" width="12.125" customWidth="1"/>
    <col min="8203" max="8203" width="18.125" customWidth="1"/>
    <col min="8204" max="8204" width="16.25" customWidth="1"/>
    <col min="8205" max="8206" width="12.875" customWidth="1"/>
    <col min="8207" max="8207" width="11.375" customWidth="1"/>
    <col min="8208" max="8208" width="11.75" customWidth="1"/>
    <col min="8209" max="8209" width="10.875" customWidth="1"/>
    <col min="8210" max="8210" width="16" customWidth="1"/>
    <col min="8211" max="8211" width="14.125" customWidth="1"/>
    <col min="8212" max="8212" width="11.75" customWidth="1"/>
    <col min="8213" max="8213" width="13.375" customWidth="1"/>
    <col min="8214" max="8214" width="21.625" customWidth="1"/>
    <col min="8215" max="8215" width="16.125" customWidth="1"/>
    <col min="8216" max="8217" width="14" customWidth="1"/>
    <col min="8218" max="8218" width="9.625" customWidth="1"/>
    <col min="8219" max="8219" width="10.75" customWidth="1"/>
    <col min="8220" max="8220" width="9.625" customWidth="1"/>
    <col min="8221" max="8221" width="9.25" customWidth="1"/>
    <col min="8222" max="8222" width="9.375" customWidth="1"/>
    <col min="8223" max="8224" width="13.25" customWidth="1"/>
    <col min="8225" max="8225" width="8.25" bestFit="1" customWidth="1"/>
    <col min="8226" max="8226" width="10" customWidth="1"/>
    <col min="8228" max="8228" width="9.75" customWidth="1"/>
    <col min="8229" max="8229" width="9.375" customWidth="1"/>
    <col min="8230" max="8230" width="10.5" bestFit="1" customWidth="1"/>
    <col min="8237" max="8237" width="9.625" customWidth="1"/>
    <col min="8238" max="8238" width="14.75" customWidth="1"/>
    <col min="8239" max="8239" width="11.375" customWidth="1"/>
    <col min="8240" max="8240" width="9.875" customWidth="1"/>
    <col min="8241" max="8241" width="10.75" customWidth="1"/>
    <col min="8242" max="8242" width="10.125" bestFit="1" customWidth="1"/>
    <col min="8243" max="8243" width="12.5" customWidth="1"/>
    <col min="8244" max="8244" width="10.625" customWidth="1"/>
    <col min="8247" max="8247" width="15.75" customWidth="1"/>
    <col min="8248" max="8248" width="10" customWidth="1"/>
    <col min="8251" max="8251" width="8.875" customWidth="1"/>
    <col min="8252" max="8252" width="9.625" bestFit="1" customWidth="1"/>
    <col min="8253" max="8253" width="9.375" customWidth="1"/>
    <col min="8255" max="8255" width="7.25" customWidth="1"/>
    <col min="8256" max="8256" width="0" hidden="1" customWidth="1"/>
    <col min="8258" max="8258" width="9.375" customWidth="1"/>
    <col min="8259" max="8259" width="10.375" customWidth="1"/>
    <col min="8260" max="8260" width="15.875" customWidth="1"/>
    <col min="8262" max="8262" width="6.75" customWidth="1"/>
    <col min="8449" max="8449" width="0.375" customWidth="1"/>
    <col min="8450" max="8450" width="17.25" customWidth="1"/>
    <col min="8451" max="8451" width="13.375" customWidth="1"/>
    <col min="8452" max="8452" width="9.625" customWidth="1"/>
    <col min="8453" max="8453" width="13.375" customWidth="1"/>
    <col min="8454" max="8454" width="8.625" customWidth="1"/>
    <col min="8455" max="8455" width="15.625" customWidth="1"/>
    <col min="8456" max="8456" width="16.125" customWidth="1"/>
    <col min="8457" max="8457" width="12.5" customWidth="1"/>
    <col min="8458" max="8458" width="12.125" customWidth="1"/>
    <col min="8459" max="8459" width="18.125" customWidth="1"/>
    <col min="8460" max="8460" width="16.25" customWidth="1"/>
    <col min="8461" max="8462" width="12.875" customWidth="1"/>
    <col min="8463" max="8463" width="11.375" customWidth="1"/>
    <col min="8464" max="8464" width="11.75" customWidth="1"/>
    <col min="8465" max="8465" width="10.875" customWidth="1"/>
    <col min="8466" max="8466" width="16" customWidth="1"/>
    <col min="8467" max="8467" width="14.125" customWidth="1"/>
    <col min="8468" max="8468" width="11.75" customWidth="1"/>
    <col min="8469" max="8469" width="13.375" customWidth="1"/>
    <col min="8470" max="8470" width="21.625" customWidth="1"/>
    <col min="8471" max="8471" width="16.125" customWidth="1"/>
    <col min="8472" max="8473" width="14" customWidth="1"/>
    <col min="8474" max="8474" width="9.625" customWidth="1"/>
    <col min="8475" max="8475" width="10.75" customWidth="1"/>
    <col min="8476" max="8476" width="9.625" customWidth="1"/>
    <col min="8477" max="8477" width="9.25" customWidth="1"/>
    <col min="8478" max="8478" width="9.375" customWidth="1"/>
    <col min="8479" max="8480" width="13.25" customWidth="1"/>
    <col min="8481" max="8481" width="8.25" bestFit="1" customWidth="1"/>
    <col min="8482" max="8482" width="10" customWidth="1"/>
    <col min="8484" max="8484" width="9.75" customWidth="1"/>
    <col min="8485" max="8485" width="9.375" customWidth="1"/>
    <col min="8486" max="8486" width="10.5" bestFit="1" customWidth="1"/>
    <col min="8493" max="8493" width="9.625" customWidth="1"/>
    <col min="8494" max="8494" width="14.75" customWidth="1"/>
    <col min="8495" max="8495" width="11.375" customWidth="1"/>
    <col min="8496" max="8496" width="9.875" customWidth="1"/>
    <col min="8497" max="8497" width="10.75" customWidth="1"/>
    <col min="8498" max="8498" width="10.125" bestFit="1" customWidth="1"/>
    <col min="8499" max="8499" width="12.5" customWidth="1"/>
    <col min="8500" max="8500" width="10.625" customWidth="1"/>
    <col min="8503" max="8503" width="15.75" customWidth="1"/>
    <col min="8504" max="8504" width="10" customWidth="1"/>
    <col min="8507" max="8507" width="8.875" customWidth="1"/>
    <col min="8508" max="8508" width="9.625" bestFit="1" customWidth="1"/>
    <col min="8509" max="8509" width="9.375" customWidth="1"/>
    <col min="8511" max="8511" width="7.25" customWidth="1"/>
    <col min="8512" max="8512" width="0" hidden="1" customWidth="1"/>
    <col min="8514" max="8514" width="9.375" customWidth="1"/>
    <col min="8515" max="8515" width="10.375" customWidth="1"/>
    <col min="8516" max="8516" width="15.875" customWidth="1"/>
    <col min="8518" max="8518" width="6.75" customWidth="1"/>
    <col min="8705" max="8705" width="0.375" customWidth="1"/>
    <col min="8706" max="8706" width="17.25" customWidth="1"/>
    <col min="8707" max="8707" width="13.375" customWidth="1"/>
    <col min="8708" max="8708" width="9.625" customWidth="1"/>
    <col min="8709" max="8709" width="13.375" customWidth="1"/>
    <col min="8710" max="8710" width="8.625" customWidth="1"/>
    <col min="8711" max="8711" width="15.625" customWidth="1"/>
    <col min="8712" max="8712" width="16.125" customWidth="1"/>
    <col min="8713" max="8713" width="12.5" customWidth="1"/>
    <col min="8714" max="8714" width="12.125" customWidth="1"/>
    <col min="8715" max="8715" width="18.125" customWidth="1"/>
    <col min="8716" max="8716" width="16.25" customWidth="1"/>
    <col min="8717" max="8718" width="12.875" customWidth="1"/>
    <col min="8719" max="8719" width="11.375" customWidth="1"/>
    <col min="8720" max="8720" width="11.75" customWidth="1"/>
    <col min="8721" max="8721" width="10.875" customWidth="1"/>
    <col min="8722" max="8722" width="16" customWidth="1"/>
    <col min="8723" max="8723" width="14.125" customWidth="1"/>
    <col min="8724" max="8724" width="11.75" customWidth="1"/>
    <col min="8725" max="8725" width="13.375" customWidth="1"/>
    <col min="8726" max="8726" width="21.625" customWidth="1"/>
    <col min="8727" max="8727" width="16.125" customWidth="1"/>
    <col min="8728" max="8729" width="14" customWidth="1"/>
    <col min="8730" max="8730" width="9.625" customWidth="1"/>
    <col min="8731" max="8731" width="10.75" customWidth="1"/>
    <col min="8732" max="8732" width="9.625" customWidth="1"/>
    <col min="8733" max="8733" width="9.25" customWidth="1"/>
    <col min="8734" max="8734" width="9.375" customWidth="1"/>
    <col min="8735" max="8736" width="13.25" customWidth="1"/>
    <col min="8737" max="8737" width="8.25" bestFit="1" customWidth="1"/>
    <col min="8738" max="8738" width="10" customWidth="1"/>
    <col min="8740" max="8740" width="9.75" customWidth="1"/>
    <col min="8741" max="8741" width="9.375" customWidth="1"/>
    <col min="8742" max="8742" width="10.5" bestFit="1" customWidth="1"/>
    <col min="8749" max="8749" width="9.625" customWidth="1"/>
    <col min="8750" max="8750" width="14.75" customWidth="1"/>
    <col min="8751" max="8751" width="11.375" customWidth="1"/>
    <col min="8752" max="8752" width="9.875" customWidth="1"/>
    <col min="8753" max="8753" width="10.75" customWidth="1"/>
    <col min="8754" max="8754" width="10.125" bestFit="1" customWidth="1"/>
    <col min="8755" max="8755" width="12.5" customWidth="1"/>
    <col min="8756" max="8756" width="10.625" customWidth="1"/>
    <col min="8759" max="8759" width="15.75" customWidth="1"/>
    <col min="8760" max="8760" width="10" customWidth="1"/>
    <col min="8763" max="8763" width="8.875" customWidth="1"/>
    <col min="8764" max="8764" width="9.625" bestFit="1" customWidth="1"/>
    <col min="8765" max="8765" width="9.375" customWidth="1"/>
    <col min="8767" max="8767" width="7.25" customWidth="1"/>
    <col min="8768" max="8768" width="0" hidden="1" customWidth="1"/>
    <col min="8770" max="8770" width="9.375" customWidth="1"/>
    <col min="8771" max="8771" width="10.375" customWidth="1"/>
    <col min="8772" max="8772" width="15.875" customWidth="1"/>
    <col min="8774" max="8774" width="6.75" customWidth="1"/>
    <col min="8961" max="8961" width="0.375" customWidth="1"/>
    <col min="8962" max="8962" width="17.25" customWidth="1"/>
    <col min="8963" max="8963" width="13.375" customWidth="1"/>
    <col min="8964" max="8964" width="9.625" customWidth="1"/>
    <col min="8965" max="8965" width="13.375" customWidth="1"/>
    <col min="8966" max="8966" width="8.625" customWidth="1"/>
    <col min="8967" max="8967" width="15.625" customWidth="1"/>
    <col min="8968" max="8968" width="16.125" customWidth="1"/>
    <col min="8969" max="8969" width="12.5" customWidth="1"/>
    <col min="8970" max="8970" width="12.125" customWidth="1"/>
    <col min="8971" max="8971" width="18.125" customWidth="1"/>
    <col min="8972" max="8972" width="16.25" customWidth="1"/>
    <col min="8973" max="8974" width="12.875" customWidth="1"/>
    <col min="8975" max="8975" width="11.375" customWidth="1"/>
    <col min="8976" max="8976" width="11.75" customWidth="1"/>
    <col min="8977" max="8977" width="10.875" customWidth="1"/>
    <col min="8978" max="8978" width="16" customWidth="1"/>
    <col min="8979" max="8979" width="14.125" customWidth="1"/>
    <col min="8980" max="8980" width="11.75" customWidth="1"/>
    <col min="8981" max="8981" width="13.375" customWidth="1"/>
    <col min="8982" max="8982" width="21.625" customWidth="1"/>
    <col min="8983" max="8983" width="16.125" customWidth="1"/>
    <col min="8984" max="8985" width="14" customWidth="1"/>
    <col min="8986" max="8986" width="9.625" customWidth="1"/>
    <col min="8987" max="8987" width="10.75" customWidth="1"/>
    <col min="8988" max="8988" width="9.625" customWidth="1"/>
    <col min="8989" max="8989" width="9.25" customWidth="1"/>
    <col min="8990" max="8990" width="9.375" customWidth="1"/>
    <col min="8991" max="8992" width="13.25" customWidth="1"/>
    <col min="8993" max="8993" width="8.25" bestFit="1" customWidth="1"/>
    <col min="8994" max="8994" width="10" customWidth="1"/>
    <col min="8996" max="8996" width="9.75" customWidth="1"/>
    <col min="8997" max="8997" width="9.375" customWidth="1"/>
    <col min="8998" max="8998" width="10.5" bestFit="1" customWidth="1"/>
    <col min="9005" max="9005" width="9.625" customWidth="1"/>
    <col min="9006" max="9006" width="14.75" customWidth="1"/>
    <col min="9007" max="9007" width="11.375" customWidth="1"/>
    <col min="9008" max="9008" width="9.875" customWidth="1"/>
    <col min="9009" max="9009" width="10.75" customWidth="1"/>
    <col min="9010" max="9010" width="10.125" bestFit="1" customWidth="1"/>
    <col min="9011" max="9011" width="12.5" customWidth="1"/>
    <col min="9012" max="9012" width="10.625" customWidth="1"/>
    <col min="9015" max="9015" width="15.75" customWidth="1"/>
    <col min="9016" max="9016" width="10" customWidth="1"/>
    <col min="9019" max="9019" width="8.875" customWidth="1"/>
    <col min="9020" max="9020" width="9.625" bestFit="1" customWidth="1"/>
    <col min="9021" max="9021" width="9.375" customWidth="1"/>
    <col min="9023" max="9023" width="7.25" customWidth="1"/>
    <col min="9024" max="9024" width="0" hidden="1" customWidth="1"/>
    <col min="9026" max="9026" width="9.375" customWidth="1"/>
    <col min="9027" max="9027" width="10.375" customWidth="1"/>
    <col min="9028" max="9028" width="15.875" customWidth="1"/>
    <col min="9030" max="9030" width="6.75" customWidth="1"/>
    <col min="9217" max="9217" width="0.375" customWidth="1"/>
    <col min="9218" max="9218" width="17.25" customWidth="1"/>
    <col min="9219" max="9219" width="13.375" customWidth="1"/>
    <col min="9220" max="9220" width="9.625" customWidth="1"/>
    <col min="9221" max="9221" width="13.375" customWidth="1"/>
    <col min="9222" max="9222" width="8.625" customWidth="1"/>
    <col min="9223" max="9223" width="15.625" customWidth="1"/>
    <col min="9224" max="9224" width="16.125" customWidth="1"/>
    <col min="9225" max="9225" width="12.5" customWidth="1"/>
    <col min="9226" max="9226" width="12.125" customWidth="1"/>
    <col min="9227" max="9227" width="18.125" customWidth="1"/>
    <col min="9228" max="9228" width="16.25" customWidth="1"/>
    <col min="9229" max="9230" width="12.875" customWidth="1"/>
    <col min="9231" max="9231" width="11.375" customWidth="1"/>
    <col min="9232" max="9232" width="11.75" customWidth="1"/>
    <col min="9233" max="9233" width="10.875" customWidth="1"/>
    <col min="9234" max="9234" width="16" customWidth="1"/>
    <col min="9235" max="9235" width="14.125" customWidth="1"/>
    <col min="9236" max="9236" width="11.75" customWidth="1"/>
    <col min="9237" max="9237" width="13.375" customWidth="1"/>
    <col min="9238" max="9238" width="21.625" customWidth="1"/>
    <col min="9239" max="9239" width="16.125" customWidth="1"/>
    <col min="9240" max="9241" width="14" customWidth="1"/>
    <col min="9242" max="9242" width="9.625" customWidth="1"/>
    <col min="9243" max="9243" width="10.75" customWidth="1"/>
    <col min="9244" max="9244" width="9.625" customWidth="1"/>
    <col min="9245" max="9245" width="9.25" customWidth="1"/>
    <col min="9246" max="9246" width="9.375" customWidth="1"/>
    <col min="9247" max="9248" width="13.25" customWidth="1"/>
    <col min="9249" max="9249" width="8.25" bestFit="1" customWidth="1"/>
    <col min="9250" max="9250" width="10" customWidth="1"/>
    <col min="9252" max="9252" width="9.75" customWidth="1"/>
    <col min="9253" max="9253" width="9.375" customWidth="1"/>
    <col min="9254" max="9254" width="10.5" bestFit="1" customWidth="1"/>
    <col min="9261" max="9261" width="9.625" customWidth="1"/>
    <col min="9262" max="9262" width="14.75" customWidth="1"/>
    <col min="9263" max="9263" width="11.375" customWidth="1"/>
    <col min="9264" max="9264" width="9.875" customWidth="1"/>
    <col min="9265" max="9265" width="10.75" customWidth="1"/>
    <col min="9266" max="9266" width="10.125" bestFit="1" customWidth="1"/>
    <col min="9267" max="9267" width="12.5" customWidth="1"/>
    <col min="9268" max="9268" width="10.625" customWidth="1"/>
    <col min="9271" max="9271" width="15.75" customWidth="1"/>
    <col min="9272" max="9272" width="10" customWidth="1"/>
    <col min="9275" max="9275" width="8.875" customWidth="1"/>
    <col min="9276" max="9276" width="9.625" bestFit="1" customWidth="1"/>
    <col min="9277" max="9277" width="9.375" customWidth="1"/>
    <col min="9279" max="9279" width="7.25" customWidth="1"/>
    <col min="9280" max="9280" width="0" hidden="1" customWidth="1"/>
    <col min="9282" max="9282" width="9.375" customWidth="1"/>
    <col min="9283" max="9283" width="10.375" customWidth="1"/>
    <col min="9284" max="9284" width="15.875" customWidth="1"/>
    <col min="9286" max="9286" width="6.75" customWidth="1"/>
    <col min="9473" max="9473" width="0.375" customWidth="1"/>
    <col min="9474" max="9474" width="17.25" customWidth="1"/>
    <col min="9475" max="9475" width="13.375" customWidth="1"/>
    <col min="9476" max="9476" width="9.625" customWidth="1"/>
    <col min="9477" max="9477" width="13.375" customWidth="1"/>
    <col min="9478" max="9478" width="8.625" customWidth="1"/>
    <col min="9479" max="9479" width="15.625" customWidth="1"/>
    <col min="9480" max="9480" width="16.125" customWidth="1"/>
    <col min="9481" max="9481" width="12.5" customWidth="1"/>
    <col min="9482" max="9482" width="12.125" customWidth="1"/>
    <col min="9483" max="9483" width="18.125" customWidth="1"/>
    <col min="9484" max="9484" width="16.25" customWidth="1"/>
    <col min="9485" max="9486" width="12.875" customWidth="1"/>
    <col min="9487" max="9487" width="11.375" customWidth="1"/>
    <col min="9488" max="9488" width="11.75" customWidth="1"/>
    <col min="9489" max="9489" width="10.875" customWidth="1"/>
    <col min="9490" max="9490" width="16" customWidth="1"/>
    <col min="9491" max="9491" width="14.125" customWidth="1"/>
    <col min="9492" max="9492" width="11.75" customWidth="1"/>
    <col min="9493" max="9493" width="13.375" customWidth="1"/>
    <col min="9494" max="9494" width="21.625" customWidth="1"/>
    <col min="9495" max="9495" width="16.125" customWidth="1"/>
    <col min="9496" max="9497" width="14" customWidth="1"/>
    <col min="9498" max="9498" width="9.625" customWidth="1"/>
    <col min="9499" max="9499" width="10.75" customWidth="1"/>
    <col min="9500" max="9500" width="9.625" customWidth="1"/>
    <col min="9501" max="9501" width="9.25" customWidth="1"/>
    <col min="9502" max="9502" width="9.375" customWidth="1"/>
    <col min="9503" max="9504" width="13.25" customWidth="1"/>
    <col min="9505" max="9505" width="8.25" bestFit="1" customWidth="1"/>
    <col min="9506" max="9506" width="10" customWidth="1"/>
    <col min="9508" max="9508" width="9.75" customWidth="1"/>
    <col min="9509" max="9509" width="9.375" customWidth="1"/>
    <col min="9510" max="9510" width="10.5" bestFit="1" customWidth="1"/>
    <col min="9517" max="9517" width="9.625" customWidth="1"/>
    <col min="9518" max="9518" width="14.75" customWidth="1"/>
    <col min="9519" max="9519" width="11.375" customWidth="1"/>
    <col min="9520" max="9520" width="9.875" customWidth="1"/>
    <col min="9521" max="9521" width="10.75" customWidth="1"/>
    <col min="9522" max="9522" width="10.125" bestFit="1" customWidth="1"/>
    <col min="9523" max="9523" width="12.5" customWidth="1"/>
    <col min="9524" max="9524" width="10.625" customWidth="1"/>
    <col min="9527" max="9527" width="15.75" customWidth="1"/>
    <col min="9528" max="9528" width="10" customWidth="1"/>
    <col min="9531" max="9531" width="8.875" customWidth="1"/>
    <col min="9532" max="9532" width="9.625" bestFit="1" customWidth="1"/>
    <col min="9533" max="9533" width="9.375" customWidth="1"/>
    <col min="9535" max="9535" width="7.25" customWidth="1"/>
    <col min="9536" max="9536" width="0" hidden="1" customWidth="1"/>
    <col min="9538" max="9538" width="9.375" customWidth="1"/>
    <col min="9539" max="9539" width="10.375" customWidth="1"/>
    <col min="9540" max="9540" width="15.875" customWidth="1"/>
    <col min="9542" max="9542" width="6.75" customWidth="1"/>
    <col min="9729" max="9729" width="0.375" customWidth="1"/>
    <col min="9730" max="9730" width="17.25" customWidth="1"/>
    <col min="9731" max="9731" width="13.375" customWidth="1"/>
    <col min="9732" max="9732" width="9.625" customWidth="1"/>
    <col min="9733" max="9733" width="13.375" customWidth="1"/>
    <col min="9734" max="9734" width="8.625" customWidth="1"/>
    <col min="9735" max="9735" width="15.625" customWidth="1"/>
    <col min="9736" max="9736" width="16.125" customWidth="1"/>
    <col min="9737" max="9737" width="12.5" customWidth="1"/>
    <col min="9738" max="9738" width="12.125" customWidth="1"/>
    <col min="9739" max="9739" width="18.125" customWidth="1"/>
    <col min="9740" max="9740" width="16.25" customWidth="1"/>
    <col min="9741" max="9742" width="12.875" customWidth="1"/>
    <col min="9743" max="9743" width="11.375" customWidth="1"/>
    <col min="9744" max="9744" width="11.75" customWidth="1"/>
    <col min="9745" max="9745" width="10.875" customWidth="1"/>
    <col min="9746" max="9746" width="16" customWidth="1"/>
    <col min="9747" max="9747" width="14.125" customWidth="1"/>
    <col min="9748" max="9748" width="11.75" customWidth="1"/>
    <col min="9749" max="9749" width="13.375" customWidth="1"/>
    <col min="9750" max="9750" width="21.625" customWidth="1"/>
    <col min="9751" max="9751" width="16.125" customWidth="1"/>
    <col min="9752" max="9753" width="14" customWidth="1"/>
    <col min="9754" max="9754" width="9.625" customWidth="1"/>
    <col min="9755" max="9755" width="10.75" customWidth="1"/>
    <col min="9756" max="9756" width="9.625" customWidth="1"/>
    <col min="9757" max="9757" width="9.25" customWidth="1"/>
    <col min="9758" max="9758" width="9.375" customWidth="1"/>
    <col min="9759" max="9760" width="13.25" customWidth="1"/>
    <col min="9761" max="9761" width="8.25" bestFit="1" customWidth="1"/>
    <col min="9762" max="9762" width="10" customWidth="1"/>
    <col min="9764" max="9764" width="9.75" customWidth="1"/>
    <col min="9765" max="9765" width="9.375" customWidth="1"/>
    <col min="9766" max="9766" width="10.5" bestFit="1" customWidth="1"/>
    <col min="9773" max="9773" width="9.625" customWidth="1"/>
    <col min="9774" max="9774" width="14.75" customWidth="1"/>
    <col min="9775" max="9775" width="11.375" customWidth="1"/>
    <col min="9776" max="9776" width="9.875" customWidth="1"/>
    <col min="9777" max="9777" width="10.75" customWidth="1"/>
    <col min="9778" max="9778" width="10.125" bestFit="1" customWidth="1"/>
    <col min="9779" max="9779" width="12.5" customWidth="1"/>
    <col min="9780" max="9780" width="10.625" customWidth="1"/>
    <col min="9783" max="9783" width="15.75" customWidth="1"/>
    <col min="9784" max="9784" width="10" customWidth="1"/>
    <col min="9787" max="9787" width="8.875" customWidth="1"/>
    <col min="9788" max="9788" width="9.625" bestFit="1" customWidth="1"/>
    <col min="9789" max="9789" width="9.375" customWidth="1"/>
    <col min="9791" max="9791" width="7.25" customWidth="1"/>
    <col min="9792" max="9792" width="0" hidden="1" customWidth="1"/>
    <col min="9794" max="9794" width="9.375" customWidth="1"/>
    <col min="9795" max="9795" width="10.375" customWidth="1"/>
    <col min="9796" max="9796" width="15.875" customWidth="1"/>
    <col min="9798" max="9798" width="6.75" customWidth="1"/>
    <col min="9985" max="9985" width="0.375" customWidth="1"/>
    <col min="9986" max="9986" width="17.25" customWidth="1"/>
    <col min="9987" max="9987" width="13.375" customWidth="1"/>
    <col min="9988" max="9988" width="9.625" customWidth="1"/>
    <col min="9989" max="9989" width="13.375" customWidth="1"/>
    <col min="9990" max="9990" width="8.625" customWidth="1"/>
    <col min="9991" max="9991" width="15.625" customWidth="1"/>
    <col min="9992" max="9992" width="16.125" customWidth="1"/>
    <col min="9993" max="9993" width="12.5" customWidth="1"/>
    <col min="9994" max="9994" width="12.125" customWidth="1"/>
    <col min="9995" max="9995" width="18.125" customWidth="1"/>
    <col min="9996" max="9996" width="16.25" customWidth="1"/>
    <col min="9997" max="9998" width="12.875" customWidth="1"/>
    <col min="9999" max="9999" width="11.375" customWidth="1"/>
    <col min="10000" max="10000" width="11.75" customWidth="1"/>
    <col min="10001" max="10001" width="10.875" customWidth="1"/>
    <col min="10002" max="10002" width="16" customWidth="1"/>
    <col min="10003" max="10003" width="14.125" customWidth="1"/>
    <col min="10004" max="10004" width="11.75" customWidth="1"/>
    <col min="10005" max="10005" width="13.375" customWidth="1"/>
    <col min="10006" max="10006" width="21.625" customWidth="1"/>
    <col min="10007" max="10007" width="16.125" customWidth="1"/>
    <col min="10008" max="10009" width="14" customWidth="1"/>
    <col min="10010" max="10010" width="9.625" customWidth="1"/>
    <col min="10011" max="10011" width="10.75" customWidth="1"/>
    <col min="10012" max="10012" width="9.625" customWidth="1"/>
    <col min="10013" max="10013" width="9.25" customWidth="1"/>
    <col min="10014" max="10014" width="9.375" customWidth="1"/>
    <col min="10015" max="10016" width="13.25" customWidth="1"/>
    <col min="10017" max="10017" width="8.25" bestFit="1" customWidth="1"/>
    <col min="10018" max="10018" width="10" customWidth="1"/>
    <col min="10020" max="10020" width="9.75" customWidth="1"/>
    <col min="10021" max="10021" width="9.375" customWidth="1"/>
    <col min="10022" max="10022" width="10.5" bestFit="1" customWidth="1"/>
    <col min="10029" max="10029" width="9.625" customWidth="1"/>
    <col min="10030" max="10030" width="14.75" customWidth="1"/>
    <col min="10031" max="10031" width="11.375" customWidth="1"/>
    <col min="10032" max="10032" width="9.875" customWidth="1"/>
    <col min="10033" max="10033" width="10.75" customWidth="1"/>
    <col min="10034" max="10034" width="10.125" bestFit="1" customWidth="1"/>
    <col min="10035" max="10035" width="12.5" customWidth="1"/>
    <col min="10036" max="10036" width="10.625" customWidth="1"/>
    <col min="10039" max="10039" width="15.75" customWidth="1"/>
    <col min="10040" max="10040" width="10" customWidth="1"/>
    <col min="10043" max="10043" width="8.875" customWidth="1"/>
    <col min="10044" max="10044" width="9.625" bestFit="1" customWidth="1"/>
    <col min="10045" max="10045" width="9.375" customWidth="1"/>
    <col min="10047" max="10047" width="7.25" customWidth="1"/>
    <col min="10048" max="10048" width="0" hidden="1" customWidth="1"/>
    <col min="10050" max="10050" width="9.375" customWidth="1"/>
    <col min="10051" max="10051" width="10.375" customWidth="1"/>
    <col min="10052" max="10052" width="15.875" customWidth="1"/>
    <col min="10054" max="10054" width="6.75" customWidth="1"/>
    <col min="10241" max="10241" width="0.375" customWidth="1"/>
    <col min="10242" max="10242" width="17.25" customWidth="1"/>
    <col min="10243" max="10243" width="13.375" customWidth="1"/>
    <col min="10244" max="10244" width="9.625" customWidth="1"/>
    <col min="10245" max="10245" width="13.375" customWidth="1"/>
    <col min="10246" max="10246" width="8.625" customWidth="1"/>
    <col min="10247" max="10247" width="15.625" customWidth="1"/>
    <col min="10248" max="10248" width="16.125" customWidth="1"/>
    <col min="10249" max="10249" width="12.5" customWidth="1"/>
    <col min="10250" max="10250" width="12.125" customWidth="1"/>
    <col min="10251" max="10251" width="18.125" customWidth="1"/>
    <col min="10252" max="10252" width="16.25" customWidth="1"/>
    <col min="10253" max="10254" width="12.875" customWidth="1"/>
    <col min="10255" max="10255" width="11.375" customWidth="1"/>
    <col min="10256" max="10256" width="11.75" customWidth="1"/>
    <col min="10257" max="10257" width="10.875" customWidth="1"/>
    <col min="10258" max="10258" width="16" customWidth="1"/>
    <col min="10259" max="10259" width="14.125" customWidth="1"/>
    <col min="10260" max="10260" width="11.75" customWidth="1"/>
    <col min="10261" max="10261" width="13.375" customWidth="1"/>
    <col min="10262" max="10262" width="21.625" customWidth="1"/>
    <col min="10263" max="10263" width="16.125" customWidth="1"/>
    <col min="10264" max="10265" width="14" customWidth="1"/>
    <col min="10266" max="10266" width="9.625" customWidth="1"/>
    <col min="10267" max="10267" width="10.75" customWidth="1"/>
    <col min="10268" max="10268" width="9.625" customWidth="1"/>
    <col min="10269" max="10269" width="9.25" customWidth="1"/>
    <col min="10270" max="10270" width="9.375" customWidth="1"/>
    <col min="10271" max="10272" width="13.25" customWidth="1"/>
    <col min="10273" max="10273" width="8.25" bestFit="1" customWidth="1"/>
    <col min="10274" max="10274" width="10" customWidth="1"/>
    <col min="10276" max="10276" width="9.75" customWidth="1"/>
    <col min="10277" max="10277" width="9.375" customWidth="1"/>
    <col min="10278" max="10278" width="10.5" bestFit="1" customWidth="1"/>
    <col min="10285" max="10285" width="9.625" customWidth="1"/>
    <col min="10286" max="10286" width="14.75" customWidth="1"/>
    <col min="10287" max="10287" width="11.375" customWidth="1"/>
    <col min="10288" max="10288" width="9.875" customWidth="1"/>
    <col min="10289" max="10289" width="10.75" customWidth="1"/>
    <col min="10290" max="10290" width="10.125" bestFit="1" customWidth="1"/>
    <col min="10291" max="10291" width="12.5" customWidth="1"/>
    <col min="10292" max="10292" width="10.625" customWidth="1"/>
    <col min="10295" max="10295" width="15.75" customWidth="1"/>
    <col min="10296" max="10296" width="10" customWidth="1"/>
    <col min="10299" max="10299" width="8.875" customWidth="1"/>
    <col min="10300" max="10300" width="9.625" bestFit="1" customWidth="1"/>
    <col min="10301" max="10301" width="9.375" customWidth="1"/>
    <col min="10303" max="10303" width="7.25" customWidth="1"/>
    <col min="10304" max="10304" width="0" hidden="1" customWidth="1"/>
    <col min="10306" max="10306" width="9.375" customWidth="1"/>
    <col min="10307" max="10307" width="10.375" customWidth="1"/>
    <col min="10308" max="10308" width="15.875" customWidth="1"/>
    <col min="10310" max="10310" width="6.75" customWidth="1"/>
    <col min="10497" max="10497" width="0.375" customWidth="1"/>
    <col min="10498" max="10498" width="17.25" customWidth="1"/>
    <col min="10499" max="10499" width="13.375" customWidth="1"/>
    <col min="10500" max="10500" width="9.625" customWidth="1"/>
    <col min="10501" max="10501" width="13.375" customWidth="1"/>
    <col min="10502" max="10502" width="8.625" customWidth="1"/>
    <col min="10503" max="10503" width="15.625" customWidth="1"/>
    <col min="10504" max="10504" width="16.125" customWidth="1"/>
    <col min="10505" max="10505" width="12.5" customWidth="1"/>
    <col min="10506" max="10506" width="12.125" customWidth="1"/>
    <col min="10507" max="10507" width="18.125" customWidth="1"/>
    <col min="10508" max="10508" width="16.25" customWidth="1"/>
    <col min="10509" max="10510" width="12.875" customWidth="1"/>
    <col min="10511" max="10511" width="11.375" customWidth="1"/>
    <col min="10512" max="10512" width="11.75" customWidth="1"/>
    <col min="10513" max="10513" width="10.875" customWidth="1"/>
    <col min="10514" max="10514" width="16" customWidth="1"/>
    <col min="10515" max="10515" width="14.125" customWidth="1"/>
    <col min="10516" max="10516" width="11.75" customWidth="1"/>
    <col min="10517" max="10517" width="13.375" customWidth="1"/>
    <col min="10518" max="10518" width="21.625" customWidth="1"/>
    <col min="10519" max="10519" width="16.125" customWidth="1"/>
    <col min="10520" max="10521" width="14" customWidth="1"/>
    <col min="10522" max="10522" width="9.625" customWidth="1"/>
    <col min="10523" max="10523" width="10.75" customWidth="1"/>
    <col min="10524" max="10524" width="9.625" customWidth="1"/>
    <col min="10525" max="10525" width="9.25" customWidth="1"/>
    <col min="10526" max="10526" width="9.375" customWidth="1"/>
    <col min="10527" max="10528" width="13.25" customWidth="1"/>
    <col min="10529" max="10529" width="8.25" bestFit="1" customWidth="1"/>
    <col min="10530" max="10530" width="10" customWidth="1"/>
    <col min="10532" max="10532" width="9.75" customWidth="1"/>
    <col min="10533" max="10533" width="9.375" customWidth="1"/>
    <col min="10534" max="10534" width="10.5" bestFit="1" customWidth="1"/>
    <col min="10541" max="10541" width="9.625" customWidth="1"/>
    <col min="10542" max="10542" width="14.75" customWidth="1"/>
    <col min="10543" max="10543" width="11.375" customWidth="1"/>
    <col min="10544" max="10544" width="9.875" customWidth="1"/>
    <col min="10545" max="10545" width="10.75" customWidth="1"/>
    <col min="10546" max="10546" width="10.125" bestFit="1" customWidth="1"/>
    <col min="10547" max="10547" width="12.5" customWidth="1"/>
    <col min="10548" max="10548" width="10.625" customWidth="1"/>
    <col min="10551" max="10551" width="15.75" customWidth="1"/>
    <col min="10552" max="10552" width="10" customWidth="1"/>
    <col min="10555" max="10555" width="8.875" customWidth="1"/>
    <col min="10556" max="10556" width="9.625" bestFit="1" customWidth="1"/>
    <col min="10557" max="10557" width="9.375" customWidth="1"/>
    <col min="10559" max="10559" width="7.25" customWidth="1"/>
    <col min="10560" max="10560" width="0" hidden="1" customWidth="1"/>
    <col min="10562" max="10562" width="9.375" customWidth="1"/>
    <col min="10563" max="10563" width="10.375" customWidth="1"/>
    <col min="10564" max="10564" width="15.875" customWidth="1"/>
    <col min="10566" max="10566" width="6.75" customWidth="1"/>
    <col min="10753" max="10753" width="0.375" customWidth="1"/>
    <col min="10754" max="10754" width="17.25" customWidth="1"/>
    <col min="10755" max="10755" width="13.375" customWidth="1"/>
    <col min="10756" max="10756" width="9.625" customWidth="1"/>
    <col min="10757" max="10757" width="13.375" customWidth="1"/>
    <col min="10758" max="10758" width="8.625" customWidth="1"/>
    <col min="10759" max="10759" width="15.625" customWidth="1"/>
    <col min="10760" max="10760" width="16.125" customWidth="1"/>
    <col min="10761" max="10761" width="12.5" customWidth="1"/>
    <col min="10762" max="10762" width="12.125" customWidth="1"/>
    <col min="10763" max="10763" width="18.125" customWidth="1"/>
    <col min="10764" max="10764" width="16.25" customWidth="1"/>
    <col min="10765" max="10766" width="12.875" customWidth="1"/>
    <col min="10767" max="10767" width="11.375" customWidth="1"/>
    <col min="10768" max="10768" width="11.75" customWidth="1"/>
    <col min="10769" max="10769" width="10.875" customWidth="1"/>
    <col min="10770" max="10770" width="16" customWidth="1"/>
    <col min="10771" max="10771" width="14.125" customWidth="1"/>
    <col min="10772" max="10772" width="11.75" customWidth="1"/>
    <col min="10773" max="10773" width="13.375" customWidth="1"/>
    <col min="10774" max="10774" width="21.625" customWidth="1"/>
    <col min="10775" max="10775" width="16.125" customWidth="1"/>
    <col min="10776" max="10777" width="14" customWidth="1"/>
    <col min="10778" max="10778" width="9.625" customWidth="1"/>
    <col min="10779" max="10779" width="10.75" customWidth="1"/>
    <col min="10780" max="10780" width="9.625" customWidth="1"/>
    <col min="10781" max="10781" width="9.25" customWidth="1"/>
    <col min="10782" max="10782" width="9.375" customWidth="1"/>
    <col min="10783" max="10784" width="13.25" customWidth="1"/>
    <col min="10785" max="10785" width="8.25" bestFit="1" customWidth="1"/>
    <col min="10786" max="10786" width="10" customWidth="1"/>
    <col min="10788" max="10788" width="9.75" customWidth="1"/>
    <col min="10789" max="10789" width="9.375" customWidth="1"/>
    <col min="10790" max="10790" width="10.5" bestFit="1" customWidth="1"/>
    <col min="10797" max="10797" width="9.625" customWidth="1"/>
    <col min="10798" max="10798" width="14.75" customWidth="1"/>
    <col min="10799" max="10799" width="11.375" customWidth="1"/>
    <col min="10800" max="10800" width="9.875" customWidth="1"/>
    <col min="10801" max="10801" width="10.75" customWidth="1"/>
    <col min="10802" max="10802" width="10.125" bestFit="1" customWidth="1"/>
    <col min="10803" max="10803" width="12.5" customWidth="1"/>
    <col min="10804" max="10804" width="10.625" customWidth="1"/>
    <col min="10807" max="10807" width="15.75" customWidth="1"/>
    <col min="10808" max="10808" width="10" customWidth="1"/>
    <col min="10811" max="10811" width="8.875" customWidth="1"/>
    <col min="10812" max="10812" width="9.625" bestFit="1" customWidth="1"/>
    <col min="10813" max="10813" width="9.375" customWidth="1"/>
    <col min="10815" max="10815" width="7.25" customWidth="1"/>
    <col min="10816" max="10816" width="0" hidden="1" customWidth="1"/>
    <col min="10818" max="10818" width="9.375" customWidth="1"/>
    <col min="10819" max="10819" width="10.375" customWidth="1"/>
    <col min="10820" max="10820" width="15.875" customWidth="1"/>
    <col min="10822" max="10822" width="6.75" customWidth="1"/>
    <col min="11009" max="11009" width="0.375" customWidth="1"/>
    <col min="11010" max="11010" width="17.25" customWidth="1"/>
    <col min="11011" max="11011" width="13.375" customWidth="1"/>
    <col min="11012" max="11012" width="9.625" customWidth="1"/>
    <col min="11013" max="11013" width="13.375" customWidth="1"/>
    <col min="11014" max="11014" width="8.625" customWidth="1"/>
    <col min="11015" max="11015" width="15.625" customWidth="1"/>
    <col min="11016" max="11016" width="16.125" customWidth="1"/>
    <col min="11017" max="11017" width="12.5" customWidth="1"/>
    <col min="11018" max="11018" width="12.125" customWidth="1"/>
    <col min="11019" max="11019" width="18.125" customWidth="1"/>
    <col min="11020" max="11020" width="16.25" customWidth="1"/>
    <col min="11021" max="11022" width="12.875" customWidth="1"/>
    <col min="11023" max="11023" width="11.375" customWidth="1"/>
    <col min="11024" max="11024" width="11.75" customWidth="1"/>
    <col min="11025" max="11025" width="10.875" customWidth="1"/>
    <col min="11026" max="11026" width="16" customWidth="1"/>
    <col min="11027" max="11027" width="14.125" customWidth="1"/>
    <col min="11028" max="11028" width="11.75" customWidth="1"/>
    <col min="11029" max="11029" width="13.375" customWidth="1"/>
    <col min="11030" max="11030" width="21.625" customWidth="1"/>
    <col min="11031" max="11031" width="16.125" customWidth="1"/>
    <col min="11032" max="11033" width="14" customWidth="1"/>
    <col min="11034" max="11034" width="9.625" customWidth="1"/>
    <col min="11035" max="11035" width="10.75" customWidth="1"/>
    <col min="11036" max="11036" width="9.625" customWidth="1"/>
    <col min="11037" max="11037" width="9.25" customWidth="1"/>
    <col min="11038" max="11038" width="9.375" customWidth="1"/>
    <col min="11039" max="11040" width="13.25" customWidth="1"/>
    <col min="11041" max="11041" width="8.25" bestFit="1" customWidth="1"/>
    <col min="11042" max="11042" width="10" customWidth="1"/>
    <col min="11044" max="11044" width="9.75" customWidth="1"/>
    <col min="11045" max="11045" width="9.375" customWidth="1"/>
    <col min="11046" max="11046" width="10.5" bestFit="1" customWidth="1"/>
    <col min="11053" max="11053" width="9.625" customWidth="1"/>
    <col min="11054" max="11054" width="14.75" customWidth="1"/>
    <col min="11055" max="11055" width="11.375" customWidth="1"/>
    <col min="11056" max="11056" width="9.875" customWidth="1"/>
    <col min="11057" max="11057" width="10.75" customWidth="1"/>
    <col min="11058" max="11058" width="10.125" bestFit="1" customWidth="1"/>
    <col min="11059" max="11059" width="12.5" customWidth="1"/>
    <col min="11060" max="11060" width="10.625" customWidth="1"/>
    <col min="11063" max="11063" width="15.75" customWidth="1"/>
    <col min="11064" max="11064" width="10" customWidth="1"/>
    <col min="11067" max="11067" width="8.875" customWidth="1"/>
    <col min="11068" max="11068" width="9.625" bestFit="1" customWidth="1"/>
    <col min="11069" max="11069" width="9.375" customWidth="1"/>
    <col min="11071" max="11071" width="7.25" customWidth="1"/>
    <col min="11072" max="11072" width="0" hidden="1" customWidth="1"/>
    <col min="11074" max="11074" width="9.375" customWidth="1"/>
    <col min="11075" max="11075" width="10.375" customWidth="1"/>
    <col min="11076" max="11076" width="15.875" customWidth="1"/>
    <col min="11078" max="11078" width="6.75" customWidth="1"/>
    <col min="11265" max="11265" width="0.375" customWidth="1"/>
    <col min="11266" max="11266" width="17.25" customWidth="1"/>
    <col min="11267" max="11267" width="13.375" customWidth="1"/>
    <col min="11268" max="11268" width="9.625" customWidth="1"/>
    <col min="11269" max="11269" width="13.375" customWidth="1"/>
    <col min="11270" max="11270" width="8.625" customWidth="1"/>
    <col min="11271" max="11271" width="15.625" customWidth="1"/>
    <col min="11272" max="11272" width="16.125" customWidth="1"/>
    <col min="11273" max="11273" width="12.5" customWidth="1"/>
    <col min="11274" max="11274" width="12.125" customWidth="1"/>
    <col min="11275" max="11275" width="18.125" customWidth="1"/>
    <col min="11276" max="11276" width="16.25" customWidth="1"/>
    <col min="11277" max="11278" width="12.875" customWidth="1"/>
    <col min="11279" max="11279" width="11.375" customWidth="1"/>
    <col min="11280" max="11280" width="11.75" customWidth="1"/>
    <col min="11281" max="11281" width="10.875" customWidth="1"/>
    <col min="11282" max="11282" width="16" customWidth="1"/>
    <col min="11283" max="11283" width="14.125" customWidth="1"/>
    <col min="11284" max="11284" width="11.75" customWidth="1"/>
    <col min="11285" max="11285" width="13.375" customWidth="1"/>
    <col min="11286" max="11286" width="21.625" customWidth="1"/>
    <col min="11287" max="11287" width="16.125" customWidth="1"/>
    <col min="11288" max="11289" width="14" customWidth="1"/>
    <col min="11290" max="11290" width="9.625" customWidth="1"/>
    <col min="11291" max="11291" width="10.75" customWidth="1"/>
    <col min="11292" max="11292" width="9.625" customWidth="1"/>
    <col min="11293" max="11293" width="9.25" customWidth="1"/>
    <col min="11294" max="11294" width="9.375" customWidth="1"/>
    <col min="11295" max="11296" width="13.25" customWidth="1"/>
    <col min="11297" max="11297" width="8.25" bestFit="1" customWidth="1"/>
    <col min="11298" max="11298" width="10" customWidth="1"/>
    <col min="11300" max="11300" width="9.75" customWidth="1"/>
    <col min="11301" max="11301" width="9.375" customWidth="1"/>
    <col min="11302" max="11302" width="10.5" bestFit="1" customWidth="1"/>
    <col min="11309" max="11309" width="9.625" customWidth="1"/>
    <col min="11310" max="11310" width="14.75" customWidth="1"/>
    <col min="11311" max="11311" width="11.375" customWidth="1"/>
    <col min="11312" max="11312" width="9.875" customWidth="1"/>
    <col min="11313" max="11313" width="10.75" customWidth="1"/>
    <col min="11314" max="11314" width="10.125" bestFit="1" customWidth="1"/>
    <col min="11315" max="11315" width="12.5" customWidth="1"/>
    <col min="11316" max="11316" width="10.625" customWidth="1"/>
    <col min="11319" max="11319" width="15.75" customWidth="1"/>
    <col min="11320" max="11320" width="10" customWidth="1"/>
    <col min="11323" max="11323" width="8.875" customWidth="1"/>
    <col min="11324" max="11324" width="9.625" bestFit="1" customWidth="1"/>
    <col min="11325" max="11325" width="9.375" customWidth="1"/>
    <col min="11327" max="11327" width="7.25" customWidth="1"/>
    <col min="11328" max="11328" width="0" hidden="1" customWidth="1"/>
    <col min="11330" max="11330" width="9.375" customWidth="1"/>
    <col min="11331" max="11331" width="10.375" customWidth="1"/>
    <col min="11332" max="11332" width="15.875" customWidth="1"/>
    <col min="11334" max="11334" width="6.75" customWidth="1"/>
    <col min="11521" max="11521" width="0.375" customWidth="1"/>
    <col min="11522" max="11522" width="17.25" customWidth="1"/>
    <col min="11523" max="11523" width="13.375" customWidth="1"/>
    <col min="11524" max="11524" width="9.625" customWidth="1"/>
    <col min="11525" max="11525" width="13.375" customWidth="1"/>
    <col min="11526" max="11526" width="8.625" customWidth="1"/>
    <col min="11527" max="11527" width="15.625" customWidth="1"/>
    <col min="11528" max="11528" width="16.125" customWidth="1"/>
    <col min="11529" max="11529" width="12.5" customWidth="1"/>
    <col min="11530" max="11530" width="12.125" customWidth="1"/>
    <col min="11531" max="11531" width="18.125" customWidth="1"/>
    <col min="11532" max="11532" width="16.25" customWidth="1"/>
    <col min="11533" max="11534" width="12.875" customWidth="1"/>
    <col min="11535" max="11535" width="11.375" customWidth="1"/>
    <col min="11536" max="11536" width="11.75" customWidth="1"/>
    <col min="11537" max="11537" width="10.875" customWidth="1"/>
    <col min="11538" max="11538" width="16" customWidth="1"/>
    <col min="11539" max="11539" width="14.125" customWidth="1"/>
    <col min="11540" max="11540" width="11.75" customWidth="1"/>
    <col min="11541" max="11541" width="13.375" customWidth="1"/>
    <col min="11542" max="11542" width="21.625" customWidth="1"/>
    <col min="11543" max="11543" width="16.125" customWidth="1"/>
    <col min="11544" max="11545" width="14" customWidth="1"/>
    <col min="11546" max="11546" width="9.625" customWidth="1"/>
    <col min="11547" max="11547" width="10.75" customWidth="1"/>
    <col min="11548" max="11548" width="9.625" customWidth="1"/>
    <col min="11549" max="11549" width="9.25" customWidth="1"/>
    <col min="11550" max="11550" width="9.375" customWidth="1"/>
    <col min="11551" max="11552" width="13.25" customWidth="1"/>
    <col min="11553" max="11553" width="8.25" bestFit="1" customWidth="1"/>
    <col min="11554" max="11554" width="10" customWidth="1"/>
    <col min="11556" max="11556" width="9.75" customWidth="1"/>
    <col min="11557" max="11557" width="9.375" customWidth="1"/>
    <col min="11558" max="11558" width="10.5" bestFit="1" customWidth="1"/>
    <col min="11565" max="11565" width="9.625" customWidth="1"/>
    <col min="11566" max="11566" width="14.75" customWidth="1"/>
    <col min="11567" max="11567" width="11.375" customWidth="1"/>
    <col min="11568" max="11568" width="9.875" customWidth="1"/>
    <col min="11569" max="11569" width="10.75" customWidth="1"/>
    <col min="11570" max="11570" width="10.125" bestFit="1" customWidth="1"/>
    <col min="11571" max="11571" width="12.5" customWidth="1"/>
    <col min="11572" max="11572" width="10.625" customWidth="1"/>
    <col min="11575" max="11575" width="15.75" customWidth="1"/>
    <col min="11576" max="11576" width="10" customWidth="1"/>
    <col min="11579" max="11579" width="8.875" customWidth="1"/>
    <col min="11580" max="11580" width="9.625" bestFit="1" customWidth="1"/>
    <col min="11581" max="11581" width="9.375" customWidth="1"/>
    <col min="11583" max="11583" width="7.25" customWidth="1"/>
    <col min="11584" max="11584" width="0" hidden="1" customWidth="1"/>
    <col min="11586" max="11586" width="9.375" customWidth="1"/>
    <col min="11587" max="11587" width="10.375" customWidth="1"/>
    <col min="11588" max="11588" width="15.875" customWidth="1"/>
    <col min="11590" max="11590" width="6.75" customWidth="1"/>
    <col min="11777" max="11777" width="0.375" customWidth="1"/>
    <col min="11778" max="11778" width="17.25" customWidth="1"/>
    <col min="11779" max="11779" width="13.375" customWidth="1"/>
    <col min="11780" max="11780" width="9.625" customWidth="1"/>
    <col min="11781" max="11781" width="13.375" customWidth="1"/>
    <col min="11782" max="11782" width="8.625" customWidth="1"/>
    <col min="11783" max="11783" width="15.625" customWidth="1"/>
    <col min="11784" max="11784" width="16.125" customWidth="1"/>
    <col min="11785" max="11785" width="12.5" customWidth="1"/>
    <col min="11786" max="11786" width="12.125" customWidth="1"/>
    <col min="11787" max="11787" width="18.125" customWidth="1"/>
    <col min="11788" max="11788" width="16.25" customWidth="1"/>
    <col min="11789" max="11790" width="12.875" customWidth="1"/>
    <col min="11791" max="11791" width="11.375" customWidth="1"/>
    <col min="11792" max="11792" width="11.75" customWidth="1"/>
    <col min="11793" max="11793" width="10.875" customWidth="1"/>
    <col min="11794" max="11794" width="16" customWidth="1"/>
    <col min="11795" max="11795" width="14.125" customWidth="1"/>
    <col min="11796" max="11796" width="11.75" customWidth="1"/>
    <col min="11797" max="11797" width="13.375" customWidth="1"/>
    <col min="11798" max="11798" width="21.625" customWidth="1"/>
    <col min="11799" max="11799" width="16.125" customWidth="1"/>
    <col min="11800" max="11801" width="14" customWidth="1"/>
    <col min="11802" max="11802" width="9.625" customWidth="1"/>
    <col min="11803" max="11803" width="10.75" customWidth="1"/>
    <col min="11804" max="11804" width="9.625" customWidth="1"/>
    <col min="11805" max="11805" width="9.25" customWidth="1"/>
    <col min="11806" max="11806" width="9.375" customWidth="1"/>
    <col min="11807" max="11808" width="13.25" customWidth="1"/>
    <col min="11809" max="11809" width="8.25" bestFit="1" customWidth="1"/>
    <col min="11810" max="11810" width="10" customWidth="1"/>
    <col min="11812" max="11812" width="9.75" customWidth="1"/>
    <col min="11813" max="11813" width="9.375" customWidth="1"/>
    <col min="11814" max="11814" width="10.5" bestFit="1" customWidth="1"/>
    <col min="11821" max="11821" width="9.625" customWidth="1"/>
    <col min="11822" max="11822" width="14.75" customWidth="1"/>
    <col min="11823" max="11823" width="11.375" customWidth="1"/>
    <col min="11824" max="11824" width="9.875" customWidth="1"/>
    <col min="11825" max="11825" width="10.75" customWidth="1"/>
    <col min="11826" max="11826" width="10.125" bestFit="1" customWidth="1"/>
    <col min="11827" max="11827" width="12.5" customWidth="1"/>
    <col min="11828" max="11828" width="10.625" customWidth="1"/>
    <col min="11831" max="11831" width="15.75" customWidth="1"/>
    <col min="11832" max="11832" width="10" customWidth="1"/>
    <col min="11835" max="11835" width="8.875" customWidth="1"/>
    <col min="11836" max="11836" width="9.625" bestFit="1" customWidth="1"/>
    <col min="11837" max="11837" width="9.375" customWidth="1"/>
    <col min="11839" max="11839" width="7.25" customWidth="1"/>
    <col min="11840" max="11840" width="0" hidden="1" customWidth="1"/>
    <col min="11842" max="11842" width="9.375" customWidth="1"/>
    <col min="11843" max="11843" width="10.375" customWidth="1"/>
    <col min="11844" max="11844" width="15.875" customWidth="1"/>
    <col min="11846" max="11846" width="6.75" customWidth="1"/>
    <col min="12033" max="12033" width="0.375" customWidth="1"/>
    <col min="12034" max="12034" width="17.25" customWidth="1"/>
    <col min="12035" max="12035" width="13.375" customWidth="1"/>
    <col min="12036" max="12036" width="9.625" customWidth="1"/>
    <col min="12037" max="12037" width="13.375" customWidth="1"/>
    <col min="12038" max="12038" width="8.625" customWidth="1"/>
    <col min="12039" max="12039" width="15.625" customWidth="1"/>
    <col min="12040" max="12040" width="16.125" customWidth="1"/>
    <col min="12041" max="12041" width="12.5" customWidth="1"/>
    <col min="12042" max="12042" width="12.125" customWidth="1"/>
    <col min="12043" max="12043" width="18.125" customWidth="1"/>
    <col min="12044" max="12044" width="16.25" customWidth="1"/>
    <col min="12045" max="12046" width="12.875" customWidth="1"/>
    <col min="12047" max="12047" width="11.375" customWidth="1"/>
    <col min="12048" max="12048" width="11.75" customWidth="1"/>
    <col min="12049" max="12049" width="10.875" customWidth="1"/>
    <col min="12050" max="12050" width="16" customWidth="1"/>
    <col min="12051" max="12051" width="14.125" customWidth="1"/>
    <col min="12052" max="12052" width="11.75" customWidth="1"/>
    <col min="12053" max="12053" width="13.375" customWidth="1"/>
    <col min="12054" max="12054" width="21.625" customWidth="1"/>
    <col min="12055" max="12055" width="16.125" customWidth="1"/>
    <col min="12056" max="12057" width="14" customWidth="1"/>
    <col min="12058" max="12058" width="9.625" customWidth="1"/>
    <col min="12059" max="12059" width="10.75" customWidth="1"/>
    <col min="12060" max="12060" width="9.625" customWidth="1"/>
    <col min="12061" max="12061" width="9.25" customWidth="1"/>
    <col min="12062" max="12062" width="9.375" customWidth="1"/>
    <col min="12063" max="12064" width="13.25" customWidth="1"/>
    <col min="12065" max="12065" width="8.25" bestFit="1" customWidth="1"/>
    <col min="12066" max="12066" width="10" customWidth="1"/>
    <col min="12068" max="12068" width="9.75" customWidth="1"/>
    <col min="12069" max="12069" width="9.375" customWidth="1"/>
    <col min="12070" max="12070" width="10.5" bestFit="1" customWidth="1"/>
    <col min="12077" max="12077" width="9.625" customWidth="1"/>
    <col min="12078" max="12078" width="14.75" customWidth="1"/>
    <col min="12079" max="12079" width="11.375" customWidth="1"/>
    <col min="12080" max="12080" width="9.875" customWidth="1"/>
    <col min="12081" max="12081" width="10.75" customWidth="1"/>
    <col min="12082" max="12082" width="10.125" bestFit="1" customWidth="1"/>
    <col min="12083" max="12083" width="12.5" customWidth="1"/>
    <col min="12084" max="12084" width="10.625" customWidth="1"/>
    <col min="12087" max="12087" width="15.75" customWidth="1"/>
    <col min="12088" max="12088" width="10" customWidth="1"/>
    <col min="12091" max="12091" width="8.875" customWidth="1"/>
    <col min="12092" max="12092" width="9.625" bestFit="1" customWidth="1"/>
    <col min="12093" max="12093" width="9.375" customWidth="1"/>
    <col min="12095" max="12095" width="7.25" customWidth="1"/>
    <col min="12096" max="12096" width="0" hidden="1" customWidth="1"/>
    <col min="12098" max="12098" width="9.375" customWidth="1"/>
    <col min="12099" max="12099" width="10.375" customWidth="1"/>
    <col min="12100" max="12100" width="15.875" customWidth="1"/>
    <col min="12102" max="12102" width="6.75" customWidth="1"/>
    <col min="12289" max="12289" width="0.375" customWidth="1"/>
    <col min="12290" max="12290" width="17.25" customWidth="1"/>
    <col min="12291" max="12291" width="13.375" customWidth="1"/>
    <col min="12292" max="12292" width="9.625" customWidth="1"/>
    <col min="12293" max="12293" width="13.375" customWidth="1"/>
    <col min="12294" max="12294" width="8.625" customWidth="1"/>
    <col min="12295" max="12295" width="15.625" customWidth="1"/>
    <col min="12296" max="12296" width="16.125" customWidth="1"/>
    <col min="12297" max="12297" width="12.5" customWidth="1"/>
    <col min="12298" max="12298" width="12.125" customWidth="1"/>
    <col min="12299" max="12299" width="18.125" customWidth="1"/>
    <col min="12300" max="12300" width="16.25" customWidth="1"/>
    <col min="12301" max="12302" width="12.875" customWidth="1"/>
    <col min="12303" max="12303" width="11.375" customWidth="1"/>
    <col min="12304" max="12304" width="11.75" customWidth="1"/>
    <col min="12305" max="12305" width="10.875" customWidth="1"/>
    <col min="12306" max="12306" width="16" customWidth="1"/>
    <col min="12307" max="12307" width="14.125" customWidth="1"/>
    <col min="12308" max="12308" width="11.75" customWidth="1"/>
    <col min="12309" max="12309" width="13.375" customWidth="1"/>
    <col min="12310" max="12310" width="21.625" customWidth="1"/>
    <col min="12311" max="12311" width="16.125" customWidth="1"/>
    <col min="12312" max="12313" width="14" customWidth="1"/>
    <col min="12314" max="12314" width="9.625" customWidth="1"/>
    <col min="12315" max="12315" width="10.75" customWidth="1"/>
    <col min="12316" max="12316" width="9.625" customWidth="1"/>
    <col min="12317" max="12317" width="9.25" customWidth="1"/>
    <col min="12318" max="12318" width="9.375" customWidth="1"/>
    <col min="12319" max="12320" width="13.25" customWidth="1"/>
    <col min="12321" max="12321" width="8.25" bestFit="1" customWidth="1"/>
    <col min="12322" max="12322" width="10" customWidth="1"/>
    <col min="12324" max="12324" width="9.75" customWidth="1"/>
    <col min="12325" max="12325" width="9.375" customWidth="1"/>
    <col min="12326" max="12326" width="10.5" bestFit="1" customWidth="1"/>
    <col min="12333" max="12333" width="9.625" customWidth="1"/>
    <col min="12334" max="12334" width="14.75" customWidth="1"/>
    <col min="12335" max="12335" width="11.375" customWidth="1"/>
    <col min="12336" max="12336" width="9.875" customWidth="1"/>
    <col min="12337" max="12337" width="10.75" customWidth="1"/>
    <col min="12338" max="12338" width="10.125" bestFit="1" customWidth="1"/>
    <col min="12339" max="12339" width="12.5" customWidth="1"/>
    <col min="12340" max="12340" width="10.625" customWidth="1"/>
    <col min="12343" max="12343" width="15.75" customWidth="1"/>
    <col min="12344" max="12344" width="10" customWidth="1"/>
    <col min="12347" max="12347" width="8.875" customWidth="1"/>
    <col min="12348" max="12348" width="9.625" bestFit="1" customWidth="1"/>
    <col min="12349" max="12349" width="9.375" customWidth="1"/>
    <col min="12351" max="12351" width="7.25" customWidth="1"/>
    <col min="12352" max="12352" width="0" hidden="1" customWidth="1"/>
    <col min="12354" max="12354" width="9.375" customWidth="1"/>
    <col min="12355" max="12355" width="10.375" customWidth="1"/>
    <col min="12356" max="12356" width="15.875" customWidth="1"/>
    <col min="12358" max="12358" width="6.75" customWidth="1"/>
    <col min="12545" max="12545" width="0.375" customWidth="1"/>
    <col min="12546" max="12546" width="17.25" customWidth="1"/>
    <col min="12547" max="12547" width="13.375" customWidth="1"/>
    <col min="12548" max="12548" width="9.625" customWidth="1"/>
    <col min="12549" max="12549" width="13.375" customWidth="1"/>
    <col min="12550" max="12550" width="8.625" customWidth="1"/>
    <col min="12551" max="12551" width="15.625" customWidth="1"/>
    <col min="12552" max="12552" width="16.125" customWidth="1"/>
    <col min="12553" max="12553" width="12.5" customWidth="1"/>
    <col min="12554" max="12554" width="12.125" customWidth="1"/>
    <col min="12555" max="12555" width="18.125" customWidth="1"/>
    <col min="12556" max="12556" width="16.25" customWidth="1"/>
    <col min="12557" max="12558" width="12.875" customWidth="1"/>
    <col min="12559" max="12559" width="11.375" customWidth="1"/>
    <col min="12560" max="12560" width="11.75" customWidth="1"/>
    <col min="12561" max="12561" width="10.875" customWidth="1"/>
    <col min="12562" max="12562" width="16" customWidth="1"/>
    <col min="12563" max="12563" width="14.125" customWidth="1"/>
    <col min="12564" max="12564" width="11.75" customWidth="1"/>
    <col min="12565" max="12565" width="13.375" customWidth="1"/>
    <col min="12566" max="12566" width="21.625" customWidth="1"/>
    <col min="12567" max="12567" width="16.125" customWidth="1"/>
    <col min="12568" max="12569" width="14" customWidth="1"/>
    <col min="12570" max="12570" width="9.625" customWidth="1"/>
    <col min="12571" max="12571" width="10.75" customWidth="1"/>
    <col min="12572" max="12572" width="9.625" customWidth="1"/>
    <col min="12573" max="12573" width="9.25" customWidth="1"/>
    <col min="12574" max="12574" width="9.375" customWidth="1"/>
    <col min="12575" max="12576" width="13.25" customWidth="1"/>
    <col min="12577" max="12577" width="8.25" bestFit="1" customWidth="1"/>
    <col min="12578" max="12578" width="10" customWidth="1"/>
    <col min="12580" max="12580" width="9.75" customWidth="1"/>
    <col min="12581" max="12581" width="9.375" customWidth="1"/>
    <col min="12582" max="12582" width="10.5" bestFit="1" customWidth="1"/>
    <col min="12589" max="12589" width="9.625" customWidth="1"/>
    <col min="12590" max="12590" width="14.75" customWidth="1"/>
    <col min="12591" max="12591" width="11.375" customWidth="1"/>
    <col min="12592" max="12592" width="9.875" customWidth="1"/>
    <col min="12593" max="12593" width="10.75" customWidth="1"/>
    <col min="12594" max="12594" width="10.125" bestFit="1" customWidth="1"/>
    <col min="12595" max="12595" width="12.5" customWidth="1"/>
    <col min="12596" max="12596" width="10.625" customWidth="1"/>
    <col min="12599" max="12599" width="15.75" customWidth="1"/>
    <col min="12600" max="12600" width="10" customWidth="1"/>
    <col min="12603" max="12603" width="8.875" customWidth="1"/>
    <col min="12604" max="12604" width="9.625" bestFit="1" customWidth="1"/>
    <col min="12605" max="12605" width="9.375" customWidth="1"/>
    <col min="12607" max="12607" width="7.25" customWidth="1"/>
    <col min="12608" max="12608" width="0" hidden="1" customWidth="1"/>
    <col min="12610" max="12610" width="9.375" customWidth="1"/>
    <col min="12611" max="12611" width="10.375" customWidth="1"/>
    <col min="12612" max="12612" width="15.875" customWidth="1"/>
    <col min="12614" max="12614" width="6.75" customWidth="1"/>
    <col min="12801" max="12801" width="0.375" customWidth="1"/>
    <col min="12802" max="12802" width="17.25" customWidth="1"/>
    <col min="12803" max="12803" width="13.375" customWidth="1"/>
    <col min="12804" max="12804" width="9.625" customWidth="1"/>
    <col min="12805" max="12805" width="13.375" customWidth="1"/>
    <col min="12806" max="12806" width="8.625" customWidth="1"/>
    <col min="12807" max="12807" width="15.625" customWidth="1"/>
    <col min="12808" max="12808" width="16.125" customWidth="1"/>
    <col min="12809" max="12809" width="12.5" customWidth="1"/>
    <col min="12810" max="12810" width="12.125" customWidth="1"/>
    <col min="12811" max="12811" width="18.125" customWidth="1"/>
    <col min="12812" max="12812" width="16.25" customWidth="1"/>
    <col min="12813" max="12814" width="12.875" customWidth="1"/>
    <col min="12815" max="12815" width="11.375" customWidth="1"/>
    <col min="12816" max="12816" width="11.75" customWidth="1"/>
    <col min="12817" max="12817" width="10.875" customWidth="1"/>
    <col min="12818" max="12818" width="16" customWidth="1"/>
    <col min="12819" max="12819" width="14.125" customWidth="1"/>
    <col min="12820" max="12820" width="11.75" customWidth="1"/>
    <col min="12821" max="12821" width="13.375" customWidth="1"/>
    <col min="12822" max="12822" width="21.625" customWidth="1"/>
    <col min="12823" max="12823" width="16.125" customWidth="1"/>
    <col min="12824" max="12825" width="14" customWidth="1"/>
    <col min="12826" max="12826" width="9.625" customWidth="1"/>
    <col min="12827" max="12827" width="10.75" customWidth="1"/>
    <col min="12828" max="12828" width="9.625" customWidth="1"/>
    <col min="12829" max="12829" width="9.25" customWidth="1"/>
    <col min="12830" max="12830" width="9.375" customWidth="1"/>
    <col min="12831" max="12832" width="13.25" customWidth="1"/>
    <col min="12833" max="12833" width="8.25" bestFit="1" customWidth="1"/>
    <col min="12834" max="12834" width="10" customWidth="1"/>
    <col min="12836" max="12836" width="9.75" customWidth="1"/>
    <col min="12837" max="12837" width="9.375" customWidth="1"/>
    <col min="12838" max="12838" width="10.5" bestFit="1" customWidth="1"/>
    <col min="12845" max="12845" width="9.625" customWidth="1"/>
    <col min="12846" max="12846" width="14.75" customWidth="1"/>
    <col min="12847" max="12847" width="11.375" customWidth="1"/>
    <col min="12848" max="12848" width="9.875" customWidth="1"/>
    <col min="12849" max="12849" width="10.75" customWidth="1"/>
    <col min="12850" max="12850" width="10.125" bestFit="1" customWidth="1"/>
    <col min="12851" max="12851" width="12.5" customWidth="1"/>
    <col min="12852" max="12852" width="10.625" customWidth="1"/>
    <col min="12855" max="12855" width="15.75" customWidth="1"/>
    <col min="12856" max="12856" width="10" customWidth="1"/>
    <col min="12859" max="12859" width="8.875" customWidth="1"/>
    <col min="12860" max="12860" width="9.625" bestFit="1" customWidth="1"/>
    <col min="12861" max="12861" width="9.375" customWidth="1"/>
    <col min="12863" max="12863" width="7.25" customWidth="1"/>
    <col min="12864" max="12864" width="0" hidden="1" customWidth="1"/>
    <col min="12866" max="12866" width="9.375" customWidth="1"/>
    <col min="12867" max="12867" width="10.375" customWidth="1"/>
    <col min="12868" max="12868" width="15.875" customWidth="1"/>
    <col min="12870" max="12870" width="6.75" customWidth="1"/>
    <col min="13057" max="13057" width="0.375" customWidth="1"/>
    <col min="13058" max="13058" width="17.25" customWidth="1"/>
    <col min="13059" max="13059" width="13.375" customWidth="1"/>
    <col min="13060" max="13060" width="9.625" customWidth="1"/>
    <col min="13061" max="13061" width="13.375" customWidth="1"/>
    <col min="13062" max="13062" width="8.625" customWidth="1"/>
    <col min="13063" max="13063" width="15.625" customWidth="1"/>
    <col min="13064" max="13064" width="16.125" customWidth="1"/>
    <col min="13065" max="13065" width="12.5" customWidth="1"/>
    <col min="13066" max="13066" width="12.125" customWidth="1"/>
    <col min="13067" max="13067" width="18.125" customWidth="1"/>
    <col min="13068" max="13068" width="16.25" customWidth="1"/>
    <col min="13069" max="13070" width="12.875" customWidth="1"/>
    <col min="13071" max="13071" width="11.375" customWidth="1"/>
    <col min="13072" max="13072" width="11.75" customWidth="1"/>
    <col min="13073" max="13073" width="10.875" customWidth="1"/>
    <col min="13074" max="13074" width="16" customWidth="1"/>
    <col min="13075" max="13075" width="14.125" customWidth="1"/>
    <col min="13076" max="13076" width="11.75" customWidth="1"/>
    <col min="13077" max="13077" width="13.375" customWidth="1"/>
    <col min="13078" max="13078" width="21.625" customWidth="1"/>
    <col min="13079" max="13079" width="16.125" customWidth="1"/>
    <col min="13080" max="13081" width="14" customWidth="1"/>
    <col min="13082" max="13082" width="9.625" customWidth="1"/>
    <col min="13083" max="13083" width="10.75" customWidth="1"/>
    <col min="13084" max="13084" width="9.625" customWidth="1"/>
    <col min="13085" max="13085" width="9.25" customWidth="1"/>
    <col min="13086" max="13086" width="9.375" customWidth="1"/>
    <col min="13087" max="13088" width="13.25" customWidth="1"/>
    <col min="13089" max="13089" width="8.25" bestFit="1" customWidth="1"/>
    <col min="13090" max="13090" width="10" customWidth="1"/>
    <col min="13092" max="13092" width="9.75" customWidth="1"/>
    <col min="13093" max="13093" width="9.375" customWidth="1"/>
    <col min="13094" max="13094" width="10.5" bestFit="1" customWidth="1"/>
    <col min="13101" max="13101" width="9.625" customWidth="1"/>
    <col min="13102" max="13102" width="14.75" customWidth="1"/>
    <col min="13103" max="13103" width="11.375" customWidth="1"/>
    <col min="13104" max="13104" width="9.875" customWidth="1"/>
    <col min="13105" max="13105" width="10.75" customWidth="1"/>
    <col min="13106" max="13106" width="10.125" bestFit="1" customWidth="1"/>
    <col min="13107" max="13107" width="12.5" customWidth="1"/>
    <col min="13108" max="13108" width="10.625" customWidth="1"/>
    <col min="13111" max="13111" width="15.75" customWidth="1"/>
    <col min="13112" max="13112" width="10" customWidth="1"/>
    <col min="13115" max="13115" width="8.875" customWidth="1"/>
    <col min="13116" max="13116" width="9.625" bestFit="1" customWidth="1"/>
    <col min="13117" max="13117" width="9.375" customWidth="1"/>
    <col min="13119" max="13119" width="7.25" customWidth="1"/>
    <col min="13120" max="13120" width="0" hidden="1" customWidth="1"/>
    <col min="13122" max="13122" width="9.375" customWidth="1"/>
    <col min="13123" max="13123" width="10.375" customWidth="1"/>
    <col min="13124" max="13124" width="15.875" customWidth="1"/>
    <col min="13126" max="13126" width="6.75" customWidth="1"/>
    <col min="13313" max="13313" width="0.375" customWidth="1"/>
    <col min="13314" max="13314" width="17.25" customWidth="1"/>
    <col min="13315" max="13315" width="13.375" customWidth="1"/>
    <col min="13316" max="13316" width="9.625" customWidth="1"/>
    <col min="13317" max="13317" width="13.375" customWidth="1"/>
    <col min="13318" max="13318" width="8.625" customWidth="1"/>
    <col min="13319" max="13319" width="15.625" customWidth="1"/>
    <col min="13320" max="13320" width="16.125" customWidth="1"/>
    <col min="13321" max="13321" width="12.5" customWidth="1"/>
    <col min="13322" max="13322" width="12.125" customWidth="1"/>
    <col min="13323" max="13323" width="18.125" customWidth="1"/>
    <col min="13324" max="13324" width="16.25" customWidth="1"/>
    <col min="13325" max="13326" width="12.875" customWidth="1"/>
    <col min="13327" max="13327" width="11.375" customWidth="1"/>
    <col min="13328" max="13328" width="11.75" customWidth="1"/>
    <col min="13329" max="13329" width="10.875" customWidth="1"/>
    <col min="13330" max="13330" width="16" customWidth="1"/>
    <col min="13331" max="13331" width="14.125" customWidth="1"/>
    <col min="13332" max="13332" width="11.75" customWidth="1"/>
    <col min="13333" max="13333" width="13.375" customWidth="1"/>
    <col min="13334" max="13334" width="21.625" customWidth="1"/>
    <col min="13335" max="13335" width="16.125" customWidth="1"/>
    <col min="13336" max="13337" width="14" customWidth="1"/>
    <col min="13338" max="13338" width="9.625" customWidth="1"/>
    <col min="13339" max="13339" width="10.75" customWidth="1"/>
    <col min="13340" max="13340" width="9.625" customWidth="1"/>
    <col min="13341" max="13341" width="9.25" customWidth="1"/>
    <col min="13342" max="13342" width="9.375" customWidth="1"/>
    <col min="13343" max="13344" width="13.25" customWidth="1"/>
    <col min="13345" max="13345" width="8.25" bestFit="1" customWidth="1"/>
    <col min="13346" max="13346" width="10" customWidth="1"/>
    <col min="13348" max="13348" width="9.75" customWidth="1"/>
    <col min="13349" max="13349" width="9.375" customWidth="1"/>
    <col min="13350" max="13350" width="10.5" bestFit="1" customWidth="1"/>
    <col min="13357" max="13357" width="9.625" customWidth="1"/>
    <col min="13358" max="13358" width="14.75" customWidth="1"/>
    <col min="13359" max="13359" width="11.375" customWidth="1"/>
    <col min="13360" max="13360" width="9.875" customWidth="1"/>
    <col min="13361" max="13361" width="10.75" customWidth="1"/>
    <col min="13362" max="13362" width="10.125" bestFit="1" customWidth="1"/>
    <col min="13363" max="13363" width="12.5" customWidth="1"/>
    <col min="13364" max="13364" width="10.625" customWidth="1"/>
    <col min="13367" max="13367" width="15.75" customWidth="1"/>
    <col min="13368" max="13368" width="10" customWidth="1"/>
    <col min="13371" max="13371" width="8.875" customWidth="1"/>
    <col min="13372" max="13372" width="9.625" bestFit="1" customWidth="1"/>
    <col min="13373" max="13373" width="9.375" customWidth="1"/>
    <col min="13375" max="13375" width="7.25" customWidth="1"/>
    <col min="13376" max="13376" width="0" hidden="1" customWidth="1"/>
    <col min="13378" max="13378" width="9.375" customWidth="1"/>
    <col min="13379" max="13379" width="10.375" customWidth="1"/>
    <col min="13380" max="13380" width="15.875" customWidth="1"/>
    <col min="13382" max="13382" width="6.75" customWidth="1"/>
    <col min="13569" max="13569" width="0.375" customWidth="1"/>
    <col min="13570" max="13570" width="17.25" customWidth="1"/>
    <col min="13571" max="13571" width="13.375" customWidth="1"/>
    <col min="13572" max="13572" width="9.625" customWidth="1"/>
    <col min="13573" max="13573" width="13.375" customWidth="1"/>
    <col min="13574" max="13574" width="8.625" customWidth="1"/>
    <col min="13575" max="13575" width="15.625" customWidth="1"/>
    <col min="13576" max="13576" width="16.125" customWidth="1"/>
    <col min="13577" max="13577" width="12.5" customWidth="1"/>
    <col min="13578" max="13578" width="12.125" customWidth="1"/>
    <col min="13579" max="13579" width="18.125" customWidth="1"/>
    <col min="13580" max="13580" width="16.25" customWidth="1"/>
    <col min="13581" max="13582" width="12.875" customWidth="1"/>
    <col min="13583" max="13583" width="11.375" customWidth="1"/>
    <col min="13584" max="13584" width="11.75" customWidth="1"/>
    <col min="13585" max="13585" width="10.875" customWidth="1"/>
    <col min="13586" max="13586" width="16" customWidth="1"/>
    <col min="13587" max="13587" width="14.125" customWidth="1"/>
    <col min="13588" max="13588" width="11.75" customWidth="1"/>
    <col min="13589" max="13589" width="13.375" customWidth="1"/>
    <col min="13590" max="13590" width="21.625" customWidth="1"/>
    <col min="13591" max="13591" width="16.125" customWidth="1"/>
    <col min="13592" max="13593" width="14" customWidth="1"/>
    <col min="13594" max="13594" width="9.625" customWidth="1"/>
    <col min="13595" max="13595" width="10.75" customWidth="1"/>
    <col min="13596" max="13596" width="9.625" customWidth="1"/>
    <col min="13597" max="13597" width="9.25" customWidth="1"/>
    <col min="13598" max="13598" width="9.375" customWidth="1"/>
    <col min="13599" max="13600" width="13.25" customWidth="1"/>
    <col min="13601" max="13601" width="8.25" bestFit="1" customWidth="1"/>
    <col min="13602" max="13602" width="10" customWidth="1"/>
    <col min="13604" max="13604" width="9.75" customWidth="1"/>
    <col min="13605" max="13605" width="9.375" customWidth="1"/>
    <col min="13606" max="13606" width="10.5" bestFit="1" customWidth="1"/>
    <col min="13613" max="13613" width="9.625" customWidth="1"/>
    <col min="13614" max="13614" width="14.75" customWidth="1"/>
    <col min="13615" max="13615" width="11.375" customWidth="1"/>
    <col min="13616" max="13616" width="9.875" customWidth="1"/>
    <col min="13617" max="13617" width="10.75" customWidth="1"/>
    <col min="13618" max="13618" width="10.125" bestFit="1" customWidth="1"/>
    <col min="13619" max="13619" width="12.5" customWidth="1"/>
    <col min="13620" max="13620" width="10.625" customWidth="1"/>
    <col min="13623" max="13623" width="15.75" customWidth="1"/>
    <col min="13624" max="13624" width="10" customWidth="1"/>
    <col min="13627" max="13627" width="8.875" customWidth="1"/>
    <col min="13628" max="13628" width="9.625" bestFit="1" customWidth="1"/>
    <col min="13629" max="13629" width="9.375" customWidth="1"/>
    <col min="13631" max="13631" width="7.25" customWidth="1"/>
    <col min="13632" max="13632" width="0" hidden="1" customWidth="1"/>
    <col min="13634" max="13634" width="9.375" customWidth="1"/>
    <col min="13635" max="13635" width="10.375" customWidth="1"/>
    <col min="13636" max="13636" width="15.875" customWidth="1"/>
    <col min="13638" max="13638" width="6.75" customWidth="1"/>
    <col min="13825" max="13825" width="0.375" customWidth="1"/>
    <col min="13826" max="13826" width="17.25" customWidth="1"/>
    <col min="13827" max="13827" width="13.375" customWidth="1"/>
    <col min="13828" max="13828" width="9.625" customWidth="1"/>
    <col min="13829" max="13829" width="13.375" customWidth="1"/>
    <col min="13830" max="13830" width="8.625" customWidth="1"/>
    <col min="13831" max="13831" width="15.625" customWidth="1"/>
    <col min="13832" max="13832" width="16.125" customWidth="1"/>
    <col min="13833" max="13833" width="12.5" customWidth="1"/>
    <col min="13834" max="13834" width="12.125" customWidth="1"/>
    <col min="13835" max="13835" width="18.125" customWidth="1"/>
    <col min="13836" max="13836" width="16.25" customWidth="1"/>
    <col min="13837" max="13838" width="12.875" customWidth="1"/>
    <col min="13839" max="13839" width="11.375" customWidth="1"/>
    <col min="13840" max="13840" width="11.75" customWidth="1"/>
    <col min="13841" max="13841" width="10.875" customWidth="1"/>
    <col min="13842" max="13842" width="16" customWidth="1"/>
    <col min="13843" max="13843" width="14.125" customWidth="1"/>
    <col min="13844" max="13844" width="11.75" customWidth="1"/>
    <col min="13845" max="13845" width="13.375" customWidth="1"/>
    <col min="13846" max="13846" width="21.625" customWidth="1"/>
    <col min="13847" max="13847" width="16.125" customWidth="1"/>
    <col min="13848" max="13849" width="14" customWidth="1"/>
    <col min="13850" max="13850" width="9.625" customWidth="1"/>
    <col min="13851" max="13851" width="10.75" customWidth="1"/>
    <col min="13852" max="13852" width="9.625" customWidth="1"/>
    <col min="13853" max="13853" width="9.25" customWidth="1"/>
    <col min="13854" max="13854" width="9.375" customWidth="1"/>
    <col min="13855" max="13856" width="13.25" customWidth="1"/>
    <col min="13857" max="13857" width="8.25" bestFit="1" customWidth="1"/>
    <col min="13858" max="13858" width="10" customWidth="1"/>
    <col min="13860" max="13860" width="9.75" customWidth="1"/>
    <col min="13861" max="13861" width="9.375" customWidth="1"/>
    <col min="13862" max="13862" width="10.5" bestFit="1" customWidth="1"/>
    <col min="13869" max="13869" width="9.625" customWidth="1"/>
    <col min="13870" max="13870" width="14.75" customWidth="1"/>
    <col min="13871" max="13871" width="11.375" customWidth="1"/>
    <col min="13872" max="13872" width="9.875" customWidth="1"/>
    <col min="13873" max="13873" width="10.75" customWidth="1"/>
    <col min="13874" max="13874" width="10.125" bestFit="1" customWidth="1"/>
    <col min="13875" max="13875" width="12.5" customWidth="1"/>
    <col min="13876" max="13876" width="10.625" customWidth="1"/>
    <col min="13879" max="13879" width="15.75" customWidth="1"/>
    <col min="13880" max="13880" width="10" customWidth="1"/>
    <col min="13883" max="13883" width="8.875" customWidth="1"/>
    <col min="13884" max="13884" width="9.625" bestFit="1" customWidth="1"/>
    <col min="13885" max="13885" width="9.375" customWidth="1"/>
    <col min="13887" max="13887" width="7.25" customWidth="1"/>
    <col min="13888" max="13888" width="0" hidden="1" customWidth="1"/>
    <col min="13890" max="13890" width="9.375" customWidth="1"/>
    <col min="13891" max="13891" width="10.375" customWidth="1"/>
    <col min="13892" max="13892" width="15.875" customWidth="1"/>
    <col min="13894" max="13894" width="6.75" customWidth="1"/>
    <col min="14081" max="14081" width="0.375" customWidth="1"/>
    <col min="14082" max="14082" width="17.25" customWidth="1"/>
    <col min="14083" max="14083" width="13.375" customWidth="1"/>
    <col min="14084" max="14084" width="9.625" customWidth="1"/>
    <col min="14085" max="14085" width="13.375" customWidth="1"/>
    <col min="14086" max="14086" width="8.625" customWidth="1"/>
    <col min="14087" max="14087" width="15.625" customWidth="1"/>
    <col min="14088" max="14088" width="16.125" customWidth="1"/>
    <col min="14089" max="14089" width="12.5" customWidth="1"/>
    <col min="14090" max="14090" width="12.125" customWidth="1"/>
    <col min="14091" max="14091" width="18.125" customWidth="1"/>
    <col min="14092" max="14092" width="16.25" customWidth="1"/>
    <col min="14093" max="14094" width="12.875" customWidth="1"/>
    <col min="14095" max="14095" width="11.375" customWidth="1"/>
    <col min="14096" max="14096" width="11.75" customWidth="1"/>
    <col min="14097" max="14097" width="10.875" customWidth="1"/>
    <col min="14098" max="14098" width="16" customWidth="1"/>
    <col min="14099" max="14099" width="14.125" customWidth="1"/>
    <col min="14100" max="14100" width="11.75" customWidth="1"/>
    <col min="14101" max="14101" width="13.375" customWidth="1"/>
    <col min="14102" max="14102" width="21.625" customWidth="1"/>
    <col min="14103" max="14103" width="16.125" customWidth="1"/>
    <col min="14104" max="14105" width="14" customWidth="1"/>
    <col min="14106" max="14106" width="9.625" customWidth="1"/>
    <col min="14107" max="14107" width="10.75" customWidth="1"/>
    <col min="14108" max="14108" width="9.625" customWidth="1"/>
    <col min="14109" max="14109" width="9.25" customWidth="1"/>
    <col min="14110" max="14110" width="9.375" customWidth="1"/>
    <col min="14111" max="14112" width="13.25" customWidth="1"/>
    <col min="14113" max="14113" width="8.25" bestFit="1" customWidth="1"/>
    <col min="14114" max="14114" width="10" customWidth="1"/>
    <col min="14116" max="14116" width="9.75" customWidth="1"/>
    <col min="14117" max="14117" width="9.375" customWidth="1"/>
    <col min="14118" max="14118" width="10.5" bestFit="1" customWidth="1"/>
    <col min="14125" max="14125" width="9.625" customWidth="1"/>
    <col min="14126" max="14126" width="14.75" customWidth="1"/>
    <col min="14127" max="14127" width="11.375" customWidth="1"/>
    <col min="14128" max="14128" width="9.875" customWidth="1"/>
    <col min="14129" max="14129" width="10.75" customWidth="1"/>
    <col min="14130" max="14130" width="10.125" bestFit="1" customWidth="1"/>
    <col min="14131" max="14131" width="12.5" customWidth="1"/>
    <col min="14132" max="14132" width="10.625" customWidth="1"/>
    <col min="14135" max="14135" width="15.75" customWidth="1"/>
    <col min="14136" max="14136" width="10" customWidth="1"/>
    <col min="14139" max="14139" width="8.875" customWidth="1"/>
    <col min="14140" max="14140" width="9.625" bestFit="1" customWidth="1"/>
    <col min="14141" max="14141" width="9.375" customWidth="1"/>
    <col min="14143" max="14143" width="7.25" customWidth="1"/>
    <col min="14144" max="14144" width="0" hidden="1" customWidth="1"/>
    <col min="14146" max="14146" width="9.375" customWidth="1"/>
    <col min="14147" max="14147" width="10.375" customWidth="1"/>
    <col min="14148" max="14148" width="15.875" customWidth="1"/>
    <col min="14150" max="14150" width="6.75" customWidth="1"/>
    <col min="14337" max="14337" width="0.375" customWidth="1"/>
    <col min="14338" max="14338" width="17.25" customWidth="1"/>
    <col min="14339" max="14339" width="13.375" customWidth="1"/>
    <col min="14340" max="14340" width="9.625" customWidth="1"/>
    <col min="14341" max="14341" width="13.375" customWidth="1"/>
    <col min="14342" max="14342" width="8.625" customWidth="1"/>
    <col min="14343" max="14343" width="15.625" customWidth="1"/>
    <col min="14344" max="14344" width="16.125" customWidth="1"/>
    <col min="14345" max="14345" width="12.5" customWidth="1"/>
    <col min="14346" max="14346" width="12.125" customWidth="1"/>
    <col min="14347" max="14347" width="18.125" customWidth="1"/>
    <col min="14348" max="14348" width="16.25" customWidth="1"/>
    <col min="14349" max="14350" width="12.875" customWidth="1"/>
    <col min="14351" max="14351" width="11.375" customWidth="1"/>
    <col min="14352" max="14352" width="11.75" customWidth="1"/>
    <col min="14353" max="14353" width="10.875" customWidth="1"/>
    <col min="14354" max="14354" width="16" customWidth="1"/>
    <col min="14355" max="14355" width="14.125" customWidth="1"/>
    <col min="14356" max="14356" width="11.75" customWidth="1"/>
    <col min="14357" max="14357" width="13.375" customWidth="1"/>
    <col min="14358" max="14358" width="21.625" customWidth="1"/>
    <col min="14359" max="14359" width="16.125" customWidth="1"/>
    <col min="14360" max="14361" width="14" customWidth="1"/>
    <col min="14362" max="14362" width="9.625" customWidth="1"/>
    <col min="14363" max="14363" width="10.75" customWidth="1"/>
    <col min="14364" max="14364" width="9.625" customWidth="1"/>
    <col min="14365" max="14365" width="9.25" customWidth="1"/>
    <col min="14366" max="14366" width="9.375" customWidth="1"/>
    <col min="14367" max="14368" width="13.25" customWidth="1"/>
    <col min="14369" max="14369" width="8.25" bestFit="1" customWidth="1"/>
    <col min="14370" max="14370" width="10" customWidth="1"/>
    <col min="14372" max="14372" width="9.75" customWidth="1"/>
    <col min="14373" max="14373" width="9.375" customWidth="1"/>
    <col min="14374" max="14374" width="10.5" bestFit="1" customWidth="1"/>
    <col min="14381" max="14381" width="9.625" customWidth="1"/>
    <col min="14382" max="14382" width="14.75" customWidth="1"/>
    <col min="14383" max="14383" width="11.375" customWidth="1"/>
    <col min="14384" max="14384" width="9.875" customWidth="1"/>
    <col min="14385" max="14385" width="10.75" customWidth="1"/>
    <col min="14386" max="14386" width="10.125" bestFit="1" customWidth="1"/>
    <col min="14387" max="14387" width="12.5" customWidth="1"/>
    <col min="14388" max="14388" width="10.625" customWidth="1"/>
    <col min="14391" max="14391" width="15.75" customWidth="1"/>
    <col min="14392" max="14392" width="10" customWidth="1"/>
    <col min="14395" max="14395" width="8.875" customWidth="1"/>
    <col min="14396" max="14396" width="9.625" bestFit="1" customWidth="1"/>
    <col min="14397" max="14397" width="9.375" customWidth="1"/>
    <col min="14399" max="14399" width="7.25" customWidth="1"/>
    <col min="14400" max="14400" width="0" hidden="1" customWidth="1"/>
    <col min="14402" max="14402" width="9.375" customWidth="1"/>
    <col min="14403" max="14403" width="10.375" customWidth="1"/>
    <col min="14404" max="14404" width="15.875" customWidth="1"/>
    <col min="14406" max="14406" width="6.75" customWidth="1"/>
    <col min="14593" max="14593" width="0.375" customWidth="1"/>
    <col min="14594" max="14594" width="17.25" customWidth="1"/>
    <col min="14595" max="14595" width="13.375" customWidth="1"/>
    <col min="14596" max="14596" width="9.625" customWidth="1"/>
    <col min="14597" max="14597" width="13.375" customWidth="1"/>
    <col min="14598" max="14598" width="8.625" customWidth="1"/>
    <col min="14599" max="14599" width="15.625" customWidth="1"/>
    <col min="14600" max="14600" width="16.125" customWidth="1"/>
    <col min="14601" max="14601" width="12.5" customWidth="1"/>
    <col min="14602" max="14602" width="12.125" customWidth="1"/>
    <col min="14603" max="14603" width="18.125" customWidth="1"/>
    <col min="14604" max="14604" width="16.25" customWidth="1"/>
    <col min="14605" max="14606" width="12.875" customWidth="1"/>
    <col min="14607" max="14607" width="11.375" customWidth="1"/>
    <col min="14608" max="14608" width="11.75" customWidth="1"/>
    <col min="14609" max="14609" width="10.875" customWidth="1"/>
    <col min="14610" max="14610" width="16" customWidth="1"/>
    <col min="14611" max="14611" width="14.125" customWidth="1"/>
    <col min="14612" max="14612" width="11.75" customWidth="1"/>
    <col min="14613" max="14613" width="13.375" customWidth="1"/>
    <col min="14614" max="14614" width="21.625" customWidth="1"/>
    <col min="14615" max="14615" width="16.125" customWidth="1"/>
    <col min="14616" max="14617" width="14" customWidth="1"/>
    <col min="14618" max="14618" width="9.625" customWidth="1"/>
    <col min="14619" max="14619" width="10.75" customWidth="1"/>
    <col min="14620" max="14620" width="9.625" customWidth="1"/>
    <col min="14621" max="14621" width="9.25" customWidth="1"/>
    <col min="14622" max="14622" width="9.375" customWidth="1"/>
    <col min="14623" max="14624" width="13.25" customWidth="1"/>
    <col min="14625" max="14625" width="8.25" bestFit="1" customWidth="1"/>
    <col min="14626" max="14626" width="10" customWidth="1"/>
    <col min="14628" max="14628" width="9.75" customWidth="1"/>
    <col min="14629" max="14629" width="9.375" customWidth="1"/>
    <col min="14630" max="14630" width="10.5" bestFit="1" customWidth="1"/>
    <col min="14637" max="14637" width="9.625" customWidth="1"/>
    <col min="14638" max="14638" width="14.75" customWidth="1"/>
    <col min="14639" max="14639" width="11.375" customWidth="1"/>
    <col min="14640" max="14640" width="9.875" customWidth="1"/>
    <col min="14641" max="14641" width="10.75" customWidth="1"/>
    <col min="14642" max="14642" width="10.125" bestFit="1" customWidth="1"/>
    <col min="14643" max="14643" width="12.5" customWidth="1"/>
    <col min="14644" max="14644" width="10.625" customWidth="1"/>
    <col min="14647" max="14647" width="15.75" customWidth="1"/>
    <col min="14648" max="14648" width="10" customWidth="1"/>
    <col min="14651" max="14651" width="8.875" customWidth="1"/>
    <col min="14652" max="14652" width="9.625" bestFit="1" customWidth="1"/>
    <col min="14653" max="14653" width="9.375" customWidth="1"/>
    <col min="14655" max="14655" width="7.25" customWidth="1"/>
    <col min="14656" max="14656" width="0" hidden="1" customWidth="1"/>
    <col min="14658" max="14658" width="9.375" customWidth="1"/>
    <col min="14659" max="14659" width="10.375" customWidth="1"/>
    <col min="14660" max="14660" width="15.875" customWidth="1"/>
    <col min="14662" max="14662" width="6.75" customWidth="1"/>
    <col min="14849" max="14849" width="0.375" customWidth="1"/>
    <col min="14850" max="14850" width="17.25" customWidth="1"/>
    <col min="14851" max="14851" width="13.375" customWidth="1"/>
    <col min="14852" max="14852" width="9.625" customWidth="1"/>
    <col min="14853" max="14853" width="13.375" customWidth="1"/>
    <col min="14854" max="14854" width="8.625" customWidth="1"/>
    <col min="14855" max="14855" width="15.625" customWidth="1"/>
    <col min="14856" max="14856" width="16.125" customWidth="1"/>
    <col min="14857" max="14857" width="12.5" customWidth="1"/>
    <col min="14858" max="14858" width="12.125" customWidth="1"/>
    <col min="14859" max="14859" width="18.125" customWidth="1"/>
    <col min="14860" max="14860" width="16.25" customWidth="1"/>
    <col min="14861" max="14862" width="12.875" customWidth="1"/>
    <col min="14863" max="14863" width="11.375" customWidth="1"/>
    <col min="14864" max="14864" width="11.75" customWidth="1"/>
    <col min="14865" max="14865" width="10.875" customWidth="1"/>
    <col min="14866" max="14866" width="16" customWidth="1"/>
    <col min="14867" max="14867" width="14.125" customWidth="1"/>
    <col min="14868" max="14868" width="11.75" customWidth="1"/>
    <col min="14869" max="14869" width="13.375" customWidth="1"/>
    <col min="14870" max="14870" width="21.625" customWidth="1"/>
    <col min="14871" max="14871" width="16.125" customWidth="1"/>
    <col min="14872" max="14873" width="14" customWidth="1"/>
    <col min="14874" max="14874" width="9.625" customWidth="1"/>
    <col min="14875" max="14875" width="10.75" customWidth="1"/>
    <col min="14876" max="14876" width="9.625" customWidth="1"/>
    <col min="14877" max="14877" width="9.25" customWidth="1"/>
    <col min="14878" max="14878" width="9.375" customWidth="1"/>
    <col min="14879" max="14880" width="13.25" customWidth="1"/>
    <col min="14881" max="14881" width="8.25" bestFit="1" customWidth="1"/>
    <col min="14882" max="14882" width="10" customWidth="1"/>
    <col min="14884" max="14884" width="9.75" customWidth="1"/>
    <col min="14885" max="14885" width="9.375" customWidth="1"/>
    <col min="14886" max="14886" width="10.5" bestFit="1" customWidth="1"/>
    <col min="14893" max="14893" width="9.625" customWidth="1"/>
    <col min="14894" max="14894" width="14.75" customWidth="1"/>
    <col min="14895" max="14895" width="11.375" customWidth="1"/>
    <col min="14896" max="14896" width="9.875" customWidth="1"/>
    <col min="14897" max="14897" width="10.75" customWidth="1"/>
    <col min="14898" max="14898" width="10.125" bestFit="1" customWidth="1"/>
    <col min="14899" max="14899" width="12.5" customWidth="1"/>
    <col min="14900" max="14900" width="10.625" customWidth="1"/>
    <col min="14903" max="14903" width="15.75" customWidth="1"/>
    <col min="14904" max="14904" width="10" customWidth="1"/>
    <col min="14907" max="14907" width="8.875" customWidth="1"/>
    <col min="14908" max="14908" width="9.625" bestFit="1" customWidth="1"/>
    <col min="14909" max="14909" width="9.375" customWidth="1"/>
    <col min="14911" max="14911" width="7.25" customWidth="1"/>
    <col min="14912" max="14912" width="0" hidden="1" customWidth="1"/>
    <col min="14914" max="14914" width="9.375" customWidth="1"/>
    <col min="14915" max="14915" width="10.375" customWidth="1"/>
    <col min="14916" max="14916" width="15.875" customWidth="1"/>
    <col min="14918" max="14918" width="6.75" customWidth="1"/>
    <col min="15105" max="15105" width="0.375" customWidth="1"/>
    <col min="15106" max="15106" width="17.25" customWidth="1"/>
    <col min="15107" max="15107" width="13.375" customWidth="1"/>
    <col min="15108" max="15108" width="9.625" customWidth="1"/>
    <col min="15109" max="15109" width="13.375" customWidth="1"/>
    <col min="15110" max="15110" width="8.625" customWidth="1"/>
    <col min="15111" max="15111" width="15.625" customWidth="1"/>
    <col min="15112" max="15112" width="16.125" customWidth="1"/>
    <col min="15113" max="15113" width="12.5" customWidth="1"/>
    <col min="15114" max="15114" width="12.125" customWidth="1"/>
    <col min="15115" max="15115" width="18.125" customWidth="1"/>
    <col min="15116" max="15116" width="16.25" customWidth="1"/>
    <col min="15117" max="15118" width="12.875" customWidth="1"/>
    <col min="15119" max="15119" width="11.375" customWidth="1"/>
    <col min="15120" max="15120" width="11.75" customWidth="1"/>
    <col min="15121" max="15121" width="10.875" customWidth="1"/>
    <col min="15122" max="15122" width="16" customWidth="1"/>
    <col min="15123" max="15123" width="14.125" customWidth="1"/>
    <col min="15124" max="15124" width="11.75" customWidth="1"/>
    <col min="15125" max="15125" width="13.375" customWidth="1"/>
    <col min="15126" max="15126" width="21.625" customWidth="1"/>
    <col min="15127" max="15127" width="16.125" customWidth="1"/>
    <col min="15128" max="15129" width="14" customWidth="1"/>
    <col min="15130" max="15130" width="9.625" customWidth="1"/>
    <col min="15131" max="15131" width="10.75" customWidth="1"/>
    <col min="15132" max="15132" width="9.625" customWidth="1"/>
    <col min="15133" max="15133" width="9.25" customWidth="1"/>
    <col min="15134" max="15134" width="9.375" customWidth="1"/>
    <col min="15135" max="15136" width="13.25" customWidth="1"/>
    <col min="15137" max="15137" width="8.25" bestFit="1" customWidth="1"/>
    <col min="15138" max="15138" width="10" customWidth="1"/>
    <col min="15140" max="15140" width="9.75" customWidth="1"/>
    <col min="15141" max="15141" width="9.375" customWidth="1"/>
    <col min="15142" max="15142" width="10.5" bestFit="1" customWidth="1"/>
    <col min="15149" max="15149" width="9.625" customWidth="1"/>
    <col min="15150" max="15150" width="14.75" customWidth="1"/>
    <col min="15151" max="15151" width="11.375" customWidth="1"/>
    <col min="15152" max="15152" width="9.875" customWidth="1"/>
    <col min="15153" max="15153" width="10.75" customWidth="1"/>
    <col min="15154" max="15154" width="10.125" bestFit="1" customWidth="1"/>
    <col min="15155" max="15155" width="12.5" customWidth="1"/>
    <col min="15156" max="15156" width="10.625" customWidth="1"/>
    <col min="15159" max="15159" width="15.75" customWidth="1"/>
    <col min="15160" max="15160" width="10" customWidth="1"/>
    <col min="15163" max="15163" width="8.875" customWidth="1"/>
    <col min="15164" max="15164" width="9.625" bestFit="1" customWidth="1"/>
    <col min="15165" max="15165" width="9.375" customWidth="1"/>
    <col min="15167" max="15167" width="7.25" customWidth="1"/>
    <col min="15168" max="15168" width="0" hidden="1" customWidth="1"/>
    <col min="15170" max="15170" width="9.375" customWidth="1"/>
    <col min="15171" max="15171" width="10.375" customWidth="1"/>
    <col min="15172" max="15172" width="15.875" customWidth="1"/>
    <col min="15174" max="15174" width="6.75" customWidth="1"/>
    <col min="15361" max="15361" width="0.375" customWidth="1"/>
    <col min="15362" max="15362" width="17.25" customWidth="1"/>
    <col min="15363" max="15363" width="13.375" customWidth="1"/>
    <col min="15364" max="15364" width="9.625" customWidth="1"/>
    <col min="15365" max="15365" width="13.375" customWidth="1"/>
    <col min="15366" max="15366" width="8.625" customWidth="1"/>
    <col min="15367" max="15367" width="15.625" customWidth="1"/>
    <col min="15368" max="15368" width="16.125" customWidth="1"/>
    <col min="15369" max="15369" width="12.5" customWidth="1"/>
    <col min="15370" max="15370" width="12.125" customWidth="1"/>
    <col min="15371" max="15371" width="18.125" customWidth="1"/>
    <col min="15372" max="15372" width="16.25" customWidth="1"/>
    <col min="15373" max="15374" width="12.875" customWidth="1"/>
    <col min="15375" max="15375" width="11.375" customWidth="1"/>
    <col min="15376" max="15376" width="11.75" customWidth="1"/>
    <col min="15377" max="15377" width="10.875" customWidth="1"/>
    <col min="15378" max="15378" width="16" customWidth="1"/>
    <col min="15379" max="15379" width="14.125" customWidth="1"/>
    <col min="15380" max="15380" width="11.75" customWidth="1"/>
    <col min="15381" max="15381" width="13.375" customWidth="1"/>
    <col min="15382" max="15382" width="21.625" customWidth="1"/>
    <col min="15383" max="15383" width="16.125" customWidth="1"/>
    <col min="15384" max="15385" width="14" customWidth="1"/>
    <col min="15386" max="15386" width="9.625" customWidth="1"/>
    <col min="15387" max="15387" width="10.75" customWidth="1"/>
    <col min="15388" max="15388" width="9.625" customWidth="1"/>
    <col min="15389" max="15389" width="9.25" customWidth="1"/>
    <col min="15390" max="15390" width="9.375" customWidth="1"/>
    <col min="15391" max="15392" width="13.25" customWidth="1"/>
    <col min="15393" max="15393" width="8.25" bestFit="1" customWidth="1"/>
    <col min="15394" max="15394" width="10" customWidth="1"/>
    <col min="15396" max="15396" width="9.75" customWidth="1"/>
    <col min="15397" max="15397" width="9.375" customWidth="1"/>
    <col min="15398" max="15398" width="10.5" bestFit="1" customWidth="1"/>
    <col min="15405" max="15405" width="9.625" customWidth="1"/>
    <col min="15406" max="15406" width="14.75" customWidth="1"/>
    <col min="15407" max="15407" width="11.375" customWidth="1"/>
    <col min="15408" max="15408" width="9.875" customWidth="1"/>
    <col min="15409" max="15409" width="10.75" customWidth="1"/>
    <col min="15410" max="15410" width="10.125" bestFit="1" customWidth="1"/>
    <col min="15411" max="15411" width="12.5" customWidth="1"/>
    <col min="15412" max="15412" width="10.625" customWidth="1"/>
    <col min="15415" max="15415" width="15.75" customWidth="1"/>
    <col min="15416" max="15416" width="10" customWidth="1"/>
    <col min="15419" max="15419" width="8.875" customWidth="1"/>
    <col min="15420" max="15420" width="9.625" bestFit="1" customWidth="1"/>
    <col min="15421" max="15421" width="9.375" customWidth="1"/>
    <col min="15423" max="15423" width="7.25" customWidth="1"/>
    <col min="15424" max="15424" width="0" hidden="1" customWidth="1"/>
    <col min="15426" max="15426" width="9.375" customWidth="1"/>
    <col min="15427" max="15427" width="10.375" customWidth="1"/>
    <col min="15428" max="15428" width="15.875" customWidth="1"/>
    <col min="15430" max="15430" width="6.75" customWidth="1"/>
    <col min="15617" max="15617" width="0.375" customWidth="1"/>
    <col min="15618" max="15618" width="17.25" customWidth="1"/>
    <col min="15619" max="15619" width="13.375" customWidth="1"/>
    <col min="15620" max="15620" width="9.625" customWidth="1"/>
    <col min="15621" max="15621" width="13.375" customWidth="1"/>
    <col min="15622" max="15622" width="8.625" customWidth="1"/>
    <col min="15623" max="15623" width="15.625" customWidth="1"/>
    <col min="15624" max="15624" width="16.125" customWidth="1"/>
    <col min="15625" max="15625" width="12.5" customWidth="1"/>
    <col min="15626" max="15626" width="12.125" customWidth="1"/>
    <col min="15627" max="15627" width="18.125" customWidth="1"/>
    <col min="15628" max="15628" width="16.25" customWidth="1"/>
    <col min="15629" max="15630" width="12.875" customWidth="1"/>
    <col min="15631" max="15631" width="11.375" customWidth="1"/>
    <col min="15632" max="15632" width="11.75" customWidth="1"/>
    <col min="15633" max="15633" width="10.875" customWidth="1"/>
    <col min="15634" max="15634" width="16" customWidth="1"/>
    <col min="15635" max="15635" width="14.125" customWidth="1"/>
    <col min="15636" max="15636" width="11.75" customWidth="1"/>
    <col min="15637" max="15637" width="13.375" customWidth="1"/>
    <col min="15638" max="15638" width="21.625" customWidth="1"/>
    <col min="15639" max="15639" width="16.125" customWidth="1"/>
    <col min="15640" max="15641" width="14" customWidth="1"/>
    <col min="15642" max="15642" width="9.625" customWidth="1"/>
    <col min="15643" max="15643" width="10.75" customWidth="1"/>
    <col min="15644" max="15644" width="9.625" customWidth="1"/>
    <col min="15645" max="15645" width="9.25" customWidth="1"/>
    <col min="15646" max="15646" width="9.375" customWidth="1"/>
    <col min="15647" max="15648" width="13.25" customWidth="1"/>
    <col min="15649" max="15649" width="8.25" bestFit="1" customWidth="1"/>
    <col min="15650" max="15650" width="10" customWidth="1"/>
    <col min="15652" max="15652" width="9.75" customWidth="1"/>
    <col min="15653" max="15653" width="9.375" customWidth="1"/>
    <col min="15654" max="15654" width="10.5" bestFit="1" customWidth="1"/>
    <col min="15661" max="15661" width="9.625" customWidth="1"/>
    <col min="15662" max="15662" width="14.75" customWidth="1"/>
    <col min="15663" max="15663" width="11.375" customWidth="1"/>
    <col min="15664" max="15664" width="9.875" customWidth="1"/>
    <col min="15665" max="15665" width="10.75" customWidth="1"/>
    <col min="15666" max="15666" width="10.125" bestFit="1" customWidth="1"/>
    <col min="15667" max="15667" width="12.5" customWidth="1"/>
    <col min="15668" max="15668" width="10.625" customWidth="1"/>
    <col min="15671" max="15671" width="15.75" customWidth="1"/>
    <col min="15672" max="15672" width="10" customWidth="1"/>
    <col min="15675" max="15675" width="8.875" customWidth="1"/>
    <col min="15676" max="15676" width="9.625" bestFit="1" customWidth="1"/>
    <col min="15677" max="15677" width="9.375" customWidth="1"/>
    <col min="15679" max="15679" width="7.25" customWidth="1"/>
    <col min="15680" max="15680" width="0" hidden="1" customWidth="1"/>
    <col min="15682" max="15682" width="9.375" customWidth="1"/>
    <col min="15683" max="15683" width="10.375" customWidth="1"/>
    <col min="15684" max="15684" width="15.875" customWidth="1"/>
    <col min="15686" max="15686" width="6.75" customWidth="1"/>
    <col min="15873" max="15873" width="0.375" customWidth="1"/>
    <col min="15874" max="15874" width="17.25" customWidth="1"/>
    <col min="15875" max="15875" width="13.375" customWidth="1"/>
    <col min="15876" max="15876" width="9.625" customWidth="1"/>
    <col min="15877" max="15877" width="13.375" customWidth="1"/>
    <col min="15878" max="15878" width="8.625" customWidth="1"/>
    <col min="15879" max="15879" width="15.625" customWidth="1"/>
    <col min="15880" max="15880" width="16.125" customWidth="1"/>
    <col min="15881" max="15881" width="12.5" customWidth="1"/>
    <col min="15882" max="15882" width="12.125" customWidth="1"/>
    <col min="15883" max="15883" width="18.125" customWidth="1"/>
    <col min="15884" max="15884" width="16.25" customWidth="1"/>
    <col min="15885" max="15886" width="12.875" customWidth="1"/>
    <col min="15887" max="15887" width="11.375" customWidth="1"/>
    <col min="15888" max="15888" width="11.75" customWidth="1"/>
    <col min="15889" max="15889" width="10.875" customWidth="1"/>
    <col min="15890" max="15890" width="16" customWidth="1"/>
    <col min="15891" max="15891" width="14.125" customWidth="1"/>
    <col min="15892" max="15892" width="11.75" customWidth="1"/>
    <col min="15893" max="15893" width="13.375" customWidth="1"/>
    <col min="15894" max="15894" width="21.625" customWidth="1"/>
    <col min="15895" max="15895" width="16.125" customWidth="1"/>
    <col min="15896" max="15897" width="14" customWidth="1"/>
    <col min="15898" max="15898" width="9.625" customWidth="1"/>
    <col min="15899" max="15899" width="10.75" customWidth="1"/>
    <col min="15900" max="15900" width="9.625" customWidth="1"/>
    <col min="15901" max="15901" width="9.25" customWidth="1"/>
    <col min="15902" max="15902" width="9.375" customWidth="1"/>
    <col min="15903" max="15904" width="13.25" customWidth="1"/>
    <col min="15905" max="15905" width="8.25" bestFit="1" customWidth="1"/>
    <col min="15906" max="15906" width="10" customWidth="1"/>
    <col min="15908" max="15908" width="9.75" customWidth="1"/>
    <col min="15909" max="15909" width="9.375" customWidth="1"/>
    <col min="15910" max="15910" width="10.5" bestFit="1" customWidth="1"/>
    <col min="15917" max="15917" width="9.625" customWidth="1"/>
    <col min="15918" max="15918" width="14.75" customWidth="1"/>
    <col min="15919" max="15919" width="11.375" customWidth="1"/>
    <col min="15920" max="15920" width="9.875" customWidth="1"/>
    <col min="15921" max="15921" width="10.75" customWidth="1"/>
    <col min="15922" max="15922" width="10.125" bestFit="1" customWidth="1"/>
    <col min="15923" max="15923" width="12.5" customWidth="1"/>
    <col min="15924" max="15924" width="10.625" customWidth="1"/>
    <col min="15927" max="15927" width="15.75" customWidth="1"/>
    <col min="15928" max="15928" width="10" customWidth="1"/>
    <col min="15931" max="15931" width="8.875" customWidth="1"/>
    <col min="15932" max="15932" width="9.625" bestFit="1" customWidth="1"/>
    <col min="15933" max="15933" width="9.375" customWidth="1"/>
    <col min="15935" max="15935" width="7.25" customWidth="1"/>
    <col min="15936" max="15936" width="0" hidden="1" customWidth="1"/>
    <col min="15938" max="15938" width="9.375" customWidth="1"/>
    <col min="15939" max="15939" width="10.375" customWidth="1"/>
    <col min="15940" max="15940" width="15.875" customWidth="1"/>
    <col min="15942" max="15942" width="6.75" customWidth="1"/>
    <col min="16129" max="16129" width="0.375" customWidth="1"/>
    <col min="16130" max="16130" width="17.25" customWidth="1"/>
    <col min="16131" max="16131" width="13.375" customWidth="1"/>
    <col min="16132" max="16132" width="9.625" customWidth="1"/>
    <col min="16133" max="16133" width="13.375" customWidth="1"/>
    <col min="16134" max="16134" width="8.625" customWidth="1"/>
    <col min="16135" max="16135" width="15.625" customWidth="1"/>
    <col min="16136" max="16136" width="16.125" customWidth="1"/>
    <col min="16137" max="16137" width="12.5" customWidth="1"/>
    <col min="16138" max="16138" width="12.125" customWidth="1"/>
    <col min="16139" max="16139" width="18.125" customWidth="1"/>
    <col min="16140" max="16140" width="16.25" customWidth="1"/>
    <col min="16141" max="16142" width="12.875" customWidth="1"/>
    <col min="16143" max="16143" width="11.375" customWidth="1"/>
    <col min="16144" max="16144" width="11.75" customWidth="1"/>
    <col min="16145" max="16145" width="10.875" customWidth="1"/>
    <col min="16146" max="16146" width="16" customWidth="1"/>
    <col min="16147" max="16147" width="14.125" customWidth="1"/>
    <col min="16148" max="16148" width="11.75" customWidth="1"/>
    <col min="16149" max="16149" width="13.375" customWidth="1"/>
    <col min="16150" max="16150" width="21.625" customWidth="1"/>
    <col min="16151" max="16151" width="16.125" customWidth="1"/>
    <col min="16152" max="16153" width="14" customWidth="1"/>
    <col min="16154" max="16154" width="9.625" customWidth="1"/>
    <col min="16155" max="16155" width="10.75" customWidth="1"/>
    <col min="16156" max="16156" width="9.625" customWidth="1"/>
    <col min="16157" max="16157" width="9.25" customWidth="1"/>
    <col min="16158" max="16158" width="9.375" customWidth="1"/>
    <col min="16159" max="16160" width="13.25" customWidth="1"/>
    <col min="16161" max="16161" width="8.25" bestFit="1" customWidth="1"/>
    <col min="16162" max="16162" width="10" customWidth="1"/>
    <col min="16164" max="16164" width="9.75" customWidth="1"/>
    <col min="16165" max="16165" width="9.375" customWidth="1"/>
    <col min="16166" max="16166" width="10.5" bestFit="1" customWidth="1"/>
    <col min="16173" max="16173" width="9.625" customWidth="1"/>
    <col min="16174" max="16174" width="14.75" customWidth="1"/>
    <col min="16175" max="16175" width="11.375" customWidth="1"/>
    <col min="16176" max="16176" width="9.875" customWidth="1"/>
    <col min="16177" max="16177" width="10.75" customWidth="1"/>
    <col min="16178" max="16178" width="10.125" bestFit="1" customWidth="1"/>
    <col min="16179" max="16179" width="12.5" customWidth="1"/>
    <col min="16180" max="16180" width="10.625" customWidth="1"/>
    <col min="16183" max="16183" width="15.75" customWidth="1"/>
    <col min="16184" max="16184" width="10" customWidth="1"/>
    <col min="16187" max="16187" width="8.875" customWidth="1"/>
    <col min="16188" max="16188" width="9.625" bestFit="1" customWidth="1"/>
    <col min="16189" max="16189" width="9.375" customWidth="1"/>
    <col min="16191" max="16191" width="7.25" customWidth="1"/>
    <col min="16192" max="16192" width="0" hidden="1" customWidth="1"/>
    <col min="16194" max="16194" width="9.375" customWidth="1"/>
    <col min="16195" max="16195" width="10.375" customWidth="1"/>
    <col min="16196" max="16196" width="15.875" customWidth="1"/>
    <col min="16198" max="16198" width="6.75" customWidth="1"/>
  </cols>
  <sheetData>
    <row r="1" spans="1:124" ht="16.5" thickTop="1" thickBot="1" x14ac:dyDescent="0.3">
      <c r="B1" s="23" t="s">
        <v>52</v>
      </c>
      <c r="C1" s="24"/>
      <c r="D1" s="25"/>
      <c r="E1" s="25"/>
      <c r="F1" s="26"/>
      <c r="G1" s="27"/>
      <c r="H1" s="27" t="s">
        <v>53</v>
      </c>
      <c r="I1" s="27"/>
      <c r="J1" s="27"/>
      <c r="K1" s="27"/>
      <c r="L1" s="27"/>
      <c r="M1" s="27"/>
      <c r="N1" s="27"/>
      <c r="O1" s="27"/>
      <c r="P1" s="27">
        <f>N82</f>
        <v>6300.0034374999996</v>
      </c>
      <c r="Q1" s="27" t="e">
        <f>VLOOKUP($I$32,K157:L173,2)</f>
        <v>#N/A</v>
      </c>
      <c r="R1" s="27" t="s">
        <v>54</v>
      </c>
      <c r="S1" s="27">
        <f>ROUND((J4-AQ17)/365.25,2)</f>
        <v>-110.72</v>
      </c>
      <c r="T1" s="27"/>
      <c r="U1" s="27"/>
      <c r="V1" s="27"/>
      <c r="W1" s="27" t="s">
        <v>55</v>
      </c>
      <c r="X1" s="27">
        <f>IF(BG60-INT(BG60)=0.5,1,0)</f>
        <v>0</v>
      </c>
      <c r="Y1" s="27">
        <f>IF(X1=0,0,IF(BG60&lt;=7,3.75,4.25))</f>
        <v>0</v>
      </c>
      <c r="Z1" s="27"/>
      <c r="AA1" s="27" t="s">
        <v>56</v>
      </c>
      <c r="AB1" s="27"/>
      <c r="AC1" s="27"/>
      <c r="AD1" s="27"/>
      <c r="AE1" s="27"/>
      <c r="AF1" s="27"/>
      <c r="AG1" s="27"/>
      <c r="AH1" s="27"/>
      <c r="AI1" s="27"/>
      <c r="AJ1" s="27"/>
      <c r="AK1" s="27"/>
      <c r="AL1" s="27"/>
      <c r="AM1" s="27"/>
      <c r="AN1" s="27" t="s">
        <v>57</v>
      </c>
      <c r="AO1" s="27"/>
      <c r="AP1" s="27"/>
      <c r="AQ1" s="27"/>
      <c r="AR1" s="27"/>
      <c r="AS1" s="27"/>
      <c r="AT1" s="27"/>
      <c r="AU1" s="27"/>
      <c r="AV1" s="27"/>
      <c r="AW1" s="27"/>
      <c r="AX1" s="27"/>
      <c r="AY1" s="27"/>
      <c r="AZ1" s="27"/>
      <c r="BA1" s="27" t="s">
        <v>58</v>
      </c>
      <c r="BB1" s="27"/>
      <c r="BC1" s="27"/>
      <c r="BD1" s="27"/>
      <c r="BE1" s="27"/>
      <c r="BF1" s="27"/>
      <c r="BG1" s="27"/>
      <c r="BH1" s="27"/>
      <c r="BI1" s="27"/>
      <c r="BJ1" s="27"/>
      <c r="BK1" s="27"/>
      <c r="BL1" s="27"/>
      <c r="BM1" s="27"/>
      <c r="BN1" s="27"/>
      <c r="BO1" s="27"/>
      <c r="BP1" s="27"/>
      <c r="BQ1" s="27"/>
      <c r="BR1" s="27"/>
      <c r="BS1" s="27"/>
      <c r="BT1" s="27"/>
      <c r="BU1" s="27"/>
      <c r="BV1" s="27"/>
      <c r="BW1" s="27"/>
      <c r="BX1" s="27"/>
      <c r="BY1" s="27"/>
      <c r="BZ1" s="27"/>
      <c r="CA1" s="27"/>
      <c r="CB1" s="27"/>
      <c r="CC1" s="27"/>
      <c r="CD1" s="27"/>
      <c r="CE1" s="27"/>
      <c r="CF1" s="27"/>
      <c r="CG1" s="27"/>
      <c r="CH1" s="27"/>
      <c r="CI1" s="27"/>
      <c r="CJ1" s="27"/>
      <c r="CK1" s="27"/>
      <c r="CL1" s="27"/>
      <c r="CM1" s="27"/>
      <c r="CN1" s="27"/>
      <c r="CO1" s="27"/>
      <c r="CP1" s="27"/>
      <c r="CQ1" s="27"/>
      <c r="CR1" s="27"/>
      <c r="CS1" s="27"/>
      <c r="CT1" s="27"/>
      <c r="CU1" s="27"/>
      <c r="CV1" s="27"/>
      <c r="CW1" s="27"/>
      <c r="CX1" s="27"/>
      <c r="CY1" s="27"/>
      <c r="CZ1" s="27"/>
      <c r="DA1" s="27"/>
      <c r="DB1" s="27"/>
      <c r="DC1" s="27"/>
      <c r="DD1" s="27"/>
      <c r="DE1" s="27"/>
      <c r="DF1" s="27"/>
      <c r="DG1" s="27"/>
      <c r="DH1" s="27"/>
      <c r="DI1" s="27"/>
      <c r="DJ1" s="27"/>
      <c r="DK1" s="27"/>
      <c r="DL1" s="27"/>
      <c r="DM1" s="27"/>
      <c r="DN1" s="27"/>
      <c r="DO1" s="27"/>
      <c r="DP1" s="27"/>
      <c r="DQ1" s="27"/>
      <c r="DR1" s="27"/>
      <c r="DS1" s="27"/>
      <c r="DT1" s="27"/>
    </row>
    <row r="2" spans="1:124" ht="17.25" thickTop="1" thickBot="1" x14ac:dyDescent="0.3">
      <c r="B2" s="28" t="s">
        <v>59</v>
      </c>
      <c r="C2" s="29" t="s">
        <v>60</v>
      </c>
      <c r="D2" s="30"/>
      <c r="E2" s="30"/>
      <c r="F2" s="31" t="s">
        <v>61</v>
      </c>
      <c r="G2" s="27"/>
      <c r="H2" s="27"/>
      <c r="I2" s="27"/>
      <c r="J2" s="27"/>
      <c r="K2" s="27"/>
      <c r="L2" s="27"/>
      <c r="M2" s="27" t="s">
        <v>62</v>
      </c>
      <c r="N2" s="27">
        <f>I31</f>
        <v>0</v>
      </c>
      <c r="O2" s="27"/>
      <c r="P2" s="27" t="e">
        <f>VLOOKUP(Q2,טור,1,1)</f>
        <v>#REF!</v>
      </c>
      <c r="Q2" s="27" t="e">
        <f>IF(#REF!&lt;N82,M82,IF(#REF!&lt;N83,M83,IF(#REF!&lt;N84,M84,IF(#REF!&lt;N85,M85,IF(#REF!&lt;N86,M86,IF(#REF!&lt;N87,M87,IF(#REF!&lt;N88,M88,IF(#REF!&lt;N89,M89,R2))))))))</f>
        <v>#REF!</v>
      </c>
      <c r="R2" s="27" t="e">
        <f>IF(#REF!&lt;N90,M90,IF(#REF!&lt;N91,M91,IF(#REF!&lt;N92,M92,IF(#REF!&lt;N93,M93,IF(#REF!&lt;N94,M94,IF(#REF!&lt;N95,M95,IF(#REF!&lt;N96,M96,IF(#REF!&lt;N97,M97,M98))))))))</f>
        <v>#REF!</v>
      </c>
      <c r="S2" s="27"/>
      <c r="T2" s="27" t="s">
        <v>63</v>
      </c>
      <c r="U2" s="27" t="s">
        <v>27</v>
      </c>
      <c r="V2" s="27"/>
      <c r="W2" s="27" t="s">
        <v>64</v>
      </c>
      <c r="X2" s="27">
        <v>0.03</v>
      </c>
      <c r="Y2" s="27">
        <f>1+(Y1/100)</f>
        <v>1</v>
      </c>
      <c r="Z2" s="27"/>
      <c r="AA2" s="27">
        <v>0</v>
      </c>
      <c r="AB2" s="27">
        <v>0</v>
      </c>
      <c r="AC2" s="27"/>
      <c r="AD2" s="27" t="s">
        <v>65</v>
      </c>
      <c r="AE2" s="27"/>
      <c r="AF2" s="27"/>
      <c r="AG2" s="27"/>
      <c r="AH2" s="27"/>
      <c r="AI2" s="27"/>
      <c r="AJ2" s="27"/>
      <c r="AK2" s="27"/>
      <c r="AL2" s="27"/>
      <c r="AM2" s="27"/>
      <c r="AN2" s="27" t="s">
        <v>66</v>
      </c>
      <c r="AO2" s="27"/>
      <c r="AP2" s="27"/>
      <c r="AQ2" s="27"/>
      <c r="AR2" s="27"/>
      <c r="AS2" s="27"/>
      <c r="AT2" s="27"/>
      <c r="AU2" s="27"/>
      <c r="AV2" s="27"/>
      <c r="AW2" s="27"/>
      <c r="AX2" s="27"/>
      <c r="AY2" s="27"/>
      <c r="AZ2" s="27"/>
      <c r="BA2" s="27">
        <v>0</v>
      </c>
      <c r="BB2" s="27">
        <v>0</v>
      </c>
      <c r="BC2" s="27"/>
      <c r="BD2" s="27"/>
      <c r="BE2" s="27"/>
      <c r="BF2" s="27"/>
      <c r="BG2" s="27"/>
      <c r="BH2" s="27"/>
      <c r="BI2" s="27"/>
      <c r="BJ2" s="27"/>
      <c r="BK2" s="27"/>
      <c r="BL2" s="27"/>
      <c r="BM2" s="27"/>
      <c r="BN2" s="27"/>
      <c r="BO2" s="27"/>
      <c r="BP2" s="27"/>
      <c r="BQ2" s="27"/>
      <c r="BR2" s="27"/>
      <c r="BS2" s="27"/>
      <c r="BT2" s="27"/>
      <c r="BU2" s="27"/>
      <c r="BV2" s="27"/>
      <c r="BW2" s="27"/>
      <c r="BX2" s="27"/>
      <c r="BY2" s="27"/>
      <c r="BZ2" s="27"/>
      <c r="CA2" s="27"/>
      <c r="CB2" s="27"/>
      <c r="CC2" s="27"/>
      <c r="CD2" s="27"/>
      <c r="CE2" s="27"/>
      <c r="CF2" s="27"/>
      <c r="CG2" s="27"/>
      <c r="CH2" s="27"/>
      <c r="CI2" s="27"/>
      <c r="CJ2" s="27"/>
      <c r="CK2" s="27"/>
      <c r="CL2" s="27"/>
      <c r="CM2" s="27"/>
      <c r="CN2" s="27"/>
      <c r="CO2" s="27"/>
      <c r="CP2" s="27"/>
      <c r="CQ2" s="27"/>
      <c r="CR2" s="27"/>
      <c r="CS2" s="27"/>
      <c r="CT2" s="27"/>
      <c r="CU2" s="27"/>
      <c r="CV2" s="27"/>
      <c r="CW2" s="27"/>
      <c r="CX2" s="27"/>
      <c r="CY2" s="27"/>
      <c r="CZ2" s="27"/>
      <c r="DA2" s="27"/>
      <c r="DB2" s="27"/>
      <c r="DC2" s="27"/>
      <c r="DD2" s="27"/>
      <c r="DE2" s="27"/>
      <c r="DF2" s="27"/>
      <c r="DG2" s="27"/>
      <c r="DH2" s="27"/>
      <c r="DI2" s="27"/>
      <c r="DJ2" s="27"/>
      <c r="DK2" s="27"/>
      <c r="DL2" s="27"/>
      <c r="DM2" s="27"/>
      <c r="DN2" s="27"/>
      <c r="DO2" s="27"/>
      <c r="DP2" s="27"/>
      <c r="DQ2" s="27"/>
      <c r="DR2" s="27"/>
      <c r="DS2" s="27"/>
      <c r="DT2" s="27"/>
    </row>
    <row r="3" spans="1:124" ht="15.75" thickTop="1" thickBot="1" x14ac:dyDescent="0.25">
      <c r="B3" s="27"/>
      <c r="C3" s="27"/>
      <c r="D3" s="27"/>
      <c r="E3" s="27"/>
      <c r="F3" s="27"/>
      <c r="G3" s="27" t="str">
        <f>IF(OR($C$5=$CB$16,$C$5=$CC$16,$C$5=CD16),$S$723,IF($C$5=CE16,$S$724,IF($C$5=CF16,$S$725,S726)))</f>
        <v>מנהל אקדמאי קיים</v>
      </c>
      <c r="H3" s="27"/>
      <c r="I3" s="27"/>
      <c r="J3" s="27"/>
      <c r="K3" s="27"/>
      <c r="L3" s="27"/>
      <c r="M3" s="27" t="s">
        <v>67</v>
      </c>
      <c r="N3" s="27">
        <f>J32</f>
        <v>0</v>
      </c>
      <c r="O3" s="27"/>
      <c r="P3" s="27" t="s">
        <v>68</v>
      </c>
      <c r="Q3" s="27" t="s">
        <v>69</v>
      </c>
      <c r="R3" s="27"/>
      <c r="S3" s="27"/>
      <c r="T3" s="27" t="s">
        <v>70</v>
      </c>
      <c r="U3" s="27" t="s">
        <v>71</v>
      </c>
      <c r="V3" s="27"/>
      <c r="W3" s="27" t="s">
        <v>72</v>
      </c>
      <c r="X3" s="27">
        <v>4.8099999999999997E-2</v>
      </c>
      <c r="Y3" s="27"/>
      <c r="Z3" s="27"/>
      <c r="AA3" s="27">
        <v>1</v>
      </c>
      <c r="AB3" s="27">
        <v>0.47499999999999998</v>
      </c>
      <c r="AC3" s="27" t="s">
        <v>59</v>
      </c>
      <c r="AD3" s="27">
        <v>0.09</v>
      </c>
      <c r="AE3" s="27" t="s">
        <v>73</v>
      </c>
      <c r="AF3" s="27"/>
      <c r="AG3" s="27"/>
      <c r="AH3" s="27"/>
      <c r="AI3" s="27"/>
      <c r="AJ3" s="27"/>
      <c r="AK3" s="27"/>
      <c r="AL3" s="27"/>
      <c r="AM3" s="27"/>
      <c r="AN3" s="27">
        <v>1</v>
      </c>
      <c r="AO3" s="27"/>
      <c r="AP3" s="27"/>
      <c r="AQ3" s="27"/>
      <c r="AR3" s="27"/>
      <c r="AS3" s="27"/>
      <c r="AT3" s="27"/>
      <c r="AU3" s="27"/>
      <c r="AV3" s="27"/>
      <c r="AW3" s="27"/>
      <c r="AX3" s="27"/>
      <c r="AY3" s="27"/>
      <c r="AZ3" s="27"/>
      <c r="BA3" s="27">
        <v>1</v>
      </c>
      <c r="BB3" s="27">
        <v>0</v>
      </c>
      <c r="BC3" s="27"/>
      <c r="BD3" s="27"/>
      <c r="BE3" s="27"/>
      <c r="BF3" s="27"/>
      <c r="BG3" s="27"/>
      <c r="BH3" s="27"/>
      <c r="BI3" s="27"/>
      <c r="BJ3" s="27"/>
      <c r="BK3" s="27"/>
      <c r="BL3" s="27"/>
      <c r="BM3" s="27"/>
      <c r="BN3" s="27"/>
      <c r="BO3" s="27"/>
      <c r="BP3" s="27"/>
      <c r="BQ3" s="27"/>
      <c r="BR3" s="27"/>
      <c r="BS3" s="27"/>
      <c r="BT3" s="27"/>
      <c r="BU3" s="27"/>
      <c r="BV3" s="27"/>
      <c r="BW3" s="27"/>
      <c r="BX3" s="27"/>
      <c r="BY3" s="27"/>
      <c r="BZ3" s="27"/>
      <c r="CA3" s="27"/>
      <c r="CB3" s="27"/>
      <c r="CC3" s="27"/>
      <c r="CD3" s="27"/>
      <c r="CE3" s="27"/>
      <c r="CF3" s="27"/>
      <c r="CG3" s="27"/>
      <c r="CH3" s="27"/>
      <c r="CI3" s="27"/>
      <c r="CJ3" s="27"/>
      <c r="CK3" s="27"/>
      <c r="CL3" s="27"/>
      <c r="CM3" s="27"/>
      <c r="CN3" s="27"/>
      <c r="CO3" s="27"/>
      <c r="CP3" s="27"/>
      <c r="CQ3" s="27"/>
      <c r="CR3" s="27"/>
      <c r="CS3" s="27"/>
      <c r="CT3" s="27"/>
      <c r="CU3" s="27"/>
      <c r="CV3" s="27"/>
      <c r="CW3" s="27"/>
      <c r="CX3" s="27"/>
      <c r="CY3" s="27"/>
      <c r="CZ3" s="27"/>
      <c r="DA3" s="27"/>
      <c r="DB3" s="27"/>
      <c r="DC3" s="27"/>
      <c r="DD3" s="27"/>
      <c r="DE3" s="27"/>
      <c r="DF3" s="27"/>
      <c r="DG3" s="27"/>
      <c r="DH3" s="27"/>
      <c r="DI3" s="27"/>
      <c r="DJ3" s="27"/>
      <c r="DK3" s="27"/>
      <c r="DL3" s="27"/>
      <c r="DM3" s="27"/>
      <c r="DN3" s="27"/>
      <c r="DO3" s="27"/>
      <c r="DP3" s="27"/>
      <c r="DQ3" s="27"/>
      <c r="DR3" s="27"/>
      <c r="DS3" s="27"/>
      <c r="DT3" s="27"/>
    </row>
    <row r="4" spans="1:124" ht="14.25" customHeight="1" thickTop="1" thickBot="1" x14ac:dyDescent="0.3">
      <c r="B4" s="32" t="s">
        <v>610</v>
      </c>
      <c r="C4" s="33"/>
      <c r="D4" s="34" t="s">
        <v>74</v>
      </c>
      <c r="E4" s="34"/>
      <c r="F4" s="34"/>
      <c r="G4" s="27"/>
      <c r="H4" s="27"/>
      <c r="I4" s="27"/>
      <c r="J4" s="27"/>
      <c r="K4" s="27"/>
      <c r="L4" s="27"/>
      <c r="M4" s="27"/>
      <c r="N4" s="27"/>
      <c r="O4" s="27"/>
      <c r="P4" s="27">
        <f>VLOOKUP(INT(1),horaa2,$AJ$8+2,FALSE)*$AB$44</f>
        <v>2967.49</v>
      </c>
      <c r="Q4" s="27"/>
      <c r="R4" s="27"/>
      <c r="S4" s="27"/>
      <c r="T4" s="27" t="s">
        <v>75</v>
      </c>
      <c r="U4" s="27" t="s">
        <v>76</v>
      </c>
      <c r="V4" s="27"/>
      <c r="W4" s="27"/>
      <c r="X4" s="27"/>
      <c r="Y4" s="27"/>
      <c r="Z4" s="27"/>
      <c r="AA4" s="27">
        <v>2</v>
      </c>
      <c r="AB4" s="27">
        <v>0.495</v>
      </c>
      <c r="AC4" s="27" t="s">
        <v>59</v>
      </c>
      <c r="AD4" s="27">
        <v>8.2500000000000004E-2</v>
      </c>
      <c r="AE4" s="27" t="s">
        <v>77</v>
      </c>
      <c r="AF4" s="27"/>
      <c r="AG4" s="27"/>
      <c r="AH4" s="27"/>
      <c r="AI4" s="27"/>
      <c r="AJ4" s="27"/>
      <c r="AK4" s="27"/>
      <c r="AL4" s="27"/>
      <c r="AM4" s="27"/>
      <c r="AN4" s="27">
        <v>1.5</v>
      </c>
      <c r="AO4" s="27"/>
      <c r="AP4" s="27"/>
      <c r="AQ4" s="27"/>
      <c r="AR4" s="27"/>
      <c r="AS4" s="27"/>
      <c r="AT4" s="27"/>
      <c r="AU4" s="27"/>
      <c r="AV4" s="27"/>
      <c r="AW4" s="27"/>
      <c r="AX4" s="27"/>
      <c r="AY4" s="27"/>
      <c r="AZ4" s="27"/>
      <c r="BA4" s="27">
        <v>2</v>
      </c>
      <c r="BB4" s="27">
        <v>2.4E-2</v>
      </c>
      <c r="BC4" s="27"/>
      <c r="BD4" s="27"/>
      <c r="BE4" s="27"/>
      <c r="BF4" s="27"/>
      <c r="BG4" s="27"/>
      <c r="BH4" s="27"/>
      <c r="BI4" s="27"/>
      <c r="BJ4" s="27"/>
      <c r="BK4" s="27"/>
      <c r="BL4" s="27"/>
      <c r="BM4" s="27"/>
      <c r="BN4" s="27"/>
      <c r="BO4" s="27"/>
      <c r="BP4" s="27"/>
      <c r="BQ4" s="27"/>
      <c r="BR4" s="27"/>
      <c r="BS4" s="27"/>
      <c r="BT4" s="27"/>
      <c r="BU4" s="27"/>
      <c r="BV4" s="27"/>
      <c r="BW4" s="27"/>
      <c r="BX4" s="27"/>
      <c r="BY4" s="27"/>
      <c r="BZ4" s="27"/>
      <c r="CA4" s="27"/>
      <c r="CB4" s="27"/>
      <c r="CC4" s="27"/>
      <c r="CD4" s="27"/>
      <c r="CE4" s="27"/>
      <c r="CF4" s="27"/>
      <c r="CG4" s="27"/>
      <c r="CH4" s="27"/>
      <c r="CI4" s="27"/>
      <c r="CJ4" s="27"/>
      <c r="CK4" s="27"/>
      <c r="CL4" s="27"/>
      <c r="CM4" s="27"/>
      <c r="CN4" s="27"/>
      <c r="CO4" s="27"/>
      <c r="CP4" s="27"/>
      <c r="CQ4" s="27"/>
      <c r="CR4" s="27"/>
      <c r="CS4" s="27"/>
      <c r="CT4" s="27"/>
      <c r="CU4" s="27"/>
      <c r="CV4" s="27"/>
      <c r="CW4" s="27"/>
      <c r="CX4" s="27"/>
      <c r="CY4" s="27"/>
      <c r="CZ4" s="27"/>
      <c r="DA4" s="27"/>
      <c r="DB4" s="27"/>
      <c r="DC4" s="27"/>
      <c r="DD4" s="27"/>
      <c r="DE4" s="27"/>
      <c r="DF4" s="27"/>
      <c r="DG4" s="27"/>
      <c r="DH4" s="27"/>
      <c r="DI4" s="27"/>
      <c r="DJ4" s="27"/>
      <c r="DK4" s="27"/>
      <c r="DL4" s="27"/>
      <c r="DM4" s="27"/>
      <c r="DN4" s="27"/>
      <c r="DO4" s="27"/>
      <c r="DP4" s="27"/>
      <c r="DQ4" s="27"/>
      <c r="DR4" s="27"/>
      <c r="DS4" s="27"/>
      <c r="DT4" s="27"/>
    </row>
    <row r="5" spans="1:124" ht="15.75" customHeight="1" thickTop="1" x14ac:dyDescent="0.25">
      <c r="B5" s="35" t="s">
        <v>0</v>
      </c>
      <c r="C5" s="36" t="s">
        <v>1</v>
      </c>
      <c r="D5" s="37" t="s">
        <v>24</v>
      </c>
      <c r="E5" s="38"/>
      <c r="F5" s="27"/>
      <c r="G5" s="27"/>
      <c r="H5" s="27"/>
      <c r="I5" s="27"/>
      <c r="J5" s="27"/>
      <c r="K5" s="27"/>
      <c r="L5" s="27"/>
      <c r="M5" s="27" t="s">
        <v>78</v>
      </c>
      <c r="N5" s="27"/>
      <c r="O5" s="27"/>
      <c r="P5" s="27" t="s">
        <v>79</v>
      </c>
      <c r="Q5" s="27" t="e">
        <f>VLOOKUP(INT(#REF!),ofek4,BG60+2,FALSE)*(1+AG36/100)*Y16*Y2</f>
        <v>#REF!</v>
      </c>
      <c r="R5" s="27">
        <f>VLOOKUP(INT(AB42),horaa2,AJ17+2,FALSE)*(1)</f>
        <v>6975.17</v>
      </c>
      <c r="S5" s="27"/>
      <c r="T5" s="27" t="e">
        <f>VLOOKUP(INT(T9),ofek4,V9+2,FALSE)*(1+AG36/100)*Y16*Y2</f>
        <v>#REF!</v>
      </c>
      <c r="U5" s="27" t="e">
        <f>VLOOKUP(INT(T9),ofek4,V9+2,FALSE)*(1+AG36/100)*Y16*Y2</f>
        <v>#REF!</v>
      </c>
      <c r="V5" s="27"/>
      <c r="W5" s="27"/>
      <c r="X5" s="27"/>
      <c r="Y5" s="27"/>
      <c r="Z5" s="27"/>
      <c r="AA5" s="27">
        <v>3</v>
      </c>
      <c r="AB5" s="27">
        <v>0.51</v>
      </c>
      <c r="AC5" s="27" t="s">
        <v>59</v>
      </c>
      <c r="AD5" s="27">
        <v>7.4999999999999997E-2</v>
      </c>
      <c r="AE5" s="27" t="s">
        <v>80</v>
      </c>
      <c r="AF5" s="27"/>
      <c r="AG5" s="27"/>
      <c r="AH5" s="27"/>
      <c r="AI5" s="27"/>
      <c r="AJ5" s="27"/>
      <c r="AK5" s="27"/>
      <c r="AL5" s="27"/>
      <c r="AM5" s="27"/>
      <c r="AN5" s="27">
        <v>2</v>
      </c>
      <c r="AO5" s="27"/>
      <c r="AP5" s="27"/>
      <c r="AQ5" s="27"/>
      <c r="AR5" s="27"/>
      <c r="AS5" s="27"/>
      <c r="AT5" s="27"/>
      <c r="AU5" s="27"/>
      <c r="AV5" s="27"/>
      <c r="AW5" s="27"/>
      <c r="AX5" s="27"/>
      <c r="AY5" s="27"/>
      <c r="AZ5" s="27"/>
      <c r="BA5" s="27">
        <v>3</v>
      </c>
      <c r="BB5" s="27">
        <v>4.8000000000000001E-2</v>
      </c>
      <c r="BC5" s="27"/>
      <c r="BD5" s="27"/>
      <c r="BE5" s="27"/>
      <c r="BF5" s="27"/>
      <c r="BG5" s="27"/>
      <c r="BH5" s="27"/>
      <c r="BI5" s="27"/>
      <c r="BJ5" s="27"/>
      <c r="BK5" s="27"/>
      <c r="BL5" s="27"/>
      <c r="BM5" s="27"/>
      <c r="BN5" s="27"/>
      <c r="BO5" s="27"/>
      <c r="BP5" s="27"/>
      <c r="BQ5" s="27"/>
      <c r="BR5" s="27"/>
      <c r="BS5" s="27"/>
      <c r="BT5" s="27"/>
      <c r="BU5" s="27"/>
      <c r="BV5" s="27"/>
      <c r="BW5" s="27"/>
      <c r="BX5" s="27"/>
      <c r="BY5" s="27"/>
      <c r="BZ5" s="27"/>
      <c r="CA5" s="27"/>
      <c r="CB5" s="27"/>
      <c r="CC5" s="27"/>
      <c r="CD5" s="27"/>
      <c r="CE5" s="27"/>
      <c r="CF5" s="27"/>
      <c r="CG5" s="27"/>
      <c r="CH5" s="27"/>
      <c r="CI5" s="27"/>
      <c r="CJ5" s="27"/>
      <c r="CK5" s="27"/>
      <c r="CL5" s="27"/>
      <c r="CM5" s="27"/>
      <c r="CN5" s="27"/>
      <c r="CO5" s="27"/>
      <c r="CP5" s="27"/>
      <c r="CQ5" s="27"/>
      <c r="CR5" s="27"/>
      <c r="CS5" s="27"/>
      <c r="CT5" s="27"/>
      <c r="CU5" s="27"/>
      <c r="CV5" s="27"/>
      <c r="CW5" s="27"/>
      <c r="CX5" s="27"/>
      <c r="CY5" s="27"/>
      <c r="CZ5" s="27"/>
      <c r="DA5" s="27"/>
      <c r="DB5" s="27"/>
      <c r="DC5" s="27"/>
      <c r="DD5" s="27"/>
      <c r="DE5" s="27"/>
      <c r="DF5" s="27"/>
      <c r="DG5" s="27"/>
      <c r="DH5" s="27"/>
      <c r="DI5" s="27"/>
      <c r="DJ5" s="27"/>
      <c r="DK5" s="27"/>
      <c r="DL5" s="27"/>
      <c r="DM5" s="27"/>
      <c r="DN5" s="27"/>
      <c r="DO5" s="27"/>
      <c r="DP5" s="27"/>
      <c r="DQ5" s="27"/>
      <c r="DR5" s="27"/>
      <c r="DS5" s="27"/>
      <c r="DT5" s="27"/>
    </row>
    <row r="6" spans="1:124" ht="15.75" customHeight="1" x14ac:dyDescent="0.25">
      <c r="B6" s="35" t="s">
        <v>2</v>
      </c>
      <c r="C6" s="40">
        <v>1</v>
      </c>
      <c r="D6" s="37" t="s">
        <v>81</v>
      </c>
      <c r="E6" s="38"/>
      <c r="F6" s="41"/>
      <c r="G6" s="27"/>
      <c r="H6" s="27"/>
      <c r="I6" s="27"/>
      <c r="J6" s="27"/>
      <c r="K6" s="27"/>
      <c r="L6" s="27"/>
      <c r="M6" s="27"/>
      <c r="N6" s="27" t="s">
        <v>82</v>
      </c>
      <c r="O6" s="27" t="s">
        <v>83</v>
      </c>
      <c r="P6" s="27">
        <f>P4*C9</f>
        <v>2967.49</v>
      </c>
      <c r="Q6" s="27"/>
      <c r="R6" s="27"/>
      <c r="S6" s="27"/>
      <c r="T6" s="27"/>
      <c r="U6" s="27"/>
      <c r="V6" s="27"/>
      <c r="W6" s="27"/>
      <c r="X6" s="27" t="s">
        <v>84</v>
      </c>
      <c r="Y6" s="27"/>
      <c r="Z6" s="27"/>
      <c r="AA6" s="27">
        <v>4</v>
      </c>
      <c r="AB6" s="27">
        <v>0.53</v>
      </c>
      <c r="AC6" s="27" t="s">
        <v>59</v>
      </c>
      <c r="AD6" s="27">
        <v>6.7500000000000004E-2</v>
      </c>
      <c r="AE6" s="27" t="s">
        <v>85</v>
      </c>
      <c r="AF6" s="27"/>
      <c r="AG6" s="27"/>
      <c r="AH6" s="27"/>
      <c r="AI6" s="27"/>
      <c r="AJ6" s="27"/>
      <c r="AK6" s="27"/>
      <c r="AL6" s="27"/>
      <c r="AM6" s="27"/>
      <c r="AN6" s="27">
        <v>2.5</v>
      </c>
      <c r="AO6" s="27"/>
      <c r="AP6" s="27"/>
      <c r="AQ6" s="27"/>
      <c r="AR6" s="27"/>
      <c r="AS6" s="27"/>
      <c r="AT6" s="27"/>
      <c r="AU6" s="27"/>
      <c r="AV6" s="27"/>
      <c r="AW6" s="27"/>
      <c r="AX6" s="27"/>
      <c r="AY6" s="27"/>
      <c r="AZ6" s="27"/>
      <c r="BA6" s="27">
        <v>4</v>
      </c>
      <c r="BB6" s="27">
        <v>7.1999999999999995E-2</v>
      </c>
      <c r="BC6" s="27"/>
      <c r="BD6" s="27"/>
      <c r="BE6" s="27"/>
      <c r="BF6" s="27"/>
      <c r="BG6" s="27"/>
      <c r="BH6" s="27"/>
      <c r="BI6" s="27"/>
      <c r="BJ6" s="27"/>
      <c r="BK6" s="27"/>
      <c r="BL6" s="27"/>
      <c r="BM6" s="27"/>
      <c r="BN6" s="27"/>
      <c r="BO6" s="27"/>
      <c r="BP6" s="27"/>
      <c r="BQ6" s="27"/>
      <c r="BR6" s="27"/>
      <c r="BS6" s="27"/>
      <c r="BT6" s="27"/>
      <c r="BU6" s="27"/>
      <c r="BV6" s="27"/>
      <c r="BW6" s="27"/>
      <c r="BX6" s="27"/>
      <c r="BY6" s="27"/>
      <c r="BZ6" s="27"/>
      <c r="CA6" s="27"/>
      <c r="CB6" s="27"/>
      <c r="CC6" s="27"/>
      <c r="CD6" s="27"/>
      <c r="CE6" s="27"/>
      <c r="CF6" s="27"/>
      <c r="CG6" s="27"/>
      <c r="CH6" s="27"/>
      <c r="CI6" s="27"/>
      <c r="CJ6" s="27"/>
      <c r="CK6" s="27"/>
      <c r="CL6" s="27"/>
      <c r="CM6" s="27"/>
      <c r="CN6" s="27"/>
      <c r="CO6" s="27"/>
      <c r="CP6" s="27"/>
      <c r="CQ6" s="27"/>
      <c r="CR6" s="27"/>
      <c r="CS6" s="27"/>
      <c r="CT6" s="27"/>
      <c r="CU6" s="27"/>
      <c r="CV6" s="27"/>
      <c r="CW6" s="27"/>
      <c r="CX6" s="27"/>
      <c r="CY6" s="27"/>
      <c r="CZ6" s="27"/>
      <c r="DA6" s="27"/>
      <c r="DB6" s="27"/>
      <c r="DC6" s="27"/>
      <c r="DD6" s="27"/>
      <c r="DE6" s="27"/>
      <c r="DF6" s="27"/>
      <c r="DG6" s="27"/>
      <c r="DH6" s="27"/>
      <c r="DI6" s="27"/>
      <c r="DJ6" s="27"/>
      <c r="DK6" s="27"/>
      <c r="DL6" s="27"/>
      <c r="DM6" s="27"/>
      <c r="DN6" s="27"/>
      <c r="DO6" s="27"/>
      <c r="DP6" s="27"/>
      <c r="DQ6" s="27"/>
      <c r="DR6" s="27"/>
      <c r="DS6" s="27"/>
      <c r="DT6" s="27"/>
    </row>
    <row r="7" spans="1:124" ht="15.75" customHeight="1" x14ac:dyDescent="0.25">
      <c r="B7" s="42" t="s">
        <v>4</v>
      </c>
      <c r="C7" s="190">
        <f>IF(C5=CD16,8.75,IF(C5=CC16,8.75,0))</f>
        <v>8.75</v>
      </c>
      <c r="D7" s="41" t="s">
        <v>86</v>
      </c>
      <c r="E7" s="39"/>
      <c r="F7" s="27"/>
      <c r="G7" s="27"/>
      <c r="H7" s="27"/>
      <c r="I7" s="27"/>
      <c r="J7" s="27"/>
      <c r="K7" s="27"/>
      <c r="L7" s="27"/>
      <c r="M7" s="27" t="s">
        <v>87</v>
      </c>
      <c r="N7" s="27">
        <f>I32</f>
        <v>0</v>
      </c>
      <c r="O7" s="27">
        <f>N7*C9</f>
        <v>0</v>
      </c>
      <c r="P7" s="27" t="s">
        <v>87</v>
      </c>
      <c r="Q7" s="27" t="e">
        <f>IF(BG61+BG62+H153&gt;=AO40,'[1]נתוני מס'!I16*Q26,0)</f>
        <v>#REF!</v>
      </c>
      <c r="R7" s="27"/>
      <c r="S7" s="27" t="s">
        <v>88</v>
      </c>
      <c r="T7" s="27">
        <f>ROUND((J4-AQ20)/365.25,2)</f>
        <v>-58.21</v>
      </c>
      <c r="U7" s="27" t="s">
        <v>89</v>
      </c>
      <c r="V7" s="27">
        <f>ROUND((AK25-AQ17)/365.25,2)</f>
        <v>0.36</v>
      </c>
      <c r="W7" s="27"/>
      <c r="X7" s="27" t="s">
        <v>6</v>
      </c>
      <c r="Y7" s="27"/>
      <c r="Z7" s="27"/>
      <c r="AA7" s="27">
        <v>5</v>
      </c>
      <c r="AB7" s="27">
        <v>0.54500000000000004</v>
      </c>
      <c r="AC7" s="27" t="s">
        <v>59</v>
      </c>
      <c r="AD7" s="27">
        <v>0.06</v>
      </c>
      <c r="AE7" s="27" t="s">
        <v>90</v>
      </c>
      <c r="AF7" s="27"/>
      <c r="AG7" s="27"/>
      <c r="AH7" s="27"/>
      <c r="AI7" s="27"/>
      <c r="AJ7" s="27"/>
      <c r="AK7" s="27"/>
      <c r="AL7" s="27"/>
      <c r="AM7" s="27"/>
      <c r="AN7" s="27">
        <v>3</v>
      </c>
      <c r="AO7" s="27"/>
      <c r="AP7" s="27"/>
      <c r="AQ7" s="27"/>
      <c r="AR7" s="27"/>
      <c r="AS7" s="27"/>
      <c r="AT7" s="27"/>
      <c r="AU7" s="27"/>
      <c r="AV7" s="27"/>
      <c r="AW7" s="27"/>
      <c r="AX7" s="27"/>
      <c r="AY7" s="27"/>
      <c r="AZ7" s="27"/>
      <c r="BA7" s="27">
        <v>5</v>
      </c>
      <c r="BB7" s="27">
        <v>9.6000000000000002E-2</v>
      </c>
      <c r="BC7" s="27"/>
      <c r="BD7" s="27"/>
      <c r="BE7" s="27"/>
      <c r="BF7" s="27"/>
      <c r="BG7" s="27"/>
      <c r="BH7" s="27"/>
      <c r="BI7" s="27"/>
      <c r="BJ7" s="27"/>
      <c r="BK7" s="27"/>
      <c r="BL7" s="27"/>
      <c r="BM7" s="27"/>
      <c r="BN7" s="27"/>
      <c r="BO7" s="27"/>
      <c r="BP7" s="27"/>
      <c r="BQ7" s="27"/>
      <c r="BR7" s="27"/>
      <c r="BS7" s="27"/>
      <c r="BT7" s="27"/>
      <c r="BU7" s="27"/>
      <c r="BV7" s="27"/>
      <c r="BW7" s="27"/>
      <c r="BX7" s="27"/>
      <c r="BY7" s="27"/>
      <c r="BZ7" s="27"/>
      <c r="CA7" s="27"/>
      <c r="CB7" s="27"/>
      <c r="CC7" s="27"/>
      <c r="CD7" s="27"/>
      <c r="CE7" s="27"/>
      <c r="CF7" s="27"/>
      <c r="CG7" s="27"/>
      <c r="CH7" s="27"/>
      <c r="CI7" s="27"/>
      <c r="CJ7" s="27"/>
      <c r="CK7" s="27"/>
      <c r="CL7" s="27"/>
      <c r="CM7" s="27"/>
      <c r="CN7" s="27"/>
      <c r="CO7" s="27"/>
      <c r="CP7" s="27"/>
      <c r="CQ7" s="27"/>
      <c r="CR7" s="27"/>
      <c r="CS7" s="27"/>
      <c r="CT7" s="27"/>
      <c r="CU7" s="27"/>
      <c r="CV7" s="27"/>
      <c r="CW7" s="27"/>
      <c r="CX7" s="27"/>
      <c r="CY7" s="27"/>
      <c r="CZ7" s="27"/>
      <c r="DA7" s="27"/>
      <c r="DB7" s="27"/>
      <c r="DC7" s="27"/>
      <c r="DD7" s="27"/>
      <c r="DE7" s="27"/>
      <c r="DF7" s="27"/>
      <c r="DG7" s="27"/>
      <c r="DH7" s="27"/>
      <c r="DI7" s="27"/>
      <c r="DJ7" s="27"/>
      <c r="DK7" s="27"/>
      <c r="DL7" s="27"/>
      <c r="DM7" s="27"/>
      <c r="DN7" s="27"/>
      <c r="DO7" s="27"/>
      <c r="DP7" s="27"/>
      <c r="DQ7" s="27"/>
      <c r="DR7" s="27"/>
      <c r="DS7" s="27"/>
      <c r="DT7" s="27"/>
    </row>
    <row r="8" spans="1:124" ht="15.75" customHeight="1" x14ac:dyDescent="0.25">
      <c r="B8" s="35" t="s">
        <v>91</v>
      </c>
      <c r="C8" s="43">
        <v>1</v>
      </c>
      <c r="D8" s="37" t="s">
        <v>92</v>
      </c>
      <c r="E8" s="38"/>
      <c r="F8" s="27"/>
      <c r="G8" s="27"/>
      <c r="H8" s="27"/>
      <c r="I8" s="27"/>
      <c r="J8" s="27"/>
      <c r="K8" s="27"/>
      <c r="L8" s="27"/>
      <c r="M8" s="27" t="s">
        <v>93</v>
      </c>
      <c r="N8" s="27">
        <f>IF(J29*N7&gt;0,J29*N7,0)</f>
        <v>0</v>
      </c>
      <c r="O8" s="27"/>
      <c r="P8" s="27" t="s">
        <v>94</v>
      </c>
      <c r="Q8" s="27">
        <f>IF(BG61&lt;26,'[1]נתוני מס'!I18*BC27,'[1]נתוני מס'!I19*BC27)</f>
        <v>2014</v>
      </c>
      <c r="R8" s="27"/>
      <c r="S8" s="27" t="s">
        <v>95</v>
      </c>
      <c r="T8" s="27" t="e">
        <f>IF(BG59=#REF!,59-T7,60-T7)</f>
        <v>#REF!</v>
      </c>
      <c r="U8" s="27" t="s">
        <v>96</v>
      </c>
      <c r="V8" s="27" t="e">
        <f>V7+T8</f>
        <v>#REF!</v>
      </c>
      <c r="W8" s="27"/>
      <c r="X8" s="27" t="s">
        <v>97</v>
      </c>
      <c r="Y8" s="27"/>
      <c r="Z8" s="27"/>
      <c r="AA8" s="27">
        <v>6</v>
      </c>
      <c r="AB8" s="27">
        <v>0.56499999999999995</v>
      </c>
      <c r="AC8" s="27" t="s">
        <v>59</v>
      </c>
      <c r="AD8" s="27">
        <v>5.2499999999999998E-2</v>
      </c>
      <c r="AE8" s="27" t="s">
        <v>98</v>
      </c>
      <c r="AF8" s="27"/>
      <c r="AG8" s="27"/>
      <c r="AH8" s="27"/>
      <c r="AI8" s="27"/>
      <c r="AJ8" s="27">
        <f>HLOOKUP(C5,kothor1,3,FALSE)</f>
        <v>3</v>
      </c>
      <c r="AK8" s="27"/>
      <c r="AL8" s="27"/>
      <c r="AM8" s="27"/>
      <c r="AN8" s="27">
        <v>3.5</v>
      </c>
      <c r="AO8" s="27"/>
      <c r="AP8" s="27"/>
      <c r="AQ8" s="27"/>
      <c r="AR8" s="27"/>
      <c r="AS8" s="27"/>
      <c r="AT8" s="27"/>
      <c r="AU8" s="27"/>
      <c r="AV8" s="27"/>
      <c r="AW8" s="27"/>
      <c r="AX8" s="27"/>
      <c r="AY8" s="27"/>
      <c r="AZ8" s="27"/>
      <c r="BA8" s="27">
        <v>6</v>
      </c>
      <c r="BB8" s="27">
        <v>0.12</v>
      </c>
      <c r="BC8" s="27"/>
      <c r="BD8" s="27"/>
      <c r="BE8" s="27"/>
      <c r="BF8" s="27"/>
      <c r="BG8" s="27"/>
      <c r="BH8" s="27"/>
      <c r="BI8" s="27"/>
      <c r="BJ8" s="27"/>
      <c r="BK8" s="27"/>
      <c r="BL8" s="27"/>
      <c r="BM8" s="27"/>
      <c r="BN8" s="27"/>
      <c r="BO8" s="27"/>
      <c r="BP8" s="27"/>
      <c r="BQ8" s="27"/>
      <c r="BR8" s="27"/>
      <c r="BS8" s="27"/>
      <c r="BT8" s="27"/>
      <c r="BU8" s="27"/>
      <c r="BV8" s="27"/>
      <c r="BW8" s="27"/>
      <c r="BX8" s="27"/>
      <c r="BY8" s="27"/>
      <c r="BZ8" s="27"/>
      <c r="CA8" s="27"/>
      <c r="CB8" s="27"/>
      <c r="CC8" s="27"/>
      <c r="CD8" s="27"/>
      <c r="CE8" s="27"/>
      <c r="CF8" s="27"/>
      <c r="CG8" s="27"/>
      <c r="CH8" s="27"/>
      <c r="CI8" s="27"/>
      <c r="CJ8" s="27"/>
      <c r="CK8" s="27"/>
      <c r="CL8" s="27"/>
      <c r="CM8" s="27"/>
      <c r="CN8" s="27"/>
      <c r="CO8" s="27"/>
      <c r="CP8" s="27"/>
      <c r="CQ8" s="27"/>
      <c r="CR8" s="27"/>
      <c r="CS8" s="27"/>
      <c r="CT8" s="27"/>
      <c r="CU8" s="27"/>
      <c r="CV8" s="27"/>
      <c r="CW8" s="27"/>
      <c r="CX8" s="27"/>
      <c r="CY8" s="27"/>
      <c r="CZ8" s="27"/>
      <c r="DA8" s="27"/>
      <c r="DB8" s="27"/>
      <c r="DC8" s="27"/>
      <c r="DD8" s="27"/>
      <c r="DE8" s="27"/>
      <c r="DF8" s="27"/>
      <c r="DG8" s="27"/>
      <c r="DH8" s="27"/>
      <c r="DI8" s="27"/>
      <c r="DJ8" s="27"/>
      <c r="DK8" s="27"/>
      <c r="DL8" s="27"/>
      <c r="DM8" s="27"/>
      <c r="DN8" s="27"/>
      <c r="DO8" s="27"/>
      <c r="DP8" s="27"/>
      <c r="DQ8" s="27"/>
      <c r="DR8" s="27"/>
      <c r="DS8" s="27"/>
      <c r="DT8" s="27"/>
    </row>
    <row r="9" spans="1:124" ht="16.5" customHeight="1" x14ac:dyDescent="0.25">
      <c r="B9" s="35" t="s">
        <v>99</v>
      </c>
      <c r="C9" s="45">
        <v>1</v>
      </c>
      <c r="D9" s="209" t="s">
        <v>100</v>
      </c>
      <c r="E9" s="210"/>
      <c r="F9" s="27"/>
      <c r="G9" s="27"/>
      <c r="H9" s="27"/>
      <c r="I9" s="27"/>
      <c r="J9" s="27"/>
      <c r="K9" s="27"/>
      <c r="L9" s="27"/>
      <c r="M9" s="27" t="s">
        <v>101</v>
      </c>
      <c r="N9" s="27">
        <v>593</v>
      </c>
      <c r="O9" s="27"/>
      <c r="P9" s="27" t="s">
        <v>102</v>
      </c>
      <c r="Q9" s="27" t="e">
        <f>#REF!</f>
        <v>#REF!</v>
      </c>
      <c r="R9" s="27"/>
      <c r="S9" s="27" t="s">
        <v>103</v>
      </c>
      <c r="T9" s="27" t="e">
        <f>IF(AI28+T8&gt;36,36,AI28+T8)</f>
        <v>#REF!</v>
      </c>
      <c r="U9" s="27" t="s">
        <v>104</v>
      </c>
      <c r="V9" s="27">
        <f>F204</f>
        <v>6</v>
      </c>
      <c r="W9" s="27" t="s">
        <v>105</v>
      </c>
      <c r="X9" s="27" t="s">
        <v>106</v>
      </c>
      <c r="Y9" s="27"/>
      <c r="Z9" s="27"/>
      <c r="AA9" s="27">
        <v>7</v>
      </c>
      <c r="AB9" s="27">
        <v>0.58499999999999996</v>
      </c>
      <c r="AC9" s="27" t="s">
        <v>59</v>
      </c>
      <c r="AD9" s="27">
        <v>4.4999999999999998E-2</v>
      </c>
      <c r="AE9" s="27" t="s">
        <v>107</v>
      </c>
      <c r="AF9" s="27"/>
      <c r="AG9" s="27"/>
      <c r="AH9" s="27"/>
      <c r="AI9" s="27"/>
      <c r="AJ9" s="27"/>
      <c r="AK9" s="27"/>
      <c r="AL9" s="27"/>
      <c r="AM9" s="27"/>
      <c r="AN9" s="27">
        <v>4</v>
      </c>
      <c r="AO9" s="27" t="s">
        <v>59</v>
      </c>
      <c r="AP9" s="27"/>
      <c r="AQ9" s="27"/>
      <c r="AR9" s="27"/>
      <c r="AS9" s="27"/>
      <c r="AT9" s="27"/>
      <c r="AU9" s="27"/>
      <c r="AV9" s="27"/>
      <c r="AW9" s="27"/>
      <c r="AX9" s="27"/>
      <c r="AY9" s="27"/>
      <c r="AZ9" s="27"/>
      <c r="BA9" s="27">
        <v>7</v>
      </c>
      <c r="BB9" s="27">
        <v>0.14399999999999999</v>
      </c>
      <c r="BC9" s="27"/>
      <c r="BD9" s="27"/>
      <c r="BE9" s="27"/>
      <c r="BF9" s="27"/>
      <c r="BG9" s="27"/>
      <c r="BH9" s="27"/>
      <c r="BI9" s="27"/>
      <c r="BJ9" s="27"/>
      <c r="BK9" s="27"/>
      <c r="BL9" s="27"/>
      <c r="BM9" s="27"/>
      <c r="BN9" s="27"/>
      <c r="BO9" s="27"/>
      <c r="BP9" s="27"/>
      <c r="BQ9" s="27"/>
      <c r="BR9" s="27"/>
      <c r="BS9" s="27"/>
      <c r="BT9" s="27"/>
      <c r="BU9" s="27"/>
      <c r="BV9" s="27"/>
      <c r="BW9" s="27"/>
      <c r="BX9" s="27"/>
      <c r="BY9" s="27"/>
      <c r="BZ9" s="27"/>
      <c r="CA9" s="27"/>
      <c r="CB9" s="27"/>
      <c r="CC9" s="27"/>
      <c r="CD9" s="27"/>
      <c r="CE9" s="27"/>
      <c r="CF9" s="27"/>
      <c r="CG9" s="27"/>
      <c r="CH9" s="27"/>
      <c r="CI9" s="27"/>
      <c r="CJ9" s="27"/>
      <c r="CK9" s="27"/>
      <c r="CL9" s="27"/>
      <c r="CM9" s="27"/>
      <c r="CN9" s="27"/>
      <c r="CO9" s="27"/>
      <c r="CP9" s="27"/>
      <c r="CQ9" s="27"/>
      <c r="CR9" s="27"/>
      <c r="CS9" s="27"/>
      <c r="CT9" s="27"/>
      <c r="CU9" s="27"/>
      <c r="CV9" s="27"/>
      <c r="CW9" s="27"/>
      <c r="CX9" s="27"/>
      <c r="CY9" s="27"/>
      <c r="CZ9" s="27"/>
      <c r="DA9" s="27" t="s">
        <v>108</v>
      </c>
      <c r="DB9" s="27" t="s">
        <v>109</v>
      </c>
      <c r="DC9" s="27"/>
      <c r="DD9" s="27"/>
      <c r="DE9" s="27" t="s">
        <v>108</v>
      </c>
      <c r="DF9" s="27" t="s">
        <v>109</v>
      </c>
      <c r="DG9" s="27"/>
      <c r="DH9" s="27"/>
      <c r="DI9" s="27"/>
      <c r="DJ9" s="27"/>
      <c r="DK9" s="27"/>
      <c r="DL9" s="27"/>
      <c r="DM9" s="27"/>
      <c r="DN9" s="27"/>
      <c r="DO9" s="27"/>
      <c r="DP9" s="27"/>
      <c r="DQ9" s="27"/>
      <c r="DR9" s="27"/>
      <c r="DS9" s="27"/>
      <c r="DT9" s="27"/>
    </row>
    <row r="10" spans="1:124" ht="15.75" customHeight="1" x14ac:dyDescent="0.25">
      <c r="B10" s="42" t="s">
        <v>110</v>
      </c>
      <c r="C10" s="189">
        <f>F14</f>
        <v>0.16800000000000001</v>
      </c>
      <c r="D10" s="46" t="s">
        <v>111</v>
      </c>
      <c r="E10" s="39"/>
      <c r="F10" s="27"/>
      <c r="G10" s="188" t="s">
        <v>607</v>
      </c>
      <c r="H10" s="27"/>
      <c r="I10" s="27"/>
      <c r="J10" s="27"/>
      <c r="K10" s="27"/>
      <c r="L10" s="27"/>
      <c r="M10" s="27" t="s">
        <v>6</v>
      </c>
      <c r="N10" s="27">
        <f>N7*C14</f>
        <v>0</v>
      </c>
      <c r="O10" s="27"/>
      <c r="P10" s="27" t="s">
        <v>87</v>
      </c>
      <c r="Q10" s="27" t="e">
        <f>G201</f>
        <v>#REF!</v>
      </c>
      <c r="R10" s="27">
        <f>VLOOKUP(INT(AB42),horaa2,AJ17+2,FALSE)*(1)*BC27</f>
        <v>6975.17</v>
      </c>
      <c r="S10" s="27" t="s">
        <v>113</v>
      </c>
      <c r="T10" s="27" t="e">
        <f>VLOOKUP(INT(T9),ofek4,V9+2,FALSE)*(1+AG36/100)*BC27*Y16*Y2</f>
        <v>#REF!</v>
      </c>
      <c r="U10" s="27" t="e">
        <f>VLOOKUP(INT(T9),ofek4,V9+2,FALSE)*(1+AG36/100)*BC27*Y16*Y2</f>
        <v>#REF!</v>
      </c>
      <c r="V10" s="27"/>
      <c r="W10" s="27"/>
      <c r="X10" s="27" t="s">
        <v>114</v>
      </c>
      <c r="Y10" s="27"/>
      <c r="Z10" s="27"/>
      <c r="AA10" s="27">
        <v>8</v>
      </c>
      <c r="AB10" s="27">
        <v>0.6</v>
      </c>
      <c r="AC10" s="27"/>
      <c r="AD10" s="27">
        <v>0</v>
      </c>
      <c r="AE10" s="27" t="s">
        <v>115</v>
      </c>
      <c r="AF10" s="27"/>
      <c r="AG10" s="27"/>
      <c r="AH10" s="27"/>
      <c r="AI10" s="27"/>
      <c r="AJ10" s="27"/>
      <c r="AK10" s="27"/>
      <c r="AL10" s="27"/>
      <c r="AM10" s="27"/>
      <c r="AN10" s="27">
        <v>4.5</v>
      </c>
      <c r="AO10" s="27" t="s">
        <v>59</v>
      </c>
      <c r="AP10" s="27"/>
      <c r="AQ10" s="27"/>
      <c r="AR10" s="27"/>
      <c r="AS10" s="27"/>
      <c r="AT10" s="27"/>
      <c r="AU10" s="27"/>
      <c r="AV10" s="27"/>
      <c r="AW10" s="27"/>
      <c r="AX10" s="27"/>
      <c r="AY10" s="27"/>
      <c r="AZ10" s="27"/>
      <c r="BA10" s="27">
        <v>8</v>
      </c>
      <c r="BB10" s="27">
        <v>0.16800000000000001</v>
      </c>
      <c r="BC10" s="27"/>
      <c r="BD10" s="27"/>
      <c r="BE10" s="27"/>
      <c r="BF10" s="27"/>
      <c r="BG10" s="27"/>
      <c r="BH10" s="27"/>
      <c r="BI10" s="27"/>
      <c r="BJ10" s="27"/>
      <c r="BK10" s="27"/>
      <c r="BL10" s="27"/>
      <c r="BM10" s="27"/>
      <c r="BN10" s="27"/>
      <c r="BO10" s="27"/>
      <c r="BP10" s="27"/>
      <c r="BQ10" s="27"/>
      <c r="BR10" s="27"/>
      <c r="BS10" s="27"/>
      <c r="BT10" s="27"/>
      <c r="BU10" s="27"/>
      <c r="BV10" s="27"/>
      <c r="BW10" s="27"/>
      <c r="BX10" s="27"/>
      <c r="BY10" s="27"/>
      <c r="BZ10" s="27"/>
      <c r="CA10" s="27"/>
      <c r="CB10" s="27"/>
      <c r="CC10" s="27"/>
      <c r="CD10" s="27"/>
      <c r="CE10" s="27"/>
      <c r="CF10" s="27"/>
      <c r="CG10" s="27"/>
      <c r="CH10" s="27"/>
      <c r="CI10" s="27"/>
      <c r="CJ10" s="27"/>
      <c r="CK10" s="27"/>
      <c r="CL10" s="27"/>
      <c r="CM10" s="27"/>
      <c r="CN10" s="27"/>
      <c r="CO10" s="27"/>
      <c r="CP10" s="27"/>
      <c r="CQ10" s="27"/>
      <c r="CR10" s="27"/>
      <c r="CS10" s="27"/>
      <c r="CT10" s="27"/>
      <c r="CU10" s="27"/>
      <c r="CV10" s="27"/>
      <c r="CW10" s="27" t="s">
        <v>116</v>
      </c>
      <c r="CX10" s="27"/>
      <c r="CY10" s="27"/>
      <c r="CZ10" s="27"/>
      <c r="DA10" s="27"/>
      <c r="DB10" s="27"/>
      <c r="DC10" s="27"/>
      <c r="DD10" s="27"/>
      <c r="DE10" s="27"/>
      <c r="DF10" s="27"/>
      <c r="DG10" s="27"/>
      <c r="DH10" s="27"/>
      <c r="DI10" s="27"/>
      <c r="DJ10" s="27"/>
      <c r="DK10" s="27" t="s">
        <v>117</v>
      </c>
      <c r="DL10" s="27"/>
      <c r="DM10" s="27"/>
      <c r="DN10" s="27"/>
      <c r="DO10" s="27"/>
      <c r="DP10" s="27"/>
      <c r="DQ10" s="27"/>
      <c r="DR10" s="27"/>
      <c r="DS10" s="27"/>
      <c r="DT10" s="27"/>
    </row>
    <row r="11" spans="1:124" ht="15" x14ac:dyDescent="0.25">
      <c r="B11" s="47" t="s">
        <v>32</v>
      </c>
      <c r="C11" s="48">
        <v>0</v>
      </c>
      <c r="D11" s="209" t="s">
        <v>118</v>
      </c>
      <c r="E11" s="210"/>
      <c r="F11" s="27"/>
      <c r="G11" s="27"/>
      <c r="H11" s="187">
        <v>0</v>
      </c>
      <c r="I11" s="27"/>
      <c r="J11" s="27"/>
      <c r="K11" s="27"/>
      <c r="L11" s="27"/>
      <c r="M11" s="27"/>
      <c r="N11" s="27"/>
      <c r="O11" s="27"/>
      <c r="P11" s="27" t="str">
        <f>IF(X2=0," = הזן  נתונים מימין ==&gt;",W2)</f>
        <v>ת.שכר 2001</v>
      </c>
      <c r="Q11" s="27">
        <v>0</v>
      </c>
      <c r="R11" s="27">
        <f>R10*X2</f>
        <v>209.2551</v>
      </c>
      <c r="S11" s="27">
        <f>H8</f>
        <v>0</v>
      </c>
      <c r="T11" s="27">
        <v>0</v>
      </c>
      <c r="U11" s="27"/>
      <c r="V11" s="27"/>
      <c r="W11" s="27"/>
      <c r="X11" s="27"/>
      <c r="Y11" s="27"/>
      <c r="Z11" s="27"/>
      <c r="AA11" s="27">
        <v>9</v>
      </c>
      <c r="AB11" s="27">
        <v>0.62</v>
      </c>
      <c r="AC11" s="27"/>
      <c r="AD11" s="27">
        <f>IF(BG67=AE3,AD3,IF(BG67=AE4,AD4,IF(BG67=AE5,AD5,IF(BG67=AE6,AD6,IF(BG67=AE7,AD7,IF(BG67=AE8,AD8,IF(BG67=AE9,AD9,IF(BG67=AE10,AD10))))))))</f>
        <v>0</v>
      </c>
      <c r="AE11" s="27"/>
      <c r="AF11" s="27"/>
      <c r="AG11" s="27"/>
      <c r="AH11" s="27"/>
      <c r="AI11" s="27"/>
      <c r="AJ11" s="27"/>
      <c r="AK11" s="27"/>
      <c r="AL11" s="27"/>
      <c r="AM11" s="27"/>
      <c r="AN11" s="27">
        <v>5</v>
      </c>
      <c r="AO11" s="27" t="s">
        <v>59</v>
      </c>
      <c r="AP11" s="27"/>
      <c r="AQ11" s="27"/>
      <c r="AR11" s="27"/>
      <c r="AS11" s="27"/>
      <c r="AT11" s="27"/>
      <c r="AU11" s="27"/>
      <c r="AV11" s="27"/>
      <c r="AW11" s="27"/>
      <c r="AX11" s="27"/>
      <c r="AY11" s="27"/>
      <c r="AZ11" s="27"/>
      <c r="BA11" s="27">
        <v>9</v>
      </c>
      <c r="BB11" s="27">
        <v>0.192</v>
      </c>
      <c r="BC11" s="27"/>
      <c r="BD11" s="27"/>
      <c r="BE11" s="27"/>
      <c r="BF11" s="27"/>
      <c r="BG11" s="27"/>
      <c r="BH11" s="27"/>
      <c r="BI11" s="27"/>
      <c r="BJ11" s="27"/>
      <c r="BK11" s="27"/>
      <c r="BL11" s="27"/>
      <c r="BM11" s="27"/>
      <c r="BN11" s="27"/>
      <c r="BO11" s="27"/>
      <c r="BP11" s="27"/>
      <c r="BQ11" s="27"/>
      <c r="BR11" s="27"/>
      <c r="BS11" s="27"/>
      <c r="BT11" s="27"/>
      <c r="BU11" s="27"/>
      <c r="BV11" s="27"/>
      <c r="BW11" s="27"/>
      <c r="BX11" s="27"/>
      <c r="BY11" s="27"/>
      <c r="BZ11" s="27"/>
      <c r="CA11" s="27"/>
      <c r="CB11" s="27"/>
      <c r="CC11" s="27"/>
      <c r="CD11" s="27"/>
      <c r="CE11" s="27"/>
      <c r="CF11" s="27"/>
      <c r="CG11" s="27"/>
      <c r="CH11" s="27"/>
      <c r="CI11" s="27"/>
      <c r="CJ11" s="27"/>
      <c r="CK11" s="27"/>
      <c r="CL11" s="27"/>
      <c r="CM11" s="27"/>
      <c r="CN11" s="27"/>
      <c r="CO11" s="27"/>
      <c r="CP11" s="27"/>
      <c r="CQ11" s="27" t="s">
        <v>120</v>
      </c>
      <c r="CR11" s="27"/>
      <c r="CS11" s="27"/>
      <c r="CT11" s="27"/>
      <c r="CU11" s="27"/>
      <c r="CV11" s="27" t="s">
        <v>121</v>
      </c>
      <c r="CW11" s="27" t="s">
        <v>122</v>
      </c>
      <c r="CX11" s="27" t="s">
        <v>123</v>
      </c>
      <c r="CY11" s="27"/>
      <c r="CZ11" s="27" t="s">
        <v>121</v>
      </c>
      <c r="DA11" s="27" t="s">
        <v>122</v>
      </c>
      <c r="DB11" s="27" t="s">
        <v>122</v>
      </c>
      <c r="DC11" s="27"/>
      <c r="DD11" s="27" t="s">
        <v>121</v>
      </c>
      <c r="DE11" s="27" t="s">
        <v>124</v>
      </c>
      <c r="DF11" s="27" t="s">
        <v>124</v>
      </c>
      <c r="DG11" s="27"/>
      <c r="DH11" s="27"/>
      <c r="DI11" s="27"/>
      <c r="DJ11" s="27"/>
      <c r="DK11" s="27" t="s">
        <v>124</v>
      </c>
      <c r="DL11" s="27" t="s">
        <v>122</v>
      </c>
      <c r="DM11" s="27"/>
      <c r="DN11" s="27"/>
      <c r="DO11" s="27"/>
      <c r="DP11" s="27"/>
      <c r="DQ11" s="27"/>
      <c r="DR11" s="27"/>
      <c r="DS11" s="27"/>
      <c r="DT11" s="27"/>
    </row>
    <row r="12" spans="1:124" ht="15" x14ac:dyDescent="0.25">
      <c r="B12" s="47" t="s">
        <v>3</v>
      </c>
      <c r="C12" s="48">
        <v>0</v>
      </c>
      <c r="D12" s="209" t="s">
        <v>118</v>
      </c>
      <c r="E12" s="210"/>
      <c r="F12" s="27"/>
      <c r="G12" s="27"/>
      <c r="H12" s="27"/>
      <c r="I12" s="27"/>
      <c r="J12" s="27"/>
      <c r="K12" s="27"/>
      <c r="L12" s="27"/>
      <c r="M12" s="27"/>
      <c r="N12" s="27"/>
      <c r="O12" s="27"/>
      <c r="P12" s="27" t="str">
        <f>IF(C150=0," = הזן  נתונים  מימין ==&gt;",B150)</f>
        <v xml:space="preserve">לא </v>
      </c>
      <c r="Q12" s="27">
        <v>0</v>
      </c>
      <c r="R12" s="27">
        <f>Q12</f>
        <v>0</v>
      </c>
      <c r="S12" s="27">
        <f>H11</f>
        <v>0</v>
      </c>
      <c r="T12" s="27">
        <v>0</v>
      </c>
      <c r="U12" s="27"/>
      <c r="V12" s="27"/>
      <c r="W12" s="27"/>
      <c r="X12" s="27"/>
      <c r="Y12" s="27" t="s">
        <v>59</v>
      </c>
      <c r="Z12" s="27"/>
      <c r="AA12" s="27">
        <v>1</v>
      </c>
      <c r="AB12" s="27">
        <v>0.63500000000000001</v>
      </c>
      <c r="AC12" s="27"/>
      <c r="AD12" s="27"/>
      <c r="AE12" s="27"/>
      <c r="AF12" s="27"/>
      <c r="AG12" s="27"/>
      <c r="AH12" s="27"/>
      <c r="AI12" s="27"/>
      <c r="AJ12" s="27"/>
      <c r="AK12" s="27"/>
      <c r="AL12" s="27"/>
      <c r="AM12" s="27"/>
      <c r="AN12" s="27">
        <v>5.5</v>
      </c>
      <c r="AO12" s="27" t="s">
        <v>59</v>
      </c>
      <c r="AP12" s="27"/>
      <c r="AQ12" s="27"/>
      <c r="AR12" s="27"/>
      <c r="AS12" s="27"/>
      <c r="AT12" s="27"/>
      <c r="AU12" s="27"/>
      <c r="AV12" s="27"/>
      <c r="AW12" s="27"/>
      <c r="AX12" s="27"/>
      <c r="AY12" s="27"/>
      <c r="AZ12" s="27"/>
      <c r="BA12" s="27">
        <v>10</v>
      </c>
      <c r="BB12" s="27">
        <v>0.216</v>
      </c>
      <c r="BC12" s="27"/>
      <c r="BD12" s="27"/>
      <c r="BE12" s="27"/>
      <c r="BF12" s="27"/>
      <c r="BG12" s="27"/>
      <c r="BH12" s="27"/>
      <c r="BI12" s="27"/>
      <c r="BJ12" s="27"/>
      <c r="BK12" s="27"/>
      <c r="BL12" s="27"/>
      <c r="BM12" s="27"/>
      <c r="BN12" s="27"/>
      <c r="BO12" s="27"/>
      <c r="BP12" s="27"/>
      <c r="BQ12" s="27"/>
      <c r="BR12" s="27"/>
      <c r="BS12" s="27"/>
      <c r="BT12" s="27"/>
      <c r="BU12" s="27"/>
      <c r="BV12" s="27"/>
      <c r="BW12" s="27"/>
      <c r="BX12" s="27"/>
      <c r="BY12" s="27"/>
      <c r="BZ12" s="27" t="s">
        <v>125</v>
      </c>
      <c r="CA12" s="27" t="s">
        <v>126</v>
      </c>
      <c r="CB12" s="27" t="s">
        <v>10</v>
      </c>
      <c r="CC12" s="27" t="s">
        <v>11</v>
      </c>
      <c r="CD12" s="27" t="s">
        <v>1</v>
      </c>
      <c r="CE12" s="27"/>
      <c r="CF12" s="27"/>
      <c r="CG12" s="27"/>
      <c r="CH12" s="27"/>
      <c r="CI12" s="27"/>
      <c r="CJ12" s="27"/>
      <c r="CK12" s="27"/>
      <c r="CL12" s="27"/>
      <c r="CM12" s="27"/>
      <c r="CN12" s="27"/>
      <c r="CO12" s="27"/>
      <c r="CP12" s="27"/>
      <c r="CQ12" s="27" t="s">
        <v>127</v>
      </c>
      <c r="CR12" s="27"/>
      <c r="CS12" s="27">
        <v>1</v>
      </c>
      <c r="CT12" s="27">
        <v>0</v>
      </c>
      <c r="CU12" s="27"/>
      <c r="CV12" s="27">
        <v>1</v>
      </c>
      <c r="CW12" s="27">
        <v>20.7</v>
      </c>
      <c r="CX12" s="27"/>
      <c r="CY12" s="27"/>
      <c r="CZ12" s="27">
        <v>1</v>
      </c>
      <c r="DA12" s="27">
        <v>16.8</v>
      </c>
      <c r="DB12" s="27">
        <v>19.46</v>
      </c>
      <c r="DC12" s="27"/>
      <c r="DD12" s="27">
        <v>1</v>
      </c>
      <c r="DE12" s="27">
        <v>0</v>
      </c>
      <c r="DF12" s="27">
        <v>0</v>
      </c>
      <c r="DG12" s="27"/>
      <c r="DH12" s="27" t="s">
        <v>124</v>
      </c>
      <c r="DI12" s="27"/>
      <c r="DJ12" s="27"/>
      <c r="DK12" s="27"/>
      <c r="DL12" s="27">
        <v>17.899999999999999</v>
      </c>
      <c r="DM12" s="27"/>
      <c r="DN12" s="27"/>
      <c r="DO12" s="27"/>
      <c r="DP12" s="27"/>
      <c r="DQ12" s="27"/>
      <c r="DR12" s="27"/>
      <c r="DS12" s="27"/>
      <c r="DT12" s="27"/>
    </row>
    <row r="13" spans="1:124" ht="15" x14ac:dyDescent="0.25">
      <c r="A13" s="49"/>
      <c r="B13" s="47" t="s">
        <v>5</v>
      </c>
      <c r="C13" s="48">
        <v>0</v>
      </c>
      <c r="D13" s="209" t="s">
        <v>118</v>
      </c>
      <c r="E13" s="210"/>
      <c r="F13" s="27"/>
      <c r="G13" s="27"/>
      <c r="H13" s="27"/>
      <c r="I13" s="27"/>
      <c r="J13" s="27"/>
      <c r="K13" s="27">
        <f>($I$7+$I$8+$I$10+$I$11+$I$9+500)*1.2%*($C$7)*C9</f>
        <v>52.5</v>
      </c>
      <c r="L13" s="27" t="s">
        <v>129</v>
      </c>
      <c r="M13" s="27"/>
      <c r="N13" s="27"/>
      <c r="O13" s="27"/>
      <c r="P13" s="27" t="str">
        <f>IF(X3=0," = הזן  נתונים מימין ==&gt;",W3)</f>
        <v xml:space="preserve">ת.שכר 2008 </v>
      </c>
      <c r="Q13" s="27">
        <v>0</v>
      </c>
      <c r="R13" s="27">
        <f>(R10+R11)*X3</f>
        <v>345.57084730999998</v>
      </c>
      <c r="S13" s="27">
        <f>H9</f>
        <v>0</v>
      </c>
      <c r="T13" s="27">
        <v>0</v>
      </c>
      <c r="U13" s="27" t="s">
        <v>8</v>
      </c>
      <c r="V13" s="27"/>
      <c r="W13" s="27">
        <f>IF(BG65=X7,10%,IF(BG65=X8,20%,IF(BG65=X9,11.5%,6%)))</f>
        <v>0.06</v>
      </c>
      <c r="X13" s="27" t="s">
        <v>130</v>
      </c>
      <c r="Y13" s="27">
        <v>0.05</v>
      </c>
      <c r="Z13" s="27"/>
      <c r="AA13" s="27">
        <v>11</v>
      </c>
      <c r="AB13" s="27">
        <v>0.66</v>
      </c>
      <c r="AC13" s="27"/>
      <c r="AD13" s="27" t="s">
        <v>131</v>
      </c>
      <c r="AE13" s="27">
        <v>0</v>
      </c>
      <c r="AF13" s="27"/>
      <c r="AG13" s="27"/>
      <c r="AH13" s="27"/>
      <c r="AI13" s="27"/>
      <c r="AJ13" s="27"/>
      <c r="AK13" s="27"/>
      <c r="AL13" s="27"/>
      <c r="AM13" s="27"/>
      <c r="AN13" s="27">
        <v>6</v>
      </c>
      <c r="AO13" s="27" t="s">
        <v>59</v>
      </c>
      <c r="AP13" s="27"/>
      <c r="AQ13" s="27"/>
      <c r="AR13" s="27"/>
      <c r="AS13" s="27"/>
      <c r="AT13" s="27"/>
      <c r="AU13" s="27"/>
      <c r="AV13" s="27"/>
      <c r="AW13" s="27"/>
      <c r="AX13" s="27"/>
      <c r="AY13" s="27"/>
      <c r="AZ13" s="27"/>
      <c r="BA13" s="27">
        <v>11</v>
      </c>
      <c r="BB13" s="27">
        <v>0.24</v>
      </c>
      <c r="BC13" s="27"/>
      <c r="BD13" s="27"/>
      <c r="BE13" s="27"/>
      <c r="BF13" s="27"/>
      <c r="BG13" s="27"/>
      <c r="BH13" s="27"/>
      <c r="BI13" s="27"/>
      <c r="BJ13" s="27"/>
      <c r="BK13" s="27"/>
      <c r="BL13" s="27"/>
      <c r="BM13" s="27"/>
      <c r="BN13" s="27"/>
      <c r="BO13" s="27"/>
      <c r="BP13" s="27"/>
      <c r="BQ13" s="27"/>
      <c r="BR13" s="27"/>
      <c r="BS13" s="27"/>
      <c r="BT13" s="27"/>
      <c r="BU13" s="27"/>
      <c r="BV13" s="27"/>
      <c r="BW13" s="27"/>
      <c r="BX13" s="27"/>
      <c r="BY13" s="27"/>
      <c r="BZ13" s="27"/>
      <c r="CA13" s="27"/>
      <c r="CB13" s="27"/>
      <c r="CC13" s="27"/>
      <c r="CD13" s="27"/>
      <c r="CE13" s="27"/>
      <c r="CF13" s="27"/>
      <c r="CG13" s="27"/>
      <c r="CH13" s="27"/>
      <c r="CI13" s="27"/>
      <c r="CJ13" s="27"/>
      <c r="CK13" s="27"/>
      <c r="CL13" s="27"/>
      <c r="CM13" s="27"/>
      <c r="CN13" s="27"/>
      <c r="CO13" s="27"/>
      <c r="CP13" s="27"/>
      <c r="CQ13" s="27" t="s">
        <v>132</v>
      </c>
      <c r="CR13" s="27"/>
      <c r="CS13" s="27">
        <v>2</v>
      </c>
      <c r="CT13" s="27">
        <f>CT12+2.4</f>
        <v>2.4</v>
      </c>
      <c r="CU13" s="27"/>
      <c r="CV13" s="27">
        <v>2</v>
      </c>
      <c r="CW13" s="27">
        <v>23.5</v>
      </c>
      <c r="CX13" s="27"/>
      <c r="CY13" s="27"/>
      <c r="CZ13" s="27">
        <v>2</v>
      </c>
      <c r="DA13" s="27">
        <v>18.2</v>
      </c>
      <c r="DB13" s="27">
        <v>21.38</v>
      </c>
      <c r="DC13" s="27"/>
      <c r="DD13" s="27">
        <v>2</v>
      </c>
      <c r="DE13" s="27">
        <v>0</v>
      </c>
      <c r="DF13" s="27">
        <v>0</v>
      </c>
      <c r="DG13" s="27"/>
      <c r="DH13" s="27"/>
      <c r="DI13" s="27"/>
      <c r="DJ13" s="27"/>
      <c r="DK13" s="27"/>
      <c r="DL13" s="27">
        <v>19.8</v>
      </c>
      <c r="DM13" s="27"/>
      <c r="DN13" s="27"/>
      <c r="DO13" s="27"/>
      <c r="DP13" s="27"/>
      <c r="DQ13" s="27"/>
      <c r="DR13" s="27"/>
      <c r="DS13" s="27"/>
      <c r="DT13" s="27"/>
    </row>
    <row r="14" spans="1:124" ht="13.5" customHeight="1" x14ac:dyDescent="0.25">
      <c r="B14" s="47" t="s">
        <v>6</v>
      </c>
      <c r="C14" s="48">
        <v>0</v>
      </c>
      <c r="D14" s="209" t="s">
        <v>133</v>
      </c>
      <c r="E14" s="210"/>
      <c r="F14" s="27">
        <f>F16*(F15+1)</f>
        <v>0.16800000000000001</v>
      </c>
      <c r="G14" s="27"/>
      <c r="H14" s="27"/>
      <c r="I14" s="27"/>
      <c r="J14" s="27"/>
      <c r="K14" s="27">
        <f>($I$7+$I$8+$I$10+$I$11+$I$9+500)*1.2%*($C$8)*C9</f>
        <v>6</v>
      </c>
      <c r="L14" s="27" t="s">
        <v>134</v>
      </c>
      <c r="M14" s="27"/>
      <c r="N14" s="27"/>
      <c r="O14" s="27"/>
      <c r="P14" s="27" t="str">
        <f>IF(C151=0," = הזן  נתונים  מימין ==&gt;",B151)</f>
        <v>הסכם 87</v>
      </c>
      <c r="Q14" s="27">
        <v>0</v>
      </c>
      <c r="R14" s="27">
        <f>Q14</f>
        <v>0</v>
      </c>
      <c r="S14" s="27">
        <f>H12</f>
        <v>0</v>
      </c>
      <c r="T14" s="27">
        <v>0</v>
      </c>
      <c r="U14" s="27"/>
      <c r="V14" s="27"/>
      <c r="W14" s="27"/>
      <c r="X14" s="27" t="s">
        <v>135</v>
      </c>
      <c r="Y14" s="27">
        <v>0.10249999999999999</v>
      </c>
      <c r="Z14" s="27"/>
      <c r="AA14" s="27">
        <v>12</v>
      </c>
      <c r="AB14" s="27">
        <v>0.68</v>
      </c>
      <c r="AC14" s="27"/>
      <c r="AD14" s="27" t="s">
        <v>136</v>
      </c>
      <c r="AE14" s="27">
        <f>AB44</f>
        <v>1</v>
      </c>
      <c r="AF14" s="27"/>
      <c r="AG14" s="27"/>
      <c r="AH14" s="27">
        <v>5</v>
      </c>
      <c r="AI14" s="27"/>
      <c r="AJ14" s="27" t="s">
        <v>137</v>
      </c>
      <c r="AK14" s="27"/>
      <c r="AL14" s="27" t="e">
        <f>#REF!</f>
        <v>#REF!</v>
      </c>
      <c r="AM14" s="27"/>
      <c r="AN14" s="27">
        <v>6.5</v>
      </c>
      <c r="AO14" s="27" t="s">
        <v>59</v>
      </c>
      <c r="AP14" s="27"/>
      <c r="AQ14" s="27"/>
      <c r="AR14" s="27"/>
      <c r="AS14" s="27"/>
      <c r="AT14" s="27"/>
      <c r="AU14" s="27"/>
      <c r="AV14" s="27" t="e">
        <f>IF(BG61+BG62&gt;=AO40,'[1]נתוני מס'!I16*Q26,0)</f>
        <v>#REF!</v>
      </c>
      <c r="AW14" s="27"/>
      <c r="AX14" s="27"/>
      <c r="AY14" s="27"/>
      <c r="AZ14" s="27"/>
      <c r="BA14" s="27">
        <v>12</v>
      </c>
      <c r="BB14" s="27">
        <v>0.26400000000000001</v>
      </c>
      <c r="BC14" s="27"/>
      <c r="BD14" s="27"/>
      <c r="BE14" s="27"/>
      <c r="BF14" s="27"/>
      <c r="BG14" s="27"/>
      <c r="BH14" s="27"/>
      <c r="BI14" s="27"/>
      <c r="BJ14" s="27"/>
      <c r="BK14" s="27"/>
      <c r="BL14" s="27"/>
      <c r="BM14" s="27"/>
      <c r="BN14" s="27"/>
      <c r="BO14" s="27"/>
      <c r="BP14" s="27"/>
      <c r="BQ14" s="27"/>
      <c r="BR14" s="27"/>
      <c r="BS14" s="27"/>
      <c r="BT14" s="27"/>
      <c r="BU14" s="27"/>
      <c r="BV14" s="27"/>
      <c r="BW14" s="27"/>
      <c r="BX14" s="27"/>
      <c r="BY14" s="27"/>
      <c r="BZ14" s="27" t="s">
        <v>138</v>
      </c>
      <c r="CA14" s="27" t="s">
        <v>139</v>
      </c>
      <c r="CB14" s="27" t="s">
        <v>140</v>
      </c>
      <c r="CC14" s="27"/>
      <c r="CD14" s="27"/>
      <c r="CE14" s="27"/>
      <c r="CF14" s="27"/>
      <c r="CG14" s="27" t="s">
        <v>141</v>
      </c>
      <c r="CH14" s="27"/>
      <c r="CI14" s="27"/>
      <c r="CJ14" s="27"/>
      <c r="CK14" s="27" t="s">
        <v>142</v>
      </c>
      <c r="CL14" s="27"/>
      <c r="CM14" s="27"/>
      <c r="CN14" s="27"/>
      <c r="CO14" s="27"/>
      <c r="CP14" s="27"/>
      <c r="CQ14" s="27" t="s">
        <v>143</v>
      </c>
      <c r="CR14" s="27"/>
      <c r="CS14" s="27">
        <v>3</v>
      </c>
      <c r="CT14" s="27">
        <f t="shared" ref="CT14:CT27" si="0">CT13+2.4</f>
        <v>4.8</v>
      </c>
      <c r="CU14" s="27"/>
      <c r="CV14" s="27">
        <v>3</v>
      </c>
      <c r="CW14" s="27">
        <v>26.6</v>
      </c>
      <c r="CX14" s="27"/>
      <c r="CY14" s="27"/>
      <c r="CZ14" s="27">
        <v>3</v>
      </c>
      <c r="DA14" s="27">
        <v>19.600000000000001</v>
      </c>
      <c r="DB14" s="27">
        <v>23.18</v>
      </c>
      <c r="DC14" s="27"/>
      <c r="DD14" s="27">
        <v>3</v>
      </c>
      <c r="DE14" s="27">
        <v>0</v>
      </c>
      <c r="DF14" s="27">
        <v>0</v>
      </c>
      <c r="DG14" s="27"/>
      <c r="DH14" s="27"/>
      <c r="DI14" s="27"/>
      <c r="DJ14" s="27"/>
      <c r="DK14" s="27"/>
      <c r="DL14" s="27">
        <v>21.6</v>
      </c>
      <c r="DM14" s="27"/>
      <c r="DN14" s="27"/>
      <c r="DO14" s="27"/>
      <c r="DP14" s="27"/>
      <c r="DQ14" s="27"/>
      <c r="DR14" s="27"/>
      <c r="DS14" s="27"/>
      <c r="DT14" s="27"/>
    </row>
    <row r="15" spans="1:124" ht="17.25" customHeight="1" x14ac:dyDescent="0.25">
      <c r="B15" s="47" t="s">
        <v>144</v>
      </c>
      <c r="C15" s="50">
        <v>0</v>
      </c>
      <c r="D15" s="209" t="s">
        <v>145</v>
      </c>
      <c r="E15" s="210">
        <v>0</v>
      </c>
      <c r="F15" s="27">
        <f>VLOOKUP(C16,CS12:CT27,2,TRUE)*0.01</f>
        <v>0</v>
      </c>
      <c r="G15" s="27"/>
      <c r="H15" s="27"/>
      <c r="I15" s="27"/>
      <c r="J15" s="27"/>
      <c r="K15" s="27"/>
      <c r="L15" s="27"/>
      <c r="M15" s="27"/>
      <c r="N15" s="27"/>
      <c r="O15" s="27"/>
      <c r="P15" s="27" t="str">
        <f>BF64</f>
        <v>גמול חינוך מיוחד</v>
      </c>
      <c r="Q15" s="27" t="e">
        <f>SUM(Q10:Q13)*BG64</f>
        <v>#REF!</v>
      </c>
      <c r="R15" s="27">
        <f>SUM(R10:R13)*BG64</f>
        <v>0</v>
      </c>
      <c r="S15" s="27" t="str">
        <f>P15</f>
        <v>גמול חינוך מיוחד</v>
      </c>
      <c r="T15" s="27" t="e">
        <f>SUM(T10:T13)*BG64</f>
        <v>#REF!</v>
      </c>
      <c r="U15" s="27"/>
      <c r="V15" s="27"/>
      <c r="W15" s="27">
        <f>IF(F173=AH44,2,1)</f>
        <v>2</v>
      </c>
      <c r="X15" s="27"/>
      <c r="Y15" s="27">
        <f>IF(BG59=CD16,0,IF(BG59=CC16,Y13,IF(BG59=CB16,Y14)))</f>
        <v>0.10249999999999999</v>
      </c>
      <c r="Z15" s="27"/>
      <c r="AA15" s="27">
        <v>13</v>
      </c>
      <c r="AB15" s="27">
        <v>0.70499999999999996</v>
      </c>
      <c r="AC15" s="27"/>
      <c r="AD15" s="27"/>
      <c r="AE15" s="27"/>
      <c r="AF15" s="27"/>
      <c r="AG15" s="27"/>
      <c r="AH15" s="27">
        <v>6</v>
      </c>
      <c r="AI15" s="27"/>
      <c r="AJ15" s="27"/>
      <c r="AK15" s="27"/>
      <c r="AL15" s="27"/>
      <c r="AM15" s="27"/>
      <c r="AN15" s="27">
        <v>7</v>
      </c>
      <c r="AO15" s="27">
        <v>7.5</v>
      </c>
      <c r="AP15" s="27"/>
      <c r="AQ15" s="27"/>
      <c r="AR15" s="27"/>
      <c r="AS15" s="27"/>
      <c r="AT15" s="27"/>
      <c r="AU15" s="27" t="s">
        <v>59</v>
      </c>
      <c r="AV15" s="27">
        <f>BG61+BG62</f>
        <v>33</v>
      </c>
      <c r="AW15" s="27">
        <f>IF(AW16=0,0,1)</f>
        <v>1</v>
      </c>
      <c r="AX15" s="27"/>
      <c r="AY15" s="27"/>
      <c r="AZ15" s="27" t="s">
        <v>59</v>
      </c>
      <c r="BA15" s="27">
        <v>13</v>
      </c>
      <c r="BB15" s="27">
        <v>0.28799999999999998</v>
      </c>
      <c r="BC15" s="27"/>
      <c r="BD15" s="27"/>
      <c r="BE15" s="27"/>
      <c r="BF15" s="27"/>
      <c r="BG15" s="27"/>
      <c r="BH15" s="27"/>
      <c r="BI15" s="27"/>
      <c r="BJ15" s="27"/>
      <c r="BK15" s="27"/>
      <c r="BL15" s="27"/>
      <c r="BM15" s="27"/>
      <c r="BN15" s="27"/>
      <c r="BO15" s="27"/>
      <c r="BP15" s="27"/>
      <c r="BQ15" s="27"/>
      <c r="BR15" s="27"/>
      <c r="BS15" s="27"/>
      <c r="BT15" s="27"/>
      <c r="BU15" s="27"/>
      <c r="BV15" s="27"/>
      <c r="BW15" s="27"/>
      <c r="BX15" s="27"/>
      <c r="BY15" s="27"/>
      <c r="BZ15" s="27"/>
      <c r="CA15" s="27"/>
      <c r="CB15" s="27"/>
      <c r="CC15" s="27"/>
      <c r="CD15" s="27"/>
      <c r="CE15" s="27"/>
      <c r="CF15" s="27"/>
      <c r="CG15" s="27"/>
      <c r="CH15" s="27"/>
      <c r="CI15" s="27"/>
      <c r="CJ15" s="27"/>
      <c r="CK15" s="27"/>
      <c r="CL15" s="27"/>
      <c r="CM15" s="27"/>
      <c r="CN15" s="27"/>
      <c r="CO15" s="27"/>
      <c r="CP15" s="27"/>
      <c r="CQ15" s="27" t="s">
        <v>146</v>
      </c>
      <c r="CR15" s="27"/>
      <c r="CS15" s="27">
        <v>4</v>
      </c>
      <c r="CT15" s="27">
        <f t="shared" si="0"/>
        <v>7.1999999999999993</v>
      </c>
      <c r="CU15" s="27"/>
      <c r="CV15" s="27">
        <v>4</v>
      </c>
      <c r="CW15" s="27">
        <v>29.7</v>
      </c>
      <c r="CX15" s="27"/>
      <c r="CY15" s="27"/>
      <c r="CZ15" s="27">
        <v>4</v>
      </c>
      <c r="DA15" s="27">
        <v>21</v>
      </c>
      <c r="DB15" s="27">
        <v>24.75</v>
      </c>
      <c r="DC15" s="27"/>
      <c r="DD15" s="27">
        <v>4</v>
      </c>
      <c r="DE15" s="27">
        <v>0</v>
      </c>
      <c r="DF15" s="27">
        <v>0</v>
      </c>
      <c r="DG15" s="27"/>
      <c r="DH15" s="27"/>
      <c r="DI15" s="27"/>
      <c r="DJ15" s="27"/>
      <c r="DK15" s="27"/>
      <c r="DL15" s="27" t="s">
        <v>147</v>
      </c>
      <c r="DM15" s="27"/>
      <c r="DN15" s="27"/>
      <c r="DO15" s="27"/>
      <c r="DP15" s="27"/>
      <c r="DQ15" s="27"/>
      <c r="DR15" s="27"/>
      <c r="DS15" s="27"/>
      <c r="DT15" s="27"/>
    </row>
    <row r="16" spans="1:124" ht="18.75" customHeight="1" x14ac:dyDescent="0.25">
      <c r="B16" s="35" t="s">
        <v>148</v>
      </c>
      <c r="C16" s="40">
        <v>1</v>
      </c>
      <c r="D16" s="209" t="s">
        <v>149</v>
      </c>
      <c r="E16" s="210"/>
      <c r="F16" s="27">
        <f>IF(AND(C19=F18,E25&gt;0),VLOOKUP(C17,CZ12:DA43,2,TRUE)*0.01+E25*0.007+0.006,IF(C19=F18,VLOOKUP(C17,CZ12:DA43,2,TRUE)*0.01,VLOOKUP(C17,CZ12:DB43,3,TRUE)*0.01))</f>
        <v>0.16800000000000001</v>
      </c>
      <c r="G16" s="27" t="str">
        <f>IF(C5=CC12,"לא מחושב להמרה","")</f>
        <v/>
      </c>
      <c r="H16" s="27"/>
      <c r="I16" s="27"/>
      <c r="J16" s="27"/>
      <c r="K16" s="27"/>
      <c r="L16" s="27"/>
      <c r="M16" s="27"/>
      <c r="N16" s="27"/>
      <c r="O16" s="27"/>
      <c r="P16" s="27" t="str">
        <f>BF65</f>
        <v>גמול חינוך כתה</v>
      </c>
      <c r="Q16" s="27">
        <f>IF(BG65=X6,0,IF(BG65=X7,10%*(Q5+SUM(Q11:Q13)),IF(BG65=X8,20%*(Q5+SUM(Q11:Q13)),IF(BG65=X9,11.5%*(Q5+SUM(Q11:Q13)),6%*SUM(Q10:Q13)))))</f>
        <v>0</v>
      </c>
      <c r="R16" s="27">
        <f>IF(BG65=X6,0,IF(BG65=X7,10%*(R5+SUM(R11:R13)),IF(BG65=X8,20%*(R5+SUM(R11:R13)),IF(BG65=X9,11.5%*(R5+SUM(R11:R13)),6%*SUM(R10:R13)))))</f>
        <v>0</v>
      </c>
      <c r="S16" s="27">
        <f>H18</f>
        <v>0</v>
      </c>
      <c r="T16" s="27">
        <f>IF(BG65=X6,0,IF(BG65=X7,10%*(T5+SUM(T11:T13)),IF(BG65=X8,20%*(T5+SUM(T11:T13)),IF(BG65=X9,11.5%*(T5+SUM(T11:T13)),6%*SUM(T10:T13)))))</f>
        <v>0</v>
      </c>
      <c r="U16" s="27"/>
      <c r="V16" s="27"/>
      <c r="W16" s="27"/>
      <c r="X16" s="27"/>
      <c r="Y16" s="27">
        <f>1+Y15</f>
        <v>1.1025</v>
      </c>
      <c r="Z16" s="27"/>
      <c r="AA16" s="27"/>
      <c r="AB16" s="27">
        <f>VLOOKUP(BG70,ghad1,2,FALSE)</f>
        <v>0</v>
      </c>
      <c r="AC16" s="27"/>
      <c r="AD16" s="27"/>
      <c r="AE16" s="27"/>
      <c r="AF16" s="27"/>
      <c r="AG16" s="27"/>
      <c r="AH16" s="27"/>
      <c r="AI16" s="27" t="s">
        <v>151</v>
      </c>
      <c r="AJ16" s="27"/>
      <c r="AK16" s="27"/>
      <c r="AL16" s="27"/>
      <c r="AM16" s="27"/>
      <c r="AN16" s="27">
        <v>7.5</v>
      </c>
      <c r="AO16" s="27">
        <v>8</v>
      </c>
      <c r="AP16" s="27"/>
      <c r="AQ16" s="27"/>
      <c r="AR16" s="27"/>
      <c r="AS16" s="27"/>
      <c r="AT16" s="27"/>
      <c r="AU16" s="27" t="e">
        <f>IF(AND((YEAR(J4)=AV17),MONTH(J4&lt;9)),TRUE,FALSE)</f>
        <v>#NUM!</v>
      </c>
      <c r="AV16" s="27">
        <f>(AO40-AV15)*365</f>
        <v>-3072.2050000000004</v>
      </c>
      <c r="AW16" s="27">
        <f>MOD(AV16,365)</f>
        <v>212.79499999999962</v>
      </c>
      <c r="AX16" s="27"/>
      <c r="AY16" s="27"/>
      <c r="AZ16" s="27" t="s">
        <v>59</v>
      </c>
      <c r="BA16" s="27">
        <v>14</v>
      </c>
      <c r="BB16" s="27">
        <v>0.312</v>
      </c>
      <c r="BC16" s="27"/>
      <c r="BD16" s="27"/>
      <c r="BE16" s="27"/>
      <c r="BF16" s="27"/>
      <c r="BG16" s="27"/>
      <c r="BH16" s="27"/>
      <c r="BI16" s="27"/>
      <c r="BJ16" s="27"/>
      <c r="BK16" s="27" t="s">
        <v>152</v>
      </c>
      <c r="BL16" s="27"/>
      <c r="BM16" s="27"/>
      <c r="BN16" s="27"/>
      <c r="BO16" s="27"/>
      <c r="BP16" s="27"/>
      <c r="BQ16" s="27"/>
      <c r="BR16" s="27"/>
      <c r="BS16" s="27"/>
      <c r="BT16" s="27"/>
      <c r="BU16" s="27"/>
      <c r="BV16" s="27"/>
      <c r="BW16" s="27"/>
      <c r="BX16" s="27"/>
      <c r="BY16" s="27"/>
      <c r="BZ16" s="27"/>
      <c r="CA16" s="27"/>
      <c r="CB16" s="27" t="s">
        <v>10</v>
      </c>
      <c r="CC16" s="27" t="s">
        <v>11</v>
      </c>
      <c r="CD16" s="27" t="s">
        <v>1</v>
      </c>
      <c r="CE16" s="27" t="s">
        <v>9</v>
      </c>
      <c r="CF16" s="27" t="s">
        <v>12</v>
      </c>
      <c r="CG16" s="27" t="s">
        <v>13</v>
      </c>
      <c r="CH16" s="27" t="s">
        <v>14</v>
      </c>
      <c r="CI16" s="27" t="s">
        <v>15</v>
      </c>
      <c r="CJ16" s="27" t="s">
        <v>16</v>
      </c>
      <c r="CK16" s="27" t="s">
        <v>17</v>
      </c>
      <c r="CL16" s="27" t="s">
        <v>18</v>
      </c>
      <c r="CM16" s="27" t="s">
        <v>19</v>
      </c>
      <c r="CN16" s="27" t="s">
        <v>20</v>
      </c>
      <c r="CO16" s="27"/>
      <c r="CP16" s="27"/>
      <c r="CQ16" s="27" t="s">
        <v>153</v>
      </c>
      <c r="CR16" s="27"/>
      <c r="CS16" s="27">
        <v>5</v>
      </c>
      <c r="CT16" s="27">
        <f t="shared" si="0"/>
        <v>9.6</v>
      </c>
      <c r="CU16" s="27"/>
      <c r="CV16" s="27">
        <v>5</v>
      </c>
      <c r="CW16" s="27">
        <v>41</v>
      </c>
      <c r="CX16" s="27"/>
      <c r="CY16" s="27"/>
      <c r="CZ16" s="27">
        <v>5</v>
      </c>
      <c r="DA16" s="27">
        <v>22.5</v>
      </c>
      <c r="DB16" s="27">
        <v>26.66</v>
      </c>
      <c r="DC16" s="27"/>
      <c r="DD16" s="27">
        <v>5</v>
      </c>
      <c r="DE16" s="27">
        <v>0</v>
      </c>
      <c r="DF16" s="27">
        <v>0</v>
      </c>
      <c r="DG16" s="27"/>
      <c r="DH16" s="27"/>
      <c r="DI16" s="27"/>
      <c r="DJ16" s="27"/>
      <c r="DK16" s="27"/>
      <c r="DL16" s="27" t="s">
        <v>154</v>
      </c>
      <c r="DM16" s="27"/>
      <c r="DN16" s="27"/>
      <c r="DO16" s="27"/>
      <c r="DP16" s="27"/>
      <c r="DQ16" s="27"/>
      <c r="DR16" s="27"/>
      <c r="DS16" s="27"/>
      <c r="DT16" s="27"/>
    </row>
    <row r="17" spans="2:124" ht="15" x14ac:dyDescent="0.25">
      <c r="B17" s="42" t="str">
        <f>IF(C19=F18,"כיתות רגילות","כיתות חינוך מיוחד")</f>
        <v>כיתות רגילות</v>
      </c>
      <c r="C17" s="191">
        <f>IF(C19=F18,F25,F29)</f>
        <v>1</v>
      </c>
      <c r="D17" s="41" t="s">
        <v>155</v>
      </c>
      <c r="E17" s="39"/>
      <c r="F17" s="27"/>
      <c r="G17" s="27"/>
      <c r="H17" s="27"/>
      <c r="I17" s="27"/>
      <c r="J17" s="27"/>
      <c r="K17" s="27"/>
      <c r="L17" s="27"/>
      <c r="M17" s="27"/>
      <c r="N17" s="27"/>
      <c r="O17" s="27"/>
      <c r="P17" s="27" t="s">
        <v>156</v>
      </c>
      <c r="Q17" s="27">
        <v>0</v>
      </c>
      <c r="R17" s="27">
        <f>R10*1.2%*C8</f>
        <v>83.702039999999997</v>
      </c>
      <c r="S17" s="27" t="s">
        <v>156</v>
      </c>
      <c r="T17" s="27">
        <v>0</v>
      </c>
      <c r="U17" s="27"/>
      <c r="V17" s="27"/>
      <c r="W17" s="27"/>
      <c r="X17" s="27"/>
      <c r="Y17" s="27"/>
      <c r="Z17" s="27"/>
      <c r="AA17" s="27" t="s">
        <v>157</v>
      </c>
      <c r="AB17" s="27" t="s">
        <v>71</v>
      </c>
      <c r="AC17" s="27"/>
      <c r="AD17" s="27"/>
      <c r="AE17" s="27"/>
      <c r="AF17" s="27"/>
      <c r="AG17" s="27"/>
      <c r="AH17" s="27">
        <v>67</v>
      </c>
      <c r="AI17" s="27">
        <f>IF(MONTH(J4)=9,1,0)</f>
        <v>0</v>
      </c>
      <c r="AJ17" s="27">
        <f>HLOOKUP(BG59,kothor1,3,FALSE)</f>
        <v>1</v>
      </c>
      <c r="AK17" s="27">
        <f>HLOOKUP(BG59,kothor1,2,FALSE)</f>
        <v>1</v>
      </c>
      <c r="AL17" s="27" t="s">
        <v>158</v>
      </c>
      <c r="AM17" s="27">
        <v>39844</v>
      </c>
      <c r="AN17" s="27">
        <v>8</v>
      </c>
      <c r="AO17" s="27">
        <v>8.5</v>
      </c>
      <c r="AP17" s="27" t="s">
        <v>159</v>
      </c>
      <c r="AQ17" s="27">
        <v>40442</v>
      </c>
      <c r="AR17" s="27"/>
      <c r="AS17" s="27"/>
      <c r="AT17" s="27"/>
      <c r="AU17" s="27" t="e">
        <f>"06/"&amp;MID(AV17,1,4)</f>
        <v>#NUM!</v>
      </c>
      <c r="AV17" s="27" t="e">
        <f>YEAR(AV16+J4)+AW15</f>
        <v>#NUM!</v>
      </c>
      <c r="AW17" s="27" t="s">
        <v>160</v>
      </c>
      <c r="AX17" s="27"/>
      <c r="AY17" s="27"/>
      <c r="AZ17" s="27"/>
      <c r="BA17" s="27">
        <v>15</v>
      </c>
      <c r="BB17" s="27">
        <v>0.33600000000000002</v>
      </c>
      <c r="BC17" s="27"/>
      <c r="BD17" s="27"/>
      <c r="BE17" s="27" t="s">
        <v>161</v>
      </c>
      <c r="BF17" s="27" t="s">
        <v>162</v>
      </c>
      <c r="BG17" s="27" t="s">
        <v>163</v>
      </c>
      <c r="BH17" s="27"/>
      <c r="BI17" s="27"/>
      <c r="BJ17" s="27"/>
      <c r="BK17" s="27" t="s">
        <v>164</v>
      </c>
      <c r="BL17" s="27">
        <f>F159</f>
        <v>0</v>
      </c>
      <c r="BM17" s="27"/>
      <c r="BN17" s="27"/>
      <c r="BO17" s="27"/>
      <c r="BP17" s="27"/>
      <c r="BQ17" s="27" t="s">
        <v>165</v>
      </c>
      <c r="BR17" s="27"/>
      <c r="BS17" s="27"/>
      <c r="BT17" s="27"/>
      <c r="BU17" s="27"/>
      <c r="BV17" s="27"/>
      <c r="BW17" s="27"/>
      <c r="BX17" s="27"/>
      <c r="BY17" s="27"/>
      <c r="BZ17" s="27"/>
      <c r="CA17" s="27"/>
      <c r="CB17" s="27">
        <v>1</v>
      </c>
      <c r="CC17" s="27">
        <v>2</v>
      </c>
      <c r="CD17" s="27">
        <v>3</v>
      </c>
      <c r="CE17" s="27">
        <v>7</v>
      </c>
      <c r="CF17" s="27">
        <v>8</v>
      </c>
      <c r="CG17" s="27">
        <v>10</v>
      </c>
      <c r="CH17" s="27">
        <v>11</v>
      </c>
      <c r="CI17" s="27">
        <v>12</v>
      </c>
      <c r="CJ17" s="27">
        <v>13</v>
      </c>
      <c r="CK17" s="27">
        <v>14</v>
      </c>
      <c r="CL17" s="27">
        <v>15</v>
      </c>
      <c r="CM17" s="27">
        <v>16</v>
      </c>
      <c r="CN17" s="27">
        <v>17</v>
      </c>
      <c r="CO17" s="27"/>
      <c r="CP17" s="27"/>
      <c r="CQ17" s="27" t="s">
        <v>166</v>
      </c>
      <c r="CR17" s="27"/>
      <c r="CS17" s="27">
        <v>6</v>
      </c>
      <c r="CT17" s="27">
        <f t="shared" si="0"/>
        <v>12</v>
      </c>
      <c r="CU17" s="27"/>
      <c r="CV17" s="27">
        <v>6</v>
      </c>
      <c r="CW17" s="27">
        <v>50.9</v>
      </c>
      <c r="CX17" s="27"/>
      <c r="CY17" s="27"/>
      <c r="CZ17" s="27">
        <v>6</v>
      </c>
      <c r="DA17" s="27">
        <v>29.7</v>
      </c>
      <c r="DB17" s="27">
        <v>35.549999999999997</v>
      </c>
      <c r="DC17" s="27"/>
      <c r="DD17" s="27">
        <v>6</v>
      </c>
      <c r="DE17" s="27">
        <v>0</v>
      </c>
      <c r="DF17" s="27">
        <v>0</v>
      </c>
      <c r="DG17" s="27"/>
      <c r="DH17" s="27"/>
      <c r="DI17" s="27"/>
      <c r="DJ17" s="27"/>
      <c r="DK17" s="27"/>
      <c r="DL17" s="27">
        <v>34.1</v>
      </c>
      <c r="DM17" s="27"/>
      <c r="DN17" s="27"/>
      <c r="DO17" s="27"/>
      <c r="DP17" s="27"/>
      <c r="DQ17" s="27"/>
      <c r="DR17" s="27"/>
      <c r="DS17" s="27"/>
      <c r="DT17" s="27"/>
    </row>
    <row r="18" spans="2:124" ht="15" x14ac:dyDescent="0.25">
      <c r="B18" s="42" t="s">
        <v>167</v>
      </c>
      <c r="C18" s="191">
        <f>K66</f>
        <v>1</v>
      </c>
      <c r="D18" s="211" t="s">
        <v>155</v>
      </c>
      <c r="E18" s="212"/>
      <c r="F18" s="27" t="s">
        <v>108</v>
      </c>
      <c r="G18" s="27"/>
      <c r="H18" s="27"/>
      <c r="I18" s="27"/>
      <c r="J18" s="27"/>
      <c r="K18" s="27"/>
      <c r="L18" s="27"/>
      <c r="M18" s="27"/>
      <c r="N18" s="27"/>
      <c r="O18" s="27">
        <f>N18</f>
        <v>0</v>
      </c>
      <c r="P18" s="27" t="s">
        <v>6</v>
      </c>
      <c r="Q18" s="27">
        <f>BG66</f>
        <v>0</v>
      </c>
      <c r="R18" s="27">
        <f>Q18</f>
        <v>0</v>
      </c>
      <c r="S18" s="27" t="e">
        <f>#REF!</f>
        <v>#REF!</v>
      </c>
      <c r="T18" s="27">
        <f>BG66+U18</f>
        <v>0</v>
      </c>
      <c r="U18" s="27">
        <f>IF(BG66&lt;=0,0,2%*T10-2%*R10)</f>
        <v>0</v>
      </c>
      <c r="V18" s="27"/>
      <c r="W18" s="27">
        <f>IF(C6&gt;36,36,C6)</f>
        <v>1</v>
      </c>
      <c r="X18" s="27"/>
      <c r="Y18" s="27"/>
      <c r="Z18" s="27"/>
      <c r="AA18" s="27"/>
      <c r="AB18" s="27"/>
      <c r="AC18" s="27"/>
      <c r="AD18" s="27" t="s">
        <v>59</v>
      </c>
      <c r="AE18" s="27"/>
      <c r="AF18" s="27" t="e">
        <f>1-#REF!/(#REF!+#REF!)</f>
        <v>#REF!</v>
      </c>
      <c r="AG18" s="27"/>
      <c r="AH18" s="27"/>
      <c r="AI18" s="27"/>
      <c r="AJ18" s="27"/>
      <c r="AK18" s="27"/>
      <c r="AL18" s="27" t="s">
        <v>168</v>
      </c>
      <c r="AM18" s="27">
        <v>39872</v>
      </c>
      <c r="AN18" s="27">
        <v>8.5</v>
      </c>
      <c r="AO18" s="27">
        <v>9</v>
      </c>
      <c r="AP18" s="27"/>
      <c r="AQ18" s="27"/>
      <c r="AR18" s="27"/>
      <c r="AS18" s="27" t="s">
        <v>169</v>
      </c>
      <c r="AT18" s="27"/>
      <c r="AU18" s="27"/>
      <c r="AV18" s="27"/>
      <c r="AW18" s="27"/>
      <c r="AX18" s="27"/>
      <c r="AY18" s="27" t="s">
        <v>170</v>
      </c>
      <c r="AZ18" s="27"/>
      <c r="BA18" s="27">
        <v>16</v>
      </c>
      <c r="BB18" s="27">
        <v>0.36</v>
      </c>
      <c r="BC18" s="27"/>
      <c r="BD18" s="27"/>
      <c r="BE18" s="27" t="s">
        <v>171</v>
      </c>
      <c r="BF18" s="27" t="s">
        <v>171</v>
      </c>
      <c r="BG18" s="27" t="s">
        <v>172</v>
      </c>
      <c r="BH18" s="27" t="s">
        <v>173</v>
      </c>
      <c r="BI18" s="27" t="s">
        <v>174</v>
      </c>
      <c r="BJ18" s="27" t="s">
        <v>175</v>
      </c>
      <c r="BK18" s="27" t="s">
        <v>176</v>
      </c>
      <c r="BL18" s="27"/>
      <c r="BM18" s="27"/>
      <c r="BN18" s="27"/>
      <c r="BO18" s="27"/>
      <c r="BP18" s="27"/>
      <c r="BQ18" s="27">
        <v>1114297</v>
      </c>
      <c r="BR18" s="27"/>
      <c r="BS18" s="27" t="s">
        <v>177</v>
      </c>
      <c r="BT18" s="27"/>
      <c r="BU18" s="27"/>
      <c r="BV18" s="27"/>
      <c r="BW18" s="27"/>
      <c r="BX18" s="27"/>
      <c r="BY18" s="27"/>
      <c r="BZ18" s="27"/>
      <c r="CA18" s="27"/>
      <c r="CB18" s="27">
        <v>1</v>
      </c>
      <c r="CC18" s="27">
        <v>2</v>
      </c>
      <c r="CD18" s="27">
        <v>3</v>
      </c>
      <c r="CE18" s="27">
        <v>4</v>
      </c>
      <c r="CF18" s="27">
        <v>5</v>
      </c>
      <c r="CG18" s="27">
        <v>6</v>
      </c>
      <c r="CH18" s="27">
        <v>7</v>
      </c>
      <c r="CI18" s="27">
        <v>8</v>
      </c>
      <c r="CJ18" s="27">
        <v>9</v>
      </c>
      <c r="CK18" s="27">
        <v>10</v>
      </c>
      <c r="CL18" s="27">
        <v>11</v>
      </c>
      <c r="CM18" s="27">
        <v>12</v>
      </c>
      <c r="CN18" s="27">
        <v>13</v>
      </c>
      <c r="CO18" s="27"/>
      <c r="CP18" s="27"/>
      <c r="CQ18" s="27" t="s">
        <v>178</v>
      </c>
      <c r="CR18" s="27"/>
      <c r="CS18" s="27">
        <v>7</v>
      </c>
      <c r="CT18" s="27">
        <f t="shared" si="0"/>
        <v>14.4</v>
      </c>
      <c r="CU18" s="27"/>
      <c r="CV18" s="27">
        <v>7</v>
      </c>
      <c r="CW18" s="27">
        <v>50.9</v>
      </c>
      <c r="CX18" s="27">
        <v>19.2</v>
      </c>
      <c r="CY18" s="27"/>
      <c r="CZ18" s="27">
        <v>7</v>
      </c>
      <c r="DA18" s="27">
        <v>31.7</v>
      </c>
      <c r="DB18" s="27">
        <v>38.25</v>
      </c>
      <c r="DC18" s="27"/>
      <c r="DD18" s="27">
        <v>7</v>
      </c>
      <c r="DE18" s="27">
        <v>0</v>
      </c>
      <c r="DF18" s="27">
        <v>0</v>
      </c>
      <c r="DG18" s="27"/>
      <c r="DH18" s="27"/>
      <c r="DI18" s="27"/>
      <c r="DJ18" s="27"/>
      <c r="DK18" s="27"/>
      <c r="DL18" s="27" t="s">
        <v>179</v>
      </c>
      <c r="DM18" s="27"/>
      <c r="DN18" s="27"/>
      <c r="DO18" s="27"/>
      <c r="DP18" s="27"/>
      <c r="DQ18" s="27"/>
      <c r="DR18" s="27"/>
      <c r="DS18" s="27"/>
      <c r="DT18" s="27"/>
    </row>
    <row r="19" spans="2:124" ht="15" x14ac:dyDescent="0.25">
      <c r="B19" s="35" t="s">
        <v>180</v>
      </c>
      <c r="C19" s="36" t="s">
        <v>108</v>
      </c>
      <c r="D19" s="209" t="s">
        <v>181</v>
      </c>
      <c r="E19" s="210"/>
      <c r="F19" s="27" t="s">
        <v>182</v>
      </c>
      <c r="G19" s="27" t="s">
        <v>183</v>
      </c>
      <c r="H19" s="27"/>
      <c r="I19" s="27"/>
      <c r="J19" s="27"/>
      <c r="K19" s="27"/>
      <c r="L19" s="27"/>
      <c r="M19" s="27"/>
      <c r="N19" s="27"/>
      <c r="O19" s="27">
        <f>(O7+O21)*$C$11</f>
        <v>0</v>
      </c>
      <c r="P19" s="27" t="str">
        <f>B11</f>
        <v>גמול חינוך מיוחד</v>
      </c>
      <c r="Q19" s="27" t="e">
        <f>AD11*Q5</f>
        <v>#REF!</v>
      </c>
      <c r="R19" s="27">
        <f>AD11*R5</f>
        <v>0</v>
      </c>
      <c r="S19" s="27" t="e">
        <f>#REF!</f>
        <v>#REF!</v>
      </c>
      <c r="T19" s="27" t="e">
        <f>T5*AD11</f>
        <v>#REF!</v>
      </c>
      <c r="U19" s="27"/>
      <c r="V19" s="27" t="s">
        <v>59</v>
      </c>
      <c r="W19" s="27">
        <v>1</v>
      </c>
      <c r="X19" s="27"/>
      <c r="Y19" s="27"/>
      <c r="Z19" s="27"/>
      <c r="AA19" s="27" t="s">
        <v>184</v>
      </c>
      <c r="AB19" s="27">
        <v>5</v>
      </c>
      <c r="AC19" s="27"/>
      <c r="AD19" s="27"/>
      <c r="AE19" s="27" t="s">
        <v>59</v>
      </c>
      <c r="AF19" s="27" t="s">
        <v>59</v>
      </c>
      <c r="AG19" s="27" t="s">
        <v>185</v>
      </c>
      <c r="AH19" s="27"/>
      <c r="AI19" s="27"/>
      <c r="AJ19" s="27"/>
      <c r="AK19" s="27"/>
      <c r="AL19" s="27" t="s">
        <v>186</v>
      </c>
      <c r="AM19" s="27">
        <v>39903</v>
      </c>
      <c r="AN19" s="27">
        <v>9</v>
      </c>
      <c r="AO19" s="27" t="s">
        <v>187</v>
      </c>
      <c r="AP19" s="27" t="s">
        <v>102</v>
      </c>
      <c r="AQ19" s="27" t="s">
        <v>188</v>
      </c>
      <c r="AR19" s="27">
        <f>'[1]נתוני מס'!I22</f>
        <v>395</v>
      </c>
      <c r="AS19" s="27">
        <v>10</v>
      </c>
      <c r="AT19" s="27"/>
      <c r="AU19" s="27" t="s">
        <v>189</v>
      </c>
      <c r="AV19" s="27"/>
      <c r="AW19" s="27"/>
      <c r="AX19" s="27"/>
      <c r="AY19" s="27">
        <f>AQ20</f>
        <v>21262</v>
      </c>
      <c r="AZ19" s="27" t="s">
        <v>190</v>
      </c>
      <c r="BA19" s="27" t="s">
        <v>191</v>
      </c>
      <c r="BB19" s="27">
        <f>VLOOKUP(BG69,nihool,2,FALSE)</f>
        <v>0</v>
      </c>
      <c r="BC19" s="27"/>
      <c r="BD19" s="27"/>
      <c r="BE19" s="27" t="s">
        <v>176</v>
      </c>
      <c r="BF19" s="27" t="s">
        <v>192</v>
      </c>
      <c r="BG19" s="27" t="e">
        <f>#REF!/12</f>
        <v>#REF!</v>
      </c>
      <c r="BH19" s="27" t="e">
        <f>#REF!</f>
        <v>#REF!</v>
      </c>
      <c r="BI19" s="27" t="e">
        <f>#REF!/12-BJ102</f>
        <v>#REF!</v>
      </c>
      <c r="BJ19" s="27" t="e">
        <f>(12*(F222-Q26)+BG77)/12</f>
        <v>#REF!</v>
      </c>
      <c r="BK19" s="27" t="e">
        <f>(#REF!*((12-BJ31/12))+BG77/12*BJ32)/12+F159+BJ20*((12-BJ32)/12)</f>
        <v>#REF!</v>
      </c>
      <c r="BL19" s="27"/>
      <c r="BM19" s="27"/>
      <c r="BN19" s="27" t="s">
        <v>193</v>
      </c>
      <c r="BO19" s="27" t="e">
        <f>IF('[1]נתוני מס'!N16&gt;#REF!,#REF!,'[1]נתוני מס'!N16)</f>
        <v>#REF!</v>
      </c>
      <c r="BP19" s="27"/>
      <c r="BQ19" s="27"/>
      <c r="BR19" s="27"/>
      <c r="BS19" s="27" t="e">
        <f>BO19</f>
        <v>#REF!</v>
      </c>
      <c r="BT19" s="27"/>
      <c r="BU19" s="27"/>
      <c r="BV19" s="27"/>
      <c r="BW19" s="27"/>
      <c r="BX19" s="27"/>
      <c r="BY19" s="27"/>
      <c r="BZ19" s="27"/>
      <c r="CA19" s="27"/>
      <c r="CB19" s="27"/>
      <c r="CC19" s="27"/>
      <c r="CD19" s="27"/>
      <c r="CE19" s="27"/>
      <c r="CF19" s="27"/>
      <c r="CG19" s="27"/>
      <c r="CH19" s="27"/>
      <c r="CI19" s="27"/>
      <c r="CJ19" s="27"/>
      <c r="CK19" s="27"/>
      <c r="CL19" s="27"/>
      <c r="CM19" s="27"/>
      <c r="CN19" s="27"/>
      <c r="CO19" s="27"/>
      <c r="CP19" s="27"/>
      <c r="CQ19" s="27" t="s">
        <v>194</v>
      </c>
      <c r="CR19" s="27"/>
      <c r="CS19" s="27">
        <v>8</v>
      </c>
      <c r="CT19" s="27">
        <f t="shared" si="0"/>
        <v>16.8</v>
      </c>
      <c r="CU19" s="27"/>
      <c r="CV19" s="27">
        <v>8</v>
      </c>
      <c r="CW19" s="27">
        <v>54.6</v>
      </c>
      <c r="CX19" s="27">
        <v>25.7</v>
      </c>
      <c r="CY19" s="27"/>
      <c r="CZ19" s="27">
        <v>8</v>
      </c>
      <c r="DA19" s="27">
        <v>33.5</v>
      </c>
      <c r="DB19" s="27">
        <v>40.61</v>
      </c>
      <c r="DC19" s="27"/>
      <c r="DD19" s="27">
        <v>8</v>
      </c>
      <c r="DE19" s="27">
        <v>0</v>
      </c>
      <c r="DF19" s="27">
        <v>0</v>
      </c>
      <c r="DG19" s="27"/>
      <c r="DH19" s="27"/>
      <c r="DI19" s="27"/>
      <c r="DJ19" s="27"/>
      <c r="DK19" s="27"/>
      <c r="DL19" s="27">
        <v>39</v>
      </c>
      <c r="DM19" s="27"/>
      <c r="DN19" s="27"/>
      <c r="DO19" s="27"/>
      <c r="DP19" s="27"/>
      <c r="DQ19" s="27"/>
      <c r="DR19" s="27"/>
      <c r="DS19" s="27"/>
      <c r="DT19" s="27"/>
    </row>
    <row r="20" spans="2:124" ht="18" customHeight="1" x14ac:dyDescent="0.25">
      <c r="B20" s="53" t="s">
        <v>180</v>
      </c>
      <c r="C20" s="36" t="s">
        <v>183</v>
      </c>
      <c r="D20" s="209" t="s">
        <v>195</v>
      </c>
      <c r="E20" s="210"/>
      <c r="F20" s="27"/>
      <c r="G20" s="27" t="s">
        <v>196</v>
      </c>
      <c r="H20" s="27"/>
      <c r="I20" s="27"/>
      <c r="J20" s="27"/>
      <c r="K20" s="27"/>
      <c r="L20" s="27"/>
      <c r="M20" s="27"/>
      <c r="N20" s="27"/>
      <c r="O20" s="27" t="e">
        <f>D155*C9</f>
        <v>#N/A</v>
      </c>
      <c r="P20" s="27" t="s">
        <v>101</v>
      </c>
      <c r="Q20" s="27" t="e">
        <f>SUM(Q10:Q13)*BG68</f>
        <v>#REF!</v>
      </c>
      <c r="R20" s="27">
        <f>SUM(R10:R13)*BG68</f>
        <v>0</v>
      </c>
      <c r="S20" s="27" t="e">
        <f>#REF!</f>
        <v>#REF!</v>
      </c>
      <c r="T20" s="27" t="e">
        <f>SUM(T10:T13)*BG68</f>
        <v>#REF!</v>
      </c>
      <c r="U20" s="27"/>
      <c r="V20" s="27"/>
      <c r="W20" s="27" t="e">
        <f>IF(#REF!=AD20,#REF!,IF(OR(C5=CB16,C5=CC16,C5=CD16,AB20=AD21),C39,C39*X22))</f>
        <v>#REF!</v>
      </c>
      <c r="X20" s="27"/>
      <c r="Y20" s="27"/>
      <c r="Z20" s="27"/>
      <c r="AA20" s="27" t="s">
        <v>197</v>
      </c>
      <c r="AB20" s="27" t="s">
        <v>71</v>
      </c>
      <c r="AC20" s="27"/>
      <c r="AD20" s="27" t="s">
        <v>198</v>
      </c>
      <c r="AE20" s="27" t="s">
        <v>59</v>
      </c>
      <c r="AF20" s="27" t="s">
        <v>59</v>
      </c>
      <c r="AG20" s="27" t="s">
        <v>199</v>
      </c>
      <c r="AH20" s="27"/>
      <c r="AI20" s="27"/>
      <c r="AJ20" s="27" t="s">
        <v>200</v>
      </c>
      <c r="AK20" s="27"/>
      <c r="AL20" s="27" t="s">
        <v>201</v>
      </c>
      <c r="AM20" s="27">
        <v>39933</v>
      </c>
      <c r="AN20" s="27"/>
      <c r="AO20" s="27"/>
      <c r="AP20" s="27" t="s">
        <v>190</v>
      </c>
      <c r="AQ20" s="27">
        <v>21262</v>
      </c>
      <c r="AR20" s="27"/>
      <c r="AS20" s="27" t="s">
        <v>202</v>
      </c>
      <c r="AT20" s="27"/>
      <c r="AU20" s="27">
        <v>0</v>
      </c>
      <c r="AV20" s="27"/>
      <c r="AW20" s="27"/>
      <c r="AX20" s="27"/>
      <c r="AY20" s="27"/>
      <c r="AZ20" s="27"/>
      <c r="BA20" s="27" t="s">
        <v>203</v>
      </c>
      <c r="BB20" s="27">
        <f>VLOOKUP(B168,nihool,2,FALSE)</f>
        <v>0</v>
      </c>
      <c r="BC20" s="27"/>
      <c r="BD20" s="27"/>
      <c r="BE20" s="27" t="e">
        <f>#REF!/12/#REF!+#REF!+F159-BJ102</f>
        <v>#REF!</v>
      </c>
      <c r="BF20" s="27" t="e">
        <f>#REF!/12+#REF!+F159-BJ102</f>
        <v>#REF!</v>
      </c>
      <c r="BG20" s="27" t="s">
        <v>204</v>
      </c>
      <c r="BH20" s="27" t="e">
        <f>IF(BJ31=0,BG19+BH19+BL17-BJ102,-BJ102+((#REF!-1+(12-BJ32)/12)   *(BH19+BL17+BG19  )+  ( BJ31*(BJ19+BG19)  ))/12)</f>
        <v>#REF!</v>
      </c>
      <c r="BI20" s="27" t="e">
        <f>((BJ19+BI19)*BJ32+(12-BJ32)*(BL17+BH19+BI19))/12</f>
        <v>#REF!</v>
      </c>
      <c r="BJ20" s="27" t="e">
        <f>#REF!-BJ102</f>
        <v>#REF!</v>
      </c>
      <c r="BK20" s="27" t="e">
        <f>BK19-BJ102</f>
        <v>#REF!</v>
      </c>
      <c r="BL20" s="27" t="e">
        <f>#REF!-BJ102</f>
        <v>#REF!</v>
      </c>
      <c r="BM20" s="27">
        <f>BG77/12-BJ102</f>
        <v>11500</v>
      </c>
      <c r="BN20" s="27" t="e">
        <f>BO19*BO20</f>
        <v>#REF!</v>
      </c>
      <c r="BO20" s="27">
        <v>0.65</v>
      </c>
      <c r="BP20" s="27">
        <f>BJ99</f>
        <v>0</v>
      </c>
      <c r="BQ20" s="27">
        <v>1115773</v>
      </c>
      <c r="BR20" s="27">
        <f>BK104</f>
        <v>12640</v>
      </c>
      <c r="BS20" s="27" t="e">
        <f>1-#REF!</f>
        <v>#REF!</v>
      </c>
      <c r="BT20" s="27"/>
      <c r="BU20" s="27" t="s">
        <v>205</v>
      </c>
      <c r="BV20" s="27"/>
      <c r="BW20" s="27"/>
      <c r="BX20" s="27"/>
      <c r="BY20" s="27"/>
      <c r="BZ20" s="27" t="s">
        <v>206</v>
      </c>
      <c r="CA20" s="27"/>
      <c r="CB20" s="27">
        <v>1.302</v>
      </c>
      <c r="CC20" s="27">
        <v>1.23</v>
      </c>
      <c r="CD20" s="27">
        <v>1.1479999999999999</v>
      </c>
      <c r="CE20" s="27">
        <v>1.097</v>
      </c>
      <c r="CF20" s="27">
        <v>1</v>
      </c>
      <c r="CG20" s="27">
        <v>0.87</v>
      </c>
      <c r="CH20" s="27">
        <v>0.81499999999999995</v>
      </c>
      <c r="CI20" s="27">
        <v>0.79500000000000004</v>
      </c>
      <c r="CJ20" s="27">
        <v>0.77</v>
      </c>
      <c r="CK20" s="27">
        <v>1.097</v>
      </c>
      <c r="CL20" s="27">
        <v>1.02</v>
      </c>
      <c r="CM20" s="27">
        <v>0.87</v>
      </c>
      <c r="CN20" s="27">
        <v>1.0740000000000001</v>
      </c>
      <c r="CO20" s="27"/>
      <c r="CP20" s="27"/>
      <c r="CQ20" s="27" t="s">
        <v>207</v>
      </c>
      <c r="CR20" s="27"/>
      <c r="CS20" s="27">
        <v>9</v>
      </c>
      <c r="CT20" s="27">
        <f t="shared" si="0"/>
        <v>19.2</v>
      </c>
      <c r="CU20" s="27"/>
      <c r="CV20" s="27">
        <v>9</v>
      </c>
      <c r="CW20" s="27">
        <v>54.6</v>
      </c>
      <c r="CX20" s="27">
        <v>28.2</v>
      </c>
      <c r="CY20" s="27"/>
      <c r="CZ20" s="27">
        <v>9</v>
      </c>
      <c r="DA20" s="27">
        <v>35.299999999999997</v>
      </c>
      <c r="DB20" s="27">
        <v>42.86</v>
      </c>
      <c r="DC20" s="27"/>
      <c r="DD20" s="27">
        <v>9</v>
      </c>
      <c r="DE20" s="27">
        <v>0</v>
      </c>
      <c r="DF20" s="27">
        <v>0</v>
      </c>
      <c r="DG20" s="27"/>
      <c r="DH20" s="27"/>
      <c r="DI20" s="27"/>
      <c r="DJ20" s="27"/>
      <c r="DK20" s="27"/>
      <c r="DL20" s="27">
        <v>41.3</v>
      </c>
      <c r="DM20" s="27"/>
      <c r="DN20" s="27"/>
      <c r="DO20" s="27"/>
      <c r="DP20" s="27"/>
      <c r="DQ20" s="27"/>
      <c r="DR20" s="27"/>
      <c r="DS20" s="27"/>
      <c r="DT20" s="27"/>
    </row>
    <row r="21" spans="2:124" ht="15.75" customHeight="1" x14ac:dyDescent="0.25">
      <c r="B21" s="53" t="s">
        <v>208</v>
      </c>
      <c r="C21" s="191" t="str">
        <f>G3</f>
        <v>מנהל אקדמאי קיים</v>
      </c>
      <c r="D21" s="213" t="s">
        <v>209</v>
      </c>
      <c r="E21" s="214"/>
      <c r="F21" s="27"/>
      <c r="G21" s="27"/>
      <c r="H21" s="27"/>
      <c r="I21" s="27"/>
      <c r="J21" s="27"/>
      <c r="K21" s="27" t="s">
        <v>211</v>
      </c>
      <c r="L21" s="27"/>
      <c r="M21" s="27"/>
      <c r="N21" s="27"/>
      <c r="O21" s="27">
        <f>N21*C9</f>
        <v>0</v>
      </c>
      <c r="P21" s="27" t="s">
        <v>210</v>
      </c>
      <c r="Q21" s="27" t="e">
        <f>BB19*Q20</f>
        <v>#REF!</v>
      </c>
      <c r="R21" s="27">
        <f>BB19*R20</f>
        <v>0</v>
      </c>
      <c r="S21" s="27" t="e">
        <f>#REF!</f>
        <v>#REF!</v>
      </c>
      <c r="T21" s="27" t="e">
        <f>U21*T20</f>
        <v>#REF!</v>
      </c>
      <c r="U21" s="27">
        <f>IF(BB19=0,0,IF((BB19+V21)&gt;36%,36%,BB19+V21))</f>
        <v>0</v>
      </c>
      <c r="V21" s="27" t="e">
        <f>(G179-T7)*2.4%</f>
        <v>#REF!</v>
      </c>
      <c r="W21" s="27"/>
      <c r="X21" s="27"/>
      <c r="Y21" s="27"/>
      <c r="Z21" s="27"/>
      <c r="AA21" s="27" t="s">
        <v>212</v>
      </c>
      <c r="AB21" s="27" t="s">
        <v>200</v>
      </c>
      <c r="AC21" s="27"/>
      <c r="AD21" s="27" t="s">
        <v>27</v>
      </c>
      <c r="AE21" s="27" t="s">
        <v>59</v>
      </c>
      <c r="AF21" s="27" t="s">
        <v>59</v>
      </c>
      <c r="AG21" s="27" t="s">
        <v>213</v>
      </c>
      <c r="AH21" s="27"/>
      <c r="AI21" s="27"/>
      <c r="AJ21" s="27"/>
      <c r="AK21" s="27"/>
      <c r="AL21" s="27" t="s">
        <v>214</v>
      </c>
      <c r="AM21" s="27">
        <v>39964</v>
      </c>
      <c r="AN21" s="27"/>
      <c r="AO21" s="27"/>
      <c r="AP21" s="27" t="s">
        <v>215</v>
      </c>
      <c r="AQ21" s="27" t="s">
        <v>216</v>
      </c>
      <c r="AR21" s="27"/>
      <c r="AS21" s="27">
        <v>11</v>
      </c>
      <c r="AT21" s="27"/>
      <c r="AU21" s="27">
        <v>0.5</v>
      </c>
      <c r="AV21" s="27"/>
      <c r="AW21" s="27"/>
      <c r="AX21" s="27" t="s">
        <v>59</v>
      </c>
      <c r="AY21" s="27">
        <v>17288</v>
      </c>
      <c r="AZ21" s="27">
        <v>17288</v>
      </c>
      <c r="BA21" s="27"/>
      <c r="BB21" s="27" t="s">
        <v>217</v>
      </c>
      <c r="BC21" s="27"/>
      <c r="BD21" s="27"/>
      <c r="BE21" s="27" t="s">
        <v>218</v>
      </c>
      <c r="BF21" s="27"/>
      <c r="BG21" s="27"/>
      <c r="BH21" s="27" t="s">
        <v>219</v>
      </c>
      <c r="BI21" s="27" t="s">
        <v>220</v>
      </c>
      <c r="BJ21" s="27" t="s">
        <v>173</v>
      </c>
      <c r="BK21" s="27" t="s">
        <v>221</v>
      </c>
      <c r="BL21" s="27" t="s">
        <v>222</v>
      </c>
      <c r="BM21" s="27" t="s">
        <v>223</v>
      </c>
      <c r="BN21" s="27" t="s">
        <v>224</v>
      </c>
      <c r="BO21" s="27"/>
      <c r="BP21" s="27" t="s">
        <v>225</v>
      </c>
      <c r="BQ21" s="27"/>
      <c r="BR21" s="27"/>
      <c r="BS21" s="27" t="e">
        <f>BS20*BS19</f>
        <v>#REF!</v>
      </c>
      <c r="BT21" s="27"/>
      <c r="BU21" s="27" t="e">
        <f>BS19</f>
        <v>#REF!</v>
      </c>
      <c r="BV21" s="27"/>
      <c r="BW21" s="27"/>
      <c r="BX21" s="27"/>
      <c r="BY21" s="27"/>
      <c r="BZ21" s="27"/>
      <c r="CA21" s="27"/>
      <c r="CB21" s="27"/>
      <c r="CC21" s="27"/>
      <c r="CD21" s="27"/>
      <c r="CE21" s="27"/>
      <c r="CF21" s="27"/>
      <c r="CG21" s="27"/>
      <c r="CH21" s="27"/>
      <c r="CI21" s="27"/>
      <c r="CJ21" s="27"/>
      <c r="CK21" s="27"/>
      <c r="CL21" s="27"/>
      <c r="CM21" s="27"/>
      <c r="CN21" s="27"/>
      <c r="CO21" s="27"/>
      <c r="CP21" s="27"/>
      <c r="CQ21" s="27" t="s">
        <v>226</v>
      </c>
      <c r="CR21" s="27"/>
      <c r="CS21" s="27">
        <v>10</v>
      </c>
      <c r="CT21" s="27">
        <f t="shared" si="0"/>
        <v>21.599999999999998</v>
      </c>
      <c r="CU21" s="27"/>
      <c r="CV21" s="27">
        <v>10</v>
      </c>
      <c r="CW21" s="27">
        <v>54.6</v>
      </c>
      <c r="CX21" s="27">
        <v>30.7</v>
      </c>
      <c r="CY21" s="27"/>
      <c r="CZ21" s="27">
        <v>10</v>
      </c>
      <c r="DA21" s="27">
        <v>37</v>
      </c>
      <c r="DB21" s="27">
        <v>44.21</v>
      </c>
      <c r="DC21" s="27"/>
      <c r="DD21" s="27">
        <v>10</v>
      </c>
      <c r="DE21" s="27">
        <v>0</v>
      </c>
      <c r="DF21" s="27">
        <v>21.7</v>
      </c>
      <c r="DG21" s="27"/>
      <c r="DH21" s="27"/>
      <c r="DI21" s="27"/>
      <c r="DJ21" s="27"/>
      <c r="DK21" s="27" t="s">
        <v>227</v>
      </c>
      <c r="DL21" s="27">
        <v>43.7</v>
      </c>
      <c r="DM21" s="27"/>
      <c r="DN21" s="27"/>
      <c r="DO21" s="27"/>
      <c r="DP21" s="27"/>
      <c r="DQ21" s="27"/>
      <c r="DR21" s="27"/>
      <c r="DS21" s="27"/>
      <c r="DT21" s="27"/>
    </row>
    <row r="22" spans="2:124" ht="14.25" customHeight="1" x14ac:dyDescent="0.2">
      <c r="B22" s="27"/>
      <c r="C22" s="27"/>
      <c r="D22" s="27"/>
      <c r="E22" s="27"/>
      <c r="F22" s="27"/>
      <c r="G22" s="27"/>
      <c r="H22" s="27"/>
      <c r="I22" s="27"/>
      <c r="J22" s="27"/>
      <c r="K22" s="27" t="s">
        <v>211</v>
      </c>
      <c r="L22" s="27"/>
      <c r="M22" s="27"/>
      <c r="N22" s="27"/>
      <c r="O22" s="27">
        <f>J23</f>
        <v>0</v>
      </c>
      <c r="P22" s="27" t="s">
        <v>228</v>
      </c>
      <c r="Q22" s="27" t="e">
        <f>AB16*Q10</f>
        <v>#REF!</v>
      </c>
      <c r="R22" s="27">
        <f>AB16*R10</f>
        <v>0</v>
      </c>
      <c r="S22" s="27" t="e">
        <f>#REF!</f>
        <v>#REF!</v>
      </c>
      <c r="T22" s="27" t="e">
        <f>U22*T10</f>
        <v>#REF!</v>
      </c>
      <c r="U22" s="27">
        <f>VLOOKUP(INT(V22),ghad1,2,FALSE)</f>
        <v>0</v>
      </c>
      <c r="V22" s="27">
        <f>IF(AB16=0,0,IF(60-T7+BG70&gt;13,13,60-T7+BG70))</f>
        <v>0</v>
      </c>
      <c r="W22" s="27" t="s">
        <v>229</v>
      </c>
      <c r="X22" s="27">
        <f>IF(C39=16%,IF(OR(C5=CB16,C5=CC16,C5=CD16),0.8,0.9),0.8)</f>
        <v>0.8</v>
      </c>
      <c r="Y22" s="27"/>
      <c r="Z22" s="27"/>
      <c r="AA22" s="27" t="s">
        <v>230</v>
      </c>
      <c r="AB22" s="27"/>
      <c r="AC22" s="27"/>
      <c r="AD22" s="27"/>
      <c r="AE22" s="27" t="s">
        <v>59</v>
      </c>
      <c r="AF22" s="27" t="s">
        <v>59</v>
      </c>
      <c r="AG22" s="27" t="s">
        <v>231</v>
      </c>
      <c r="AH22" s="27" t="s">
        <v>59</v>
      </c>
      <c r="AI22" s="27"/>
      <c r="AJ22" s="27" t="s">
        <v>232</v>
      </c>
      <c r="AK22" s="27"/>
      <c r="AL22" s="27" t="s">
        <v>233</v>
      </c>
      <c r="AM22" s="27">
        <v>39994</v>
      </c>
      <c r="AN22" s="27"/>
      <c r="AO22" s="27"/>
      <c r="AP22" s="27" t="s">
        <v>234</v>
      </c>
      <c r="AQ22" s="27">
        <v>28734</v>
      </c>
      <c r="AR22" s="27"/>
      <c r="AS22" s="27" t="s">
        <v>235</v>
      </c>
      <c r="AT22" s="27"/>
      <c r="AU22" s="27">
        <v>1</v>
      </c>
      <c r="AV22" s="27"/>
      <c r="AW22" s="27"/>
      <c r="AX22" s="27" t="s">
        <v>59</v>
      </c>
      <c r="AY22" s="27">
        <v>18264</v>
      </c>
      <c r="AZ22" s="27">
        <v>18264</v>
      </c>
      <c r="BA22" s="27"/>
      <c r="BB22" s="27" t="str">
        <f>MID(BG59,1,2)</f>
        <v>ד"</v>
      </c>
      <c r="BC22" s="27"/>
      <c r="BD22" s="27"/>
      <c r="BE22" s="27" t="e">
        <f>IF((BE20&gt;='[1]נתוני מס'!H7)*AND(BE20&lt;'[1]נתוני מס'!H8),((BE20-'[1]נתוני מס'!H7)*'[1]נתוני מס'!I8+'[1]נתוני מס'!F7-AG32)*BE28,IF((BE20&lt;'[1]נתוני מס'!H7),(BE20*'[1]נתוני מס'!I7-AG32)*BE28,0))</f>
        <v>#REF!</v>
      </c>
      <c r="BF22" s="27" t="e">
        <f>IF((BF20&gt;='[1]נתוני מס'!H7)*AND(BF20&lt;'[1]נתוני מס'!H8),((BF20-'[1]נתוני מס'!H7)*'[1]נתוני מס'!I8+'[1]נתוני מס'!F7-AG32)*BF28,IF((BF20&lt;'[1]נתוני מס'!H7),(BF20*'[1]נתוני מס'!I7-AG32)*BF28,0))</f>
        <v>#REF!</v>
      </c>
      <c r="BG22" s="27"/>
      <c r="BH22" s="27" t="e">
        <f>IF((BH20&gt;='[1]נתוני מס'!H7)*AND(BH20&lt;'[1]נתוני מס'!H8),((BH20-'[1]נתוני מס'!H7)*'[1]נתוני מס'!I8+'[1]נתוני מס'!F7)*BH28,IF((BH20&lt;'[1]נתוני מס'!H7),(BH20*'[1]נתוני מס'!I7)*BH28,0))</f>
        <v>#REF!</v>
      </c>
      <c r="BI22" s="27" t="e">
        <f>IF((BI20&gt;='[1]נתוני מס'!H7)*AND(BI20&lt;'[1]נתוני מס'!H8),((BI20-'[1]נתוני מס'!H7)*'[1]נתוני מס'!I8+'[1]נתוני מס'!F7)*BI28,IF((BI20&lt;'[1]נתוני מס'!H7),(BI20*'[1]נתוני מס'!I7)*BI28,0))</f>
        <v>#REF!</v>
      </c>
      <c r="BJ22" s="27" t="e">
        <f>IF((#REF!&gt;='[1]נתוני מס'!H7)*AND(#REF!&lt;'[1]נתוני מס'!H8),(#REF!-'[1]נתוני מס'!H7)*'[1]נתוני מס'!I8+'[1]נתוני מס'!F7,IF((#REF!&lt;'[1]נתוני מס'!H7),#REF!*'[1]נתוני מס'!I7,0))</f>
        <v>#REF!</v>
      </c>
      <c r="BK22" s="27" t="e">
        <f>IF((BK20&gt;='[1]נתוני מס'!H7)*AND(BK20&lt;'[1]נתוני מס'!H8),(BK20-'[1]נתוני מס'!H7)*'[1]נתוני מס'!I8+'[1]נתוני מס'!F7,IF((BK20&lt;'[1]נתוני מס'!H7),BK20*'[1]נתוני מס'!I7,0))</f>
        <v>#REF!</v>
      </c>
      <c r="BL22" s="27" t="e">
        <f>IF((BL20&gt;='[1]נתוני מס'!H7)*AND(BL20&lt;'[1]נתוני מס'!H8),(BL20-'[1]נתוני מס'!H7)*'[1]נתוני מס'!I8+'[1]נתוני מס'!F7,IF((BL20&lt;'[1]נתוני מס'!H7),BL20*'[1]נתוני מס'!I7,0))</f>
        <v>#REF!</v>
      </c>
      <c r="BM22" s="27">
        <f>IF((BM20&gt;='[1]נתוני מס'!H7)*AND(BM20&lt;'[1]נתוני מס'!H8),(BM20-'[1]נתוני מס'!H7)*'[1]נתוני מס'!J8+'[1]נתוני מס'!F7,IF((BM20&lt;'[1]נתוני מס'!H7),BM20*'[1]נתוני מס'!J7,0))</f>
        <v>0</v>
      </c>
      <c r="BN22" s="27" t="e">
        <f>IF((BN20&gt;='[1]נתוני מס'!H7)*AND(BN20&lt;'[1]נתוני מס'!H8),(BN20-'[1]נתוני מס'!H7)*'[1]נתוני מס'!I8+'[1]נתוני מס'!F7,IF((BN20&lt;'[1]נתוני מס'!H7),BN20*'[1]נתוני מס'!I7,0))</f>
        <v>#REF!</v>
      </c>
      <c r="BO22" s="27"/>
      <c r="BP22" s="27">
        <f>IF((BP20&gt;='[1]נתוני מס'!H7)*AND(BP20&lt;'[1]נתוני מס'!H8),(BP20-'[1]נתוני מס'!H7)*'[1]נתוני מס'!J8+'[1]נתוני מס'!F7,IF((BP20&lt;'[1]נתוני מס'!H7),BP20*'[1]נתוני מס'!J7,0))</f>
        <v>0</v>
      </c>
      <c r="BQ22" s="27">
        <v>1101575</v>
      </c>
      <c r="BR22" s="27"/>
      <c r="BS22" s="27" t="e">
        <f>IF((BS21&gt;='[1]נתוני מס'!H7)*AND(BS21&lt;'[1]נתוני מס'!H8),(BS21-'[1]נתוני מס'!H7)*'[1]נתוני מס'!I8+'[1]נתוני מס'!F7,IF((BS21&lt;'[1]נתוני מס'!H7),BS21*'[1]נתוני מס'!I7,0))</f>
        <v>#REF!</v>
      </c>
      <c r="BT22" s="27"/>
      <c r="BU22" s="27" t="e">
        <f>IF((BU21&gt;='[1]נתוני מס'!H7)*AND(BU21&lt;'[1]נתוני מס'!H8),(BU21-'[1]נתוני מס'!H7)*'[1]נתוני מס'!I8+'[1]נתוני מס'!F7,IF((BU21&lt;'[1]נתוני מס'!H7),BU21*'[1]נתוני מס'!I7,0))</f>
        <v>#REF!</v>
      </c>
      <c r="BV22" s="27"/>
      <c r="BW22" s="27"/>
      <c r="BX22" s="27"/>
      <c r="BY22" s="27"/>
      <c r="BZ22" s="27">
        <v>1</v>
      </c>
      <c r="CA22" s="27"/>
      <c r="CB22" s="27">
        <v>3365.57</v>
      </c>
      <c r="CC22" s="27">
        <v>3179.46</v>
      </c>
      <c r="CD22" s="27">
        <v>2967.49</v>
      </c>
      <c r="CE22" s="27">
        <v>2835.66</v>
      </c>
      <c r="CF22" s="27">
        <v>2584.9299999999998</v>
      </c>
      <c r="CG22" s="27">
        <v>2248.89</v>
      </c>
      <c r="CH22" s="27">
        <v>2106.71</v>
      </c>
      <c r="CI22" s="27">
        <v>2055.0100000000002</v>
      </c>
      <c r="CJ22" s="27">
        <v>1990.39</v>
      </c>
      <c r="CK22" s="27">
        <v>2835.66</v>
      </c>
      <c r="CL22" s="27">
        <v>2636.63</v>
      </c>
      <c r="CM22" s="27">
        <v>2248.89</v>
      </c>
      <c r="CN22" s="27">
        <v>2776.21</v>
      </c>
      <c r="CO22" s="27"/>
      <c r="CP22" s="27"/>
      <c r="CQ22" s="27" t="s">
        <v>236</v>
      </c>
      <c r="CR22" s="27"/>
      <c r="CS22" s="27">
        <f t="shared" ref="CS22:CS27" si="1">CS21+1</f>
        <v>11</v>
      </c>
      <c r="CT22" s="27">
        <f t="shared" si="0"/>
        <v>23.999999999999996</v>
      </c>
      <c r="CU22" s="27"/>
      <c r="CV22" s="27">
        <v>11</v>
      </c>
      <c r="CW22" s="27">
        <v>54.6</v>
      </c>
      <c r="CX22" s="27">
        <v>33.5</v>
      </c>
      <c r="CY22" s="27"/>
      <c r="CZ22" s="27">
        <v>11</v>
      </c>
      <c r="DA22" s="27">
        <v>38.799999999999997</v>
      </c>
      <c r="DB22" s="27">
        <v>47.03</v>
      </c>
      <c r="DC22" s="27"/>
      <c r="DD22" s="27">
        <v>11</v>
      </c>
      <c r="DE22" s="27">
        <v>0</v>
      </c>
      <c r="DF22" s="27">
        <v>22.7</v>
      </c>
      <c r="DG22" s="27"/>
      <c r="DH22" s="27"/>
      <c r="DI22" s="27"/>
      <c r="DJ22" s="27"/>
      <c r="DK22" s="27">
        <v>23.4</v>
      </c>
      <c r="DL22" s="27" t="s">
        <v>237</v>
      </c>
      <c r="DM22" s="27"/>
      <c r="DN22" s="27"/>
      <c r="DO22" s="27"/>
      <c r="DP22" s="27"/>
      <c r="DQ22" s="27"/>
      <c r="DR22" s="27"/>
      <c r="DS22" s="27"/>
      <c r="DT22" s="27"/>
    </row>
    <row r="23" spans="2:124" ht="15.75" customHeight="1" thickBot="1" x14ac:dyDescent="0.25">
      <c r="B23" s="27"/>
      <c r="D23" s="54" t="s">
        <v>108</v>
      </c>
      <c r="F23" s="27"/>
      <c r="G23" s="27"/>
      <c r="H23" s="27"/>
      <c r="I23" s="27"/>
      <c r="J23" s="27"/>
      <c r="K23" s="27" t="s">
        <v>211</v>
      </c>
      <c r="L23" s="27"/>
      <c r="M23" s="27"/>
      <c r="N23" s="27"/>
      <c r="O23" s="27">
        <v>0</v>
      </c>
      <c r="P23" s="27" t="s">
        <v>238</v>
      </c>
      <c r="Q23" s="27" t="e">
        <f>SUM(Q10:Q13)*AB29</f>
        <v>#REF!</v>
      </c>
      <c r="R23" s="27">
        <f>SUM(R10:R13)*AB29</f>
        <v>0</v>
      </c>
      <c r="S23" s="27" t="str">
        <f>C229</f>
        <v>תוספת סמינרים  12%</v>
      </c>
      <c r="T23" s="27" t="e">
        <f>SUM(T10:T13)*AB29</f>
        <v>#REF!</v>
      </c>
      <c r="U23" s="27"/>
      <c r="V23" s="27"/>
      <c r="W23" s="27"/>
      <c r="X23" s="27">
        <f>IF(C39=16%,IF(OR(C5=CB16,C5=CC16,C5=CD16),0.8,0.9),0.8)</f>
        <v>0.8</v>
      </c>
      <c r="Y23" s="27"/>
      <c r="Z23" s="27" t="s">
        <v>239</v>
      </c>
      <c r="AA23" s="27"/>
      <c r="AB23" s="27">
        <v>0</v>
      </c>
      <c r="AC23" s="27"/>
      <c r="AD23" s="27"/>
      <c r="AE23" s="27" t="s">
        <v>59</v>
      </c>
      <c r="AF23" s="27" t="s">
        <v>240</v>
      </c>
      <c r="AG23" s="27" t="s">
        <v>241</v>
      </c>
      <c r="AH23" s="27"/>
      <c r="AI23" s="27"/>
      <c r="AJ23" s="27" t="s">
        <v>242</v>
      </c>
      <c r="AK23" s="27">
        <v>389</v>
      </c>
      <c r="AL23" s="27" t="s">
        <v>243</v>
      </c>
      <c r="AM23" s="27">
        <v>40025</v>
      </c>
      <c r="AN23" s="27"/>
      <c r="AO23" s="27"/>
      <c r="AP23" s="27">
        <v>16</v>
      </c>
      <c r="AQ23" s="27">
        <v>11</v>
      </c>
      <c r="AR23" s="27"/>
      <c r="AS23" s="27">
        <v>12</v>
      </c>
      <c r="AT23" s="27"/>
      <c r="AU23" s="27">
        <v>1.5</v>
      </c>
      <c r="AV23" s="27"/>
      <c r="AW23" s="27"/>
      <c r="AX23" s="27" t="s">
        <v>59</v>
      </c>
      <c r="AY23" s="27">
        <v>18476</v>
      </c>
      <c r="AZ23" s="27">
        <v>18476</v>
      </c>
      <c r="BA23" s="27"/>
      <c r="BB23" s="27"/>
      <c r="BC23" s="27"/>
      <c r="BD23" s="27"/>
      <c r="BE23" s="27" t="e">
        <f>IF((BE20&gt;='[1]נתוני מס'!H8)*AND(BE20&lt;'[1]נתוני מס'!H9),((BE20-'[1]נתוני מס'!H8)*'[1]נתוני מס'!I9+'[1]נתוני מס'!F8+'[1]נתוני מס'!F7-AG32)*BE28,0)</f>
        <v>#REF!</v>
      </c>
      <c r="BF23" s="27" t="e">
        <f>IF((BF20&gt;='[1]נתוני מס'!H8)*AND(BF20&lt;'[1]נתוני מס'!H9),((BF20-'[1]נתוני מס'!H8)*'[1]נתוני מס'!I9+'[1]נתוני מס'!F8+'[1]נתוני מס'!F7-AG32)*BF28,0)</f>
        <v>#REF!</v>
      </c>
      <c r="BG23" s="27"/>
      <c r="BH23" s="27" t="e">
        <f>IF((BH20&gt;='[1]נתוני מס'!H8)*AND(BH20&lt;'[1]נתוני מס'!H9),((BH20-'[1]נתוני מס'!H8)*'[1]נתוני מס'!I9+'[1]נתוני מס'!F8+'[1]נתוני מס'!F7)*BH28,0)</f>
        <v>#REF!</v>
      </c>
      <c r="BI23" s="27" t="e">
        <f>IF((BI20&gt;='[1]נתוני מס'!H8)*AND(BI20&lt;'[1]נתוני מס'!H9),((BI20-'[1]נתוני מס'!H8)*'[1]נתוני מס'!I9+'[1]נתוני מס'!F8+'[1]נתוני מס'!F7)*BI28,0)</f>
        <v>#REF!</v>
      </c>
      <c r="BJ23" s="27" t="e">
        <f>IF((#REF!&gt;='[1]נתוני מס'!H8)*AND(#REF!&lt;'[1]נתוני מס'!H9),(#REF!-'[1]נתוני מס'!H8)*'[1]נתוני מס'!I9+'[1]נתוני מס'!F8+'[1]נתוני מס'!F7,0)</f>
        <v>#REF!</v>
      </c>
      <c r="BK23" s="27" t="e">
        <f>IF((BK20&gt;='[1]נתוני מס'!H8)*AND(BK20&lt;'[1]נתוני מס'!H9),(BK20-'[1]נתוני מס'!H8)*'[1]נתוני מס'!I9+'[1]נתוני מס'!F8+'[1]נתוני מס'!F7,0)</f>
        <v>#REF!</v>
      </c>
      <c r="BL23" s="27" t="e">
        <f>IF((BL20&gt;='[1]נתוני מס'!H8)*AND(BL20&lt;'[1]נתוני מס'!H9),(BL20-'[1]נתוני מס'!H8)*'[1]נתוני מס'!I9+'[1]נתוני מס'!F8+'[1]נתוני מס'!F7,0)</f>
        <v>#REF!</v>
      </c>
      <c r="BM23" s="27">
        <f>IF((BM20&gt;='[1]נתוני מס'!H8)*AND(BM20&lt;'[1]נתוני מס'!H9),(BM20-'[1]נתוני מס'!H8)*'[1]נתוני מס'!J9+'[1]נתוני מס'!F8+'[1]נתוני מס'!F7,0)</f>
        <v>1662.8000000000002</v>
      </c>
      <c r="BN23" s="27" t="e">
        <f>IF((BN20&gt;='[1]נתוני מס'!H8)*AND(BN20&lt;'[1]נתוני מס'!H9),(BN20-'[1]נתוני מס'!H8)*'[1]נתוני מס'!I9+'[1]נתוני מס'!F8+'[1]נתוני מס'!F7,0)</f>
        <v>#REF!</v>
      </c>
      <c r="BO23" s="27"/>
      <c r="BP23" s="27">
        <f>IF((BP20&gt;='[1]נתוני מס'!H8)*AND(BP20&lt;'[1]נתוני מס'!H9),(BP20-'[1]נתוני מס'!H8)*'[1]נתוני מס'!J9+'[1]נתוני מס'!F8+'[1]נתוני מס'!F7,0)</f>
        <v>0</v>
      </c>
      <c r="BQ23" s="27"/>
      <c r="BR23" s="27"/>
      <c r="BS23" s="27" t="e">
        <f>IF((BS21&gt;='[1]נתוני מס'!H8)*AND(BS21&lt;'[1]נתוני מס'!H9),(BS21-'[1]נתוני מס'!H8)*'[1]נתוני מס'!I9+'[1]נתוני מס'!F8+'[1]נתוני מס'!F7,0)</f>
        <v>#REF!</v>
      </c>
      <c r="BT23" s="27"/>
      <c r="BU23" s="27" t="e">
        <f>IF((BU21&gt;='[1]נתוני מס'!H8)*AND(BU21&lt;'[1]נתוני מס'!H9),(BU21-'[1]נתוני מס'!H8)*'[1]נתוני מס'!I9+'[1]נתוני מס'!F8+'[1]נתוני מס'!F7,0)</f>
        <v>#REF!</v>
      </c>
      <c r="BV23" s="27"/>
      <c r="BW23" s="27"/>
      <c r="BX23" s="27"/>
      <c r="BY23" s="27"/>
      <c r="BZ23" s="27"/>
      <c r="CA23" s="27"/>
      <c r="CB23" s="27"/>
      <c r="CC23" s="27"/>
      <c r="CD23" s="27"/>
      <c r="CE23" s="27"/>
      <c r="CF23" s="27"/>
      <c r="CG23" s="27"/>
      <c r="CH23" s="27"/>
      <c r="CI23" s="27"/>
      <c r="CJ23" s="27"/>
      <c r="CK23" s="27"/>
      <c r="CL23" s="27"/>
      <c r="CM23" s="27"/>
      <c r="CN23" s="27"/>
      <c r="CO23" s="27"/>
      <c r="CP23" s="27"/>
      <c r="CQ23" s="27" t="s">
        <v>244</v>
      </c>
      <c r="CR23" s="27"/>
      <c r="CS23" s="27">
        <f t="shared" si="1"/>
        <v>12</v>
      </c>
      <c r="CT23" s="27">
        <f>CT22+2.4</f>
        <v>26.399999999999995</v>
      </c>
      <c r="CU23" s="27"/>
      <c r="CV23" s="27">
        <v>12</v>
      </c>
      <c r="CW23" s="27">
        <v>54.6</v>
      </c>
      <c r="CX23" s="27">
        <v>36.1</v>
      </c>
      <c r="CY23" s="27"/>
      <c r="CZ23" s="27">
        <v>12</v>
      </c>
      <c r="DA23" s="27">
        <v>40.6</v>
      </c>
      <c r="DB23" s="27">
        <v>47.03</v>
      </c>
      <c r="DC23" s="27"/>
      <c r="DD23" s="27">
        <v>12</v>
      </c>
      <c r="DE23" s="27">
        <v>21.7</v>
      </c>
      <c r="DF23" s="27">
        <v>23.7</v>
      </c>
      <c r="DG23" s="27"/>
      <c r="DH23" s="27"/>
      <c r="DI23" s="27"/>
      <c r="DJ23" s="27"/>
      <c r="DK23" s="27" t="s">
        <v>154</v>
      </c>
      <c r="DL23" s="27" t="s">
        <v>245</v>
      </c>
      <c r="DM23" s="27"/>
      <c r="DN23" s="27"/>
      <c r="DO23" s="27"/>
      <c r="DP23" s="27"/>
      <c r="DQ23" s="27"/>
      <c r="DR23" s="27"/>
      <c r="DS23" s="27"/>
      <c r="DT23" s="27"/>
    </row>
    <row r="24" spans="2:124" ht="15.75" customHeight="1" thickBot="1" x14ac:dyDescent="0.3">
      <c r="B24" s="27"/>
      <c r="C24" s="56" t="s">
        <v>246</v>
      </c>
      <c r="D24" s="56" t="s">
        <v>247</v>
      </c>
      <c r="E24" s="56" t="s">
        <v>248</v>
      </c>
      <c r="F24" s="57" t="s">
        <v>249</v>
      </c>
      <c r="G24" s="27"/>
      <c r="H24" s="27"/>
      <c r="I24" s="27"/>
      <c r="J24" s="27"/>
      <c r="K24" s="27" t="s">
        <v>211</v>
      </c>
      <c r="L24" s="27"/>
      <c r="M24" s="27"/>
      <c r="N24" s="27">
        <f>I25</f>
        <v>0</v>
      </c>
      <c r="O24" s="27">
        <f>J25</f>
        <v>0</v>
      </c>
      <c r="P24" s="27" t="s">
        <v>250</v>
      </c>
      <c r="Q24" s="27" t="e">
        <f>Q5*BG72</f>
        <v>#REF!</v>
      </c>
      <c r="R24" s="27">
        <f>Q25</f>
        <v>0</v>
      </c>
      <c r="S24" s="27" t="s">
        <v>251</v>
      </c>
      <c r="T24" s="27" t="e">
        <f>T5*BG72</f>
        <v>#REF!</v>
      </c>
      <c r="U24" s="27"/>
      <c r="V24" s="27"/>
      <c r="W24" s="27"/>
      <c r="X24" s="27" t="s">
        <v>252</v>
      </c>
      <c r="Y24" s="27"/>
      <c r="Z24" s="27"/>
      <c r="AA24" s="27"/>
      <c r="AB24" s="27"/>
      <c r="AC24" s="27"/>
      <c r="AD24" s="27"/>
      <c r="AE24" s="27" t="s">
        <v>59</v>
      </c>
      <c r="AF24" s="27"/>
      <c r="AG24" s="27" t="s">
        <v>59</v>
      </c>
      <c r="AH24" s="27"/>
      <c r="AI24" s="27"/>
      <c r="AJ24" s="27" t="s">
        <v>253</v>
      </c>
      <c r="AK24" s="27">
        <v>0.59709999999999996</v>
      </c>
      <c r="AL24" s="27" t="s">
        <v>254</v>
      </c>
      <c r="AM24" s="27">
        <v>40056</v>
      </c>
      <c r="AN24" s="27"/>
      <c r="AO24" s="27"/>
      <c r="AP24" s="27">
        <v>20</v>
      </c>
      <c r="AQ24" s="27">
        <v>12</v>
      </c>
      <c r="AR24" s="27"/>
      <c r="AS24" s="27" t="s">
        <v>255</v>
      </c>
      <c r="AT24" s="27" t="s">
        <v>256</v>
      </c>
      <c r="AU24" s="27">
        <v>2</v>
      </c>
      <c r="AV24" s="27"/>
      <c r="AW24" s="27"/>
      <c r="AX24" s="27" t="e">
        <f>IF(AQ21=#REF!,'[1]נתוני מס'!L6,IF(AY19&gt;=AY27,'[1]נתוני מס'!L7,IF(AY19&gt;=AY26,63.666,IF(AY19&gt;=AY25,63.333,IF(AY19&gt;=AY24,63,IF(AY19&gt;=AY23,62.666,IF(AY19&gt;=AY22,62.333,62)))))))</f>
        <v>#REF!</v>
      </c>
      <c r="AY24" s="27">
        <v>18749</v>
      </c>
      <c r="AZ24" s="27">
        <v>18749</v>
      </c>
      <c r="BA24" s="27"/>
      <c r="BB24" s="27" t="s">
        <v>257</v>
      </c>
      <c r="BC24" s="27">
        <f>AB42+(1/12)*AA35+(F158*100)/2</f>
        <v>33</v>
      </c>
      <c r="BD24" s="27"/>
      <c r="BE24" s="27" t="e">
        <f>IF((BE20&gt;='[1]נתוני מס'!H9)*AND(BE20&lt;'[1]נתוני מס'!H10),((BE20-'[1]נתוני מס'!H9)*'[1]נתוני מס'!I10+'[1]נתוני מס'!F9+'[1]נתוני מס'!F8+'[1]נתוני מס'!F7-AG32)*BE28,0)</f>
        <v>#REF!</v>
      </c>
      <c r="BF24" s="27" t="e">
        <f>IF((BF20&gt;='[1]נתוני מס'!H9)*AND(BF20&lt;'[1]נתוני מס'!H10),((BF20-'[1]נתוני מס'!H9)*'[1]נתוני מס'!I10+'[1]נתוני מס'!F9+'[1]נתוני מס'!F8+'[1]נתוני מס'!F7-AG32)*BF28,0)</f>
        <v>#REF!</v>
      </c>
      <c r="BG24" s="27"/>
      <c r="BH24" s="27" t="e">
        <f>IF((BH20&gt;='[1]נתוני מס'!H9)*AND(BH20&lt;'[1]נתוני מס'!H10),((BH20-'[1]נתוני מס'!H9)*'[1]נתוני מס'!I10+'[1]נתוני מס'!F9+'[1]נתוני מס'!F8+'[1]נתוני מס'!F7)*BH28,0)</f>
        <v>#REF!</v>
      </c>
      <c r="BI24" s="27" t="e">
        <f>IF((BI20&gt;='[1]נתוני מס'!H9)*AND(BI20&lt;'[1]נתוני מס'!H10),((BI20-'[1]נתוני מס'!H9)*'[1]נתוני מס'!I10+'[1]נתוני מס'!F9+'[1]נתוני מס'!F8+'[1]נתוני מס'!F7)*BI28,0)</f>
        <v>#REF!</v>
      </c>
      <c r="BJ24" s="27" t="e">
        <f>IF((#REF!&gt;='[1]נתוני מס'!H9)*AND(#REF!&lt;'[1]נתוני מס'!H10),(#REF!-'[1]נתוני מס'!H9)*'[1]נתוני מס'!I10+'[1]נתוני מס'!F9+'[1]נתוני מס'!F8+'[1]נתוני מס'!F7,0)</f>
        <v>#REF!</v>
      </c>
      <c r="BK24" s="27" t="e">
        <f>IF((BK20&gt;='[1]נתוני מס'!H9)*AND(BK20&lt;'[1]נתוני מס'!H10),(BK20-'[1]נתוני מס'!H9)*'[1]נתוני מס'!I10+'[1]נתוני מס'!F9+'[1]נתוני מס'!F8+'[1]נתוני מס'!F7,0)</f>
        <v>#REF!</v>
      </c>
      <c r="BL24" s="27" t="e">
        <f>IF((BL20&gt;='[1]נתוני מס'!H9)*AND(BL20&lt;'[1]נתוני מס'!H10),(BL20-'[1]נתוני מס'!H9)*'[1]נתוני מס'!I10+'[1]נתוני מס'!F9+'[1]נתוני מס'!F8+'[1]נתוני מס'!F7,0)</f>
        <v>#REF!</v>
      </c>
      <c r="BM24" s="27">
        <f>IF((BM20&gt;='[1]נתוני מס'!H9)*AND(BM20&lt;'[1]נתוני מס'!H10),(BM20-'[1]נתוני מס'!H9)*'[1]נתוני מס'!J10+'[1]נתוני מס'!F9+'[1]נתוני מס'!F8+'[1]נתוני מס'!F7,0)</f>
        <v>0</v>
      </c>
      <c r="BN24" s="27" t="e">
        <f>IF((BN20&gt;='[1]נתוני מס'!H9)*AND(BN20&lt;'[1]נתוני מס'!H10),(BN20-'[1]נתוני מס'!H9)*'[1]נתוני מס'!I10+'[1]נתוני מס'!F9+'[1]נתוני מס'!F8+'[1]נתוני מס'!F7,0)</f>
        <v>#REF!</v>
      </c>
      <c r="BO24" s="27"/>
      <c r="BP24" s="27">
        <f xml:space="preserve"> IF((BP20&gt;='[1]נתוני מס'!H9)*AND(BP20&lt;'[1]נתוני מס'!H10),(BP20-'[1]נתוני מס'!H9)*'[1]נתוני מס'!J10+'[1]נתוני מס'!F9+'[1]נתוני מס'!F8+'[1]נתוני מס'!F7,0)</f>
        <v>0</v>
      </c>
      <c r="BQ24" s="27">
        <v>1110907</v>
      </c>
      <c r="BR24" s="27"/>
      <c r="BS24" s="27" t="e">
        <f>IF((BS21&gt;='[1]נתוני מס'!H9)*AND(BS21&lt;'[1]נתוני מס'!H10),(BS21-'[1]נתוני מס'!H9)*'[1]נתוני מס'!I10+'[1]נתוני מס'!F9+'[1]נתוני מס'!F8+'[1]נתוני מס'!F7,0)</f>
        <v>#REF!</v>
      </c>
      <c r="BT24" s="27"/>
      <c r="BU24" s="27" t="e">
        <f>IF((BU21&gt;='[1]נתוני מס'!H9)*AND(BU21&lt;'[1]נתוני מס'!H10),(BU21-'[1]נתוני מס'!H9)*'[1]נתוני מס'!I10+'[1]נתוני מס'!F9+'[1]נתוני מס'!F8+'[1]נתוני מס'!F7,0)</f>
        <v>#REF!</v>
      </c>
      <c r="BV24" s="27"/>
      <c r="BW24" s="27"/>
      <c r="BX24" s="27"/>
      <c r="BY24" s="27"/>
      <c r="BZ24" s="27">
        <v>2</v>
      </c>
      <c r="CA24" s="27">
        <v>0.05</v>
      </c>
      <c r="CB24" s="27">
        <v>3533.84</v>
      </c>
      <c r="CC24" s="27">
        <v>3338.43</v>
      </c>
      <c r="CD24" s="27">
        <v>3115.86</v>
      </c>
      <c r="CE24" s="27">
        <v>2977.44</v>
      </c>
      <c r="CF24" s="27">
        <v>2714.17</v>
      </c>
      <c r="CG24" s="27">
        <v>2361.33</v>
      </c>
      <c r="CH24" s="27">
        <v>2212.04</v>
      </c>
      <c r="CI24" s="27">
        <v>2157.7600000000002</v>
      </c>
      <c r="CJ24" s="27">
        <v>2089.9</v>
      </c>
      <c r="CK24" s="27">
        <v>2977.44</v>
      </c>
      <c r="CL24" s="27">
        <v>2768.46</v>
      </c>
      <c r="CM24" s="27">
        <v>2361.33</v>
      </c>
      <c r="CN24" s="27">
        <v>2915.02</v>
      </c>
      <c r="CO24" s="27"/>
      <c r="CP24" s="27"/>
      <c r="CQ24" s="27" t="s">
        <v>258</v>
      </c>
      <c r="CR24" s="27"/>
      <c r="CS24" s="27">
        <f t="shared" si="1"/>
        <v>13</v>
      </c>
      <c r="CT24" s="27">
        <f t="shared" si="0"/>
        <v>28.799999999999994</v>
      </c>
      <c r="CU24" s="27"/>
      <c r="CV24" s="27">
        <v>13</v>
      </c>
      <c r="CW24" s="27">
        <v>59.6</v>
      </c>
      <c r="CX24" s="27">
        <v>38.799999999999997</v>
      </c>
      <c r="CY24" s="27"/>
      <c r="CZ24" s="27">
        <v>13</v>
      </c>
      <c r="DA24" s="27">
        <v>43</v>
      </c>
      <c r="DB24" s="27">
        <v>51.3</v>
      </c>
      <c r="DC24" s="27"/>
      <c r="DD24" s="27">
        <v>13</v>
      </c>
      <c r="DE24" s="27">
        <v>22.7</v>
      </c>
      <c r="DF24" s="27">
        <v>24.5</v>
      </c>
      <c r="DG24" s="27"/>
      <c r="DH24" s="27">
        <v>21.7</v>
      </c>
      <c r="DI24" s="27"/>
      <c r="DJ24" s="27"/>
      <c r="DK24" s="27" t="s">
        <v>259</v>
      </c>
      <c r="DL24" s="27" t="s">
        <v>260</v>
      </c>
      <c r="DM24" s="27"/>
      <c r="DN24" s="27"/>
      <c r="DO24" s="27"/>
      <c r="DP24" s="27"/>
      <c r="DQ24" s="27"/>
      <c r="DR24" s="27"/>
      <c r="DS24" s="27"/>
      <c r="DT24" s="27"/>
    </row>
    <row r="25" spans="2:124" ht="15" customHeight="1" x14ac:dyDescent="0.2">
      <c r="B25" s="58" t="s">
        <v>261</v>
      </c>
      <c r="C25" s="58">
        <v>1</v>
      </c>
      <c r="D25" s="58">
        <v>0</v>
      </c>
      <c r="E25" s="58">
        <v>0</v>
      </c>
      <c r="F25" s="59">
        <f>SUM(C25:E25)</f>
        <v>1</v>
      </c>
      <c r="G25" s="27" t="s">
        <v>262</v>
      </c>
      <c r="H25" s="27"/>
      <c r="I25" s="27"/>
      <c r="J25" s="27"/>
      <c r="K25" s="27" t="s">
        <v>211</v>
      </c>
      <c r="L25" s="27"/>
      <c r="M25" s="27"/>
      <c r="N25" s="27">
        <f>SUM(N7:N24)</f>
        <v>593</v>
      </c>
      <c r="O25" s="27" t="e">
        <f>SUM(O7:O24)</f>
        <v>#N/A</v>
      </c>
      <c r="P25" s="27" t="str">
        <f>BF73</f>
        <v>תוספת ערבה</v>
      </c>
      <c r="Q25" s="27">
        <f>BG73</f>
        <v>0</v>
      </c>
      <c r="R25" s="27">
        <f>SUM(R10:R24)*'[1]נתוני מס'!L23</f>
        <v>274.09312754315999</v>
      </c>
      <c r="S25" s="27" t="str">
        <f>P25</f>
        <v>תוספת ערבה</v>
      </c>
      <c r="T25" s="27">
        <f>BG73</f>
        <v>0</v>
      </c>
      <c r="U25" s="27"/>
      <c r="V25" s="27"/>
      <c r="W25" s="27">
        <f>IF(BG59=CB16,10%,IF(BG59=CC16,5%,0))</f>
        <v>0.1</v>
      </c>
      <c r="X25" s="27" t="s">
        <v>263</v>
      </c>
      <c r="Y25" s="27"/>
      <c r="Z25" s="27"/>
      <c r="AA25" s="27"/>
      <c r="AB25" s="27"/>
      <c r="AC25" s="27">
        <v>40147</v>
      </c>
      <c r="AD25" s="27"/>
      <c r="AE25" s="27" t="s">
        <v>264</v>
      </c>
      <c r="AF25" s="27" t="e">
        <f>IF(BF50&lt;60,MIN(BA43:BA45),0)</f>
        <v>#REF!</v>
      </c>
      <c r="AG25" s="27"/>
      <c r="AH25" s="27"/>
      <c r="AI25" s="27"/>
      <c r="AJ25" s="27" t="s">
        <v>265</v>
      </c>
      <c r="AK25" s="27">
        <v>40574</v>
      </c>
      <c r="AL25" s="27" t="s">
        <v>151</v>
      </c>
      <c r="AM25" s="27">
        <v>40086</v>
      </c>
      <c r="AN25" s="27"/>
      <c r="AO25" s="27"/>
      <c r="AP25" s="27">
        <v>25</v>
      </c>
      <c r="AQ25" s="27">
        <v>13</v>
      </c>
      <c r="AR25" s="27"/>
      <c r="AS25" s="27">
        <v>13</v>
      </c>
      <c r="AT25" s="27">
        <v>34</v>
      </c>
      <c r="AU25" s="27">
        <v>2.5</v>
      </c>
      <c r="AV25" s="27"/>
      <c r="AW25" s="27"/>
      <c r="AX25" s="27"/>
      <c r="AY25" s="27">
        <v>18994</v>
      </c>
      <c r="AZ25" s="27">
        <v>18994</v>
      </c>
      <c r="BA25" s="27"/>
      <c r="BB25" s="27" t="s">
        <v>138</v>
      </c>
      <c r="BC25" s="27">
        <f>BG61+(1/12)*AA35</f>
        <v>33</v>
      </c>
      <c r="BD25" s="27"/>
      <c r="BE25" s="27" t="e">
        <f>IF((BE20&gt;='[1]נתוני מס'!H10)*AND(BE20&lt;'[1]נתוני מס'!H11),((BE20-'[1]נתוני מס'!H10)*'[1]נתוני מס'!I11+'[1]נתוני מס'!F10+'[1]נתוני מס'!F9+'[1]נתוני מס'!F8+'[1]נתוני מס'!F7-AG32)*BE28,0)</f>
        <v>#REF!</v>
      </c>
      <c r="BF25" s="27" t="e">
        <f>IF((BF20&gt;='[1]נתוני מס'!H10)*AND(BF20&lt;'[1]נתוני מס'!H11),((BF20-'[1]נתוני מס'!H10)*'[1]נתוני מס'!I11+'[1]נתוני מס'!F10+'[1]נתוני מס'!F9+'[1]נתוני מס'!F8+'[1]נתוני מס'!F7-AG32)*BF28,0)</f>
        <v>#REF!</v>
      </c>
      <c r="BG25" s="27"/>
      <c r="BH25" s="27" t="e">
        <f>IF((BH20&gt;='[1]נתוני מס'!H10)*AND(BH20&lt;'[1]נתוני מס'!H11),((BH20-'[1]נתוני מס'!H10)*'[1]נתוני מס'!I11+'[1]נתוני מס'!F10+'[1]נתוני מס'!F9+'[1]נתוני מס'!F8+'[1]נתוני מס'!F7)*BH28,0)</f>
        <v>#REF!</v>
      </c>
      <c r="BI25" s="27" t="e">
        <f>IF((BI20&gt;='[1]נתוני מס'!H10)*AND(BI20&lt;'[1]נתוני מס'!H11),((BI20-'[1]נתוני מס'!H10)*'[1]נתוני מס'!I11+'[1]נתוני מס'!F10+'[1]נתוני מס'!F9+'[1]נתוני מס'!F8+'[1]נתוני מס'!F7)*BI28,0)</f>
        <v>#REF!</v>
      </c>
      <c r="BJ25" s="27" t="e">
        <f>IF((#REF!&gt;='[1]נתוני מס'!H10)*AND(#REF!&lt;'[1]נתוני מס'!H11),(#REF!-'[1]נתוני מס'!H10)*'[1]נתוני מס'!I11+'[1]נתוני מס'!F10+'[1]נתוני מס'!F9+'[1]נתוני מס'!F8+'[1]נתוני מס'!F7,0)</f>
        <v>#REF!</v>
      </c>
      <c r="BK25" s="27" t="e">
        <f>IF((BK20&gt;='[1]נתוני מס'!H10)*AND(BK20&lt;'[1]נתוני מס'!H11),(BK20-'[1]נתוני מס'!H10)*'[1]נתוני מס'!I11+'[1]נתוני מס'!F10+'[1]נתוני מס'!F9+'[1]נתוני מס'!F8+'[1]נתוני מס'!F7,0)</f>
        <v>#REF!</v>
      </c>
      <c r="BL25" s="27" t="e">
        <f>IF((BL20&gt;='[1]נתוני מס'!H10)*AND(BL20&lt;'[1]נתוני מס'!H11),(BL20-'[1]נתוני מס'!H10)*'[1]נתוני מס'!I11+'[1]נתוני מס'!F10+'[1]נתוני מס'!F9+'[1]נתוני מס'!F8+'[1]נתוני מס'!F7,0)</f>
        <v>#REF!</v>
      </c>
      <c r="BM25" s="27">
        <f>IF((BM20&gt;='[1]נתוני מס'!H10)*AND(BM20&lt;'[1]נתוני מס'!H11),(BM20-'[1]נתוני מס'!H10)*'[1]נתוני מס'!J11+'[1]נתוני מס'!F10+'[1]נתוני מס'!F9+'[1]נתוני מס'!F8+'[1]נתוני מס'!F7,0)</f>
        <v>0</v>
      </c>
      <c r="BN25" s="27" t="e">
        <f>IF((BN20&gt;='[1]נתוני מס'!H10)*AND(BN20&lt;'[1]נתוני מס'!H11),(BN20-'[1]נתוני מס'!H10)*'[1]נתוני מס'!I11+'[1]נתוני מס'!F10+'[1]נתוני מס'!F9+'[1]נתוני מס'!F8+'[1]נתוני מס'!F7,0)</f>
        <v>#REF!</v>
      </c>
      <c r="BO25" s="27"/>
      <c r="BP25" s="27">
        <f xml:space="preserve"> IF((BP20&gt;='[1]נתוני מס'!H10)*AND(BP20&lt;'[1]נתוני מס'!H11),(BP20-'[1]נתוני מס'!H10)*'[1]נתוני מס'!J11+'[1]נתוני מס'!F10+'[1]נתוני מס'!F9+'[1]נתוני מס'!F8+'[1]נתוני מס'!F7,0)</f>
        <v>0</v>
      </c>
      <c r="BQ25" s="27"/>
      <c r="BR25" s="27"/>
      <c r="BS25" s="27" t="e">
        <f>IF((BS21&gt;='[1]נתוני מס'!H10)*AND(BS21&lt;'[1]נתוני מס'!H11),(BS21-'[1]נתוני מס'!H10)*'[1]נתוני מס'!I11+'[1]נתוני מס'!F10+'[1]נתוני מס'!F9+'[1]נתוני מס'!F8+'[1]נתוני מס'!F7,0)</f>
        <v>#REF!</v>
      </c>
      <c r="BT25" s="27"/>
      <c r="BU25" s="27" t="e">
        <f>IF((BU21&gt;='[1]נתוני מס'!H10)*AND(BU21&lt;'[1]נתוני מס'!H11),(BU21-'[1]נתוני מס'!H10)*'[1]נתוני מס'!I11+'[1]נתוני מס'!F10+'[1]נתוני מס'!F9+'[1]נתוני מס'!F8+'[1]נתוני מס'!F7,0)</f>
        <v>#REF!</v>
      </c>
      <c r="BV25" s="27"/>
      <c r="BW25" s="27"/>
      <c r="BX25" s="27"/>
      <c r="BY25" s="27"/>
      <c r="BZ25" s="27"/>
      <c r="CA25" s="27"/>
      <c r="CB25" s="27"/>
      <c r="CC25" s="27"/>
      <c r="CD25" s="27"/>
      <c r="CE25" s="27"/>
      <c r="CF25" s="27"/>
      <c r="CG25" s="27"/>
      <c r="CH25" s="27"/>
      <c r="CI25" s="27"/>
      <c r="CJ25" s="27"/>
      <c r="CK25" s="27"/>
      <c r="CL25" s="27"/>
      <c r="CM25" s="27"/>
      <c r="CN25" s="27"/>
      <c r="CO25" s="27"/>
      <c r="CP25" s="27"/>
      <c r="CQ25" s="27" t="s">
        <v>266</v>
      </c>
      <c r="CR25" s="27"/>
      <c r="CS25" s="27">
        <f t="shared" si="1"/>
        <v>14</v>
      </c>
      <c r="CT25" s="27">
        <f t="shared" si="0"/>
        <v>31.199999999999992</v>
      </c>
      <c r="CU25" s="27"/>
      <c r="CV25" s="27">
        <v>14</v>
      </c>
      <c r="CW25" s="27">
        <v>59.6</v>
      </c>
      <c r="CX25" s="27"/>
      <c r="CY25" s="27"/>
      <c r="CZ25" s="27">
        <v>14</v>
      </c>
      <c r="DA25" s="27">
        <v>47</v>
      </c>
      <c r="DB25" s="27">
        <v>56.14</v>
      </c>
      <c r="DC25" s="27"/>
      <c r="DD25" s="27">
        <v>14</v>
      </c>
      <c r="DE25" s="27">
        <v>23.7</v>
      </c>
      <c r="DF25" s="27">
        <f>DF24+1</f>
        <v>25.5</v>
      </c>
      <c r="DG25" s="27"/>
      <c r="DH25" s="27">
        <v>22.7</v>
      </c>
      <c r="DI25" s="27"/>
      <c r="DJ25" s="27"/>
      <c r="DK25" s="27" t="s">
        <v>267</v>
      </c>
      <c r="DL25" s="27" t="s">
        <v>268</v>
      </c>
      <c r="DM25" s="27"/>
      <c r="DN25" s="27"/>
      <c r="DO25" s="27"/>
      <c r="DP25" s="27"/>
      <c r="DQ25" s="27"/>
      <c r="DR25" s="27"/>
      <c r="DS25" s="27"/>
      <c r="DT25" s="27"/>
    </row>
    <row r="26" spans="2:124" ht="18.75" customHeight="1" x14ac:dyDescent="0.2">
      <c r="B26" s="52" t="s">
        <v>269</v>
      </c>
      <c r="C26" s="55">
        <f>C25*1</f>
        <v>1</v>
      </c>
      <c r="D26" s="55">
        <f>D25*1.1</f>
        <v>0</v>
      </c>
      <c r="E26" s="55">
        <f>E25*2</f>
        <v>0</v>
      </c>
      <c r="F26" s="60">
        <f>SUM(C26:E26)</f>
        <v>1</v>
      </c>
      <c r="G26" s="27" t="s">
        <v>270</v>
      </c>
      <c r="H26" s="27"/>
      <c r="I26" s="27"/>
      <c r="J26" s="27"/>
      <c r="K26" s="27"/>
      <c r="L26" s="27"/>
      <c r="M26" s="27"/>
      <c r="N26" s="27"/>
      <c r="O26" s="27"/>
      <c r="P26" s="27"/>
      <c r="Q26" s="27" t="e">
        <f>SUM(Q10:Q25)</f>
        <v>#REF!</v>
      </c>
      <c r="R26" s="27">
        <f>SUM(R10:R24)*'[1]נתוני מס'!L22*(1+'[1]נתוני מס'!L23)</f>
        <v>370.72618239809862</v>
      </c>
      <c r="S26" s="27" t="s">
        <v>271</v>
      </c>
      <c r="T26" s="27" t="e">
        <f>SUM(T10:T25)</f>
        <v>#REF!</v>
      </c>
      <c r="U26" s="27"/>
      <c r="V26" s="27"/>
      <c r="W26" s="27"/>
      <c r="X26" s="27"/>
      <c r="Y26" s="27"/>
      <c r="Z26" s="27"/>
      <c r="AA26" s="27"/>
      <c r="AB26" s="27"/>
      <c r="AC26" s="27">
        <v>147.53</v>
      </c>
      <c r="AD26" s="27"/>
      <c r="AE26" s="27"/>
      <c r="AF26" s="27"/>
      <c r="AG26" s="27"/>
      <c r="AH26" s="27"/>
      <c r="AI26" s="27"/>
      <c r="AJ26" s="27" t="s">
        <v>216</v>
      </c>
      <c r="AK26" s="27"/>
      <c r="AL26" s="27" t="s">
        <v>272</v>
      </c>
      <c r="AM26" s="27">
        <v>40117</v>
      </c>
      <c r="AN26" s="27"/>
      <c r="AO26" s="27"/>
      <c r="AP26" s="27"/>
      <c r="AQ26" s="27"/>
      <c r="AR26" s="27"/>
      <c r="AS26" s="27" t="s">
        <v>273</v>
      </c>
      <c r="AT26" s="27" t="s">
        <v>274</v>
      </c>
      <c r="AU26" s="27">
        <v>3</v>
      </c>
      <c r="AV26" s="27"/>
      <c r="AW26" s="27"/>
      <c r="AX26" s="27"/>
      <c r="AY26" s="27">
        <v>19238</v>
      </c>
      <c r="AZ26" s="27">
        <v>19238</v>
      </c>
      <c r="BA26" s="27"/>
      <c r="BB26" s="27" t="s">
        <v>275</v>
      </c>
      <c r="BC26" s="27">
        <f>BG63+(1/12)*AA35+(F158*100)/2</f>
        <v>33</v>
      </c>
      <c r="BD26" s="27"/>
      <c r="BE26" s="27" t="e">
        <f>IF((BE20&gt;='[1]נתוני מס'!H11),((BE20-'[1]נתוני מס'!H11)*'[1]נתוני מס'!I12+'[1]נתוני מס'!F11+'[1]נתוני מס'!F10+'[1]נתוני מס'!F9+'[1]נתוני מס'!F8+'[1]נתוני מס'!F7-AG32)*BE28,0)</f>
        <v>#REF!</v>
      </c>
      <c r="BF26" s="27" t="e">
        <f>IF((BF20&gt;='[1]נתוני מס'!H11),((BF20-'[1]נתוני מס'!H11)*'[1]נתוני מס'!I12+'[1]נתוני מס'!F11+'[1]נתוני מס'!F10+'[1]נתוני מס'!F9+'[1]נתוני מס'!F8+'[1]נתוני מס'!F7-AG32)*BF28,0)</f>
        <v>#REF!</v>
      </c>
      <c r="BG26" s="27"/>
      <c r="BH26" s="27" t="e">
        <f>IF((BH20&gt;='[1]נתוני מס'!H11),((BH20-'[1]נתוני מס'!H11)*'[1]נתוני מס'!I12+'[1]נתוני מס'!F11+'[1]נתוני מס'!F10+'[1]נתוני מס'!F9+'[1]נתוני מס'!F8+'[1]נתוני מס'!F7)*BH28,0)</f>
        <v>#REF!</v>
      </c>
      <c r="BI26" s="27" t="e">
        <f>IF((BI20&gt;='[1]נתוני מס'!H11),((BI20-'[1]נתוני מס'!H11)*'[1]נתוני מס'!I12+'[1]נתוני מס'!F11+'[1]נתוני מס'!F10+'[1]נתוני מס'!F9+'[1]נתוני מס'!F8+'[1]נתוני מס'!F7)*BI28,0)</f>
        <v>#REF!</v>
      </c>
      <c r="BJ26" s="27" t="e">
        <f>IF((#REF!&gt;='[1]נתוני מס'!H11),(#REF!-'[1]נתוני מס'!H11)*'[1]נתוני מס'!I12+'[1]נתוני מס'!F11+'[1]נתוני מס'!F10+'[1]נתוני מס'!F9+'[1]נתוני מס'!F8+'[1]נתוני מס'!F7,0)</f>
        <v>#REF!</v>
      </c>
      <c r="BK26" s="27" t="e">
        <f>IF((BK20&gt;='[1]נתוני מס'!H11),(BK20-'[1]נתוני מס'!H11)*'[1]נתוני מס'!I12+'[1]נתוני מס'!F11+'[1]נתוני מס'!F10+'[1]נתוני מס'!F9+'[1]נתוני מס'!F8+'[1]נתוני מס'!F7,0)</f>
        <v>#REF!</v>
      </c>
      <c r="BL26" s="27" t="e">
        <f>IF((BL20&gt;='[1]נתוני מס'!H11),(BL20-'[1]נתוני מס'!H11)*'[1]נתוני מס'!I12+'[1]נתוני מס'!F11+'[1]נתוני מס'!F10+'[1]נתוני מס'!F9+'[1]נתוני מס'!F8+'[1]נתוני מס'!F7,0)</f>
        <v>#REF!</v>
      </c>
      <c r="BM26" s="27">
        <f>IF((BM20&gt;='[1]נתוני מס'!H11),(BM20-'[1]נתוני מס'!H11)*'[1]נתוני מס'!J12+'[1]נתוני מס'!F11+'[1]נתוני מס'!F10+'[1]נתוני מס'!F9+'[1]נתוני מס'!F8+'[1]נתוני מס'!F7,0)</f>
        <v>0</v>
      </c>
      <c r="BN26" s="27" t="e">
        <f>IF((BN20&gt;='[1]נתוני מס'!H11),(BN20-'[1]נתוני מס'!H11)*'[1]נתוני מס'!I12+'[1]נתוני מס'!F11+'[1]נתוני מס'!F10+'[1]נתוני מס'!F9+'[1]נתוני מס'!F8+'[1]נתוני מס'!F7,0)</f>
        <v>#REF!</v>
      </c>
      <c r="BO26" s="27"/>
      <c r="BP26" s="27">
        <f>IF((BP20&gt;='[1]נתוני מס'!H11),(BP20-'[1]נתוני מס'!H11)*'[1]נתוני מס'!J12+'[1]נתוני מס'!F11+'[1]נתוני מס'!F10+'[1]נתוני מס'!F9+'[1]נתוני מס'!F8+'[1]נתוני מס'!F7,0)</f>
        <v>0</v>
      </c>
      <c r="BQ26" s="27">
        <v>1112887</v>
      </c>
      <c r="BR26" s="27"/>
      <c r="BS26" s="27" t="e">
        <f>IF((BS21&gt;='[1]נתוני מס'!H11),(BS21-'[1]נתוני מס'!H11)*'[1]נתוני מס'!I12+'[1]נתוני מס'!F11+'[1]נתוני מס'!F10+'[1]נתוני מס'!F9+'[1]נתוני מס'!F8+'[1]נתוני מס'!F7,0)</f>
        <v>#REF!</v>
      </c>
      <c r="BT26" s="27"/>
      <c r="BU26" s="27" t="e">
        <f>IF((BU21&gt;='[1]נתוני מס'!H11),(BU21-'[1]נתוני מס'!H11)*'[1]נתוני מס'!I12+'[1]נתוני מס'!F11+'[1]נתוני מס'!F10+'[1]נתוני מס'!F9+'[1]נתוני מס'!F8+'[1]נתוני מס'!F7,0)</f>
        <v>#REF!</v>
      </c>
      <c r="BV26" s="27" t="s">
        <v>224</v>
      </c>
      <c r="BW26" s="27"/>
      <c r="BX26" s="27"/>
      <c r="BY26" s="27"/>
      <c r="BZ26" s="27">
        <v>3</v>
      </c>
      <c r="CA26" s="27">
        <v>0.05</v>
      </c>
      <c r="CB26" s="27">
        <v>3710.53</v>
      </c>
      <c r="CC26" s="27">
        <v>3505.35</v>
      </c>
      <c r="CD26" s="27">
        <v>3271.65</v>
      </c>
      <c r="CE26" s="27">
        <v>3126.31</v>
      </c>
      <c r="CF26" s="27">
        <v>2849.87</v>
      </c>
      <c r="CG26" s="27">
        <v>2479.39</v>
      </c>
      <c r="CH26" s="27">
        <v>2322.64</v>
      </c>
      <c r="CI26" s="27">
        <v>2265.64</v>
      </c>
      <c r="CJ26" s="27">
        <v>2194.39</v>
      </c>
      <c r="CK26" s="27">
        <v>3126.31</v>
      </c>
      <c r="CL26" s="27">
        <v>2906.88</v>
      </c>
      <c r="CM26" s="27">
        <v>2479.39</v>
      </c>
      <c r="CN26" s="27">
        <v>3060.77</v>
      </c>
      <c r="CO26" s="27"/>
      <c r="CP26" s="27"/>
      <c r="CQ26" s="27" t="s">
        <v>276</v>
      </c>
      <c r="CR26" s="27"/>
      <c r="CS26" s="27">
        <f t="shared" si="1"/>
        <v>15</v>
      </c>
      <c r="CT26" s="27">
        <f t="shared" si="0"/>
        <v>33.599999999999994</v>
      </c>
      <c r="CU26" s="27"/>
      <c r="CV26" s="27">
        <v>15</v>
      </c>
      <c r="CW26" s="27">
        <v>59.6</v>
      </c>
      <c r="CX26" s="27"/>
      <c r="CY26" s="27"/>
      <c r="CZ26" s="27">
        <v>15</v>
      </c>
      <c r="DA26" s="27">
        <v>47</v>
      </c>
      <c r="DB26" s="27">
        <v>56.14</v>
      </c>
      <c r="DC26" s="27"/>
      <c r="DD26" s="27">
        <v>15</v>
      </c>
      <c r="DE26" s="27">
        <v>24.5</v>
      </c>
      <c r="DF26" s="27">
        <v>26.4</v>
      </c>
      <c r="DG26" s="27"/>
      <c r="DH26" s="27">
        <v>23.7</v>
      </c>
      <c r="DI26" s="27"/>
      <c r="DJ26" s="27"/>
      <c r="DK26" s="27">
        <v>31.4</v>
      </c>
      <c r="DL26" s="27" t="s">
        <v>268</v>
      </c>
      <c r="DM26" s="27"/>
      <c r="DN26" s="27"/>
      <c r="DO26" s="27"/>
      <c r="DP26" s="27"/>
      <c r="DQ26" s="27"/>
      <c r="DR26" s="27"/>
      <c r="DS26" s="27"/>
      <c r="DT26" s="27"/>
    </row>
    <row r="27" spans="2:124" ht="23.25" customHeight="1" thickBot="1" x14ac:dyDescent="0.25">
      <c r="C27" s="61"/>
      <c r="D27" s="61" t="s">
        <v>182</v>
      </c>
      <c r="E27" s="61"/>
      <c r="G27" s="27"/>
      <c r="H27" s="27"/>
      <c r="I27" s="27"/>
      <c r="J27" s="27"/>
      <c r="K27" s="27"/>
      <c r="L27" s="27"/>
      <c r="M27" s="27"/>
      <c r="N27" s="27"/>
      <c r="O27" s="27"/>
      <c r="P27" s="27"/>
      <c r="Q27" s="27"/>
      <c r="R27" s="27">
        <f>SUM(R10:R26)</f>
        <v>8258.5172972512592</v>
      </c>
      <c r="S27" s="27" t="s">
        <v>279</v>
      </c>
      <c r="T27" s="27" t="e">
        <f>(T26*V8+D234*H193)/T9</f>
        <v>#REF!</v>
      </c>
      <c r="U27" s="27" t="s">
        <v>59</v>
      </c>
      <c r="V27" s="27"/>
      <c r="W27" s="27"/>
      <c r="X27" s="27"/>
      <c r="Y27" s="27"/>
      <c r="Z27" s="27"/>
      <c r="AA27" s="27"/>
      <c r="AB27" s="27"/>
      <c r="AC27" s="27"/>
      <c r="AD27" s="27"/>
      <c r="AE27" s="27" t="s">
        <v>275</v>
      </c>
      <c r="AF27" s="27">
        <f>YEAR(AK25)-YEAR(J4)+BC26</f>
        <v>144</v>
      </c>
      <c r="AG27" s="27"/>
      <c r="AH27" s="27"/>
      <c r="AI27" s="27" t="s">
        <v>280</v>
      </c>
      <c r="AJ27" s="27" t="s">
        <v>281</v>
      </c>
      <c r="AK27" s="27" t="s">
        <v>282</v>
      </c>
      <c r="AL27" s="27" t="s">
        <v>283</v>
      </c>
      <c r="AM27" s="27">
        <v>40147</v>
      </c>
      <c r="AN27" s="27"/>
      <c r="AO27" s="27"/>
      <c r="AP27" s="27"/>
      <c r="AQ27" s="27" t="s">
        <v>59</v>
      </c>
      <c r="AR27" s="27">
        <f>VLOOKUP(AF27,__HAV2,2,TRUE)</f>
        <v>13</v>
      </c>
      <c r="AS27" s="27">
        <v>14</v>
      </c>
      <c r="AT27" s="27">
        <v>35</v>
      </c>
      <c r="AU27" s="27"/>
      <c r="AV27" s="27"/>
      <c r="AW27" s="27"/>
      <c r="AX27" s="27"/>
      <c r="AY27" s="27">
        <v>19480</v>
      </c>
      <c r="AZ27" s="27">
        <v>19480</v>
      </c>
      <c r="BA27" s="27" t="s">
        <v>284</v>
      </c>
      <c r="BB27" s="27"/>
      <c r="BC27" s="27">
        <f>IF(AE14&lt;=100%/3,0,AE14)</f>
        <v>1</v>
      </c>
      <c r="BD27" s="27"/>
      <c r="BE27" s="27" t="e">
        <f>IF(SUM(BE22:BE26)&lt;0,0,SUM(BE22:BE26))</f>
        <v>#REF!</v>
      </c>
      <c r="BF27" s="27" t="e">
        <f>IF(SUM(BF22:BF26)&lt;0,0,SUM(BF22:BF26))</f>
        <v>#REF!</v>
      </c>
      <c r="BG27" s="27"/>
      <c r="BH27" s="27" t="e">
        <f>IF(SUM(BH22:BH26)&lt;0,0,(SUM(BH22:BH26)))</f>
        <v>#REF!</v>
      </c>
      <c r="BI27" s="27" t="e">
        <f>IF(SUM(BI22:BI26)&lt;0,0,SUM(BI22:BI26))</f>
        <v>#REF!</v>
      </c>
      <c r="BJ27" s="27" t="e">
        <f>IF(SUM(BJ22:BJ26)&lt;0,0,SUM(BJ22:BJ26))</f>
        <v>#REF!</v>
      </c>
      <c r="BK27" s="27" t="e">
        <f>IF(SUM(BK22:BK26)&lt;0,0,SUM(BK22:BK26))</f>
        <v>#REF!</v>
      </c>
      <c r="BL27" s="27" t="e">
        <f>IF(SUM(BL22:BL26)&lt;0,0,SUM(BL22:BL26))</f>
        <v>#REF!</v>
      </c>
      <c r="BM27" s="27">
        <f>IF(SUM(BM22:BM26)&lt;0,0,SUM(BM22:BM26))</f>
        <v>1662.8000000000002</v>
      </c>
      <c r="BN27" s="27" t="e">
        <f>SUM(BN22:BN26)</f>
        <v>#REF!</v>
      </c>
      <c r="BO27" s="27"/>
      <c r="BP27" s="27">
        <f>IF(SUM(BP22:BP26)&lt;0,0,SUM(BP22:BP26))</f>
        <v>0</v>
      </c>
      <c r="BQ27" s="27"/>
      <c r="BR27" s="27" t="s">
        <v>285</v>
      </c>
      <c r="BS27" s="27" t="e">
        <f>SUM(BS22:BS26)</f>
        <v>#REF!</v>
      </c>
      <c r="BT27" s="27"/>
      <c r="BU27" s="27" t="e">
        <f>SUM(BU22:BU26)</f>
        <v>#REF!</v>
      </c>
      <c r="BV27" s="27" t="e">
        <f>BU29-BN29</f>
        <v>#REF!</v>
      </c>
      <c r="BW27" s="27"/>
      <c r="BX27" s="27"/>
      <c r="BY27" s="27"/>
      <c r="BZ27" s="27"/>
      <c r="CA27" s="27"/>
      <c r="CB27" s="27"/>
      <c r="CC27" s="27"/>
      <c r="CD27" s="27"/>
      <c r="CE27" s="27"/>
      <c r="CF27" s="27"/>
      <c r="CG27" s="27"/>
      <c r="CH27" s="27"/>
      <c r="CI27" s="27"/>
      <c r="CJ27" s="27"/>
      <c r="CK27" s="27"/>
      <c r="CL27" s="27"/>
      <c r="CM27" s="27"/>
      <c r="CN27" s="27"/>
      <c r="CO27" s="27"/>
      <c r="CP27" s="27"/>
      <c r="CQ27" s="27" t="s">
        <v>286</v>
      </c>
      <c r="CR27" s="27"/>
      <c r="CS27" s="27">
        <f t="shared" si="1"/>
        <v>16</v>
      </c>
      <c r="CT27" s="27">
        <f t="shared" si="0"/>
        <v>35.999999999999993</v>
      </c>
      <c r="CU27" s="27"/>
      <c r="CV27" s="27">
        <v>16</v>
      </c>
      <c r="CW27" s="27">
        <v>59.6</v>
      </c>
      <c r="CX27" s="27"/>
      <c r="CY27" s="27"/>
      <c r="CZ27" s="27">
        <v>16</v>
      </c>
      <c r="DA27" s="27">
        <v>47</v>
      </c>
      <c r="DB27" s="27">
        <v>56.14</v>
      </c>
      <c r="DC27" s="27"/>
      <c r="DD27" s="27">
        <v>16</v>
      </c>
      <c r="DE27" s="27">
        <v>25.5</v>
      </c>
      <c r="DF27" s="27">
        <v>27.5</v>
      </c>
      <c r="DG27" s="27"/>
      <c r="DH27" s="27">
        <v>24.5</v>
      </c>
      <c r="DI27" s="27"/>
      <c r="DJ27" s="27"/>
      <c r="DK27" s="27">
        <v>33.6</v>
      </c>
      <c r="DL27" s="27" t="s">
        <v>268</v>
      </c>
      <c r="DM27" s="27"/>
      <c r="DN27" s="27"/>
      <c r="DO27" s="27"/>
      <c r="DP27" s="27"/>
      <c r="DQ27" s="27"/>
      <c r="DR27" s="27"/>
      <c r="DS27" s="27"/>
      <c r="DT27" s="27"/>
    </row>
    <row r="28" spans="2:124" ht="15" customHeight="1" thickBot="1" x14ac:dyDescent="0.3">
      <c r="C28" s="56" t="s">
        <v>287</v>
      </c>
      <c r="D28" s="56" t="s">
        <v>288</v>
      </c>
      <c r="E28" s="56" t="s">
        <v>289</v>
      </c>
      <c r="F28" s="57" t="s">
        <v>249</v>
      </c>
      <c r="G28" s="27"/>
      <c r="H28" s="27"/>
      <c r="I28" s="27"/>
      <c r="J28" s="27"/>
      <c r="K28" s="27"/>
      <c r="L28" s="27"/>
      <c r="M28" s="27"/>
      <c r="N28" s="27"/>
      <c r="O28" s="27" t="s">
        <v>277</v>
      </c>
      <c r="P28" s="27">
        <f>I27+I21</f>
        <v>0</v>
      </c>
      <c r="Q28" s="27">
        <f>J27+J21</f>
        <v>0</v>
      </c>
      <c r="R28" s="27"/>
      <c r="S28" s="27"/>
      <c r="T28" s="27"/>
      <c r="U28" s="27"/>
      <c r="V28" s="27"/>
      <c r="W28" s="27"/>
      <c r="X28" s="27"/>
      <c r="Y28" s="27"/>
      <c r="Z28" s="27"/>
      <c r="AA28" s="27"/>
      <c r="AB28" s="27"/>
      <c r="AC28" s="27">
        <v>164.07</v>
      </c>
      <c r="AD28" s="27"/>
      <c r="AE28" s="27" t="s">
        <v>292</v>
      </c>
      <c r="AF28" s="27">
        <f>BC24</f>
        <v>33</v>
      </c>
      <c r="AG28" s="27"/>
      <c r="AH28" s="27" t="s">
        <v>191</v>
      </c>
      <c r="AI28" s="27">
        <f>IF(BC24&gt;AF29,AF29,BC24)</f>
        <v>33</v>
      </c>
      <c r="AJ28" s="27" t="e">
        <f>IF(AB21=#REF!,1.5*AK28,1*AK28)</f>
        <v>#REF!</v>
      </c>
      <c r="AK28" s="27">
        <f>IF(AB21=AJ20,1,IF(BC24&gt;30,0.75,1))</f>
        <v>1</v>
      </c>
      <c r="AL28" s="27" t="s">
        <v>293</v>
      </c>
      <c r="AM28" s="27">
        <v>40178</v>
      </c>
      <c r="AN28" s="27"/>
      <c r="AO28" s="27"/>
      <c r="AP28" s="27"/>
      <c r="AQ28" s="27"/>
      <c r="AR28" s="27"/>
      <c r="AS28" s="27" t="s">
        <v>294</v>
      </c>
      <c r="AT28" s="27" t="s">
        <v>295</v>
      </c>
      <c r="AU28" s="27"/>
      <c r="AV28" s="27"/>
      <c r="AW28" s="27"/>
      <c r="AX28" s="27"/>
      <c r="AY28" s="27"/>
      <c r="AZ28" s="27"/>
      <c r="BA28" s="27"/>
      <c r="BB28" s="27" t="s">
        <v>59</v>
      </c>
      <c r="BC28" s="27"/>
      <c r="BD28" s="27"/>
      <c r="BE28" s="27">
        <v>1</v>
      </c>
      <c r="BF28" s="27">
        <v>1</v>
      </c>
      <c r="BG28" s="27"/>
      <c r="BH28" s="27" t="e">
        <f>BG19/BH20</f>
        <v>#REF!</v>
      </c>
      <c r="BI28" s="27" t="e">
        <f>BI19/BI20</f>
        <v>#REF!</v>
      </c>
      <c r="BJ28" s="27"/>
      <c r="BK28" s="27" t="e">
        <f>(#REF!/12)/BK19</f>
        <v>#REF!</v>
      </c>
      <c r="BL28" s="27"/>
      <c r="BM28" s="27"/>
      <c r="BN28" s="27"/>
      <c r="BO28" s="27"/>
      <c r="BP28" s="27">
        <f>IF(BP20&gt;BK104,BP27*(BR28-BI104)+95,BP27*BR28)</f>
        <v>0</v>
      </c>
      <c r="BQ28" s="27">
        <v>1107788</v>
      </c>
      <c r="BR28" s="27">
        <f>BI98</f>
        <v>0</v>
      </c>
      <c r="BS28" s="27"/>
      <c r="BT28" s="27"/>
      <c r="BU28" s="27"/>
      <c r="BV28" s="27"/>
      <c r="BW28" s="27"/>
      <c r="BX28" s="27"/>
      <c r="BY28" s="27"/>
      <c r="BZ28" s="27">
        <v>4</v>
      </c>
      <c r="CA28" s="27">
        <v>0.05</v>
      </c>
      <c r="CB28" s="27">
        <v>3896.05</v>
      </c>
      <c r="CC28" s="27">
        <v>3680.61</v>
      </c>
      <c r="CD28" s="27">
        <v>3435.23</v>
      </c>
      <c r="CE28" s="27">
        <v>3282.62</v>
      </c>
      <c r="CF28" s="27">
        <v>2992.36</v>
      </c>
      <c r="CG28" s="27">
        <v>2603.35</v>
      </c>
      <c r="CH28" s="27">
        <v>2438.77</v>
      </c>
      <c r="CI28" s="27">
        <v>2378.92</v>
      </c>
      <c r="CJ28" s="27">
        <v>2304.1</v>
      </c>
      <c r="CK28" s="27">
        <v>3282.62</v>
      </c>
      <c r="CL28" s="27">
        <v>3052.22</v>
      </c>
      <c r="CM28" s="27">
        <v>2603.35</v>
      </c>
      <c r="CN28" s="27">
        <v>3213.8</v>
      </c>
      <c r="CO28" s="27"/>
      <c r="CP28" s="27"/>
      <c r="CQ28" s="27" t="s">
        <v>296</v>
      </c>
      <c r="CR28" s="27"/>
      <c r="CS28" s="27"/>
      <c r="CT28" s="27"/>
      <c r="CU28" s="27"/>
      <c r="CV28" s="27">
        <v>17</v>
      </c>
      <c r="CW28" s="27">
        <v>59.6</v>
      </c>
      <c r="CX28" s="27"/>
      <c r="CY28" s="27"/>
      <c r="CZ28" s="27">
        <v>17</v>
      </c>
      <c r="DA28" s="27">
        <v>47</v>
      </c>
      <c r="DB28" s="27">
        <v>56.14</v>
      </c>
      <c r="DC28" s="27"/>
      <c r="DD28" s="27">
        <v>17</v>
      </c>
      <c r="DE28" s="27">
        <v>26.4</v>
      </c>
      <c r="DF28" s="27">
        <v>28.2</v>
      </c>
      <c r="DG28" s="27"/>
      <c r="DH28" s="27" t="s">
        <v>297</v>
      </c>
      <c r="DI28" s="27"/>
      <c r="DJ28" s="27"/>
      <c r="DK28" s="27" t="s">
        <v>298</v>
      </c>
      <c r="DL28" s="27" t="s">
        <v>268</v>
      </c>
      <c r="DM28" s="27"/>
      <c r="DN28" s="27"/>
      <c r="DO28" s="27"/>
      <c r="DP28" s="27"/>
      <c r="DQ28" s="27"/>
      <c r="DR28" s="27"/>
      <c r="DS28" s="27"/>
      <c r="DT28" s="27"/>
    </row>
    <row r="29" spans="2:124" ht="14.25" customHeight="1" x14ac:dyDescent="0.25">
      <c r="B29" s="36" t="s">
        <v>261</v>
      </c>
      <c r="C29" s="36">
        <v>15</v>
      </c>
      <c r="D29" s="36">
        <v>0</v>
      </c>
      <c r="E29" s="36">
        <v>0</v>
      </c>
      <c r="F29" s="61">
        <f>SUM(C29:E29)</f>
        <v>15</v>
      </c>
      <c r="G29" s="27"/>
      <c r="H29" s="27"/>
      <c r="I29" s="27"/>
      <c r="J29" s="27"/>
      <c r="K29" s="27"/>
      <c r="L29" s="27"/>
      <c r="M29" s="27"/>
      <c r="N29" s="27"/>
      <c r="O29" s="27" t="s">
        <v>290</v>
      </c>
      <c r="P29" s="27">
        <f>3.4%*P28</f>
        <v>0</v>
      </c>
      <c r="Q29" s="27" t="e">
        <f>(Q28*1.034*1.15-P33)/P33</f>
        <v>#N/A</v>
      </c>
      <c r="R29" s="27" t="s">
        <v>301</v>
      </c>
      <c r="S29" s="27">
        <f>C134</f>
        <v>35</v>
      </c>
      <c r="T29" s="27" t="e">
        <f>U32+W32</f>
        <v>#REF!</v>
      </c>
      <c r="U29" s="27" t="s">
        <v>31</v>
      </c>
      <c r="V29" s="27"/>
      <c r="W29" s="27"/>
      <c r="X29" s="27"/>
      <c r="Y29" s="27"/>
      <c r="Z29" s="27"/>
      <c r="AA29" s="27" t="s">
        <v>302</v>
      </c>
      <c r="AB29" s="27">
        <f>IF(BG71=AD20,12%,0)</f>
        <v>0</v>
      </c>
      <c r="AC29" s="27"/>
      <c r="AD29" s="27"/>
      <c r="AE29" s="27" t="s">
        <v>303</v>
      </c>
      <c r="AF29" s="27">
        <v>36</v>
      </c>
      <c r="AG29" s="27"/>
      <c r="AH29" s="27" t="s">
        <v>304</v>
      </c>
      <c r="AI29" s="27">
        <f>IF((AI28+AG38)&gt;AF29,AF29,AI28+AG38)</f>
        <v>36</v>
      </c>
      <c r="AJ29" s="27"/>
      <c r="AK29" s="27"/>
      <c r="AL29" s="27"/>
      <c r="AM29" s="27">
        <v>40209</v>
      </c>
      <c r="AN29" s="27"/>
      <c r="AO29" s="27"/>
      <c r="AP29" s="27"/>
      <c r="AQ29" s="27"/>
      <c r="AR29" s="27"/>
      <c r="AS29" s="27">
        <v>15</v>
      </c>
      <c r="AT29" s="27">
        <v>36</v>
      </c>
      <c r="AU29" s="27"/>
      <c r="AV29" s="27"/>
      <c r="AW29" s="27" t="s">
        <v>305</v>
      </c>
      <c r="AX29" s="27"/>
      <c r="AY29" s="27">
        <f>IF(MONTH(J4)=1,1,0)</f>
        <v>1</v>
      </c>
      <c r="AZ29" s="27"/>
      <c r="BA29" s="27" t="s">
        <v>306</v>
      </c>
      <c r="BB29" s="27" t="e">
        <f>(Q26-#REF!)*12</f>
        <v>#REF!</v>
      </c>
      <c r="BC29" s="27"/>
      <c r="BD29" s="27"/>
      <c r="BE29" s="27"/>
      <c r="BF29" s="27" t="s">
        <v>307</v>
      </c>
      <c r="BG29" s="27" t="s">
        <v>308</v>
      </c>
      <c r="BH29" s="27" t="e">
        <f>IF(BH20&lt;=0,0,IF($BR$28=0%,BH27-(AG32*BH28),IF(BH20&lt;$BP$20,BH27*$BI$99-AG32,BH27-($BP$28*BH28)-AG32)))</f>
        <v>#REF!</v>
      </c>
      <c r="BI29" s="27" t="e">
        <f>IF(BI20&lt;=0,0,IF($BR$28=0%,BI27,IF(BI20&lt;$BP$20,BI27*$BI$99-AH32,BI27-($BP$28*BI28)-AH32)))</f>
        <v>#REF!</v>
      </c>
      <c r="BJ29" s="27" t="e">
        <f>IF(BJ20&lt;=0,0,IF($BR$28=0%,BJ27,IF(BJ20&lt;$BP$20,BJ27*$BI$99-AI32,BJ27-($BP$28*BJ28)-AI32)))</f>
        <v>#REF!</v>
      </c>
      <c r="BK29" s="27" t="e">
        <f>IF(BK20&lt;=0,0,IF($BR$28=0%,BK27,IF(BK20&lt;$BP$20,BK27*$BI$99-AJ32,BK27-($BP$28*BK28)-AJ32)))</f>
        <v>#REF!</v>
      </c>
      <c r="BL29" s="27" t="e">
        <f>IF(BL20&lt;=0,0,IF($BR$28=0%,BL27,IF(BL20&lt;$BP$20,BL27*$BI$99-AK32,BL27-($BP$28*BL28)-AK32)))</f>
        <v>#REF!</v>
      </c>
      <c r="BM29" s="27">
        <f>IF(BM20&lt;=0,0,IF($BR$28=0%,BM27,IF(BM20&lt;$BP$20,BM27*$BI$99-AL32,BM27-($BP$28*BM28)-AL32)))</f>
        <v>1662.8000000000002</v>
      </c>
      <c r="BN29" s="27" t="e">
        <f>IF($BR$28=0%,BN27,IF(BN20&lt;$BP$20,BN27*$BI$99,BN27-($BP$28*BN28)))</f>
        <v>#REF!</v>
      </c>
      <c r="BO29" s="27"/>
      <c r="BP29" s="27" t="s">
        <v>309</v>
      </c>
      <c r="BQ29" s="27"/>
      <c r="BR29" s="27"/>
      <c r="BS29" s="27" t="e">
        <f>IF($BR$28=0%,BS27,IF(BS21&lt;$BP$20,BS27*$BI$99,BS27-($BP$28*BS28)))</f>
        <v>#REF!</v>
      </c>
      <c r="BT29" s="27"/>
      <c r="BU29" s="27" t="e">
        <f>IF($BR$28=0%,BU27,IF(BU21&lt;$BP$20,BU27*$BI$99,BU27-($BP$28*BU28)))</f>
        <v>#REF!</v>
      </c>
      <c r="BV29" s="27" t="s">
        <v>310</v>
      </c>
      <c r="BW29" s="27"/>
      <c r="BX29" s="27"/>
      <c r="BY29" s="27"/>
      <c r="BZ29" s="27"/>
      <c r="CA29" s="27"/>
      <c r="CB29" s="27"/>
      <c r="CC29" s="27"/>
      <c r="CD29" s="27"/>
      <c r="CE29" s="27"/>
      <c r="CF29" s="27"/>
      <c r="CG29" s="27"/>
      <c r="CH29" s="27"/>
      <c r="CI29" s="27"/>
      <c r="CJ29" s="27"/>
      <c r="CK29" s="27"/>
      <c r="CL29" s="27"/>
      <c r="CM29" s="27"/>
      <c r="CN29" s="27"/>
      <c r="CO29" s="27"/>
      <c r="CP29" s="27"/>
      <c r="CQ29" s="27"/>
      <c r="CR29" s="27"/>
      <c r="CS29" s="27"/>
      <c r="CT29" s="27"/>
      <c r="CU29" s="27"/>
      <c r="CV29" s="27">
        <v>18</v>
      </c>
      <c r="CW29" s="27">
        <v>63.5</v>
      </c>
      <c r="CX29" s="27"/>
      <c r="CY29" s="27"/>
      <c r="CZ29" s="27">
        <v>18</v>
      </c>
      <c r="DA29" s="27">
        <v>47</v>
      </c>
      <c r="DB29" s="27">
        <v>56.14</v>
      </c>
      <c r="DC29" s="27"/>
      <c r="DD29" s="27">
        <v>18</v>
      </c>
      <c r="DE29" s="27">
        <v>27.5</v>
      </c>
      <c r="DF29" s="27">
        <v>29.1</v>
      </c>
      <c r="DG29" s="27"/>
      <c r="DH29" s="27">
        <v>26.4</v>
      </c>
      <c r="DI29" s="27"/>
      <c r="DJ29" s="27"/>
      <c r="DK29" s="27">
        <v>37.6</v>
      </c>
      <c r="DL29" s="27" t="s">
        <v>268</v>
      </c>
      <c r="DM29" s="27"/>
      <c r="DN29" s="27"/>
      <c r="DO29" s="27"/>
      <c r="DP29" s="27"/>
      <c r="DQ29" s="27"/>
      <c r="DR29" s="27"/>
      <c r="DS29" s="27"/>
      <c r="DT29" s="27"/>
    </row>
    <row r="30" spans="2:124" ht="14.25" customHeight="1" x14ac:dyDescent="0.2">
      <c r="B30" s="52" t="s">
        <v>269</v>
      </c>
      <c r="C30" s="52">
        <f>C29*2.4</f>
        <v>36</v>
      </c>
      <c r="D30" s="52">
        <f>D29*2.2</f>
        <v>0</v>
      </c>
      <c r="E30" s="52">
        <f>E29*2</f>
        <v>0</v>
      </c>
      <c r="F30" s="60">
        <f>SUM(C30:E30)</f>
        <v>36</v>
      </c>
      <c r="G30" s="27"/>
      <c r="H30" s="27"/>
      <c r="I30" s="27"/>
      <c r="J30" s="27"/>
      <c r="K30" s="27"/>
      <c r="L30" s="27"/>
      <c r="M30" s="27"/>
      <c r="N30" s="27"/>
      <c r="O30" s="27" t="s">
        <v>299</v>
      </c>
      <c r="P30" s="27">
        <f>IF($C$21=$S$723,15%,15%*0.8)</f>
        <v>0.15</v>
      </c>
      <c r="Q30" s="27" t="e">
        <f>ROUND(Q29,2)</f>
        <v>#N/A</v>
      </c>
      <c r="R30" s="27" t="s">
        <v>313</v>
      </c>
      <c r="S30" s="27">
        <f>C135</f>
        <v>0</v>
      </c>
      <c r="T30" s="27" t="e">
        <f>U33+W33</f>
        <v>#REF!</v>
      </c>
      <c r="U30" s="27" t="s">
        <v>30</v>
      </c>
      <c r="V30" s="27"/>
      <c r="W30" s="27"/>
      <c r="X30" s="27"/>
      <c r="Y30" s="27"/>
      <c r="Z30" s="27"/>
      <c r="AA30" s="27"/>
      <c r="AB30" s="27"/>
      <c r="AC30" s="27"/>
      <c r="AD30" s="27"/>
      <c r="AE30" s="27"/>
      <c r="AF30" s="27"/>
      <c r="AG30" s="27" t="s">
        <v>314</v>
      </c>
      <c r="AH30" s="27"/>
      <c r="AI30" s="27"/>
      <c r="AJ30" s="27" t="e">
        <f>(100-AJ28)/100</f>
        <v>#REF!</v>
      </c>
      <c r="AK30" s="27"/>
      <c r="AL30" s="27"/>
      <c r="AM30" s="27">
        <v>40237</v>
      </c>
      <c r="AN30" s="27"/>
      <c r="AO30" s="27" t="s">
        <v>315</v>
      </c>
      <c r="AP30" s="27"/>
      <c r="AQ30" s="27"/>
      <c r="AR30" s="27"/>
      <c r="AS30" s="27" t="s">
        <v>316</v>
      </c>
      <c r="AT30" s="27" t="s">
        <v>317</v>
      </c>
      <c r="AU30" s="27"/>
      <c r="AV30" s="27"/>
      <c r="AW30" s="27"/>
      <c r="AX30" s="27"/>
      <c r="AY30" s="27" t="s">
        <v>59</v>
      </c>
      <c r="AZ30" s="27"/>
      <c r="BA30" s="27" t="s">
        <v>59</v>
      </c>
      <c r="BB30" s="27"/>
      <c r="BC30" s="27"/>
      <c r="BD30" s="27"/>
      <c r="BE30" s="27"/>
      <c r="BF30" s="27"/>
      <c r="BG30" s="27"/>
      <c r="BH30" s="27"/>
      <c r="BI30" s="27"/>
      <c r="BJ30" s="27"/>
      <c r="BK30" s="27" t="e">
        <f>(BK28*BK29)*12</f>
        <v>#REF!</v>
      </c>
      <c r="BL30" s="27"/>
      <c r="BM30" s="27">
        <f>12*BM29</f>
        <v>19953.600000000002</v>
      </c>
      <c r="BN30" s="27"/>
      <c r="BO30" s="27"/>
      <c r="BP30" s="27"/>
      <c r="BQ30" s="27">
        <v>1099456</v>
      </c>
      <c r="BR30" s="27" t="s">
        <v>318</v>
      </c>
      <c r="BS30" s="27"/>
      <c r="BT30" s="27"/>
      <c r="BU30" s="27"/>
      <c r="BV30" s="27" t="e">
        <f>BU29-BS29</f>
        <v>#REF!</v>
      </c>
      <c r="BW30" s="27"/>
      <c r="BX30" s="27"/>
      <c r="BY30" s="27"/>
      <c r="BZ30" s="27">
        <v>5</v>
      </c>
      <c r="CA30" s="27">
        <v>0.05</v>
      </c>
      <c r="CB30" s="27">
        <v>4090.85</v>
      </c>
      <c r="CC30" s="27">
        <v>3864.64</v>
      </c>
      <c r="CD30" s="27">
        <v>3606.99</v>
      </c>
      <c r="CE30" s="27">
        <v>3446.75</v>
      </c>
      <c r="CF30" s="27">
        <v>3141.97</v>
      </c>
      <c r="CG30" s="27">
        <v>2733.51</v>
      </c>
      <c r="CH30" s="27">
        <v>2560.6999999999998</v>
      </c>
      <c r="CI30" s="27">
        <v>2497.86</v>
      </c>
      <c r="CJ30" s="27">
        <v>2419.3000000000002</v>
      </c>
      <c r="CK30" s="27">
        <v>3446.75</v>
      </c>
      <c r="CL30" s="27">
        <v>3204.83</v>
      </c>
      <c r="CM30" s="27">
        <v>2733.51</v>
      </c>
      <c r="CN30" s="27">
        <v>3374.49</v>
      </c>
      <c r="CO30" s="27"/>
      <c r="CP30" s="27"/>
      <c r="CQ30" s="27"/>
      <c r="CR30" s="27"/>
      <c r="CS30" s="27"/>
      <c r="CT30" s="27"/>
      <c r="CU30" s="27"/>
      <c r="CV30" s="27">
        <v>19</v>
      </c>
      <c r="CW30" s="27">
        <v>63.5</v>
      </c>
      <c r="CX30" s="27"/>
      <c r="CY30" s="27"/>
      <c r="CZ30" s="27">
        <v>19</v>
      </c>
      <c r="DA30" s="27">
        <v>47</v>
      </c>
      <c r="DB30" s="27">
        <v>56.14</v>
      </c>
      <c r="DC30" s="27"/>
      <c r="DD30" s="27">
        <v>19</v>
      </c>
      <c r="DE30" s="27">
        <v>28.2</v>
      </c>
      <c r="DF30" s="27"/>
      <c r="DG30" s="27"/>
      <c r="DH30" s="27" t="s">
        <v>259</v>
      </c>
      <c r="DI30" s="27"/>
      <c r="DJ30" s="27"/>
      <c r="DK30" s="27"/>
      <c r="DL30" s="27" t="s">
        <v>268</v>
      </c>
      <c r="DM30" s="27"/>
      <c r="DN30" s="27"/>
      <c r="DO30" s="27"/>
      <c r="DP30" s="27"/>
      <c r="DQ30" s="27"/>
      <c r="DR30" s="27"/>
      <c r="DS30" s="27"/>
      <c r="DT30" s="27"/>
    </row>
    <row r="31" spans="2:124" ht="18.75" customHeight="1" x14ac:dyDescent="0.25">
      <c r="B31" s="61" t="s">
        <v>319</v>
      </c>
      <c r="E31" s="36">
        <v>0</v>
      </c>
      <c r="F31" s="62">
        <f>F30*0.05*E31</f>
        <v>0</v>
      </c>
      <c r="G31" s="27"/>
      <c r="H31" s="27"/>
      <c r="I31" s="27"/>
      <c r="J31" s="27"/>
      <c r="K31" s="27" t="s">
        <v>301</v>
      </c>
      <c r="L31" s="27"/>
      <c r="M31" s="27"/>
      <c r="N31" s="27"/>
      <c r="O31" s="27" t="s">
        <v>311</v>
      </c>
      <c r="P31" s="27">
        <f>(P28+P29)*(1+P30)</f>
        <v>0</v>
      </c>
      <c r="Q31" s="27"/>
      <c r="R31" s="27"/>
      <c r="S31" s="27"/>
      <c r="T31" s="27"/>
      <c r="U31" s="27"/>
      <c r="V31" s="27"/>
      <c r="W31" s="27"/>
      <c r="X31" s="27"/>
      <c r="Y31" s="27"/>
      <c r="Z31" s="27"/>
      <c r="AA31" s="27" t="s">
        <v>321</v>
      </c>
      <c r="AB31" s="27"/>
      <c r="AC31" s="27"/>
      <c r="AD31" s="27"/>
      <c r="AE31" s="27" t="s">
        <v>322</v>
      </c>
      <c r="AF31" s="27"/>
      <c r="AG31" s="27" t="s">
        <v>323</v>
      </c>
      <c r="AH31" s="27"/>
      <c r="AI31" s="27"/>
      <c r="AJ31" s="27"/>
      <c r="AK31" s="27"/>
      <c r="AL31" s="27"/>
      <c r="AM31" s="27">
        <v>40268</v>
      </c>
      <c r="AN31" s="27"/>
      <c r="AO31" s="27">
        <f>DATE(YEAR(J4),MONTH(J4)-MONTH(J4)+1,DAY(J4)-DAY(J4)+1)</f>
        <v>1</v>
      </c>
      <c r="AP31" s="27">
        <f>ROUND((AO31-AQ22)/365.25,2)</f>
        <v>-78.67</v>
      </c>
      <c r="AQ31" s="27"/>
      <c r="AR31" s="27"/>
      <c r="AS31" s="27">
        <v>16</v>
      </c>
      <c r="AT31" s="27">
        <v>37</v>
      </c>
      <c r="AU31" s="27" t="s">
        <v>59</v>
      </c>
      <c r="AV31" s="27"/>
      <c r="AW31" s="27"/>
      <c r="AX31" s="27"/>
      <c r="AY31" s="27"/>
      <c r="AZ31" s="27"/>
      <c r="BA31" s="27">
        <f>IF(24.75-BG61-BG62&lt;=0,0,IF((24.75-BG61-BG62)&gt;#REF!,#REF!*#REF!*0.6,(24.75-BG61-BG62)*#REF!*0.6))</f>
        <v>0</v>
      </c>
      <c r="BB31" s="27"/>
      <c r="BC31" s="27"/>
      <c r="BD31" s="27"/>
      <c r="BE31" s="27"/>
      <c r="BF31" s="27"/>
      <c r="BG31" s="27" t="s">
        <v>324</v>
      </c>
      <c r="BH31" s="27"/>
      <c r="BI31" s="27"/>
      <c r="BJ31" s="27">
        <f>IF(MONTH(AK25)&gt;9,0,MONTH(AK25)-1+DAY(AK25)/30)</f>
        <v>1.0333333333333334</v>
      </c>
      <c r="BK31" s="27"/>
      <c r="BL31" s="27" t="s">
        <v>325</v>
      </c>
      <c r="BM31" s="27" t="e">
        <f>IF(BM30=0,0,(BM30-(BG76*BM32)*12)-BP31)</f>
        <v>#REF!</v>
      </c>
      <c r="BN31" s="27" t="s">
        <v>326</v>
      </c>
      <c r="BO31" s="27" t="s">
        <v>327</v>
      </c>
      <c r="BP31" s="27" t="e">
        <f>((BG77-BB88)*0.35)/12</f>
        <v>#REF!</v>
      </c>
      <c r="BQ31" s="27"/>
      <c r="BR31" s="27"/>
      <c r="BS31" s="27"/>
      <c r="BT31" s="27"/>
      <c r="BU31" s="27"/>
      <c r="BV31" s="27"/>
      <c r="BW31" s="27"/>
      <c r="BX31" s="27"/>
      <c r="BY31" s="27"/>
      <c r="BZ31" s="27"/>
      <c r="CA31" s="27"/>
      <c r="CB31" s="27"/>
      <c r="CC31" s="27"/>
      <c r="CD31" s="27"/>
      <c r="CE31" s="27"/>
      <c r="CF31" s="27"/>
      <c r="CG31" s="27"/>
      <c r="CH31" s="27"/>
      <c r="CI31" s="27"/>
      <c r="CJ31" s="27"/>
      <c r="CK31" s="27"/>
      <c r="CL31" s="27"/>
      <c r="CM31" s="27"/>
      <c r="CN31" s="27"/>
      <c r="CO31" s="27"/>
      <c r="CP31" s="27"/>
      <c r="CQ31" s="27"/>
      <c r="CR31" s="27"/>
      <c r="CS31" s="27"/>
      <c r="CT31" s="27"/>
      <c r="CU31" s="27"/>
      <c r="CV31" s="27">
        <v>20</v>
      </c>
      <c r="CW31" s="27">
        <v>63.5</v>
      </c>
      <c r="CX31" s="27"/>
      <c r="CY31" s="27"/>
      <c r="CZ31" s="27">
        <v>20</v>
      </c>
      <c r="DA31" s="27">
        <v>47</v>
      </c>
      <c r="DB31" s="27">
        <v>56.14</v>
      </c>
      <c r="DC31" s="27"/>
      <c r="DD31" s="27">
        <v>20</v>
      </c>
      <c r="DE31" s="27">
        <v>29.1</v>
      </c>
      <c r="DF31" s="27"/>
      <c r="DG31" s="27"/>
      <c r="DH31" s="27">
        <v>28.2</v>
      </c>
      <c r="DI31" s="27"/>
      <c r="DJ31" s="27"/>
      <c r="DK31" s="27"/>
      <c r="DL31" s="27" t="s">
        <v>268</v>
      </c>
      <c r="DM31" s="27"/>
      <c r="DN31" s="27"/>
      <c r="DO31" s="27"/>
      <c r="DP31" s="27"/>
      <c r="DQ31" s="27"/>
      <c r="DR31" s="27"/>
      <c r="DS31" s="27"/>
      <c r="DT31" s="27"/>
    </row>
    <row r="32" spans="2:124" ht="17.25" customHeight="1" x14ac:dyDescent="0.25">
      <c r="B32" s="61" t="s">
        <v>328</v>
      </c>
      <c r="E32" s="36">
        <v>0</v>
      </c>
      <c r="F32" s="62">
        <f>F30*0.05*E32</f>
        <v>0</v>
      </c>
      <c r="G32" s="27"/>
      <c r="H32" s="27"/>
      <c r="I32" s="27"/>
      <c r="J32" s="27"/>
      <c r="K32" s="27" t="s">
        <v>330</v>
      </c>
      <c r="L32" s="27"/>
      <c r="M32" s="27"/>
      <c r="N32" s="27"/>
      <c r="O32" s="27" t="s">
        <v>62</v>
      </c>
      <c r="P32" s="27">
        <f>IF(P31&lt;$N$28,$M$28,IF(P31&lt;$N$29,$M$29,IF(P31&lt;$N$30,$M$30,IF(P31&lt;$N$31,$M$31,IF(P31&lt;$N$32,$M$32,IF(P31&lt;$N$33,$M$33,$M$34))))))</f>
        <v>0</v>
      </c>
      <c r="Q32" s="27"/>
      <c r="R32" s="27"/>
      <c r="S32" s="27"/>
      <c r="T32" s="27"/>
      <c r="U32" s="27">
        <f>C134/30</f>
        <v>1.1666666666666667</v>
      </c>
      <c r="V32" s="27">
        <f>U32/(U33+U32)</f>
        <v>1</v>
      </c>
      <c r="W32" s="27" t="e">
        <f>V32*T33</f>
        <v>#REF!</v>
      </c>
      <c r="X32" s="27"/>
      <c r="Y32" s="27"/>
      <c r="Z32" s="27" t="s">
        <v>59</v>
      </c>
      <c r="AA32" s="27" t="s">
        <v>332</v>
      </c>
      <c r="AB32" s="27" t="s">
        <v>252</v>
      </c>
      <c r="AC32" s="27"/>
      <c r="AD32" s="27"/>
      <c r="AE32" s="27" t="e">
        <f>#REF!</f>
        <v>#REF!</v>
      </c>
      <c r="AF32" s="27"/>
      <c r="AG32" s="27">
        <f>BG76*'[1]נתוני מס'!I14</f>
        <v>574.75</v>
      </c>
      <c r="AH32" s="27"/>
      <c r="AI32" s="27"/>
      <c r="AJ32" s="27"/>
      <c r="AK32" s="27"/>
      <c r="AL32" s="27"/>
      <c r="AM32" s="27">
        <v>40298</v>
      </c>
      <c r="AN32" s="27"/>
      <c r="AO32" s="27"/>
      <c r="AP32" s="27"/>
      <c r="AQ32" s="27"/>
      <c r="AR32" s="27"/>
      <c r="AS32" s="27" t="s">
        <v>333</v>
      </c>
      <c r="AT32" s="27" t="s">
        <v>334</v>
      </c>
      <c r="AU32" s="27"/>
      <c r="AV32" s="27"/>
      <c r="AW32" s="27"/>
      <c r="AX32" s="27" t="s">
        <v>335</v>
      </c>
      <c r="AY32" s="27">
        <f>ROUND(H154,0)</f>
        <v>113</v>
      </c>
      <c r="AZ32" s="27"/>
      <c r="BA32" s="27" t="e">
        <f>IF(H159&lt;70%,IF(#REF!* 2% &gt;70%-H159,70%-H159,#REF!*2%),IF(H157+H158-H159&lt;=0,0,H157+H158-H159))</f>
        <v>#REF!</v>
      </c>
      <c r="BB32" s="27"/>
      <c r="BC32" s="27"/>
      <c r="BD32" s="27"/>
      <c r="BE32" s="27"/>
      <c r="BF32" s="27"/>
      <c r="BG32" s="27" t="s">
        <v>336</v>
      </c>
      <c r="BH32" s="27"/>
      <c r="BI32" s="27"/>
      <c r="BJ32" s="27">
        <f>MONTH(AK25)-1+DAY(AK25)/30</f>
        <v>1.0333333333333334</v>
      </c>
      <c r="BK32" s="27"/>
      <c r="BL32" s="27" t="s">
        <v>337</v>
      </c>
      <c r="BM32" s="27">
        <f>'[1]נתוני מס'!I14</f>
        <v>209</v>
      </c>
      <c r="BN32" s="27"/>
      <c r="BO32" s="27"/>
      <c r="BP32" s="27"/>
      <c r="BQ32" s="27">
        <v>9266735</v>
      </c>
      <c r="BR32" s="27"/>
      <c r="BS32" s="27"/>
      <c r="BT32" s="27"/>
      <c r="BU32" s="27"/>
      <c r="BV32" s="27"/>
      <c r="BW32" s="27"/>
      <c r="BX32" s="27"/>
      <c r="BY32" s="27"/>
      <c r="BZ32" s="27">
        <v>6</v>
      </c>
      <c r="CA32" s="27">
        <v>0.05</v>
      </c>
      <c r="CB32" s="27">
        <v>4295.3900000000003</v>
      </c>
      <c r="CC32" s="27">
        <v>4057.87</v>
      </c>
      <c r="CD32" s="27">
        <v>3787.33</v>
      </c>
      <c r="CE32" s="27">
        <v>3619.08</v>
      </c>
      <c r="CF32" s="27">
        <v>3299.06</v>
      </c>
      <c r="CG32" s="27">
        <v>2870.18</v>
      </c>
      <c r="CH32" s="27">
        <v>2688.73</v>
      </c>
      <c r="CI32" s="27">
        <v>2622.75</v>
      </c>
      <c r="CJ32" s="27">
        <v>2540.2600000000002</v>
      </c>
      <c r="CK32" s="27">
        <v>3619.08</v>
      </c>
      <c r="CL32" s="27">
        <v>3365.07</v>
      </c>
      <c r="CM32" s="27">
        <v>2870.18</v>
      </c>
      <c r="CN32" s="27">
        <v>3543.21</v>
      </c>
      <c r="CO32" s="27"/>
      <c r="CP32" s="27"/>
      <c r="CQ32" s="27"/>
      <c r="CR32" s="27"/>
      <c r="CS32" s="27"/>
      <c r="CT32" s="27"/>
      <c r="CU32" s="27"/>
      <c r="CV32" s="27">
        <v>21</v>
      </c>
      <c r="CW32" s="27">
        <v>63.5</v>
      </c>
      <c r="CX32" s="27"/>
      <c r="CY32" s="27"/>
      <c r="CZ32" s="27">
        <v>21</v>
      </c>
      <c r="DA32" s="27">
        <v>47</v>
      </c>
      <c r="DB32" s="27">
        <v>56.14</v>
      </c>
      <c r="DC32" s="27"/>
      <c r="DD32" s="27"/>
      <c r="DE32" s="27"/>
      <c r="DF32" s="27"/>
      <c r="DG32" s="27"/>
      <c r="DH32" s="27">
        <v>29.1</v>
      </c>
      <c r="DI32" s="27"/>
      <c r="DJ32" s="27"/>
      <c r="DK32" s="27"/>
      <c r="DL32" s="27" t="s">
        <v>268</v>
      </c>
      <c r="DM32" s="27"/>
      <c r="DN32" s="27"/>
      <c r="DO32" s="27"/>
      <c r="DP32" s="27"/>
      <c r="DQ32" s="27"/>
      <c r="DR32" s="27"/>
      <c r="DS32" s="27"/>
      <c r="DT32" s="27"/>
    </row>
    <row r="33" spans="2:124" ht="21" customHeight="1" x14ac:dyDescent="0.2">
      <c r="B33" s="61"/>
      <c r="C33" s="61"/>
      <c r="D33" s="209" t="s">
        <v>149</v>
      </c>
      <c r="E33" s="210"/>
      <c r="F33" s="60">
        <f>SUM(F30:F32)</f>
        <v>36</v>
      </c>
      <c r="G33" s="27"/>
      <c r="H33" s="27"/>
      <c r="I33" s="27"/>
      <c r="J33" s="27"/>
      <c r="K33" s="27"/>
      <c r="L33" s="27"/>
      <c r="M33" s="27"/>
      <c r="N33" s="27"/>
      <c r="O33" s="27" t="s">
        <v>329</v>
      </c>
      <c r="P33" s="27" t="e">
        <f>VLOOKUP(P32,טור12,2,1)</f>
        <v>#N/A</v>
      </c>
      <c r="Q33" s="27"/>
      <c r="R33" s="27"/>
      <c r="S33" s="27"/>
      <c r="T33" s="27" t="e">
        <f>IF(#REF!="כן",10%,0)</f>
        <v>#REF!</v>
      </c>
      <c r="U33" s="27">
        <f>(C135/24)</f>
        <v>0</v>
      </c>
      <c r="V33" s="27">
        <f>U33/(U32+U33)</f>
        <v>0</v>
      </c>
      <c r="W33" s="27" t="e">
        <f>T33*V33</f>
        <v>#REF!</v>
      </c>
      <c r="X33" s="27"/>
      <c r="Y33" s="27"/>
      <c r="Z33" s="27"/>
      <c r="AA33" s="27" t="s">
        <v>339</v>
      </c>
      <c r="AB33" s="27" t="s">
        <v>130</v>
      </c>
      <c r="AC33" s="27"/>
      <c r="AD33" s="27"/>
      <c r="AE33" s="27" t="s">
        <v>59</v>
      </c>
      <c r="AF33" s="27"/>
      <c r="AG33" s="27"/>
      <c r="AH33" s="27"/>
      <c r="AI33" s="27" t="s">
        <v>340</v>
      </c>
      <c r="AJ33" s="27" t="e">
        <f>Q26*0.36</f>
        <v>#REF!</v>
      </c>
      <c r="AK33" s="27"/>
      <c r="AL33" s="27"/>
      <c r="AM33" s="27">
        <v>40329</v>
      </c>
      <c r="AN33" s="27"/>
      <c r="AO33" s="27" t="s">
        <v>341</v>
      </c>
      <c r="AP33" s="27" t="s">
        <v>342</v>
      </c>
      <c r="AQ33" s="27"/>
      <c r="AR33" s="27"/>
      <c r="AS33" s="27">
        <v>17</v>
      </c>
      <c r="AT33" s="27">
        <v>38</v>
      </c>
      <c r="AU33" s="27"/>
      <c r="AV33" s="27"/>
      <c r="AW33" s="27"/>
      <c r="AX33" s="27" t="s">
        <v>343</v>
      </c>
      <c r="AY33" s="27" t="s">
        <v>59</v>
      </c>
      <c r="AZ33" s="27"/>
      <c r="BA33" s="27"/>
      <c r="BB33" s="27"/>
      <c r="BC33" s="27"/>
      <c r="BD33" s="27"/>
      <c r="BE33" s="27"/>
      <c r="BF33" s="27"/>
      <c r="BG33" s="27"/>
      <c r="BH33" s="27"/>
      <c r="BI33" s="27"/>
      <c r="BJ33" s="27"/>
      <c r="BK33" s="27"/>
      <c r="BL33" s="27" t="s">
        <v>344</v>
      </c>
      <c r="BM33" s="27">
        <f>IF(BM35&gt;'[1]נתוני מס'!K33,'[1]נתוני מס'!H37+'[1]נתוני מס'!F37,IF(BM35&lt;='[1]נתוני מס'!L31,BM35*('[1]נתוני מס'!E37-AL45),(BM35-'[1]נתוני מס'!L31)*('[1]נתוני מס'!G37-AL46)+'[1]נתוני מס'!F37))</f>
        <v>476.04280000000006</v>
      </c>
      <c r="BN33" s="27">
        <f>BM33*12</f>
        <v>5712.5136000000002</v>
      </c>
      <c r="BO33" s="27" t="s">
        <v>59</v>
      </c>
      <c r="BP33" s="27"/>
      <c r="BQ33" s="27"/>
      <c r="BR33" s="27"/>
      <c r="BS33" s="27"/>
      <c r="BT33" s="27"/>
      <c r="BU33" s="27"/>
      <c r="BV33" s="27"/>
      <c r="BW33" s="27"/>
      <c r="BX33" s="27"/>
      <c r="BY33" s="27"/>
      <c r="BZ33" s="27"/>
      <c r="CA33" s="27"/>
      <c r="CB33" s="27"/>
      <c r="CC33" s="27"/>
      <c r="CD33" s="27"/>
      <c r="CE33" s="27"/>
      <c r="CF33" s="27"/>
      <c r="CG33" s="27"/>
      <c r="CH33" s="27"/>
      <c r="CI33" s="27"/>
      <c r="CJ33" s="27"/>
      <c r="CK33" s="27"/>
      <c r="CL33" s="27"/>
      <c r="CM33" s="27"/>
      <c r="CN33" s="27"/>
      <c r="CO33" s="27"/>
      <c r="CP33" s="27"/>
      <c r="CQ33" s="27"/>
      <c r="CR33" s="27"/>
      <c r="CS33" s="27"/>
      <c r="CT33" s="27"/>
      <c r="CU33" s="27"/>
      <c r="CV33" s="27">
        <v>22</v>
      </c>
      <c r="CW33" s="27">
        <v>63.5</v>
      </c>
      <c r="CX33" s="27"/>
      <c r="CY33" s="27"/>
      <c r="CZ33" s="27">
        <v>22</v>
      </c>
      <c r="DA33" s="27">
        <v>51.3</v>
      </c>
      <c r="DB33" s="27">
        <v>56.14</v>
      </c>
      <c r="DC33" s="27"/>
      <c r="DD33" s="27"/>
      <c r="DE33" s="27"/>
      <c r="DF33" s="27"/>
      <c r="DG33" s="27"/>
      <c r="DH33" s="27"/>
      <c r="DI33" s="27"/>
      <c r="DJ33" s="27"/>
      <c r="DK33" s="27"/>
      <c r="DL33" s="27" t="s">
        <v>345</v>
      </c>
      <c r="DM33" s="27"/>
      <c r="DN33" s="27"/>
      <c r="DO33" s="27"/>
      <c r="DP33" s="27"/>
      <c r="DQ33" s="27"/>
      <c r="DR33" s="27"/>
      <c r="DS33" s="27"/>
      <c r="DT33" s="27"/>
    </row>
    <row r="34" spans="2:124" ht="17.25" customHeight="1" x14ac:dyDescent="0.25">
      <c r="B34" s="53" t="s">
        <v>250</v>
      </c>
      <c r="C34" s="40">
        <v>0</v>
      </c>
      <c r="D34" s="27"/>
      <c r="E34" s="27"/>
      <c r="F34" s="27"/>
      <c r="G34" s="27"/>
      <c r="H34" s="27" t="s">
        <v>346</v>
      </c>
      <c r="I34" s="27" t="e">
        <f>#REF!+#REF!+#REF!*#REF!</f>
        <v>#REF!</v>
      </c>
      <c r="J34" s="27"/>
      <c r="K34" s="27"/>
      <c r="L34" s="27"/>
      <c r="M34" s="27"/>
      <c r="N34" s="27"/>
      <c r="O34" s="27"/>
      <c r="P34" s="27"/>
      <c r="Q34" s="27"/>
      <c r="R34" s="27"/>
      <c r="S34" s="27"/>
      <c r="T34" s="27"/>
      <c r="U34" s="27"/>
      <c r="V34" s="27"/>
      <c r="W34" s="27"/>
      <c r="X34" s="27"/>
      <c r="Y34" s="27"/>
      <c r="Z34" s="27"/>
      <c r="AA34" s="27"/>
      <c r="AB34" s="27"/>
      <c r="AC34" s="27"/>
      <c r="AD34" s="27"/>
      <c r="AE34" s="27"/>
      <c r="AF34" s="27"/>
      <c r="AG34" s="27"/>
      <c r="AH34" s="27"/>
      <c r="AI34" s="27"/>
      <c r="AJ34" s="27"/>
      <c r="AK34" s="27"/>
      <c r="AL34" s="27"/>
      <c r="AM34" s="27">
        <v>40359</v>
      </c>
      <c r="AN34" s="27"/>
      <c r="AO34" s="27">
        <f>DATE(YEAR(AK25),MONTH(AK25)-MONTH(AK25)+1,DAY(AK25)-DAY(AK25)+1)</f>
        <v>40544</v>
      </c>
      <c r="AP34" s="27"/>
      <c r="AQ34" s="27"/>
      <c r="AR34" s="27"/>
      <c r="AS34" s="27" t="s">
        <v>348</v>
      </c>
      <c r="AT34" s="27" t="s">
        <v>349</v>
      </c>
      <c r="AU34" s="27"/>
      <c r="AV34" s="27"/>
      <c r="AW34" s="27"/>
      <c r="AX34" s="27" t="s">
        <v>350</v>
      </c>
      <c r="AY34" s="27">
        <f>(AY36*2)/100</f>
        <v>0.18833333333333332</v>
      </c>
      <c r="AZ34" s="27"/>
      <c r="BA34" s="27"/>
      <c r="BB34" s="27"/>
      <c r="BC34" s="27"/>
      <c r="BD34" s="27"/>
      <c r="BE34" s="27"/>
      <c r="BF34" s="27"/>
      <c r="BG34" s="27"/>
      <c r="BH34" s="27"/>
      <c r="BI34" s="27"/>
      <c r="BJ34" s="27"/>
      <c r="BK34" s="27" t="s">
        <v>59</v>
      </c>
      <c r="BL34" s="27" t="s">
        <v>351</v>
      </c>
      <c r="BM34" s="27">
        <f>IF(BM35&lt;='[1]נתוני מס'!L31,BM35*'[1]נתוני מס'!E34,(BM35-'[1]נתוני מס'!L31)*'[1]נתוני מס'!G34+'[1]נתוני מס'!F34)</f>
        <v>480.30020000000002</v>
      </c>
      <c r="BN34" s="27">
        <f>12*BM34</f>
        <v>5763.6023999999998</v>
      </c>
      <c r="BO34" s="27"/>
      <c r="BP34" s="27"/>
      <c r="BQ34" s="27">
        <v>9268038</v>
      </c>
      <c r="BR34" s="27"/>
      <c r="BS34" s="27"/>
      <c r="BT34" s="27"/>
      <c r="BU34" s="27"/>
      <c r="BV34" s="27"/>
      <c r="BW34" s="27"/>
      <c r="BX34" s="27"/>
      <c r="BY34" s="27"/>
      <c r="BZ34" s="27">
        <v>7</v>
      </c>
      <c r="CA34" s="27">
        <v>0.05</v>
      </c>
      <c r="CB34" s="27">
        <v>4510.1499999999996</v>
      </c>
      <c r="CC34" s="27">
        <v>4260.76</v>
      </c>
      <c r="CD34" s="27">
        <v>3976.69</v>
      </c>
      <c r="CE34" s="27">
        <v>3800.03</v>
      </c>
      <c r="CF34" s="27">
        <v>3464.01</v>
      </c>
      <c r="CG34" s="27">
        <v>3013.68</v>
      </c>
      <c r="CH34" s="27">
        <v>2823.16</v>
      </c>
      <c r="CI34" s="27">
        <v>2753.88</v>
      </c>
      <c r="CJ34" s="27">
        <v>2667.27</v>
      </c>
      <c r="CK34" s="27">
        <v>3800.03</v>
      </c>
      <c r="CL34" s="27">
        <v>3533.32</v>
      </c>
      <c r="CM34" s="27">
        <v>3013.68</v>
      </c>
      <c r="CN34" s="27">
        <v>3720.37</v>
      </c>
      <c r="CO34" s="27"/>
      <c r="CP34" s="27"/>
      <c r="CQ34" s="27"/>
      <c r="CR34" s="27"/>
      <c r="CS34" s="27"/>
      <c r="CT34" s="27"/>
      <c r="CU34" s="27"/>
      <c r="CV34" s="27">
        <v>23</v>
      </c>
      <c r="CW34" s="27">
        <v>63.5</v>
      </c>
      <c r="CX34" s="27"/>
      <c r="CY34" s="27"/>
      <c r="CZ34" s="27">
        <v>23</v>
      </c>
      <c r="DA34" s="27">
        <v>51.3</v>
      </c>
      <c r="DB34" s="27">
        <v>56.14</v>
      </c>
      <c r="DC34" s="27"/>
      <c r="DD34" s="27"/>
      <c r="DE34" s="27"/>
      <c r="DF34" s="27"/>
      <c r="DG34" s="27"/>
      <c r="DH34" s="27"/>
      <c r="DI34" s="27"/>
      <c r="DJ34" s="27"/>
      <c r="DK34" s="27"/>
      <c r="DL34" s="27" t="s">
        <v>345</v>
      </c>
      <c r="DM34" s="27"/>
      <c r="DN34" s="27"/>
      <c r="DO34" s="27"/>
      <c r="DP34" s="27"/>
      <c r="DQ34" s="27"/>
      <c r="DR34" s="27"/>
      <c r="DS34" s="27"/>
      <c r="DT34" s="27"/>
    </row>
    <row r="35" spans="2:124" ht="12.75" customHeight="1" x14ac:dyDescent="0.2">
      <c r="B35" s="209"/>
      <c r="C35" s="210"/>
      <c r="D35" s="27"/>
      <c r="E35" s="27"/>
      <c r="F35" s="27"/>
      <c r="G35" s="27"/>
      <c r="H35" s="27">
        <f>IF(C14&gt;1%,"3%",0)</f>
        <v>0</v>
      </c>
      <c r="I35" s="27">
        <f>IF(C14&gt;1%,3,0)</f>
        <v>0</v>
      </c>
      <c r="J35" s="27" t="s">
        <v>352</v>
      </c>
      <c r="K35" s="27"/>
      <c r="L35" s="27"/>
      <c r="M35" s="27"/>
      <c r="N35" s="27"/>
      <c r="O35" s="27"/>
      <c r="P35" s="27"/>
      <c r="Q35" s="27"/>
      <c r="R35" s="27"/>
      <c r="S35" s="27"/>
      <c r="T35" s="27"/>
      <c r="U35" s="27"/>
      <c r="V35" s="27"/>
      <c r="W35" s="27"/>
      <c r="X35" s="27"/>
      <c r="Y35" s="27" t="s">
        <v>353</v>
      </c>
      <c r="Z35" s="27"/>
      <c r="AA35" s="27">
        <v>0</v>
      </c>
      <c r="AB35" s="27" t="s">
        <v>354</v>
      </c>
      <c r="AC35" s="27"/>
      <c r="AD35" s="27"/>
      <c r="AE35" s="27"/>
      <c r="AF35" s="27" t="s">
        <v>8</v>
      </c>
      <c r="AG35" s="27" t="s">
        <v>355</v>
      </c>
      <c r="AH35" s="27" t="s">
        <v>356</v>
      </c>
      <c r="AI35" s="27"/>
      <c r="AJ35" s="27"/>
      <c r="AK35" s="27"/>
      <c r="AL35" s="27"/>
      <c r="AM35" s="27">
        <v>40390</v>
      </c>
      <c r="AN35" s="27"/>
      <c r="AO35" s="27">
        <f>ROUND((AK25-AO34)/365.25,2)-1</f>
        <v>-0.92</v>
      </c>
      <c r="AP35" s="27"/>
      <c r="AQ35" s="27"/>
      <c r="AR35" s="27"/>
      <c r="AS35" s="27">
        <v>18</v>
      </c>
      <c r="AT35" s="27">
        <v>39</v>
      </c>
      <c r="AU35" s="27"/>
      <c r="AV35" s="27"/>
      <c r="AW35" s="27"/>
      <c r="AX35" s="27"/>
      <c r="AY35" s="27"/>
      <c r="AZ35" s="27"/>
      <c r="BA35" s="27"/>
      <c r="BB35" s="27"/>
      <c r="BC35" s="27"/>
      <c r="BD35" s="27"/>
      <c r="BE35" s="27"/>
      <c r="BF35" s="27"/>
      <c r="BG35" s="27"/>
      <c r="BH35" s="27"/>
      <c r="BI35" s="27"/>
      <c r="BJ35" s="27"/>
      <c r="BK35" s="27"/>
      <c r="BL35" s="27"/>
      <c r="BM35" s="27">
        <f>BM20+BJ102</f>
        <v>11500</v>
      </c>
      <c r="BN35" s="27"/>
      <c r="BO35" s="27"/>
      <c r="BP35" s="27"/>
      <c r="BQ35" s="27"/>
      <c r="BR35" s="27"/>
      <c r="BS35" s="27"/>
      <c r="BT35" s="27"/>
      <c r="BU35" s="27"/>
      <c r="BV35" s="27"/>
      <c r="BW35" s="27"/>
      <c r="BX35" s="27"/>
      <c r="BY35" s="27"/>
      <c r="BZ35" s="27"/>
      <c r="CA35" s="27"/>
      <c r="CB35" s="27"/>
      <c r="CC35" s="27"/>
      <c r="CD35" s="27"/>
      <c r="CE35" s="27"/>
      <c r="CF35" s="27"/>
      <c r="CG35" s="27"/>
      <c r="CH35" s="27"/>
      <c r="CI35" s="27"/>
      <c r="CJ35" s="27"/>
      <c r="CK35" s="27"/>
      <c r="CL35" s="27"/>
      <c r="CM35" s="27"/>
      <c r="CN35" s="27"/>
      <c r="CO35" s="27"/>
      <c r="CP35" s="27"/>
      <c r="CQ35" s="27"/>
      <c r="CR35" s="27"/>
      <c r="CS35" s="27"/>
      <c r="CT35" s="27"/>
      <c r="CU35" s="27"/>
      <c r="CV35" s="27">
        <v>24</v>
      </c>
      <c r="CW35" s="27">
        <v>63.5</v>
      </c>
      <c r="CX35" s="27"/>
      <c r="CY35" s="27"/>
      <c r="CZ35" s="27">
        <v>24</v>
      </c>
      <c r="DA35" s="27">
        <v>51.3</v>
      </c>
      <c r="DB35" s="27">
        <v>56.14</v>
      </c>
      <c r="DC35" s="27"/>
      <c r="DD35" s="27"/>
      <c r="DE35" s="27"/>
      <c r="DF35" s="27"/>
      <c r="DG35" s="27"/>
      <c r="DH35" s="27"/>
      <c r="DI35" s="27"/>
      <c r="DJ35" s="27"/>
      <c r="DK35" s="27"/>
      <c r="DL35" s="27" t="s">
        <v>345</v>
      </c>
      <c r="DM35" s="27"/>
      <c r="DN35" s="27"/>
      <c r="DO35" s="27"/>
      <c r="DP35" s="27"/>
      <c r="DQ35" s="27"/>
      <c r="DR35" s="27"/>
      <c r="DS35" s="27"/>
      <c r="DT35" s="27"/>
    </row>
    <row r="36" spans="2:124" ht="17.25" customHeight="1" x14ac:dyDescent="0.2">
      <c r="B36" s="27"/>
      <c r="C36" s="27"/>
      <c r="D36" s="27"/>
      <c r="E36" s="27"/>
      <c r="F36" s="27"/>
      <c r="G36" s="27"/>
      <c r="H36" s="27"/>
      <c r="I36" s="27"/>
      <c r="J36" s="27"/>
      <c r="K36" s="27">
        <v>12700</v>
      </c>
      <c r="L36" s="27">
        <f>ROW()</f>
        <v>36</v>
      </c>
      <c r="M36" s="27"/>
      <c r="N36" s="27"/>
      <c r="O36" s="27" t="e">
        <f>(C135/24)+R39</f>
        <v>#REF!</v>
      </c>
      <c r="P36" s="27" t="s">
        <v>30</v>
      </c>
      <c r="Q36" s="27"/>
      <c r="R36" s="27"/>
      <c r="S36" s="27"/>
      <c r="T36" s="27"/>
      <c r="U36" s="27"/>
      <c r="V36" s="27"/>
      <c r="W36" s="27"/>
      <c r="X36" s="27"/>
      <c r="Y36" s="27" t="s">
        <v>357</v>
      </c>
      <c r="Z36" s="27"/>
      <c r="AA36" s="27" t="s">
        <v>358</v>
      </c>
      <c r="AB36" s="27" t="s">
        <v>359</v>
      </c>
      <c r="AC36" s="27"/>
      <c r="AD36" s="27"/>
      <c r="AE36" s="27"/>
      <c r="AF36" s="27" t="s">
        <v>71</v>
      </c>
      <c r="AG36" s="27">
        <f>IF(BC24&lt;AF29,BC24-INT(BC24),0)</f>
        <v>0</v>
      </c>
      <c r="AH36" s="27" t="s">
        <v>360</v>
      </c>
      <c r="AI36" s="27">
        <f>IF((AH37=2)*AND(AI37&lt;16),0,AJ36)</f>
        <v>0</v>
      </c>
      <c r="AJ36" s="27">
        <f>IF(AH37&gt;11,1,IF((AH37=11)*AND(AI37&gt;15),1,IF(AH37&gt;8,0.75,IF((AH37=8)*AND(AI37&gt;15),0.75,IF(AH37&gt;5,0.5,IF((AH37=5)*AND(AI37&gt;15),0.5,IF(AH37&gt;2,0.25,IF(AH37=2,                0.25,0))))))))</f>
        <v>0</v>
      </c>
      <c r="AK36" s="27"/>
      <c r="AL36" s="27"/>
      <c r="AM36" s="27">
        <v>40421</v>
      </c>
      <c r="AN36" s="27"/>
      <c r="AO36" s="27">
        <f>AO35*30*BC27</f>
        <v>-27.6</v>
      </c>
      <c r="AP36" s="27">
        <f>AO35*22*BC27+AQ36*BC27</f>
        <v>1.759999999999998</v>
      </c>
      <c r="AQ36" s="27">
        <f>IF(YEAR(J4)=YEAR(AK25),0,22)</f>
        <v>22</v>
      </c>
      <c r="AR36" s="27"/>
      <c r="AS36" s="27" t="s">
        <v>361</v>
      </c>
      <c r="AT36" s="27" t="s">
        <v>362</v>
      </c>
      <c r="AU36" s="27"/>
      <c r="AV36" s="27"/>
      <c r="AW36" s="27"/>
      <c r="AX36" s="27" t="s">
        <v>363</v>
      </c>
      <c r="AY36" s="27">
        <f>AY32/12</f>
        <v>9.4166666666666661</v>
      </c>
      <c r="AZ36" s="27"/>
      <c r="BA36" s="27"/>
      <c r="BB36" s="27"/>
      <c r="BC36" s="27"/>
      <c r="BD36" s="27"/>
      <c r="BE36" s="27"/>
      <c r="BF36" s="27"/>
      <c r="BG36" s="27"/>
      <c r="BH36" s="27"/>
      <c r="BI36" s="27"/>
      <c r="BJ36" s="27"/>
      <c r="BK36" s="27"/>
      <c r="BL36" s="27"/>
      <c r="BM36" s="27"/>
      <c r="BN36" s="27"/>
      <c r="BO36" s="27"/>
      <c r="BP36" s="27"/>
      <c r="BQ36" s="27">
        <v>9268137</v>
      </c>
      <c r="BR36" s="27"/>
      <c r="BS36" s="27"/>
      <c r="BT36" s="27"/>
      <c r="BU36" s="27"/>
      <c r="BV36" s="27"/>
      <c r="BW36" s="27"/>
      <c r="BX36" s="27"/>
      <c r="BY36" s="27"/>
      <c r="BZ36" s="27">
        <v>8</v>
      </c>
      <c r="CA36" s="27">
        <v>0.02</v>
      </c>
      <c r="CB36" s="27">
        <v>4600.3500000000004</v>
      </c>
      <c r="CC36" s="27">
        <v>4345.97</v>
      </c>
      <c r="CD36" s="27">
        <v>4056.22</v>
      </c>
      <c r="CE36" s="27">
        <v>3876.03</v>
      </c>
      <c r="CF36" s="27">
        <v>3533.29</v>
      </c>
      <c r="CG36" s="27">
        <v>3073.95</v>
      </c>
      <c r="CH36" s="27">
        <v>2879.62</v>
      </c>
      <c r="CI36" s="27">
        <v>2808.95</v>
      </c>
      <c r="CJ36" s="27">
        <v>2720.61</v>
      </c>
      <c r="CK36" s="27">
        <v>3876.03</v>
      </c>
      <c r="CL36" s="27">
        <v>3603.98</v>
      </c>
      <c r="CM36" s="27">
        <v>3073.95</v>
      </c>
      <c r="CN36" s="27">
        <v>3794.77</v>
      </c>
      <c r="CO36" s="27"/>
      <c r="CP36" s="27"/>
      <c r="CQ36" s="27"/>
      <c r="CR36" s="27"/>
      <c r="CS36" s="27"/>
      <c r="CT36" s="27"/>
      <c r="CU36" s="27"/>
      <c r="CV36" s="27">
        <v>25</v>
      </c>
      <c r="CW36" s="27">
        <v>63.5</v>
      </c>
      <c r="CX36" s="27"/>
      <c r="CY36" s="27"/>
      <c r="CZ36" s="27">
        <v>25</v>
      </c>
      <c r="DA36" s="27">
        <v>51.3</v>
      </c>
      <c r="DB36" s="27">
        <v>56.14</v>
      </c>
      <c r="DC36" s="27"/>
      <c r="DD36" s="27"/>
      <c r="DE36" s="27"/>
      <c r="DF36" s="27"/>
      <c r="DG36" s="27"/>
      <c r="DH36" s="27"/>
      <c r="DI36" s="27"/>
      <c r="DJ36" s="27"/>
      <c r="DK36" s="27"/>
      <c r="DL36" s="27" t="s">
        <v>345</v>
      </c>
      <c r="DM36" s="27"/>
      <c r="DN36" s="27"/>
      <c r="DO36" s="27"/>
      <c r="DP36" s="27"/>
      <c r="DQ36" s="27"/>
      <c r="DR36" s="27"/>
      <c r="DS36" s="27"/>
      <c r="DT36" s="27"/>
    </row>
    <row r="37" spans="2:124" ht="17.25" customHeight="1" x14ac:dyDescent="0.2">
      <c r="B37" s="27" t="s">
        <v>364</v>
      </c>
      <c r="C37" s="27">
        <f>C18</f>
        <v>1</v>
      </c>
      <c r="D37" s="27"/>
      <c r="E37" s="27"/>
      <c r="F37" s="27"/>
      <c r="G37" s="27"/>
      <c r="H37" s="27"/>
      <c r="I37" s="27"/>
      <c r="J37" s="27"/>
      <c r="K37" s="27" t="e">
        <f>VLOOKUP(K36,N816:N832,1,1)</f>
        <v>#N/A</v>
      </c>
      <c r="L37" s="27"/>
      <c r="M37" s="27"/>
      <c r="N37" s="27"/>
      <c r="O37" s="27" t="e">
        <f>C134/30+R40</f>
        <v>#REF!</v>
      </c>
      <c r="P37" s="27" t="s">
        <v>31</v>
      </c>
      <c r="Q37" s="27"/>
      <c r="R37" s="27"/>
      <c r="S37" s="27"/>
      <c r="T37" s="27"/>
      <c r="U37" s="27"/>
      <c r="V37" s="27"/>
      <c r="W37" s="27"/>
      <c r="X37" s="27" t="str">
        <f>AA33</f>
        <v xml:space="preserve">גמול תואר </v>
      </c>
      <c r="Y37" s="27">
        <v>0</v>
      </c>
      <c r="Z37" s="27">
        <v>0</v>
      </c>
      <c r="AA37" s="27" t="str">
        <f>X37</f>
        <v xml:space="preserve">גמול תואר </v>
      </c>
      <c r="AB37" s="27">
        <v>0</v>
      </c>
      <c r="AC37" s="27"/>
      <c r="AD37" s="27"/>
      <c r="AE37" s="27"/>
      <c r="AF37" s="27" t="s">
        <v>304</v>
      </c>
      <c r="AG37" s="27">
        <f>IF(AF28&lt;AF29,AF28-INT(AF28),0)</f>
        <v>0</v>
      </c>
      <c r="AH37" s="27">
        <f>MONTH(AK25)</f>
        <v>1</v>
      </c>
      <c r="AI37" s="27">
        <f>DAY(AK25)</f>
        <v>31</v>
      </c>
      <c r="AJ37" s="27"/>
      <c r="AK37" s="27"/>
      <c r="AL37" s="27"/>
      <c r="AM37" s="27">
        <v>40451</v>
      </c>
      <c r="AN37" s="27"/>
      <c r="AO37" s="27"/>
      <c r="AP37" s="27"/>
      <c r="AQ37" s="27"/>
      <c r="AR37" s="27"/>
      <c r="AS37" s="27">
        <v>19</v>
      </c>
      <c r="AT37" s="27">
        <v>40</v>
      </c>
      <c r="AU37" s="27"/>
      <c r="AV37" s="27"/>
      <c r="AW37" s="27"/>
      <c r="AX37" s="27"/>
      <c r="AY37" s="27"/>
      <c r="AZ37" s="27"/>
      <c r="BA37" s="27" t="s">
        <v>365</v>
      </c>
      <c r="BB37" s="27" t="s">
        <v>366</v>
      </c>
      <c r="BC37" s="27"/>
      <c r="BD37" s="27"/>
      <c r="BE37" s="27"/>
      <c r="BF37" s="27"/>
      <c r="BG37" s="27"/>
      <c r="BH37" s="27"/>
      <c r="BI37" s="27"/>
      <c r="BJ37" s="27"/>
      <c r="BK37" s="27"/>
      <c r="BL37" s="27"/>
      <c r="BM37" s="27"/>
      <c r="BN37" s="27"/>
      <c r="BO37" s="27"/>
      <c r="BP37" s="27"/>
      <c r="BQ37" s="27"/>
      <c r="BR37" s="27"/>
      <c r="BS37" s="27"/>
      <c r="BT37" s="27"/>
      <c r="BU37" s="27"/>
      <c r="BV37" s="27"/>
      <c r="BW37" s="27"/>
      <c r="BX37" s="27"/>
      <c r="BY37" s="27"/>
      <c r="BZ37" s="27"/>
      <c r="CA37" s="27"/>
      <c r="CB37" s="27"/>
      <c r="CC37" s="27"/>
      <c r="CD37" s="27"/>
      <c r="CE37" s="27"/>
      <c r="CF37" s="27"/>
      <c r="CG37" s="27"/>
      <c r="CH37" s="27"/>
      <c r="CI37" s="27"/>
      <c r="CJ37" s="27"/>
      <c r="CK37" s="27"/>
      <c r="CL37" s="27"/>
      <c r="CM37" s="27"/>
      <c r="CN37" s="27"/>
      <c r="CO37" s="27"/>
      <c r="CP37" s="27"/>
      <c r="CQ37" s="27"/>
      <c r="CR37" s="27"/>
      <c r="CS37" s="27"/>
      <c r="CT37" s="27"/>
      <c r="CU37" s="27"/>
      <c r="CV37" s="27">
        <v>26</v>
      </c>
      <c r="CW37" s="27">
        <v>63.5</v>
      </c>
      <c r="CX37" s="27"/>
      <c r="CY37" s="27"/>
      <c r="CZ37" s="27">
        <v>26</v>
      </c>
      <c r="DA37" s="27">
        <v>51.3</v>
      </c>
      <c r="DB37" s="27">
        <v>56.14</v>
      </c>
      <c r="DC37" s="27"/>
      <c r="DD37" s="27"/>
      <c r="DE37" s="27"/>
      <c r="DF37" s="27"/>
      <c r="DG37" s="27"/>
      <c r="DH37" s="27"/>
      <c r="DI37" s="27"/>
      <c r="DJ37" s="27"/>
      <c r="DK37" s="27"/>
      <c r="DL37" s="27" t="s">
        <v>345</v>
      </c>
      <c r="DM37" s="27"/>
      <c r="DN37" s="27"/>
      <c r="DO37" s="27"/>
      <c r="DP37" s="27"/>
      <c r="DQ37" s="27"/>
      <c r="DR37" s="27"/>
      <c r="DS37" s="27"/>
      <c r="DT37" s="27"/>
    </row>
    <row r="38" spans="2:124" ht="7.5" customHeight="1" x14ac:dyDescent="0.2">
      <c r="B38" s="27" t="s">
        <v>367</v>
      </c>
      <c r="C38" s="27" t="s">
        <v>29</v>
      </c>
      <c r="D38" s="27" t="s">
        <v>368</v>
      </c>
      <c r="E38" s="27"/>
      <c r="F38" s="27"/>
      <c r="G38" s="27"/>
      <c r="H38" s="27"/>
      <c r="I38" s="27"/>
      <c r="J38" s="27" t="s">
        <v>59</v>
      </c>
      <c r="K38" s="27" t="s">
        <v>369</v>
      </c>
      <c r="L38" s="27"/>
      <c r="M38" s="27"/>
      <c r="N38" s="27"/>
      <c r="O38" s="27"/>
      <c r="P38" s="27"/>
      <c r="Q38" s="27"/>
      <c r="R38" s="27"/>
      <c r="S38" s="27"/>
      <c r="T38" s="27"/>
      <c r="U38" s="27"/>
      <c r="V38" s="27"/>
      <c r="W38" s="27"/>
      <c r="X38" s="27"/>
      <c r="Y38" s="27"/>
      <c r="Z38" s="27"/>
      <c r="AA38" s="27"/>
      <c r="AB38" s="27"/>
      <c r="AC38" s="27"/>
      <c r="AD38" s="27"/>
      <c r="AE38" s="27" t="e">
        <f>35%*AE39</f>
        <v>#REF!</v>
      </c>
      <c r="AF38" s="27" t="s">
        <v>370</v>
      </c>
      <c r="AG38" s="27">
        <f>YEAR(AK25)-YEAR(J4)</f>
        <v>111</v>
      </c>
      <c r="AH38" s="27"/>
      <c r="AI38" s="27"/>
      <c r="AJ38" s="27"/>
      <c r="AK38" s="27"/>
      <c r="AL38" s="27"/>
      <c r="AM38" s="27">
        <v>40482</v>
      </c>
      <c r="AN38" s="27"/>
      <c r="AO38" s="27"/>
      <c r="AP38" s="27"/>
      <c r="AQ38" s="27"/>
      <c r="AR38" s="27"/>
      <c r="AS38" s="27" t="s">
        <v>371</v>
      </c>
      <c r="AT38" s="27" t="s">
        <v>372</v>
      </c>
      <c r="AU38" s="27"/>
      <c r="AV38" s="27"/>
      <c r="AW38" s="27"/>
      <c r="AX38" s="27"/>
      <c r="AY38" s="27" t="s">
        <v>373</v>
      </c>
      <c r="AZ38" s="27" t="e">
        <f>IF(AB21=AJ20,(VLOOKUP(INT(AB42),__tav1,AK17+1,FALSE))*(1+AG36/100)*BC27,(VLOOKUP(INT(AB42),__tmh1,AK17+1,FALSE))*(1+AG36/100)*BC27)</f>
        <v>#REF!</v>
      </c>
      <c r="BA38" s="27"/>
      <c r="BB38" s="27"/>
      <c r="BC38" s="27"/>
      <c r="BD38" s="27"/>
      <c r="BE38" s="27"/>
      <c r="BF38" s="27"/>
      <c r="BG38" s="27"/>
      <c r="BH38" s="27"/>
      <c r="BI38" s="27"/>
      <c r="BJ38" s="27"/>
      <c r="BK38" s="27"/>
      <c r="BL38" s="27"/>
      <c r="BM38" s="27"/>
      <c r="BN38" s="27"/>
      <c r="BO38" s="27"/>
      <c r="BP38" s="27" t="s">
        <v>59</v>
      </c>
      <c r="BQ38" s="27">
        <v>9268236</v>
      </c>
      <c r="BR38" s="27"/>
      <c r="BS38" s="27"/>
      <c r="BT38" s="27"/>
      <c r="BU38" s="27"/>
      <c r="BV38" s="27"/>
      <c r="BW38" s="27"/>
      <c r="BX38" s="27"/>
      <c r="BY38" s="27"/>
      <c r="BZ38" s="27">
        <v>9</v>
      </c>
      <c r="CA38" s="27">
        <v>0.02</v>
      </c>
      <c r="CB38" s="27">
        <v>4692.3500000000004</v>
      </c>
      <c r="CC38" s="27">
        <v>4432.88</v>
      </c>
      <c r="CD38" s="27">
        <v>4137.34</v>
      </c>
      <c r="CE38" s="27">
        <v>3953.55</v>
      </c>
      <c r="CF38" s="27">
        <v>3603.95</v>
      </c>
      <c r="CG38" s="27">
        <v>3135.42</v>
      </c>
      <c r="CH38" s="27">
        <v>2937.21</v>
      </c>
      <c r="CI38" s="27">
        <v>2865.12</v>
      </c>
      <c r="CJ38" s="27">
        <v>2775.02</v>
      </c>
      <c r="CK38" s="27">
        <v>3953.55</v>
      </c>
      <c r="CL38" s="27">
        <v>3676.05</v>
      </c>
      <c r="CM38" s="27">
        <v>3135.42</v>
      </c>
      <c r="CN38" s="27">
        <v>3870.66</v>
      </c>
      <c r="CO38" s="27"/>
      <c r="CP38" s="27"/>
      <c r="CQ38" s="27"/>
      <c r="CR38" s="27"/>
      <c r="CS38" s="27"/>
      <c r="CT38" s="27"/>
      <c r="CU38" s="27"/>
      <c r="CV38" s="27">
        <v>27</v>
      </c>
      <c r="CW38" s="27">
        <v>63.5</v>
      </c>
      <c r="CX38" s="27"/>
      <c r="CY38" s="27"/>
      <c r="CZ38" s="27">
        <v>27</v>
      </c>
      <c r="DA38" s="27">
        <v>51.3</v>
      </c>
      <c r="DB38" s="27">
        <v>56.14</v>
      </c>
      <c r="DC38" s="27"/>
      <c r="DD38" s="27"/>
      <c r="DE38" s="27"/>
      <c r="DF38" s="27"/>
      <c r="DG38" s="27"/>
      <c r="DH38" s="27"/>
      <c r="DI38" s="27"/>
      <c r="DJ38" s="27"/>
      <c r="DK38" s="27"/>
      <c r="DL38" s="27" t="s">
        <v>345</v>
      </c>
      <c r="DM38" s="27"/>
      <c r="DN38" s="27"/>
      <c r="DO38" s="27"/>
      <c r="DP38" s="27"/>
      <c r="DQ38" s="27"/>
      <c r="DR38" s="27"/>
      <c r="DS38" s="27"/>
      <c r="DT38" s="27"/>
    </row>
    <row r="39" spans="2:124" ht="11.25" customHeight="1" x14ac:dyDescent="0.2">
      <c r="B39" s="27" t="s">
        <v>374</v>
      </c>
      <c r="C39" s="27">
        <f>IF($C$38="א-ו",J111,IF($C$38="ז-ח",J112,IF($C$38="חטיבת ביניים",J112-2.5%,#REF!)))</f>
        <v>0</v>
      </c>
      <c r="D39" s="27" t="s">
        <v>375</v>
      </c>
      <c r="E39" s="27"/>
      <c r="F39" s="27"/>
      <c r="G39" s="27"/>
      <c r="H39" s="27"/>
      <c r="I39" s="27">
        <v>3</v>
      </c>
      <c r="J39" s="27">
        <f>IF(C21=S723,1*L853,IF(C21=S724,0.75*L853,IF(C21=S725,0.6836*L853,0.5948*L853)))</f>
        <v>1</v>
      </c>
      <c r="K39" s="27"/>
      <c r="L39" s="27" t="s">
        <v>291</v>
      </c>
      <c r="M39" s="27" t="s">
        <v>182</v>
      </c>
      <c r="N39" s="27"/>
      <c r="O39" s="27" t="e">
        <f>IF(#REF!="כן",10%,0)</f>
        <v>#REF!</v>
      </c>
      <c r="P39" s="27" t="e">
        <f>(#REF!/24)</f>
        <v>#REF!</v>
      </c>
      <c r="Q39" s="27" t="e">
        <f>P39/(P40+P39)</f>
        <v>#REF!</v>
      </c>
      <c r="R39" s="27" t="e">
        <f>O39*Q39</f>
        <v>#REF!</v>
      </c>
      <c r="S39" s="27"/>
      <c r="T39" s="27"/>
      <c r="U39" s="27"/>
      <c r="V39" s="27"/>
      <c r="W39" s="27"/>
      <c r="X39" s="27"/>
      <c r="Y39" s="27"/>
      <c r="Z39" s="27"/>
      <c r="AA39" s="27" t="s">
        <v>376</v>
      </c>
      <c r="AB39" s="27">
        <v>0</v>
      </c>
      <c r="AC39" s="27"/>
      <c r="AD39" s="27"/>
      <c r="AE39" s="27" t="e">
        <f>IF(#REF!&gt;'[1]נתוני מס'!N16,'[1]נתוני מס'!N16,#REF!)</f>
        <v>#REF!</v>
      </c>
      <c r="AF39" s="27"/>
      <c r="AG39" s="27"/>
      <c r="AH39" s="27">
        <f>MONTH(AQ20)</f>
        <v>3</v>
      </c>
      <c r="AI39" s="27">
        <f>DAY(AQ20)</f>
        <v>18</v>
      </c>
      <c r="AJ39" s="27"/>
      <c r="AK39" s="27"/>
      <c r="AL39" s="27"/>
      <c r="AM39" s="27">
        <v>40512</v>
      </c>
      <c r="AN39" s="27"/>
      <c r="AO39" s="27" t="s">
        <v>377</v>
      </c>
      <c r="AP39" s="27"/>
      <c r="AQ39" s="27"/>
      <c r="AR39" s="27"/>
      <c r="AS39" s="27">
        <v>20</v>
      </c>
      <c r="AT39" s="27">
        <v>41</v>
      </c>
      <c r="AU39" s="27"/>
      <c r="AV39" s="27"/>
      <c r="AW39" s="27"/>
      <c r="AX39" s="27"/>
      <c r="AY39" s="27"/>
      <c r="AZ39" s="27"/>
      <c r="BA39" s="27"/>
      <c r="BB39" s="27"/>
      <c r="BC39" s="27"/>
      <c r="BD39" s="27"/>
      <c r="BE39" s="27"/>
      <c r="BF39" s="27"/>
      <c r="BG39" s="27"/>
      <c r="BH39" s="27"/>
      <c r="BI39" s="27"/>
      <c r="BJ39" s="27">
        <f>AH17-G202</f>
        <v>14.130000000000003</v>
      </c>
      <c r="BK39" s="27" t="s">
        <v>378</v>
      </c>
      <c r="BL39" s="27" t="e">
        <f>#REF!</f>
        <v>#REF!</v>
      </c>
      <c r="BM39" s="27"/>
      <c r="BN39" s="27"/>
      <c r="BO39" s="27"/>
      <c r="BP39" s="27"/>
      <c r="BQ39" s="27"/>
      <c r="BR39" s="27"/>
      <c r="BS39" s="27"/>
      <c r="BT39" s="27"/>
      <c r="BU39" s="27"/>
      <c r="BV39" s="27"/>
      <c r="BW39" s="27"/>
      <c r="BX39" s="27"/>
      <c r="BY39" s="27"/>
      <c r="BZ39" s="27"/>
      <c r="CA39" s="27"/>
      <c r="CB39" s="27"/>
      <c r="CC39" s="27"/>
      <c r="CD39" s="27"/>
      <c r="CE39" s="27"/>
      <c r="CF39" s="27"/>
      <c r="CG39" s="27"/>
      <c r="CH39" s="27"/>
      <c r="CI39" s="27"/>
      <c r="CJ39" s="27"/>
      <c r="CK39" s="27"/>
      <c r="CL39" s="27"/>
      <c r="CM39" s="27"/>
      <c r="CN39" s="27"/>
      <c r="CO39" s="27"/>
      <c r="CP39" s="27"/>
      <c r="CQ39" s="27"/>
      <c r="CR39" s="27"/>
      <c r="CS39" s="27"/>
      <c r="CT39" s="27"/>
      <c r="CU39" s="27"/>
      <c r="CV39" s="27">
        <v>28</v>
      </c>
      <c r="CW39" s="27">
        <v>63.5</v>
      </c>
      <c r="CX39" s="27"/>
      <c r="CY39" s="27"/>
      <c r="CZ39" s="27">
        <v>28</v>
      </c>
      <c r="DA39" s="27">
        <v>51.3</v>
      </c>
      <c r="DB39" s="27">
        <v>56.14</v>
      </c>
      <c r="DC39" s="27"/>
      <c r="DD39" s="27"/>
      <c r="DE39" s="27"/>
      <c r="DF39" s="27"/>
      <c r="DG39" s="27"/>
      <c r="DH39" s="27"/>
      <c r="DI39" s="27"/>
      <c r="DJ39" s="27"/>
      <c r="DK39" s="27"/>
      <c r="DL39" s="27" t="s">
        <v>345</v>
      </c>
      <c r="DM39" s="27"/>
      <c r="DN39" s="27"/>
      <c r="DO39" s="27"/>
      <c r="DP39" s="27"/>
      <c r="DQ39" s="27"/>
      <c r="DR39" s="27"/>
      <c r="DS39" s="27"/>
      <c r="DT39" s="27"/>
    </row>
    <row r="40" spans="2:124" ht="11.25" customHeight="1" x14ac:dyDescent="0.2">
      <c r="B40" s="27"/>
      <c r="C40" s="27"/>
      <c r="D40" s="27"/>
      <c r="E40" s="27"/>
      <c r="F40" s="27"/>
      <c r="G40" s="27"/>
      <c r="H40" s="27"/>
      <c r="I40" s="27">
        <f t="shared" ref="I40:I45" si="2">I39+1</f>
        <v>4</v>
      </c>
      <c r="J40" s="27">
        <v>0</v>
      </c>
      <c r="K40" s="27"/>
      <c r="L40" s="27" t="s">
        <v>300</v>
      </c>
      <c r="M40" s="27" t="s">
        <v>288</v>
      </c>
      <c r="N40" s="27" t="s">
        <v>289</v>
      </c>
      <c r="O40" s="27"/>
      <c r="P40" s="27" t="e">
        <f>#REF!/30</f>
        <v>#REF!</v>
      </c>
      <c r="Q40" s="27" t="e">
        <f>P40/(P39+P40)</f>
        <v>#REF!</v>
      </c>
      <c r="R40" s="27" t="e">
        <f>Q40*O39</f>
        <v>#REF!</v>
      </c>
      <c r="S40" s="27"/>
      <c r="T40" s="27"/>
      <c r="U40" s="27"/>
      <c r="V40" s="27"/>
      <c r="W40" s="27"/>
      <c r="X40" s="27"/>
      <c r="Y40" s="27"/>
      <c r="Z40" s="27"/>
      <c r="AA40" s="27" t="s">
        <v>379</v>
      </c>
      <c r="AB40" s="27">
        <v>0</v>
      </c>
      <c r="AC40" s="27"/>
      <c r="AD40" s="27"/>
      <c r="AE40" s="27"/>
      <c r="AF40" s="27"/>
      <c r="AG40" s="27"/>
      <c r="AH40" s="27" t="s">
        <v>360</v>
      </c>
      <c r="AI40" s="27">
        <f>IF((AH39=2)*AND(AI39&lt;16),0,AJ40)</f>
        <v>0.25</v>
      </c>
      <c r="AJ40" s="27">
        <f>IF(AH39&gt;11,1,IF((AH39=11)*AND(AI39&gt;15),1,IF(AH39&gt;8,0.75,IF((AH39=8)*AND(AI39&gt;15),0.75,IF(AH39&gt;5,0.5,IF((AH39=5)*AND(AI39&gt;15),0.5,IF(AH39&gt;2,0.25,IF(AH39=2,                0.25,0))))))))</f>
        <v>0.25</v>
      </c>
      <c r="AK40" s="27"/>
      <c r="AL40" s="27"/>
      <c r="AM40" s="27">
        <v>40543</v>
      </c>
      <c r="AN40" s="27"/>
      <c r="AO40" s="27">
        <v>24.582999999999998</v>
      </c>
      <c r="AP40" s="27"/>
      <c r="AQ40" s="27"/>
      <c r="AR40" s="27"/>
      <c r="AS40" s="27" t="s">
        <v>380</v>
      </c>
      <c r="AT40" s="27" t="s">
        <v>381</v>
      </c>
      <c r="AU40" s="27"/>
      <c r="AV40" s="27"/>
      <c r="AW40" s="27"/>
      <c r="AX40" s="27"/>
      <c r="AY40" s="27"/>
      <c r="AZ40" s="27"/>
      <c r="BA40" s="27"/>
      <c r="BB40" s="27"/>
      <c r="BC40" s="27"/>
      <c r="BD40" s="27"/>
      <c r="BE40" s="27"/>
      <c r="BF40" s="27"/>
      <c r="BG40" s="27"/>
      <c r="BH40" s="27"/>
      <c r="BI40" s="27"/>
      <c r="BJ40" s="27" t="s">
        <v>59</v>
      </c>
      <c r="BK40" s="27" t="s">
        <v>382</v>
      </c>
      <c r="BL40" s="27" t="e">
        <f>#REF!</f>
        <v>#REF!</v>
      </c>
      <c r="BM40" s="27"/>
      <c r="BN40" s="27"/>
      <c r="BO40" s="27"/>
      <c r="BP40" s="27"/>
      <c r="BQ40" s="27"/>
      <c r="BR40" s="27"/>
      <c r="BS40" s="27"/>
      <c r="BT40" s="27"/>
      <c r="BU40" s="27"/>
      <c r="BV40" s="27"/>
      <c r="BW40" s="27"/>
      <c r="BX40" s="27"/>
      <c r="BY40" s="27"/>
      <c r="BZ40" s="27">
        <v>10</v>
      </c>
      <c r="CA40" s="27">
        <v>0.02</v>
      </c>
      <c r="CB40" s="27">
        <v>4786.1899999999996</v>
      </c>
      <c r="CC40" s="27">
        <v>4521.53</v>
      </c>
      <c r="CD40" s="27">
        <v>4220.08</v>
      </c>
      <c r="CE40" s="27">
        <v>4032.62</v>
      </c>
      <c r="CF40" s="27">
        <v>3676.02</v>
      </c>
      <c r="CG40" s="27">
        <v>3198.12</v>
      </c>
      <c r="CH40" s="27">
        <v>2995.95</v>
      </c>
      <c r="CI40" s="27">
        <v>2922.42</v>
      </c>
      <c r="CJ40" s="27">
        <v>2830.52</v>
      </c>
      <c r="CK40" s="27">
        <v>4032.62</v>
      </c>
      <c r="CL40" s="27">
        <v>3749.57</v>
      </c>
      <c r="CM40" s="27">
        <v>3198.12</v>
      </c>
      <c r="CN40" s="27">
        <v>3948.07</v>
      </c>
      <c r="CO40" s="27"/>
      <c r="CP40" s="27"/>
      <c r="CQ40" s="27"/>
      <c r="CR40" s="27"/>
      <c r="CS40" s="27"/>
      <c r="CT40" s="27"/>
      <c r="CU40" s="27"/>
      <c r="CV40" s="27">
        <v>29</v>
      </c>
      <c r="CW40" s="27">
        <v>63.5</v>
      </c>
      <c r="CX40" s="27"/>
      <c r="CY40" s="27"/>
      <c r="CZ40" s="27">
        <v>29</v>
      </c>
      <c r="DA40" s="27">
        <v>51.3</v>
      </c>
      <c r="DB40" s="27">
        <v>56.14</v>
      </c>
      <c r="DC40" s="27"/>
      <c r="DD40" s="27"/>
      <c r="DE40" s="27"/>
      <c r="DF40" s="27"/>
      <c r="DG40" s="27"/>
      <c r="DH40" s="27"/>
      <c r="DI40" s="27"/>
      <c r="DJ40" s="27"/>
      <c r="DK40" s="27"/>
      <c r="DL40" s="27" t="s">
        <v>345</v>
      </c>
      <c r="DM40" s="27"/>
      <c r="DN40" s="27"/>
      <c r="DO40" s="27"/>
      <c r="DP40" s="27"/>
      <c r="DQ40" s="27"/>
      <c r="DR40" s="27"/>
      <c r="DS40" s="27"/>
      <c r="DT40" s="27"/>
    </row>
    <row r="41" spans="2:124" ht="11.25" customHeight="1" x14ac:dyDescent="0.2">
      <c r="B41" s="27"/>
      <c r="C41" s="27"/>
      <c r="D41" s="27"/>
      <c r="E41" s="27"/>
      <c r="F41" s="27"/>
      <c r="G41" s="27"/>
      <c r="H41" s="27"/>
      <c r="I41" s="27">
        <f t="shared" si="2"/>
        <v>5</v>
      </c>
      <c r="J41" s="27" t="s">
        <v>59</v>
      </c>
      <c r="K41" s="27"/>
      <c r="L41" s="27" t="s">
        <v>312</v>
      </c>
      <c r="M41" s="27">
        <v>2</v>
      </c>
      <c r="N41" s="27">
        <v>3</v>
      </c>
      <c r="O41" s="27"/>
      <c r="P41" s="27"/>
      <c r="Q41" s="27"/>
      <c r="R41" s="27"/>
      <c r="S41" s="27"/>
      <c r="T41" s="27"/>
      <c r="U41" s="27"/>
      <c r="V41" s="27"/>
      <c r="W41" s="27"/>
      <c r="X41" s="27"/>
      <c r="Y41" s="27"/>
      <c r="Z41" s="27"/>
      <c r="AA41" s="27"/>
      <c r="AB41" s="27"/>
      <c r="AC41" s="27"/>
      <c r="AD41" s="27"/>
      <c r="AE41" s="27" t="s">
        <v>383</v>
      </c>
      <c r="AF41" s="27" t="e">
        <f>#REF!/#REF!</f>
        <v>#REF!</v>
      </c>
      <c r="AG41" s="27"/>
      <c r="AH41" s="27"/>
      <c r="AI41" s="27"/>
      <c r="AJ41" s="27"/>
      <c r="AK41" s="27"/>
      <c r="AL41" s="27"/>
      <c r="AM41" s="27">
        <v>40574</v>
      </c>
      <c r="AN41" s="27"/>
      <c r="AO41" s="27">
        <f>DATE(YEAR(AK25),MONTH(AK25)-MONTH(AK25)+1,DAY(AK25)-DAY(AK25)+1)</f>
        <v>40544</v>
      </c>
      <c r="AP41" s="27"/>
      <c r="AQ41" s="27"/>
      <c r="AR41" s="27"/>
      <c r="AS41" s="27">
        <v>21</v>
      </c>
      <c r="AT41" s="27">
        <v>42</v>
      </c>
      <c r="AU41" s="27"/>
      <c r="AV41" s="27"/>
      <c r="AW41" s="27"/>
      <c r="AX41" s="27"/>
      <c r="AY41" s="27" t="s">
        <v>384</v>
      </c>
      <c r="AZ41" s="27" t="s">
        <v>385</v>
      </c>
      <c r="BA41" s="27"/>
      <c r="BB41" s="27"/>
      <c r="BC41" s="27"/>
      <c r="BD41" s="27"/>
      <c r="BE41" s="27"/>
      <c r="BF41" s="27"/>
      <c r="BG41" s="27"/>
      <c r="BH41" s="27"/>
      <c r="BI41" s="27"/>
      <c r="BJ41" s="27"/>
      <c r="BK41" s="27" t="s">
        <v>386</v>
      </c>
      <c r="BL41" s="27" t="e">
        <f>BL39-BL40</f>
        <v>#REF!</v>
      </c>
      <c r="BM41" s="27"/>
      <c r="BN41" s="27"/>
      <c r="BO41" s="27"/>
      <c r="BP41" s="27"/>
      <c r="BQ41" s="27"/>
      <c r="BR41" s="27">
        <v>9268335</v>
      </c>
      <c r="BS41" s="27"/>
      <c r="BT41" s="27"/>
      <c r="BU41" s="27"/>
      <c r="BV41" s="27"/>
      <c r="BW41" s="27"/>
      <c r="BX41" s="27"/>
      <c r="BY41" s="27"/>
      <c r="BZ41" s="27"/>
      <c r="CA41" s="27"/>
      <c r="CB41" s="27"/>
      <c r="CC41" s="27"/>
      <c r="CD41" s="27"/>
      <c r="CE41" s="27"/>
      <c r="CF41" s="27"/>
      <c r="CG41" s="27"/>
      <c r="CH41" s="27"/>
      <c r="CI41" s="27"/>
      <c r="CJ41" s="27"/>
      <c r="CK41" s="27"/>
      <c r="CL41" s="27"/>
      <c r="CM41" s="27"/>
      <c r="CN41" s="27"/>
      <c r="CO41" s="27"/>
      <c r="CP41" s="27"/>
      <c r="CQ41" s="27"/>
      <c r="CR41" s="27"/>
      <c r="CS41" s="27"/>
      <c r="CT41" s="27"/>
      <c r="CU41" s="27"/>
      <c r="CV41" s="27">
        <v>30</v>
      </c>
      <c r="CW41" s="27">
        <v>63.5</v>
      </c>
      <c r="CX41" s="27"/>
      <c r="CY41" s="27"/>
      <c r="CZ41" s="27">
        <v>30</v>
      </c>
      <c r="DA41" s="27">
        <v>51.3</v>
      </c>
      <c r="DB41" s="27">
        <v>56.14</v>
      </c>
      <c r="DC41" s="27"/>
      <c r="DD41" s="27"/>
      <c r="DE41" s="27"/>
      <c r="DF41" s="27"/>
      <c r="DG41" s="27"/>
      <c r="DH41" s="27"/>
      <c r="DI41" s="27"/>
      <c r="DJ41" s="27"/>
      <c r="DK41" s="27"/>
      <c r="DL41" s="27" t="s">
        <v>345</v>
      </c>
      <c r="DM41" s="27"/>
      <c r="DN41" s="27"/>
      <c r="DO41" s="27"/>
      <c r="DP41" s="27"/>
      <c r="DQ41" s="27"/>
      <c r="DR41" s="27"/>
      <c r="DS41" s="27"/>
      <c r="DT41" s="27"/>
    </row>
    <row r="42" spans="2:124" ht="11.25" customHeight="1" x14ac:dyDescent="0.2">
      <c r="B42" s="27"/>
      <c r="C42" s="27"/>
      <c r="D42" s="27"/>
      <c r="E42" s="27"/>
      <c r="F42" s="27"/>
      <c r="G42" s="27"/>
      <c r="H42" s="27"/>
      <c r="I42" s="27">
        <f t="shared" si="2"/>
        <v>6</v>
      </c>
      <c r="J42" s="27" t="s">
        <v>59</v>
      </c>
      <c r="K42" s="27"/>
      <c r="L42" s="27" t="s">
        <v>320</v>
      </c>
      <c r="M42" s="27">
        <f>M41*2.2</f>
        <v>4.4000000000000004</v>
      </c>
      <c r="N42" s="27">
        <f>N41*2</f>
        <v>6</v>
      </c>
      <c r="O42" s="27"/>
      <c r="P42" s="27"/>
      <c r="Q42" s="27"/>
      <c r="R42" s="27"/>
      <c r="S42" s="27"/>
      <c r="T42" s="27"/>
      <c r="U42" s="27"/>
      <c r="V42" s="27"/>
      <c r="W42" s="27"/>
      <c r="X42" s="27"/>
      <c r="Y42" s="27"/>
      <c r="Z42" s="27"/>
      <c r="AA42" s="27" t="s">
        <v>257</v>
      </c>
      <c r="AB42" s="27">
        <f>BG61</f>
        <v>33</v>
      </c>
      <c r="AC42" s="27"/>
      <c r="AD42" s="27"/>
      <c r="AE42" s="27" t="s">
        <v>387</v>
      </c>
      <c r="AF42" s="27" t="e">
        <f>#REF!*AF41</f>
        <v>#REF!</v>
      </c>
      <c r="AG42" s="27"/>
      <c r="AH42" s="27"/>
      <c r="AI42" s="27"/>
      <c r="AJ42" s="27"/>
      <c r="AK42" s="27"/>
      <c r="AL42" s="27"/>
      <c r="AM42" s="27"/>
      <c r="AN42" s="27"/>
      <c r="AO42" s="27">
        <f>ROUND((AK25-AO41)/365.25,2)</f>
        <v>0.08</v>
      </c>
      <c r="AP42" s="27"/>
      <c r="AQ42" s="27"/>
      <c r="AR42" s="27"/>
      <c r="AS42" s="27" t="s">
        <v>388</v>
      </c>
      <c r="AT42" s="27" t="s">
        <v>389</v>
      </c>
      <c r="AU42" s="27"/>
      <c r="AV42" s="27"/>
      <c r="AW42" s="27"/>
      <c r="AX42" s="27" t="s">
        <v>390</v>
      </c>
      <c r="AY42" s="27"/>
      <c r="AZ42" s="27" t="e">
        <f>#REF!</f>
        <v>#REF!</v>
      </c>
      <c r="BA42" s="27" t="s">
        <v>391</v>
      </c>
      <c r="BB42" s="27"/>
      <c r="BC42" s="27"/>
      <c r="BD42" s="27"/>
      <c r="BE42" s="27"/>
      <c r="BF42" s="27"/>
      <c r="BG42" s="27"/>
      <c r="BH42" s="27"/>
      <c r="BI42" s="27"/>
      <c r="BJ42" s="27"/>
      <c r="BK42" s="27"/>
      <c r="BL42" s="27" t="e">
        <f>BL41/BL39</f>
        <v>#REF!</v>
      </c>
      <c r="BM42" s="27"/>
      <c r="BN42" s="27"/>
      <c r="BO42" s="27"/>
      <c r="BP42" s="27"/>
      <c r="BQ42" s="27"/>
      <c r="BR42" s="27"/>
      <c r="BS42" s="27"/>
      <c r="BT42" s="27"/>
      <c r="BU42" s="27"/>
      <c r="BV42" s="27"/>
      <c r="BW42" s="27"/>
      <c r="BX42" s="27"/>
      <c r="BY42" s="27"/>
      <c r="BZ42" s="27">
        <v>11</v>
      </c>
      <c r="CA42" s="27">
        <v>0.02</v>
      </c>
      <c r="CB42" s="27">
        <v>4881.91</v>
      </c>
      <c r="CC42" s="27">
        <v>4611.96</v>
      </c>
      <c r="CD42" s="27">
        <v>4304.4799999999996</v>
      </c>
      <c r="CE42" s="27">
        <v>4113.2700000000004</v>
      </c>
      <c r="CF42" s="27">
        <v>3749.54</v>
      </c>
      <c r="CG42" s="27">
        <v>3262.08</v>
      </c>
      <c r="CH42" s="27">
        <v>3055.86</v>
      </c>
      <c r="CI42" s="27">
        <v>2980.86</v>
      </c>
      <c r="CJ42" s="27">
        <v>2887.13</v>
      </c>
      <c r="CK42" s="27">
        <v>4113.2700000000004</v>
      </c>
      <c r="CL42" s="27">
        <v>3824.56</v>
      </c>
      <c r="CM42" s="27">
        <v>3262.08</v>
      </c>
      <c r="CN42" s="27">
        <v>4027.03</v>
      </c>
      <c r="CO42" s="27"/>
      <c r="CP42" s="27"/>
      <c r="CQ42" s="27"/>
      <c r="CR42" s="27"/>
      <c r="CS42" s="27"/>
      <c r="CT42" s="27"/>
      <c r="CU42" s="27"/>
      <c r="CV42" s="27">
        <v>31</v>
      </c>
      <c r="CW42" s="27">
        <v>63.5</v>
      </c>
      <c r="CX42" s="27"/>
      <c r="CY42" s="27"/>
      <c r="CZ42" s="27">
        <v>31</v>
      </c>
      <c r="DA42" s="27">
        <v>51.3</v>
      </c>
      <c r="DB42" s="27">
        <v>56.14</v>
      </c>
      <c r="DC42" s="27"/>
      <c r="DD42" s="27"/>
      <c r="DE42" s="27"/>
      <c r="DF42" s="27"/>
      <c r="DG42" s="27"/>
      <c r="DH42" s="27"/>
      <c r="DI42" s="27"/>
      <c r="DJ42" s="27"/>
      <c r="DK42" s="27"/>
      <c r="DL42" s="27" t="s">
        <v>345</v>
      </c>
      <c r="DM42" s="27"/>
      <c r="DN42" s="27"/>
      <c r="DO42" s="27"/>
      <c r="DP42" s="27"/>
      <c r="DQ42" s="27"/>
      <c r="DR42" s="27"/>
      <c r="DS42" s="27"/>
      <c r="DT42" s="27"/>
    </row>
    <row r="43" spans="2:124" ht="11.25" customHeight="1" x14ac:dyDescent="0.2">
      <c r="B43" s="27"/>
      <c r="C43" s="27"/>
      <c r="D43" s="27"/>
      <c r="E43" s="27"/>
      <c r="F43" s="27"/>
      <c r="G43" s="27"/>
      <c r="H43" s="27"/>
      <c r="I43" s="27">
        <f t="shared" si="2"/>
        <v>7</v>
      </c>
      <c r="J43" s="27" t="s">
        <v>59</v>
      </c>
      <c r="K43" s="27"/>
      <c r="L43" s="27" t="s">
        <v>331</v>
      </c>
      <c r="M43" s="27"/>
      <c r="N43" s="27"/>
      <c r="O43" s="27"/>
      <c r="P43" s="27" t="s">
        <v>59</v>
      </c>
      <c r="Q43" s="27"/>
      <c r="R43" s="27"/>
      <c r="S43" s="27"/>
      <c r="T43" s="27"/>
      <c r="U43" s="27"/>
      <c r="V43" s="27"/>
      <c r="W43" s="27"/>
      <c r="X43" s="27"/>
      <c r="Y43" s="27"/>
      <c r="Z43" s="27"/>
      <c r="AA43" s="27" t="s">
        <v>2</v>
      </c>
      <c r="AB43" s="27">
        <f>IF(W18&gt;36,36,W18)</f>
        <v>1</v>
      </c>
      <c r="AC43" s="27"/>
      <c r="AD43" s="27"/>
      <c r="AE43" s="27" t="s">
        <v>392</v>
      </c>
      <c r="AF43" s="27"/>
      <c r="AG43" s="27"/>
      <c r="AH43" s="27"/>
      <c r="AI43" s="27" t="s">
        <v>393</v>
      </c>
      <c r="AJ43" s="27" t="s">
        <v>394</v>
      </c>
      <c r="AK43" s="27"/>
      <c r="AL43" s="27"/>
      <c r="AM43" s="27"/>
      <c r="AN43" s="27"/>
      <c r="AO43" s="27"/>
      <c r="AP43" s="27"/>
      <c r="AQ43" s="27"/>
      <c r="AR43" s="27"/>
      <c r="AS43" s="27">
        <v>22</v>
      </c>
      <c r="AT43" s="27">
        <v>43</v>
      </c>
      <c r="AU43" s="27"/>
      <c r="AV43" s="27"/>
      <c r="AW43" s="27"/>
      <c r="AX43" s="27" t="s">
        <v>59</v>
      </c>
      <c r="AY43" s="27">
        <v>12</v>
      </c>
      <c r="AZ43" s="27" t="s">
        <v>395</v>
      </c>
      <c r="BA43" s="27" t="e">
        <f>12*AZ42</f>
        <v>#REF!</v>
      </c>
      <c r="BB43" s="27"/>
      <c r="BC43" s="27"/>
      <c r="BD43" s="27"/>
      <c r="BE43" s="27"/>
      <c r="BF43" s="27" t="s">
        <v>59</v>
      </c>
      <c r="BG43" s="27"/>
      <c r="BH43" s="27"/>
      <c r="BI43" s="27"/>
      <c r="BJ43" s="27" t="s">
        <v>396</v>
      </c>
      <c r="BK43" s="27"/>
      <c r="BL43" s="27"/>
      <c r="BM43" s="27"/>
      <c r="BN43" s="27"/>
      <c r="BO43" s="27"/>
      <c r="BP43" s="27"/>
      <c r="BQ43" s="27" t="s">
        <v>397</v>
      </c>
      <c r="BR43" s="27"/>
      <c r="BS43" s="27"/>
      <c r="BT43" s="27"/>
      <c r="BU43" s="27"/>
      <c r="BV43" s="27"/>
      <c r="BW43" s="27"/>
      <c r="BX43" s="27"/>
      <c r="BY43" s="27"/>
      <c r="BZ43" s="27"/>
      <c r="CA43" s="27"/>
      <c r="CB43" s="27"/>
      <c r="CC43" s="27"/>
      <c r="CD43" s="27"/>
      <c r="CE43" s="27"/>
      <c r="CF43" s="27"/>
      <c r="CG43" s="27"/>
      <c r="CH43" s="27"/>
      <c r="CI43" s="27"/>
      <c r="CJ43" s="27"/>
      <c r="CK43" s="27"/>
      <c r="CL43" s="27"/>
      <c r="CM43" s="27"/>
      <c r="CN43" s="27"/>
      <c r="CO43" s="27"/>
      <c r="CP43" s="27"/>
      <c r="CQ43" s="27"/>
      <c r="CR43" s="27"/>
      <c r="CS43" s="27"/>
      <c r="CT43" s="27"/>
      <c r="CU43" s="27"/>
      <c r="CV43" s="27" t="s">
        <v>398</v>
      </c>
      <c r="CW43" s="27">
        <v>63.5</v>
      </c>
      <c r="CX43" s="27"/>
      <c r="CY43" s="27"/>
      <c r="CZ43" s="27">
        <v>32</v>
      </c>
      <c r="DA43" s="27">
        <v>56.1</v>
      </c>
      <c r="DB43" s="27">
        <v>56.14</v>
      </c>
      <c r="DC43" s="27"/>
      <c r="DD43" s="27"/>
      <c r="DE43" s="27"/>
      <c r="DF43" s="27"/>
      <c r="DG43" s="27"/>
      <c r="DH43" s="27"/>
      <c r="DI43" s="27"/>
      <c r="DJ43" s="27"/>
      <c r="DK43" s="27"/>
      <c r="DL43" s="27" t="s">
        <v>399</v>
      </c>
      <c r="DM43" s="27"/>
      <c r="DN43" s="27"/>
      <c r="DO43" s="27"/>
      <c r="DP43" s="27"/>
      <c r="DQ43" s="27"/>
      <c r="DR43" s="27"/>
      <c r="DS43" s="27"/>
      <c r="DT43" s="27"/>
    </row>
    <row r="44" spans="2:124" ht="11.25" customHeight="1" x14ac:dyDescent="0.2">
      <c r="B44" s="27"/>
      <c r="C44" s="27"/>
      <c r="D44" s="27"/>
      <c r="E44" s="27"/>
      <c r="F44" s="27"/>
      <c r="G44" s="27"/>
      <c r="H44" s="27"/>
      <c r="I44" s="27">
        <f t="shared" si="2"/>
        <v>8</v>
      </c>
      <c r="J44" s="27" t="s">
        <v>59</v>
      </c>
      <c r="K44" s="27"/>
      <c r="L44" s="27" t="s">
        <v>338</v>
      </c>
      <c r="M44" s="27"/>
      <c r="N44" s="27"/>
      <c r="O44" s="27" t="s">
        <v>278</v>
      </c>
      <c r="P44" s="27" t="e">
        <f t="shared" ref="P44:P61" si="3">HLOOKUP($C$5,$G$115:$L$132,ROW()-43,0)</f>
        <v>#N/A</v>
      </c>
      <c r="Q44" s="27"/>
      <c r="R44" s="27" t="s">
        <v>278</v>
      </c>
      <c r="S44" s="27"/>
      <c r="T44" s="27"/>
      <c r="U44" s="27"/>
      <c r="V44" s="27"/>
      <c r="W44" s="27"/>
      <c r="X44" s="27"/>
      <c r="Y44" s="27"/>
      <c r="Z44" s="27"/>
      <c r="AA44" s="27" t="s">
        <v>400</v>
      </c>
      <c r="AB44" s="27">
        <v>1</v>
      </c>
      <c r="AC44" s="27"/>
      <c r="AD44" s="27"/>
      <c r="AE44" s="27" t="e">
        <f>IF(#REF!&gt;0,#REF!/'[1]נתוני מס'!N16,0)</f>
        <v>#REF!</v>
      </c>
      <c r="AF44" s="27" t="s">
        <v>401</v>
      </c>
      <c r="AG44" s="27" t="s">
        <v>402</v>
      </c>
      <c r="AH44" s="27" t="s">
        <v>198</v>
      </c>
      <c r="AI44" s="27"/>
      <c r="AJ44" s="27">
        <f>C151</f>
        <v>174.47</v>
      </c>
      <c r="AK44" s="27"/>
      <c r="AL44" s="27"/>
      <c r="AM44" s="27"/>
      <c r="AN44" s="27"/>
      <c r="AO44" s="27"/>
      <c r="AP44" s="27"/>
      <c r="AQ44" s="27"/>
      <c r="AR44" s="27"/>
      <c r="AS44" s="27" t="s">
        <v>403</v>
      </c>
      <c r="AT44" s="27" t="s">
        <v>404</v>
      </c>
      <c r="AU44" s="27"/>
      <c r="AV44" s="27"/>
      <c r="AW44" s="27"/>
      <c r="AX44" s="27" t="s">
        <v>405</v>
      </c>
      <c r="AY44" s="27"/>
      <c r="AZ44" s="27"/>
      <c r="BA44" s="27" t="e">
        <f>AZ42/2*H156</f>
        <v>#REF!</v>
      </c>
      <c r="BB44" s="27"/>
      <c r="BC44" s="27"/>
      <c r="BD44" s="27"/>
      <c r="BE44" s="27"/>
      <c r="BF44" s="27">
        <f>IF((((60-G202)*2+(H156*2))/100+F158)&gt;70%,70%,(((60-G202)*2+(H156*2))/100+F158))</f>
        <v>0.7</v>
      </c>
      <c r="BG44" s="27"/>
      <c r="BH44" s="27"/>
      <c r="BI44" s="27"/>
      <c r="BJ44" s="27"/>
      <c r="BK44" s="27"/>
      <c r="BL44" s="27"/>
      <c r="BM44" s="27"/>
      <c r="BN44" s="27"/>
      <c r="BO44" s="27"/>
      <c r="BP44" s="27"/>
      <c r="BQ44" s="27" t="s">
        <v>406</v>
      </c>
      <c r="BR44" s="27"/>
      <c r="BS44" s="27"/>
      <c r="BT44" s="27"/>
      <c r="BU44" s="27"/>
      <c r="BV44" s="27"/>
      <c r="BW44" s="27"/>
      <c r="BX44" s="27"/>
      <c r="BY44" s="27"/>
      <c r="BZ44" s="27">
        <v>12</v>
      </c>
      <c r="CA44" s="27">
        <v>0.02</v>
      </c>
      <c r="CB44" s="27">
        <v>4979.54</v>
      </c>
      <c r="CC44" s="27">
        <v>4704.1899999999996</v>
      </c>
      <c r="CD44" s="27">
        <v>4390.5600000000004</v>
      </c>
      <c r="CE44" s="27">
        <v>4195.53</v>
      </c>
      <c r="CF44" s="27">
        <v>3824.53</v>
      </c>
      <c r="CG44" s="27">
        <v>3327.32</v>
      </c>
      <c r="CH44" s="27">
        <v>3116.97</v>
      </c>
      <c r="CI44" s="27">
        <v>3040.47</v>
      </c>
      <c r="CJ44" s="27">
        <v>2944.87</v>
      </c>
      <c r="CK44" s="27">
        <v>4195.53</v>
      </c>
      <c r="CL44" s="27">
        <v>3901.05</v>
      </c>
      <c r="CM44" s="27">
        <v>3327.32</v>
      </c>
      <c r="CN44" s="27">
        <v>4107.57</v>
      </c>
      <c r="CO44" s="27"/>
      <c r="CP44" s="27"/>
      <c r="CQ44" s="27"/>
      <c r="CR44" s="27"/>
      <c r="CS44" s="27"/>
      <c r="CT44" s="27"/>
      <c r="CU44" s="27"/>
      <c r="CV44" s="27"/>
      <c r="CW44" s="27"/>
      <c r="CX44" s="27"/>
      <c r="CY44" s="27"/>
      <c r="CZ44" s="27"/>
      <c r="DA44" s="27"/>
      <c r="DB44" s="27"/>
      <c r="DC44" s="27"/>
      <c r="DD44" s="27"/>
      <c r="DE44" s="27"/>
      <c r="DF44" s="27"/>
      <c r="DG44" s="27"/>
      <c r="DH44" s="27"/>
      <c r="DI44" s="27"/>
      <c r="DJ44" s="27"/>
      <c r="DK44" s="27"/>
      <c r="DL44" s="27"/>
      <c r="DM44" s="27"/>
      <c r="DN44" s="27"/>
      <c r="DO44" s="27"/>
      <c r="DP44" s="27"/>
      <c r="DQ44" s="27"/>
      <c r="DR44" s="27"/>
      <c r="DS44" s="27"/>
      <c r="DT44" s="27"/>
    </row>
    <row r="45" spans="2:124" ht="11.25" customHeight="1" x14ac:dyDescent="0.2">
      <c r="B45" s="27"/>
      <c r="C45" s="27"/>
      <c r="D45" s="27"/>
      <c r="E45" s="27"/>
      <c r="F45" s="27"/>
      <c r="G45" s="27"/>
      <c r="H45" s="27"/>
      <c r="I45" s="27">
        <f t="shared" si="2"/>
        <v>9</v>
      </c>
      <c r="J45" s="27" t="s">
        <v>59</v>
      </c>
      <c r="K45" s="27"/>
      <c r="L45" s="27" t="s">
        <v>347</v>
      </c>
      <c r="M45" s="27"/>
      <c r="N45" s="27"/>
      <c r="O45" s="27">
        <v>1</v>
      </c>
      <c r="P45" s="27" t="e">
        <f t="shared" si="3"/>
        <v>#N/A</v>
      </c>
      <c r="Q45" s="27"/>
      <c r="R45" s="27">
        <v>1</v>
      </c>
      <c r="S45" s="27">
        <v>1173.52</v>
      </c>
      <c r="T45" s="27"/>
      <c r="U45" s="27"/>
      <c r="V45" s="27"/>
      <c r="W45" s="27"/>
      <c r="X45" s="27"/>
      <c r="Y45" s="27"/>
      <c r="Z45" s="27"/>
      <c r="AA45" s="27"/>
      <c r="AB45" s="27"/>
      <c r="AC45" s="27"/>
      <c r="AD45" s="27"/>
      <c r="AE45" s="27"/>
      <c r="AF45" s="27" t="s">
        <v>407</v>
      </c>
      <c r="AG45" s="27" t="s">
        <v>408</v>
      </c>
      <c r="AH45" s="27" t="s">
        <v>71</v>
      </c>
      <c r="AI45" s="27"/>
      <c r="AJ45" s="27"/>
      <c r="AK45" s="27" t="s">
        <v>409</v>
      </c>
      <c r="AL45" s="27">
        <f>IF(AB17=AH44,0.01%,0)</f>
        <v>0</v>
      </c>
      <c r="AM45" s="27"/>
      <c r="AN45" s="27"/>
      <c r="AO45" s="27" t="s">
        <v>351</v>
      </c>
      <c r="AP45" s="27"/>
      <c r="AQ45" s="27"/>
      <c r="AR45" s="27"/>
      <c r="AS45" s="27">
        <v>23</v>
      </c>
      <c r="AT45" s="27">
        <v>44</v>
      </c>
      <c r="AU45" s="27"/>
      <c r="AV45" s="27"/>
      <c r="AW45" s="27"/>
      <c r="AX45" s="27"/>
      <c r="AY45" s="27"/>
      <c r="AZ45" s="27" t="s">
        <v>410</v>
      </c>
      <c r="BA45" s="27" t="e">
        <f>BF48</f>
        <v>#REF!</v>
      </c>
      <c r="BB45" s="27"/>
      <c r="BC45" s="27" t="s">
        <v>411</v>
      </c>
      <c r="BD45" s="27"/>
      <c r="BE45" s="27"/>
      <c r="BF45" s="27" t="e">
        <f>T27*BF44</f>
        <v>#REF!</v>
      </c>
      <c r="BG45" s="27"/>
      <c r="BH45" s="27"/>
      <c r="BI45" s="27"/>
      <c r="BJ45" s="27"/>
      <c r="BK45" s="27"/>
      <c r="BL45" s="27"/>
      <c r="BM45" s="27"/>
      <c r="BN45" s="27"/>
      <c r="BO45" s="27"/>
      <c r="BP45" s="27"/>
      <c r="BQ45" s="27"/>
      <c r="BR45" s="27"/>
      <c r="BS45" s="27"/>
      <c r="BT45" s="27"/>
      <c r="BU45" s="27"/>
      <c r="BV45" s="27"/>
      <c r="BW45" s="27"/>
      <c r="BX45" s="27"/>
      <c r="BY45" s="27"/>
      <c r="BZ45" s="27"/>
      <c r="CA45" s="27"/>
      <c r="CB45" s="27"/>
      <c r="CC45" s="27"/>
      <c r="CD45" s="27"/>
      <c r="CE45" s="27"/>
      <c r="CF45" s="27"/>
      <c r="CG45" s="27"/>
      <c r="CH45" s="27"/>
      <c r="CI45" s="27"/>
      <c r="CJ45" s="27"/>
      <c r="CK45" s="27"/>
      <c r="CL45" s="27"/>
      <c r="CM45" s="27"/>
      <c r="CN45" s="27"/>
      <c r="CO45" s="27"/>
      <c r="CP45" s="27"/>
      <c r="CQ45" s="27"/>
      <c r="CR45" s="27"/>
      <c r="CS45" s="27"/>
      <c r="CT45" s="27"/>
      <c r="CU45" s="27"/>
      <c r="CV45" s="27"/>
      <c r="CW45" s="27"/>
      <c r="CX45" s="27"/>
      <c r="CY45" s="27"/>
      <c r="CZ45" s="27"/>
      <c r="DA45" s="27"/>
      <c r="DB45" s="27"/>
      <c r="DC45" s="27"/>
      <c r="DD45" s="27"/>
      <c r="DE45" s="27"/>
      <c r="DF45" s="27"/>
      <c r="DG45" s="27"/>
      <c r="DH45" s="27"/>
      <c r="DI45" s="27"/>
      <c r="DJ45" s="27"/>
      <c r="DK45" s="27"/>
      <c r="DL45" s="27"/>
      <c r="DM45" s="27"/>
      <c r="DN45" s="27"/>
      <c r="DO45" s="27"/>
      <c r="DP45" s="27"/>
      <c r="DQ45" s="27"/>
      <c r="DR45" s="27"/>
      <c r="DS45" s="27"/>
      <c r="DT45" s="27"/>
    </row>
    <row r="46" spans="2:124" ht="11.25" customHeight="1" x14ac:dyDescent="0.2">
      <c r="B46" s="27"/>
      <c r="C46" s="27"/>
      <c r="D46" s="27"/>
      <c r="E46" s="27"/>
      <c r="F46" s="27"/>
      <c r="G46" s="27"/>
      <c r="H46" s="27"/>
      <c r="I46" s="27"/>
      <c r="J46" s="27" t="s">
        <v>328</v>
      </c>
      <c r="K46" s="27" t="e">
        <f>#REF!*0.05*L46</f>
        <v>#REF!</v>
      </c>
      <c r="L46" s="27">
        <v>0</v>
      </c>
      <c r="M46" s="27"/>
      <c r="N46" s="27"/>
      <c r="O46" s="27">
        <v>1.5</v>
      </c>
      <c r="P46" s="27" t="e">
        <f t="shared" si="3"/>
        <v>#N/A</v>
      </c>
      <c r="Q46" s="27"/>
      <c r="R46" s="27">
        <v>1.5</v>
      </c>
      <c r="S46" s="27">
        <v>1104.83</v>
      </c>
      <c r="T46" s="27"/>
      <c r="U46" s="27"/>
      <c r="V46" s="27"/>
      <c r="W46" s="27"/>
      <c r="X46" s="27"/>
      <c r="Y46" s="27"/>
      <c r="Z46" s="27"/>
      <c r="AA46" s="27" t="s">
        <v>412</v>
      </c>
      <c r="AB46" s="27"/>
      <c r="AC46" s="27"/>
      <c r="AD46" s="27"/>
      <c r="AE46" s="27"/>
      <c r="AF46" s="27"/>
      <c r="AG46" s="27"/>
      <c r="AH46" s="27"/>
      <c r="AI46" s="27"/>
      <c r="AJ46" s="27"/>
      <c r="AK46" s="27"/>
      <c r="AL46" s="27">
        <f>IF(AB17=AH44,0.21%,0)</f>
        <v>0</v>
      </c>
      <c r="AM46" s="27"/>
      <c r="AN46" s="27"/>
      <c r="AO46" s="27" t="e">
        <f>IF(#REF!-'[1]נתוני מס'!J42&lt;0,0,#REF!-'[1]נתוני מס'!J42)</f>
        <v>#REF!</v>
      </c>
      <c r="AP46" s="27"/>
      <c r="AQ46" s="27"/>
      <c r="AR46" s="27"/>
      <c r="AS46" s="27" t="s">
        <v>413</v>
      </c>
      <c r="AT46" s="27" t="s">
        <v>414</v>
      </c>
      <c r="AU46" s="27"/>
      <c r="AV46" s="27"/>
      <c r="AW46" s="27"/>
      <c r="AX46" s="27"/>
      <c r="AY46" s="27"/>
      <c r="AZ46" s="27"/>
      <c r="BA46" s="27"/>
      <c r="BB46" s="27"/>
      <c r="BC46" s="27" t="s">
        <v>415</v>
      </c>
      <c r="BD46" s="27"/>
      <c r="BE46" s="27"/>
      <c r="BF46" s="27" t="e">
        <f>#REF!*#REF!</f>
        <v>#REF!</v>
      </c>
      <c r="BG46" s="27"/>
      <c r="BH46" s="27"/>
      <c r="BI46" s="27"/>
      <c r="BJ46" s="27"/>
      <c r="BK46" s="27"/>
      <c r="BL46" s="27"/>
      <c r="BM46" s="27"/>
      <c r="BN46" s="27"/>
      <c r="BO46" s="27"/>
      <c r="BP46" s="27"/>
      <c r="BQ46" s="27"/>
      <c r="BR46" s="27"/>
      <c r="BS46" s="27"/>
      <c r="BT46" s="27"/>
      <c r="BU46" s="27"/>
      <c r="BV46" s="27"/>
      <c r="BW46" s="27"/>
      <c r="BX46" s="27"/>
      <c r="BY46" s="27"/>
      <c r="BZ46" s="27">
        <v>13</v>
      </c>
      <c r="CA46" s="27">
        <v>0.02</v>
      </c>
      <c r="CB46" s="27">
        <v>5079.13</v>
      </c>
      <c r="CC46" s="27">
        <v>4798.2700000000004</v>
      </c>
      <c r="CD46" s="27">
        <v>4478.37</v>
      </c>
      <c r="CE46" s="27">
        <v>4279.4399999999996</v>
      </c>
      <c r="CF46" s="27">
        <v>3901.02</v>
      </c>
      <c r="CG46" s="27">
        <v>3393.86</v>
      </c>
      <c r="CH46" s="27">
        <v>3179.3</v>
      </c>
      <c r="CI46" s="27">
        <v>3101.27</v>
      </c>
      <c r="CJ46" s="27">
        <v>3003.76</v>
      </c>
      <c r="CK46" s="27">
        <v>4279.4399999999996</v>
      </c>
      <c r="CL46" s="27">
        <v>3979.07</v>
      </c>
      <c r="CM46" s="27">
        <v>3393.86</v>
      </c>
      <c r="CN46" s="27">
        <v>4189.72</v>
      </c>
      <c r="CO46" s="27"/>
      <c r="CP46" s="27"/>
      <c r="CQ46" s="27"/>
      <c r="CR46" s="27"/>
      <c r="CS46" s="27"/>
      <c r="CT46" s="27"/>
      <c r="CU46" s="27"/>
      <c r="CV46" s="27"/>
      <c r="CW46" s="27"/>
      <c r="CX46" s="27"/>
      <c r="CY46" s="27"/>
      <c r="CZ46" s="27"/>
      <c r="DA46" s="27"/>
      <c r="DB46" s="27"/>
      <c r="DC46" s="27"/>
      <c r="DD46" s="27"/>
      <c r="DE46" s="27"/>
      <c r="DF46" s="27"/>
      <c r="DG46" s="27"/>
      <c r="DH46" s="27"/>
      <c r="DI46" s="27"/>
      <c r="DJ46" s="27"/>
      <c r="DK46" s="27"/>
      <c r="DL46" s="27"/>
      <c r="DM46" s="27"/>
      <c r="DN46" s="27"/>
      <c r="DO46" s="27"/>
      <c r="DP46" s="27"/>
      <c r="DQ46" s="27"/>
      <c r="DR46" s="27"/>
      <c r="DS46" s="27"/>
      <c r="DT46" s="27"/>
    </row>
    <row r="47" spans="2:124" ht="15" customHeight="1" x14ac:dyDescent="0.2">
      <c r="B47" s="27"/>
      <c r="C47" s="27"/>
      <c r="D47" s="27"/>
      <c r="E47" s="27"/>
      <c r="F47" s="27"/>
      <c r="G47" s="27"/>
      <c r="H47" s="27"/>
      <c r="I47" s="27"/>
      <c r="J47" s="27"/>
      <c r="K47" s="27" t="e">
        <f>SUM(K46:K46)</f>
        <v>#REF!</v>
      </c>
      <c r="L47" s="27" t="s">
        <v>416</v>
      </c>
      <c r="M47" s="27" t="e">
        <f>VLOOKUP(I31,טור12,2,0)</f>
        <v>#N/A</v>
      </c>
      <c r="N47" s="27"/>
      <c r="O47" s="27">
        <v>2</v>
      </c>
      <c r="P47" s="27" t="e">
        <f t="shared" si="3"/>
        <v>#N/A</v>
      </c>
      <c r="Q47" s="27"/>
      <c r="R47" s="27">
        <v>2</v>
      </c>
      <c r="S47" s="27">
        <v>1036.1400000000001</v>
      </c>
      <c r="T47" s="27"/>
      <c r="U47" s="27"/>
      <c r="V47" s="27"/>
      <c r="W47" s="27"/>
      <c r="X47" s="27"/>
      <c r="Y47" s="27"/>
      <c r="Z47" s="27" t="s">
        <v>417</v>
      </c>
      <c r="AA47" s="27"/>
      <c r="AB47" s="27"/>
      <c r="AC47" s="27"/>
      <c r="AD47" s="27"/>
      <c r="AE47" s="27"/>
      <c r="AF47" s="27" t="s">
        <v>418</v>
      </c>
      <c r="AG47" s="27">
        <f>'[1]נתוני מס'!I15</f>
        <v>11650</v>
      </c>
      <c r="AH47" s="27"/>
      <c r="AI47" s="27"/>
      <c r="AJ47" s="27"/>
      <c r="AK47" s="27"/>
      <c r="AL47" s="27"/>
      <c r="AM47" s="27"/>
      <c r="AN47" s="27"/>
      <c r="AO47" s="27"/>
      <c r="AP47" s="27"/>
      <c r="AQ47" s="27"/>
      <c r="AR47" s="27"/>
      <c r="AS47" s="27"/>
      <c r="AT47" s="27"/>
      <c r="AU47" s="27"/>
      <c r="AV47" s="27"/>
      <c r="AW47" s="27"/>
      <c r="AX47" s="27"/>
      <c r="AY47" s="27"/>
      <c r="AZ47" s="27"/>
      <c r="BA47" s="27"/>
      <c r="BB47" s="27"/>
      <c r="BC47" s="27" t="s">
        <v>386</v>
      </c>
      <c r="BD47" s="27"/>
      <c r="BE47" s="27"/>
      <c r="BF47" s="27" t="e">
        <f>IF(BF45-BF46&lt;0,0,BF45-BF46)</f>
        <v>#REF!</v>
      </c>
      <c r="BG47" s="27"/>
      <c r="BH47" s="27"/>
      <c r="BI47" s="27"/>
      <c r="BJ47" s="27"/>
      <c r="BK47" s="27"/>
      <c r="BL47" s="27"/>
      <c r="BM47" s="27"/>
      <c r="BN47" s="27"/>
      <c r="BO47" s="27"/>
      <c r="BP47" s="27"/>
      <c r="BQ47" s="27"/>
      <c r="BR47" s="27"/>
      <c r="BS47" s="27"/>
      <c r="BT47" s="27"/>
      <c r="BU47" s="27"/>
      <c r="BV47" s="27"/>
      <c r="BW47" s="27"/>
      <c r="BX47" s="27"/>
      <c r="BY47" s="27"/>
      <c r="BZ47" s="27"/>
      <c r="CA47" s="27"/>
      <c r="CB47" s="27"/>
      <c r="CC47" s="27"/>
      <c r="CD47" s="27"/>
      <c r="CE47" s="27"/>
      <c r="CF47" s="27"/>
      <c r="CG47" s="27"/>
      <c r="CH47" s="27"/>
      <c r="CI47" s="27"/>
      <c r="CJ47" s="27"/>
      <c r="CK47" s="27"/>
      <c r="CL47" s="27"/>
      <c r="CM47" s="27"/>
      <c r="CN47" s="27"/>
      <c r="CO47" s="27"/>
      <c r="CP47" s="27"/>
      <c r="CQ47" s="27"/>
      <c r="CR47" s="27"/>
      <c r="CS47" s="27"/>
      <c r="CT47" s="27"/>
      <c r="CU47" s="27"/>
      <c r="CV47" s="27"/>
      <c r="CW47" s="27"/>
      <c r="CX47" s="27"/>
      <c r="CY47" s="27"/>
      <c r="CZ47" s="27"/>
      <c r="DA47" s="27"/>
      <c r="DB47" s="27"/>
      <c r="DC47" s="27"/>
      <c r="DD47" s="27"/>
      <c r="DE47" s="27"/>
      <c r="DF47" s="27"/>
      <c r="DG47" s="27"/>
      <c r="DH47" s="27"/>
      <c r="DI47" s="27"/>
      <c r="DJ47" s="27"/>
      <c r="DK47" s="27"/>
      <c r="DL47" s="27"/>
      <c r="DM47" s="27"/>
      <c r="DN47" s="27"/>
      <c r="DO47" s="27"/>
      <c r="DP47" s="27"/>
      <c r="DQ47" s="27"/>
      <c r="DR47" s="27"/>
      <c r="DS47" s="27"/>
      <c r="DT47" s="27"/>
    </row>
    <row r="48" spans="2:124" ht="15" customHeight="1" x14ac:dyDescent="0.2">
      <c r="B48" s="27"/>
      <c r="C48" s="27"/>
      <c r="D48" s="27"/>
      <c r="E48" s="27"/>
      <c r="F48" s="27"/>
      <c r="G48" s="27"/>
      <c r="H48" s="27"/>
      <c r="I48" s="27"/>
      <c r="J48" s="27"/>
      <c r="K48" s="27"/>
      <c r="L48" s="27" t="s">
        <v>301</v>
      </c>
      <c r="M48" s="27">
        <f>IF(H42=0,0,H44-M47)</f>
        <v>0</v>
      </c>
      <c r="N48" s="27"/>
      <c r="O48" s="27">
        <v>2.5</v>
      </c>
      <c r="P48" s="27" t="e">
        <f t="shared" si="3"/>
        <v>#N/A</v>
      </c>
      <c r="Q48" s="27"/>
      <c r="R48" s="27">
        <v>2.5</v>
      </c>
      <c r="S48" s="27">
        <v>952.99</v>
      </c>
      <c r="T48" s="27"/>
      <c r="U48" s="27"/>
      <c r="V48" s="27"/>
      <c r="W48" s="27"/>
      <c r="X48" s="27"/>
      <c r="Y48" s="27"/>
      <c r="Z48" s="27"/>
      <c r="AA48" s="27" t="s">
        <v>419</v>
      </c>
      <c r="AB48" s="27" t="e">
        <f>#REF!+(#REF!+#REF!+#REF!)/12</f>
        <v>#REF!</v>
      </c>
      <c r="AC48" s="27"/>
      <c r="AD48" s="27"/>
      <c r="AE48" s="27"/>
      <c r="AF48" s="27"/>
      <c r="AG48" s="27" t="s">
        <v>59</v>
      </c>
      <c r="AH48" s="27"/>
      <c r="AI48" s="27"/>
      <c r="AJ48" s="27"/>
      <c r="AK48" s="27"/>
      <c r="AL48" s="27"/>
      <c r="AM48" s="27"/>
      <c r="AN48" s="27"/>
      <c r="AO48" s="27"/>
      <c r="AP48" s="27"/>
      <c r="AQ48" s="27"/>
      <c r="AR48" s="27"/>
      <c r="AS48" s="27">
        <v>24</v>
      </c>
      <c r="AT48" s="27">
        <v>45</v>
      </c>
      <c r="AU48" s="27"/>
      <c r="AV48" s="27"/>
      <c r="AW48" s="27"/>
      <c r="AX48" s="27"/>
      <c r="AY48" s="27"/>
      <c r="AZ48" s="27"/>
      <c r="BA48" s="27"/>
      <c r="BB48" s="27"/>
      <c r="BC48" s="27"/>
      <c r="BD48" s="27"/>
      <c r="BE48" s="27"/>
      <c r="BF48" s="27" t="e">
        <f>BF47*12*BF51</f>
        <v>#REF!</v>
      </c>
      <c r="BG48" s="27"/>
      <c r="BH48" s="27"/>
      <c r="BI48" s="27"/>
      <c r="BJ48" s="27"/>
      <c r="BK48" s="27"/>
      <c r="BL48" s="27"/>
      <c r="BM48" s="27"/>
      <c r="BN48" s="27"/>
      <c r="BO48" s="27"/>
      <c r="BP48" s="27"/>
      <c r="BQ48" s="27"/>
      <c r="BR48" s="27"/>
      <c r="BS48" s="27"/>
      <c r="BT48" s="27"/>
      <c r="BU48" s="27"/>
      <c r="BV48" s="27"/>
      <c r="BW48" s="27"/>
      <c r="BX48" s="27"/>
      <c r="BY48" s="27"/>
      <c r="BZ48" s="27">
        <v>14</v>
      </c>
      <c r="CA48" s="27">
        <v>0.02</v>
      </c>
      <c r="CB48" s="27">
        <v>5180.71</v>
      </c>
      <c r="CC48" s="27">
        <v>4894.2299999999996</v>
      </c>
      <c r="CD48" s="27">
        <v>4567.93</v>
      </c>
      <c r="CE48" s="27">
        <v>4365.0200000000004</v>
      </c>
      <c r="CF48" s="27">
        <v>3979.04</v>
      </c>
      <c r="CG48" s="27">
        <v>3461.73</v>
      </c>
      <c r="CH48" s="27">
        <v>3242.88</v>
      </c>
      <c r="CI48" s="27">
        <v>3163.29</v>
      </c>
      <c r="CJ48" s="27">
        <v>3063.83</v>
      </c>
      <c r="CK48" s="27">
        <v>4365.0200000000004</v>
      </c>
      <c r="CL48" s="27">
        <v>4058.65</v>
      </c>
      <c r="CM48" s="27">
        <v>3461.73</v>
      </c>
      <c r="CN48" s="27">
        <v>4273.51</v>
      </c>
      <c r="CO48" s="27"/>
      <c r="CP48" s="27"/>
      <c r="CQ48" s="27"/>
      <c r="CR48" s="27"/>
      <c r="CS48" s="27"/>
      <c r="CT48" s="27"/>
      <c r="CU48" s="27"/>
      <c r="CV48" s="27"/>
      <c r="CW48" s="27"/>
      <c r="CX48" s="27"/>
      <c r="CY48" s="27"/>
      <c r="CZ48" s="27"/>
      <c r="DA48" s="27"/>
      <c r="DB48" s="27"/>
      <c r="DC48" s="27"/>
      <c r="DD48" s="27"/>
      <c r="DE48" s="27"/>
      <c r="DF48" s="27"/>
      <c r="DG48" s="27"/>
      <c r="DH48" s="27"/>
      <c r="DI48" s="27"/>
      <c r="DJ48" s="27"/>
      <c r="DK48" s="27"/>
      <c r="DL48" s="27"/>
      <c r="DM48" s="27"/>
      <c r="DN48" s="27"/>
      <c r="DO48" s="27"/>
      <c r="DP48" s="27"/>
      <c r="DQ48" s="27"/>
      <c r="DR48" s="27"/>
      <c r="DS48" s="27"/>
      <c r="DT48" s="27"/>
    </row>
    <row r="49" spans="2:124" ht="14.25" customHeight="1" x14ac:dyDescent="0.2">
      <c r="B49" s="27"/>
      <c r="C49" s="27"/>
      <c r="D49" s="27"/>
      <c r="E49" s="27"/>
      <c r="F49" s="27"/>
      <c r="G49" s="27"/>
      <c r="H49" s="27"/>
      <c r="I49" s="27"/>
      <c r="J49" s="27"/>
      <c r="K49" s="27"/>
      <c r="L49" s="27" t="s">
        <v>420</v>
      </c>
      <c r="M49" s="27" t="e">
        <f>M47+M48</f>
        <v>#N/A</v>
      </c>
      <c r="N49" s="27"/>
      <c r="O49" s="27">
        <v>3</v>
      </c>
      <c r="P49" s="27" t="e">
        <f t="shared" si="3"/>
        <v>#N/A</v>
      </c>
      <c r="Q49" s="27"/>
      <c r="R49" s="27">
        <v>3</v>
      </c>
      <c r="S49" s="27">
        <v>869.86</v>
      </c>
      <c r="T49" s="27"/>
      <c r="U49" s="27"/>
      <c r="V49" s="27" t="s">
        <v>59</v>
      </c>
      <c r="W49" s="27"/>
      <c r="X49" s="27"/>
      <c r="Y49" s="27"/>
      <c r="Z49" s="27" t="e">
        <f>(1-#REF!/#REF!)*#REF!</f>
        <v>#REF!</v>
      </c>
      <c r="AA49" s="27" t="s">
        <v>421</v>
      </c>
      <c r="AB49" s="27" t="e">
        <f>#REF!+(#REF!+#REF!)/12</f>
        <v>#REF!</v>
      </c>
      <c r="AC49" s="27"/>
      <c r="AD49" s="27"/>
      <c r="AE49" s="27"/>
      <c r="AF49" s="27"/>
      <c r="AG49" s="27" t="s">
        <v>59</v>
      </c>
      <c r="AH49" s="27"/>
      <c r="AI49" s="27"/>
      <c r="AJ49" s="27"/>
      <c r="AK49" s="27"/>
      <c r="AL49" s="27"/>
      <c r="AM49" s="27"/>
      <c r="AN49" s="27"/>
      <c r="AO49" s="27"/>
      <c r="AP49" s="27"/>
      <c r="AQ49" s="27"/>
      <c r="AR49" s="27"/>
      <c r="AS49" s="27" t="s">
        <v>422</v>
      </c>
      <c r="AT49" s="27" t="s">
        <v>423</v>
      </c>
      <c r="AU49" s="27"/>
      <c r="AV49" s="27"/>
      <c r="AW49" s="27"/>
      <c r="AX49" s="27"/>
      <c r="AY49" s="27"/>
      <c r="AZ49" s="27"/>
      <c r="BA49" s="27"/>
      <c r="BB49" s="27"/>
      <c r="BC49" s="27"/>
      <c r="BD49" s="27"/>
      <c r="BE49" s="27"/>
      <c r="BF49" s="27"/>
      <c r="BG49" s="27"/>
      <c r="BH49" s="27"/>
      <c r="BI49" s="27"/>
      <c r="BJ49" s="27"/>
      <c r="BK49" s="27"/>
      <c r="BL49" s="27"/>
      <c r="BM49" s="27"/>
      <c r="BN49" s="27"/>
      <c r="BO49" s="27"/>
      <c r="BP49" s="27"/>
      <c r="BQ49" s="27"/>
      <c r="BR49" s="27"/>
      <c r="BS49" s="27"/>
      <c r="BT49" s="27"/>
      <c r="BU49" s="27"/>
      <c r="BV49" s="27"/>
      <c r="BW49" s="27"/>
      <c r="BX49" s="27"/>
      <c r="BY49" s="27"/>
      <c r="BZ49" s="27"/>
      <c r="CA49" s="27"/>
      <c r="CB49" s="27"/>
      <c r="CC49" s="27"/>
      <c r="CD49" s="27"/>
      <c r="CE49" s="27"/>
      <c r="CF49" s="27"/>
      <c r="CG49" s="27"/>
      <c r="CH49" s="27"/>
      <c r="CI49" s="27"/>
      <c r="CJ49" s="27"/>
      <c r="CK49" s="27"/>
      <c r="CL49" s="27"/>
      <c r="CM49" s="27"/>
      <c r="CN49" s="27"/>
      <c r="CO49" s="27"/>
      <c r="CP49" s="27"/>
      <c r="CQ49" s="27"/>
      <c r="CR49" s="27"/>
      <c r="CS49" s="27"/>
      <c r="CT49" s="27"/>
      <c r="CU49" s="27"/>
      <c r="CV49" s="27"/>
      <c r="CW49" s="27"/>
      <c r="CX49" s="27"/>
      <c r="CY49" s="27"/>
      <c r="CZ49" s="27"/>
      <c r="DA49" s="27"/>
      <c r="DB49" s="27"/>
      <c r="DC49" s="27"/>
      <c r="DD49" s="27"/>
      <c r="DE49" s="27"/>
      <c r="DF49" s="27"/>
      <c r="DG49" s="27"/>
      <c r="DH49" s="27"/>
      <c r="DI49" s="27"/>
      <c r="DJ49" s="27"/>
      <c r="DK49" s="27"/>
      <c r="DL49" s="27"/>
      <c r="DM49" s="27"/>
      <c r="DN49" s="27"/>
      <c r="DO49" s="27"/>
      <c r="DP49" s="27"/>
      <c r="DQ49" s="27"/>
      <c r="DR49" s="27"/>
      <c r="DS49" s="27"/>
      <c r="DT49" s="27"/>
    </row>
    <row r="50" spans="2:124" ht="13.5" customHeight="1" x14ac:dyDescent="0.2">
      <c r="B50" s="27"/>
      <c r="C50" s="27"/>
      <c r="D50" s="27"/>
      <c r="E50" s="27"/>
      <c r="F50" s="27"/>
      <c r="G50" s="27"/>
      <c r="H50" s="27"/>
      <c r="I50" s="27"/>
      <c r="J50" s="27"/>
      <c r="K50" s="27"/>
      <c r="L50" s="27"/>
      <c r="M50" s="27"/>
      <c r="N50" s="27"/>
      <c r="O50" s="27">
        <v>3.5</v>
      </c>
      <c r="P50" s="27" t="e">
        <f t="shared" si="3"/>
        <v>#N/A</v>
      </c>
      <c r="Q50" s="27"/>
      <c r="R50" s="27">
        <v>3.5</v>
      </c>
      <c r="S50" s="27">
        <v>825.34</v>
      </c>
      <c r="T50" s="27"/>
      <c r="U50" s="27"/>
      <c r="V50" s="27"/>
      <c r="W50" s="27"/>
      <c r="X50" s="27"/>
      <c r="Y50" s="27"/>
      <c r="Z50" s="27" t="e">
        <f>IF(#REF!&lt;AG47,#REF!,AG47)</f>
        <v>#REF!</v>
      </c>
      <c r="AA50" s="27" t="s">
        <v>424</v>
      </c>
      <c r="AB50" s="27" t="e">
        <f>#REF!</f>
        <v>#REF!</v>
      </c>
      <c r="AC50" s="27"/>
      <c r="AD50" s="27"/>
      <c r="AE50" s="27"/>
      <c r="AF50" s="27"/>
      <c r="AG50" s="27" t="s">
        <v>59</v>
      </c>
      <c r="AH50" s="27"/>
      <c r="AI50" s="27"/>
      <c r="AJ50" s="27"/>
      <c r="AK50" s="27"/>
      <c r="AL50" s="27"/>
      <c r="AM50" s="27"/>
      <c r="AN50" s="27"/>
      <c r="AO50" s="27"/>
      <c r="AP50" s="27"/>
      <c r="AQ50" s="27"/>
      <c r="AR50" s="27"/>
      <c r="AS50" s="27">
        <v>25</v>
      </c>
      <c r="AT50" s="27">
        <v>46</v>
      </c>
      <c r="AU50" s="27"/>
      <c r="AV50" s="27"/>
      <c r="AW50" s="27"/>
      <c r="AX50" s="27"/>
      <c r="AY50" s="27"/>
      <c r="AZ50" s="27"/>
      <c r="BA50" s="27"/>
      <c r="BB50" s="27"/>
      <c r="BC50" s="27"/>
      <c r="BD50" s="27"/>
      <c r="BE50" s="27" t="str">
        <f>AQ21</f>
        <v>אשה נשואה</v>
      </c>
      <c r="BF50" s="27">
        <f>G202</f>
        <v>52.87</v>
      </c>
      <c r="BG50" s="27"/>
      <c r="BH50" s="27"/>
      <c r="BI50" s="27"/>
      <c r="BJ50" s="27"/>
      <c r="BK50" s="27"/>
      <c r="BL50" s="27"/>
      <c r="BM50" s="27"/>
      <c r="BN50" s="27"/>
      <c r="BO50" s="27"/>
      <c r="BP50" s="27"/>
      <c r="BQ50" s="27"/>
      <c r="BR50" s="27"/>
      <c r="BS50" s="27"/>
      <c r="BT50" s="27"/>
      <c r="BU50" s="27"/>
      <c r="BV50" s="27"/>
      <c r="BW50" s="27"/>
      <c r="BX50" s="27"/>
      <c r="BY50" s="27"/>
      <c r="BZ50" s="27">
        <v>15</v>
      </c>
      <c r="CA50" s="27">
        <v>0.02</v>
      </c>
      <c r="CB50" s="27">
        <v>5284.32</v>
      </c>
      <c r="CC50" s="27">
        <v>4992.1099999999997</v>
      </c>
      <c r="CD50" s="27">
        <v>4659.28</v>
      </c>
      <c r="CE50" s="27">
        <v>4452.32</v>
      </c>
      <c r="CF50" s="27">
        <v>4058.62</v>
      </c>
      <c r="CG50" s="27">
        <v>3530.96</v>
      </c>
      <c r="CH50" s="27">
        <v>3307.73</v>
      </c>
      <c r="CI50" s="27">
        <v>3226.55</v>
      </c>
      <c r="CJ50" s="27">
        <v>3125.1</v>
      </c>
      <c r="CK50" s="27">
        <v>4452.32</v>
      </c>
      <c r="CL50" s="27">
        <v>4139.82</v>
      </c>
      <c r="CM50" s="27">
        <v>3530.96</v>
      </c>
      <c r="CN50" s="27">
        <v>4358.9799999999996</v>
      </c>
      <c r="CO50" s="27"/>
      <c r="CP50" s="27"/>
      <c r="CQ50" s="27"/>
      <c r="CR50" s="27"/>
      <c r="CS50" s="27"/>
      <c r="CT50" s="27"/>
      <c r="CU50" s="27"/>
      <c r="CV50" s="27"/>
      <c r="CW50" s="27"/>
      <c r="CX50" s="27"/>
      <c r="CY50" s="27"/>
      <c r="CZ50" s="27"/>
      <c r="DA50" s="27"/>
      <c r="DB50" s="27"/>
      <c r="DC50" s="27"/>
      <c r="DD50" s="27"/>
      <c r="DE50" s="27"/>
      <c r="DF50" s="27"/>
      <c r="DG50" s="27"/>
      <c r="DH50" s="27"/>
      <c r="DI50" s="27"/>
      <c r="DJ50" s="27"/>
      <c r="DK50" s="27"/>
      <c r="DL50" s="27"/>
      <c r="DM50" s="27"/>
      <c r="DN50" s="27"/>
      <c r="DO50" s="27"/>
      <c r="DP50" s="27"/>
      <c r="DQ50" s="27"/>
      <c r="DR50" s="27"/>
      <c r="DS50" s="27"/>
      <c r="DT50" s="27"/>
    </row>
    <row r="51" spans="2:124" ht="13.5" customHeight="1" x14ac:dyDescent="0.2">
      <c r="B51" s="27"/>
      <c r="C51" s="27"/>
      <c r="D51" s="27"/>
      <c r="E51" s="27"/>
      <c r="F51" s="27"/>
      <c r="G51" s="27"/>
      <c r="H51" s="27"/>
      <c r="I51" s="27"/>
      <c r="J51" s="27"/>
      <c r="K51" s="27"/>
      <c r="L51" s="27"/>
      <c r="M51" s="27"/>
      <c r="N51" s="27"/>
      <c r="O51" s="27">
        <v>4</v>
      </c>
      <c r="P51" s="27" t="e">
        <f t="shared" si="3"/>
        <v>#N/A</v>
      </c>
      <c r="Q51" s="27"/>
      <c r="R51" s="27">
        <v>4</v>
      </c>
      <c r="S51" s="27">
        <v>780.83</v>
      </c>
      <c r="T51" s="27"/>
      <c r="U51" s="27"/>
      <c r="V51" s="27"/>
      <c r="W51" s="27"/>
      <c r="X51" s="27"/>
      <c r="Y51" s="27"/>
      <c r="Z51" s="27" t="e">
        <f>Z50*2</f>
        <v>#REF!</v>
      </c>
      <c r="AA51" s="27" t="s">
        <v>59</v>
      </c>
      <c r="AB51" s="27"/>
      <c r="AC51" s="27"/>
      <c r="AD51" s="27"/>
      <c r="AE51" s="27"/>
      <c r="AF51" s="27"/>
      <c r="AG51" s="27" t="s">
        <v>59</v>
      </c>
      <c r="AH51" s="27"/>
      <c r="AI51" s="27"/>
      <c r="AJ51" s="27"/>
      <c r="AK51" s="27"/>
      <c r="AL51" s="27"/>
      <c r="AM51" s="27"/>
      <c r="AN51" s="27"/>
      <c r="AO51" s="27"/>
      <c r="AP51" s="27"/>
      <c r="AQ51" s="27"/>
      <c r="AR51" s="27"/>
      <c r="AS51" s="27" t="s">
        <v>425</v>
      </c>
      <c r="AT51" s="27" t="s">
        <v>426</v>
      </c>
      <c r="AU51" s="27"/>
      <c r="AV51" s="27"/>
      <c r="AW51" s="27"/>
      <c r="AX51" s="27"/>
      <c r="AY51" s="27"/>
      <c r="AZ51" s="27"/>
      <c r="BA51" s="27"/>
      <c r="BB51" s="27"/>
      <c r="BC51" s="27"/>
      <c r="BD51" s="27"/>
      <c r="BE51" s="27" t="s">
        <v>427</v>
      </c>
      <c r="BF51" s="27">
        <v>0</v>
      </c>
      <c r="BG51" s="27"/>
      <c r="BH51" s="27"/>
      <c r="BI51" s="27"/>
      <c r="BJ51" s="27"/>
      <c r="BK51" s="27"/>
      <c r="BL51" s="27"/>
      <c r="BM51" s="27"/>
      <c r="BN51" s="27"/>
      <c r="BO51" s="27"/>
      <c r="BP51" s="27"/>
      <c r="BQ51" s="27"/>
      <c r="BR51" s="27"/>
      <c r="BS51" s="27"/>
      <c r="BT51" s="27"/>
      <c r="BU51" s="27"/>
      <c r="BV51" s="27"/>
      <c r="BW51" s="27"/>
      <c r="BX51" s="27"/>
      <c r="BY51" s="27"/>
      <c r="BZ51" s="27"/>
      <c r="CA51" s="27"/>
      <c r="CB51" s="27"/>
      <c r="CC51" s="27"/>
      <c r="CD51" s="27"/>
      <c r="CE51" s="27"/>
      <c r="CF51" s="27"/>
      <c r="CG51" s="27"/>
      <c r="CH51" s="27"/>
      <c r="CI51" s="27"/>
      <c r="CJ51" s="27"/>
      <c r="CK51" s="27"/>
      <c r="CL51" s="27"/>
      <c r="CM51" s="27"/>
      <c r="CN51" s="27"/>
      <c r="CO51" s="27"/>
      <c r="CP51" s="27"/>
      <c r="CQ51" s="27"/>
      <c r="CR51" s="27"/>
      <c r="CS51" s="27"/>
      <c r="CT51" s="27"/>
      <c r="CU51" s="27"/>
      <c r="CV51" s="27"/>
      <c r="CW51" s="27"/>
      <c r="CX51" s="27"/>
      <c r="CY51" s="27"/>
      <c r="CZ51" s="27"/>
      <c r="DA51" s="27"/>
      <c r="DB51" s="27"/>
      <c r="DC51" s="27"/>
      <c r="DD51" s="27"/>
      <c r="DE51" s="27"/>
      <c r="DF51" s="27"/>
      <c r="DG51" s="27"/>
      <c r="DH51" s="27"/>
      <c r="DI51" s="27"/>
      <c r="DJ51" s="27"/>
      <c r="DK51" s="27"/>
      <c r="DL51" s="27"/>
      <c r="DM51" s="27"/>
      <c r="DN51" s="27"/>
      <c r="DO51" s="27"/>
      <c r="DP51" s="27"/>
      <c r="DQ51" s="27"/>
      <c r="DR51" s="27"/>
      <c r="DS51" s="27"/>
      <c r="DT51" s="27"/>
    </row>
    <row r="52" spans="2:124" ht="15" customHeight="1" x14ac:dyDescent="0.2">
      <c r="B52" s="27"/>
      <c r="C52" s="27"/>
      <c r="D52" s="27"/>
      <c r="E52" s="27"/>
      <c r="F52" s="27"/>
      <c r="G52" s="27"/>
      <c r="H52" s="27"/>
      <c r="I52" s="27"/>
      <c r="J52" s="27"/>
      <c r="K52" s="27"/>
      <c r="L52" s="27"/>
      <c r="M52" s="27"/>
      <c r="N52" s="27"/>
      <c r="O52" s="27">
        <v>4.5</v>
      </c>
      <c r="P52" s="27" t="e">
        <f t="shared" si="3"/>
        <v>#N/A</v>
      </c>
      <c r="Q52" s="27"/>
      <c r="R52" s="27">
        <v>4.5</v>
      </c>
      <c r="S52" s="27">
        <v>687.01</v>
      </c>
      <c r="T52" s="27"/>
      <c r="U52" s="27"/>
      <c r="V52" s="27"/>
      <c r="W52" s="27"/>
      <c r="X52" s="27"/>
      <c r="Y52" s="27"/>
      <c r="Z52" s="27"/>
      <c r="AA52" s="27"/>
      <c r="AB52" s="27"/>
      <c r="AC52" s="27"/>
      <c r="AD52" s="27"/>
      <c r="AE52" s="27"/>
      <c r="AF52" s="27"/>
      <c r="AG52" s="27"/>
      <c r="AH52" s="27"/>
      <c r="AI52" s="27"/>
      <c r="AJ52" s="27"/>
      <c r="AK52" s="27"/>
      <c r="AL52" s="27"/>
      <c r="AM52" s="27"/>
      <c r="AN52" s="27"/>
      <c r="AO52" s="27"/>
      <c r="AP52" s="27"/>
      <c r="AQ52" s="27"/>
      <c r="AR52" s="27"/>
      <c r="AS52" s="27"/>
      <c r="AT52" s="27"/>
      <c r="AU52" s="27"/>
      <c r="AV52" s="27"/>
      <c r="AW52" s="27"/>
      <c r="AX52" s="27"/>
      <c r="AY52" s="27"/>
      <c r="AZ52" s="27"/>
      <c r="BA52" s="27"/>
      <c r="BB52" s="27"/>
      <c r="BC52" s="27"/>
      <c r="BD52" s="27"/>
      <c r="BE52" s="27"/>
      <c r="BF52" s="27"/>
      <c r="BG52" s="27"/>
      <c r="BH52" s="27"/>
      <c r="BI52" s="27"/>
      <c r="BJ52" s="27"/>
      <c r="BK52" s="27"/>
      <c r="BL52" s="27"/>
      <c r="BM52" s="27"/>
      <c r="BN52" s="27"/>
      <c r="BO52" s="27"/>
      <c r="BP52" s="27"/>
      <c r="BQ52" s="27"/>
      <c r="BR52" s="27"/>
      <c r="BS52" s="27"/>
      <c r="BT52" s="27"/>
      <c r="BU52" s="27"/>
      <c r="BV52" s="27"/>
      <c r="BW52" s="27"/>
      <c r="BX52" s="27"/>
      <c r="BY52" s="27"/>
      <c r="BZ52" s="27">
        <v>16</v>
      </c>
      <c r="CA52" s="27">
        <v>0.02</v>
      </c>
      <c r="CB52" s="27">
        <v>5390</v>
      </c>
      <c r="CC52" s="27">
        <v>5091.95</v>
      </c>
      <c r="CD52" s="27">
        <v>4752.46</v>
      </c>
      <c r="CE52" s="27">
        <v>4541.3599999999997</v>
      </c>
      <c r="CF52" s="27">
        <v>4139.79</v>
      </c>
      <c r="CG52" s="27">
        <v>3601.57</v>
      </c>
      <c r="CH52" s="27">
        <v>3373.88</v>
      </c>
      <c r="CI52" s="27">
        <v>3291.08</v>
      </c>
      <c r="CJ52" s="27">
        <v>3187.6</v>
      </c>
      <c r="CK52" s="27">
        <v>4541.3599999999997</v>
      </c>
      <c r="CL52" s="27">
        <v>4222.6099999999997</v>
      </c>
      <c r="CM52" s="27">
        <v>3601.57</v>
      </c>
      <c r="CN52" s="27">
        <v>4446.1499999999996</v>
      </c>
      <c r="CO52" s="27"/>
      <c r="CP52" s="27"/>
      <c r="CQ52" s="27"/>
      <c r="CR52" s="27"/>
      <c r="CS52" s="27"/>
      <c r="CT52" s="27"/>
      <c r="CU52" s="27"/>
      <c r="CV52" s="27"/>
      <c r="CW52" s="27"/>
      <c r="CX52" s="27"/>
      <c r="CY52" s="27"/>
      <c r="CZ52" s="27"/>
      <c r="DA52" s="27"/>
      <c r="DB52" s="27"/>
      <c r="DC52" s="27"/>
      <c r="DD52" s="27"/>
      <c r="DE52" s="27"/>
      <c r="DF52" s="27"/>
      <c r="DG52" s="27"/>
      <c r="DH52" s="27"/>
      <c r="DI52" s="27"/>
      <c r="DJ52" s="27"/>
      <c r="DK52" s="27"/>
      <c r="DL52" s="27"/>
      <c r="DM52" s="27"/>
      <c r="DN52" s="27"/>
      <c r="DO52" s="27"/>
      <c r="DP52" s="27"/>
      <c r="DQ52" s="27"/>
      <c r="DR52" s="27"/>
      <c r="DS52" s="27"/>
      <c r="DT52" s="27"/>
    </row>
    <row r="53" spans="2:124" ht="15" customHeight="1" x14ac:dyDescent="0.2">
      <c r="B53" s="27"/>
      <c r="C53" s="27"/>
      <c r="D53" s="27"/>
      <c r="E53" s="27"/>
      <c r="F53" s="27"/>
      <c r="G53" s="27"/>
      <c r="H53" s="27"/>
      <c r="I53" s="27"/>
      <c r="J53" s="27"/>
      <c r="K53" s="27" t="s">
        <v>428</v>
      </c>
      <c r="L53" s="27" t="s">
        <v>429</v>
      </c>
      <c r="M53" s="27"/>
      <c r="N53" s="27"/>
      <c r="O53" s="27">
        <v>5</v>
      </c>
      <c r="P53" s="27" t="e">
        <f t="shared" si="3"/>
        <v>#N/A</v>
      </c>
      <c r="Q53" s="27"/>
      <c r="R53" s="27">
        <v>5</v>
      </c>
      <c r="S53" s="27">
        <v>593.47</v>
      </c>
      <c r="T53" s="27"/>
      <c r="U53" s="27"/>
      <c r="V53" s="27"/>
      <c r="W53" s="27"/>
      <c r="X53" s="27"/>
      <c r="Y53" s="27"/>
      <c r="Z53" s="27"/>
      <c r="AA53" s="27" t="s">
        <v>430</v>
      </c>
      <c r="AB53" s="27"/>
      <c r="AC53" s="27" t="s">
        <v>424</v>
      </c>
      <c r="AD53" s="27"/>
      <c r="AE53" s="27"/>
      <c r="AF53" s="27"/>
      <c r="AG53" s="27"/>
      <c r="AH53" s="27"/>
      <c r="AI53" s="27"/>
      <c r="AJ53" s="27"/>
      <c r="AK53" s="27"/>
      <c r="AL53" s="27"/>
      <c r="AM53" s="27"/>
      <c r="AN53" s="27"/>
      <c r="AO53" s="27"/>
      <c r="AP53" s="27"/>
      <c r="AQ53" s="27"/>
      <c r="AR53" s="27"/>
      <c r="AS53" s="27"/>
      <c r="AT53" s="27"/>
      <c r="AU53" s="27"/>
      <c r="AV53" s="27"/>
      <c r="AW53" s="27"/>
      <c r="AX53" s="27"/>
      <c r="AY53" s="27"/>
      <c r="AZ53" s="27"/>
      <c r="BA53" s="27"/>
      <c r="BB53" s="27"/>
      <c r="BC53" s="27"/>
      <c r="BD53" s="27"/>
      <c r="BE53" s="27"/>
      <c r="BF53" s="27"/>
      <c r="BG53" s="27"/>
      <c r="BH53" s="27"/>
      <c r="BI53" s="27"/>
      <c r="BJ53" s="27"/>
      <c r="BK53" s="27"/>
      <c r="BL53" s="27"/>
      <c r="BM53" s="27"/>
      <c r="BN53" s="27"/>
      <c r="BO53" s="27"/>
      <c r="BP53" s="27"/>
      <c r="BQ53" s="27"/>
      <c r="BR53" s="27"/>
      <c r="BS53" s="27"/>
      <c r="BT53" s="27"/>
      <c r="BU53" s="27"/>
      <c r="BV53" s="27"/>
      <c r="BW53" s="27"/>
      <c r="BX53" s="27"/>
      <c r="BY53" s="27"/>
      <c r="BZ53" s="27"/>
      <c r="CA53" s="27"/>
      <c r="CB53" s="27"/>
      <c r="CC53" s="27"/>
      <c r="CD53" s="27"/>
      <c r="CE53" s="27"/>
      <c r="CF53" s="27"/>
      <c r="CG53" s="27"/>
      <c r="CH53" s="27"/>
      <c r="CI53" s="27"/>
      <c r="CJ53" s="27"/>
      <c r="CK53" s="27"/>
      <c r="CL53" s="27"/>
      <c r="CM53" s="27"/>
      <c r="CN53" s="27"/>
      <c r="CO53" s="27"/>
      <c r="CP53" s="27"/>
      <c r="CQ53" s="27"/>
      <c r="CR53" s="27"/>
      <c r="CS53" s="27"/>
      <c r="CT53" s="27"/>
      <c r="CU53" s="27"/>
      <c r="CV53" s="27"/>
      <c r="CW53" s="27"/>
      <c r="CX53" s="27"/>
      <c r="CY53" s="27"/>
      <c r="CZ53" s="27"/>
      <c r="DA53" s="27"/>
      <c r="DB53" s="27"/>
      <c r="DC53" s="27"/>
      <c r="DD53" s="27"/>
      <c r="DE53" s="27"/>
      <c r="DF53" s="27"/>
      <c r="DG53" s="27"/>
      <c r="DH53" s="27"/>
      <c r="DI53" s="27"/>
      <c r="DJ53" s="27"/>
      <c r="DK53" s="27"/>
      <c r="DL53" s="27"/>
      <c r="DM53" s="27"/>
      <c r="DN53" s="27"/>
      <c r="DO53" s="27"/>
      <c r="DP53" s="27"/>
      <c r="DQ53" s="27"/>
      <c r="DR53" s="27"/>
      <c r="DS53" s="27"/>
      <c r="DT53" s="27"/>
    </row>
    <row r="54" spans="2:124" ht="14.25" customHeight="1" x14ac:dyDescent="0.2">
      <c r="B54" s="27"/>
      <c r="C54" s="27"/>
      <c r="D54" s="27"/>
      <c r="E54" s="27"/>
      <c r="F54" s="27"/>
      <c r="G54" s="27"/>
      <c r="H54" s="27"/>
      <c r="I54" s="27"/>
      <c r="J54" s="27"/>
      <c r="K54" s="27">
        <v>6</v>
      </c>
      <c r="L54" s="27">
        <v>0</v>
      </c>
      <c r="M54" s="27">
        <v>1</v>
      </c>
      <c r="N54" s="27"/>
      <c r="O54" s="27">
        <v>5.5</v>
      </c>
      <c r="P54" s="27" t="e">
        <f t="shared" si="3"/>
        <v>#N/A</v>
      </c>
      <c r="Q54" s="27"/>
      <c r="R54" s="27">
        <v>5.5</v>
      </c>
      <c r="S54" s="27">
        <v>593.47</v>
      </c>
      <c r="T54" s="27"/>
      <c r="U54" s="27"/>
      <c r="V54" s="27"/>
      <c r="W54" s="27"/>
      <c r="X54" s="27"/>
      <c r="Y54" s="27"/>
      <c r="Z54" s="27"/>
      <c r="AA54" s="27"/>
      <c r="AB54" s="27"/>
      <c r="AC54" s="27"/>
      <c r="AD54" s="27"/>
      <c r="AE54" s="27"/>
      <c r="AF54" s="27"/>
      <c r="AG54" s="27"/>
      <c r="AH54" s="27"/>
      <c r="AI54" s="27"/>
      <c r="AJ54" s="27"/>
      <c r="AK54" s="27"/>
      <c r="AL54" s="27"/>
      <c r="AM54" s="27"/>
      <c r="AN54" s="27"/>
      <c r="AO54" s="27"/>
      <c r="AP54" s="27"/>
      <c r="AQ54" s="27"/>
      <c r="AR54" s="27"/>
      <c r="AS54" s="27"/>
      <c r="AT54" s="27"/>
      <c r="AU54" s="27"/>
      <c r="AV54" s="27"/>
      <c r="AW54" s="27"/>
      <c r="AX54" s="27"/>
      <c r="AY54" s="27"/>
      <c r="AZ54" s="27"/>
      <c r="BA54" s="27"/>
      <c r="BB54" s="27"/>
      <c r="BC54" s="27"/>
      <c r="BD54" s="27"/>
      <c r="BE54" s="27"/>
      <c r="BF54" s="27"/>
      <c r="BG54" s="27"/>
      <c r="BH54" s="27"/>
      <c r="BI54" s="27"/>
      <c r="BJ54" s="27"/>
      <c r="BK54" s="27"/>
      <c r="BL54" s="27"/>
      <c r="BM54" s="27"/>
      <c r="BN54" s="27"/>
      <c r="BO54" s="27"/>
      <c r="BP54" s="27"/>
      <c r="BQ54" s="27"/>
      <c r="BR54" s="27"/>
      <c r="BS54" s="27"/>
      <c r="BT54" s="27"/>
      <c r="BU54" s="27"/>
      <c r="BV54" s="27"/>
      <c r="BW54" s="27"/>
      <c r="BX54" s="27"/>
      <c r="BY54" s="27"/>
      <c r="BZ54" s="27">
        <v>17</v>
      </c>
      <c r="CA54" s="27">
        <v>0.02</v>
      </c>
      <c r="CB54" s="27">
        <v>5497.8</v>
      </c>
      <c r="CC54" s="27">
        <v>5193.78</v>
      </c>
      <c r="CD54" s="27">
        <v>4847.5</v>
      </c>
      <c r="CE54" s="27">
        <v>4632.18</v>
      </c>
      <c r="CF54" s="27">
        <v>4222.58</v>
      </c>
      <c r="CG54" s="27">
        <v>3673.6</v>
      </c>
      <c r="CH54" s="27">
        <v>3441.35</v>
      </c>
      <c r="CI54" s="27">
        <v>3356.9</v>
      </c>
      <c r="CJ54" s="27">
        <v>3251.35</v>
      </c>
      <c r="CK54" s="27">
        <v>4632.18</v>
      </c>
      <c r="CL54" s="27">
        <v>4307.0600000000004</v>
      </c>
      <c r="CM54" s="27">
        <v>3673.6</v>
      </c>
      <c r="CN54" s="27">
        <v>4535.07</v>
      </c>
      <c r="CO54" s="27"/>
      <c r="CP54" s="27"/>
      <c r="CQ54" s="27"/>
      <c r="CR54" s="27"/>
      <c r="CS54" s="27"/>
      <c r="CT54" s="27"/>
      <c r="CU54" s="27"/>
      <c r="CV54" s="27"/>
      <c r="CW54" s="27"/>
      <c r="CX54" s="27"/>
      <c r="CY54" s="27"/>
      <c r="CZ54" s="27"/>
      <c r="DA54" s="27"/>
      <c r="DB54" s="27"/>
      <c r="DC54" s="27"/>
      <c r="DD54" s="27"/>
      <c r="DE54" s="27"/>
      <c r="DF54" s="27"/>
      <c r="DG54" s="27"/>
      <c r="DH54" s="27"/>
      <c r="DI54" s="27"/>
      <c r="DJ54" s="27"/>
      <c r="DK54" s="27"/>
      <c r="DL54" s="27"/>
      <c r="DM54" s="27"/>
      <c r="DN54" s="27"/>
      <c r="DO54" s="27"/>
      <c r="DP54" s="27"/>
      <c r="DQ54" s="27"/>
      <c r="DR54" s="27"/>
      <c r="DS54" s="27"/>
      <c r="DT54" s="27"/>
    </row>
    <row r="55" spans="2:124" ht="15" customHeight="1" x14ac:dyDescent="0.2">
      <c r="B55" s="27"/>
      <c r="C55" s="27"/>
      <c r="D55" s="27"/>
      <c r="E55" s="27"/>
      <c r="F55" s="27"/>
      <c r="G55" s="27"/>
      <c r="H55" s="27"/>
      <c r="I55" s="27"/>
      <c r="J55" s="27"/>
      <c r="K55" s="27">
        <v>9</v>
      </c>
      <c r="L55" s="27">
        <f t="shared" ref="L55:L61" si="4">K54+1</f>
        <v>7</v>
      </c>
      <c r="M55" s="27">
        <v>2</v>
      </c>
      <c r="N55" s="27"/>
      <c r="O55" s="27">
        <v>6</v>
      </c>
      <c r="P55" s="27" t="e">
        <f t="shared" si="3"/>
        <v>#N/A</v>
      </c>
      <c r="Q55" s="27"/>
      <c r="R55" s="27">
        <v>6</v>
      </c>
      <c r="S55" s="27">
        <v>593.47</v>
      </c>
      <c r="T55" s="27"/>
      <c r="U55" s="27"/>
      <c r="V55" s="27"/>
      <c r="W55" s="27"/>
      <c r="X55" s="27"/>
      <c r="Y55" s="27"/>
      <c r="Z55" s="27"/>
      <c r="AA55" s="27"/>
      <c r="AB55" s="27"/>
      <c r="AC55" s="27"/>
      <c r="AD55" s="27"/>
      <c r="AE55" s="27"/>
      <c r="AF55" s="27"/>
      <c r="AG55" s="27"/>
      <c r="AH55" s="27"/>
      <c r="AI55" s="27"/>
      <c r="AJ55" s="27"/>
      <c r="AK55" s="27"/>
      <c r="AL55" s="27"/>
      <c r="AM55" s="27"/>
      <c r="AN55" s="27"/>
      <c r="AO55" s="27"/>
      <c r="AP55" s="27"/>
      <c r="AQ55" s="27"/>
      <c r="AR55" s="27"/>
      <c r="AS55" s="27"/>
      <c r="AT55" s="27"/>
      <c r="AU55" s="27"/>
      <c r="AV55" s="27"/>
      <c r="AW55" s="27"/>
      <c r="AX55" s="27"/>
      <c r="AY55" s="27"/>
      <c r="AZ55" s="27"/>
      <c r="BA55" s="27"/>
      <c r="BB55" s="27"/>
      <c r="BC55" s="27"/>
      <c r="BD55" s="27"/>
      <c r="BE55" s="27"/>
      <c r="BF55" s="27"/>
      <c r="BG55" s="27"/>
      <c r="BH55" s="27"/>
      <c r="BI55" s="27"/>
      <c r="BJ55" s="27"/>
      <c r="BK55" s="27"/>
      <c r="BL55" s="27"/>
      <c r="BM55" s="27"/>
      <c r="BN55" s="27"/>
      <c r="BO55" s="27"/>
      <c r="BP55" s="27"/>
      <c r="BQ55" s="27"/>
      <c r="BR55" s="27"/>
      <c r="BS55" s="27"/>
      <c r="BT55" s="27"/>
      <c r="BU55" s="27"/>
      <c r="BV55" s="27"/>
      <c r="BW55" s="27"/>
      <c r="BX55" s="27"/>
      <c r="BY55" s="27"/>
      <c r="BZ55" s="27"/>
      <c r="CA55" s="27"/>
      <c r="CB55" s="27"/>
      <c r="CC55" s="27"/>
      <c r="CD55" s="27"/>
      <c r="CE55" s="27"/>
      <c r="CF55" s="27"/>
      <c r="CG55" s="27"/>
      <c r="CH55" s="27"/>
      <c r="CI55" s="27"/>
      <c r="CJ55" s="27"/>
      <c r="CK55" s="27"/>
      <c r="CL55" s="27"/>
      <c r="CM55" s="27"/>
      <c r="CN55" s="27"/>
      <c r="CO55" s="27"/>
      <c r="CP55" s="27"/>
      <c r="CQ55" s="27"/>
      <c r="CR55" s="27"/>
      <c r="CS55" s="27"/>
      <c r="CT55" s="27"/>
      <c r="CU55" s="27"/>
      <c r="CV55" s="27"/>
      <c r="CW55" s="27"/>
      <c r="CX55" s="27"/>
      <c r="CY55" s="27"/>
      <c r="CZ55" s="27"/>
      <c r="DA55" s="27"/>
      <c r="DB55" s="27"/>
      <c r="DC55" s="27"/>
      <c r="DD55" s="27"/>
      <c r="DE55" s="27"/>
      <c r="DF55" s="27"/>
      <c r="DG55" s="27"/>
      <c r="DH55" s="27"/>
      <c r="DI55" s="27"/>
      <c r="DJ55" s="27"/>
      <c r="DK55" s="27"/>
      <c r="DL55" s="27"/>
      <c r="DM55" s="27"/>
      <c r="DN55" s="27"/>
      <c r="DO55" s="27"/>
      <c r="DP55" s="27"/>
      <c r="DQ55" s="27"/>
      <c r="DR55" s="27"/>
      <c r="DS55" s="27"/>
      <c r="DT55" s="27"/>
    </row>
    <row r="56" spans="2:124" ht="21.75" customHeight="1" x14ac:dyDescent="0.2">
      <c r="B56" s="27"/>
      <c r="C56" s="27"/>
      <c r="D56" s="27"/>
      <c r="E56" s="27"/>
      <c r="F56" s="27"/>
      <c r="G56" s="27"/>
      <c r="H56" s="27"/>
      <c r="I56" s="27"/>
      <c r="J56" s="27"/>
      <c r="K56" s="27">
        <v>12</v>
      </c>
      <c r="L56" s="27">
        <f t="shared" si="4"/>
        <v>10</v>
      </c>
      <c r="M56" s="27">
        <v>3</v>
      </c>
      <c r="N56" s="27"/>
      <c r="O56" s="27">
        <v>6.5</v>
      </c>
      <c r="P56" s="27" t="e">
        <f t="shared" si="3"/>
        <v>#N/A</v>
      </c>
      <c r="Q56" s="27"/>
      <c r="R56" s="27">
        <v>6.5</v>
      </c>
      <c r="S56" s="27">
        <v>593.47</v>
      </c>
      <c r="T56" s="27"/>
      <c r="U56" s="27"/>
      <c r="V56" s="27"/>
      <c r="W56" s="27"/>
      <c r="X56" s="27"/>
      <c r="Y56" s="27"/>
      <c r="Z56" s="27"/>
      <c r="AA56" s="27"/>
      <c r="AB56" s="27"/>
      <c r="AC56" s="27"/>
      <c r="AD56" s="27"/>
      <c r="AE56" s="27"/>
      <c r="AF56" s="27"/>
      <c r="AG56" s="27"/>
      <c r="AH56" s="27"/>
      <c r="AI56" s="27"/>
      <c r="AJ56" s="27"/>
      <c r="AK56" s="27"/>
      <c r="AL56" s="27"/>
      <c r="AM56" s="27"/>
      <c r="AN56" s="27"/>
      <c r="AO56" s="27"/>
      <c r="AP56" s="27"/>
      <c r="AQ56" s="27"/>
      <c r="AR56" s="27"/>
      <c r="AS56" s="27"/>
      <c r="AT56" s="27"/>
      <c r="AU56" s="27"/>
      <c r="AV56" s="27"/>
      <c r="AW56" s="27"/>
      <c r="AX56" s="27"/>
      <c r="AY56" s="27"/>
      <c r="AZ56" s="27"/>
      <c r="BA56" s="27"/>
      <c r="BB56" s="27"/>
      <c r="BC56" s="27"/>
      <c r="BD56" s="27"/>
      <c r="BE56" s="27"/>
      <c r="BF56" s="27"/>
      <c r="BG56" s="27"/>
      <c r="BH56" s="27"/>
      <c r="BI56" s="27"/>
      <c r="BJ56" s="27"/>
      <c r="BK56" s="27"/>
      <c r="BL56" s="27"/>
      <c r="BM56" s="27"/>
      <c r="BN56" s="27"/>
      <c r="BO56" s="27"/>
      <c r="BP56" s="27"/>
      <c r="BQ56" s="27"/>
      <c r="BR56" s="27"/>
      <c r="BS56" s="27"/>
      <c r="BT56" s="27"/>
      <c r="BU56" s="27"/>
      <c r="BV56" s="27"/>
      <c r="BW56" s="27"/>
      <c r="BX56" s="27"/>
      <c r="BY56" s="27"/>
      <c r="BZ56" s="27">
        <v>18</v>
      </c>
      <c r="CA56" s="27">
        <v>0.02</v>
      </c>
      <c r="CB56" s="27">
        <v>5607.75</v>
      </c>
      <c r="CC56" s="27">
        <v>5297.65</v>
      </c>
      <c r="CD56" s="27">
        <v>4944.45</v>
      </c>
      <c r="CE56" s="27">
        <v>4724.82</v>
      </c>
      <c r="CF56" s="27">
        <v>4307.03</v>
      </c>
      <c r="CG56" s="27">
        <v>3747.07</v>
      </c>
      <c r="CH56" s="27">
        <v>3510.17</v>
      </c>
      <c r="CI56" s="27">
        <v>3424.03</v>
      </c>
      <c r="CJ56" s="27">
        <v>3316.37</v>
      </c>
      <c r="CK56" s="27">
        <v>4724.82</v>
      </c>
      <c r="CL56" s="27">
        <v>4393.2</v>
      </c>
      <c r="CM56" s="27">
        <v>3747.07</v>
      </c>
      <c r="CN56" s="27">
        <v>4625.7700000000004</v>
      </c>
      <c r="CO56" s="27"/>
      <c r="CP56" s="27"/>
      <c r="CQ56" s="27"/>
      <c r="CR56" s="27"/>
      <c r="CS56" s="27"/>
      <c r="CT56" s="27"/>
      <c r="CU56" s="27"/>
      <c r="CV56" s="27"/>
      <c r="CW56" s="27"/>
      <c r="CX56" s="27"/>
      <c r="CY56" s="27"/>
      <c r="CZ56" s="27"/>
      <c r="DA56" s="27"/>
      <c r="DB56" s="27"/>
      <c r="DC56" s="27"/>
      <c r="DD56" s="27"/>
      <c r="DE56" s="27"/>
      <c r="DF56" s="27"/>
      <c r="DG56" s="27"/>
      <c r="DH56" s="27"/>
      <c r="DI56" s="27"/>
      <c r="DJ56" s="27"/>
      <c r="DK56" s="27"/>
      <c r="DL56" s="27"/>
      <c r="DM56" s="27"/>
      <c r="DN56" s="27"/>
      <c r="DO56" s="27"/>
      <c r="DP56" s="27"/>
      <c r="DQ56" s="27"/>
      <c r="DR56" s="27"/>
      <c r="DS56" s="27"/>
      <c r="DT56" s="27"/>
    </row>
    <row r="57" spans="2:124" ht="16.5" customHeight="1" x14ac:dyDescent="0.2">
      <c r="B57" s="27"/>
      <c r="C57" s="27"/>
      <c r="D57" s="27"/>
      <c r="E57" s="27"/>
      <c r="F57" s="27"/>
      <c r="G57" s="27"/>
      <c r="H57" s="27"/>
      <c r="I57" s="27"/>
      <c r="J57" s="27"/>
      <c r="K57" s="27">
        <v>14</v>
      </c>
      <c r="L57" s="27">
        <f t="shared" si="4"/>
        <v>13</v>
      </c>
      <c r="M57" s="27">
        <v>4</v>
      </c>
      <c r="N57" s="27"/>
      <c r="O57" s="27">
        <v>7</v>
      </c>
      <c r="P57" s="27" t="e">
        <f t="shared" si="3"/>
        <v>#N/A</v>
      </c>
      <c r="Q57" s="27"/>
      <c r="R57" s="27">
        <v>7</v>
      </c>
      <c r="S57" s="27">
        <v>593.47</v>
      </c>
      <c r="T57" s="27"/>
      <c r="U57" s="27"/>
      <c r="V57" s="27"/>
      <c r="W57" s="27"/>
      <c r="X57" s="27"/>
      <c r="Y57" s="27"/>
      <c r="Z57" s="27"/>
      <c r="AA57" s="27"/>
      <c r="AB57" s="27"/>
      <c r="AC57" s="27"/>
      <c r="AD57" s="27"/>
      <c r="AE57" s="27"/>
      <c r="AF57" s="27"/>
      <c r="AG57" s="27"/>
      <c r="AH57" s="27"/>
      <c r="AI57" s="27"/>
      <c r="AJ57" s="27"/>
      <c r="AK57" s="27"/>
      <c r="AL57" s="27"/>
      <c r="AM57" s="27"/>
      <c r="AN57" s="27"/>
      <c r="AO57" s="27"/>
      <c r="AP57" s="27"/>
      <c r="AQ57" s="27"/>
      <c r="AR57" s="27"/>
      <c r="AS57" s="27"/>
      <c r="AT57" s="27"/>
      <c r="AU57" s="27"/>
      <c r="AV57" s="27"/>
      <c r="AW57" s="27"/>
      <c r="AX57" s="27"/>
      <c r="AY57" s="27"/>
      <c r="AZ57" s="27"/>
      <c r="BA57" s="27"/>
      <c r="BB57" s="27"/>
      <c r="BC57" s="27"/>
      <c r="BD57" s="27"/>
      <c r="BE57" s="27"/>
      <c r="BF57" s="27"/>
      <c r="BG57" s="27"/>
      <c r="BH57" s="27"/>
      <c r="BI57" s="27"/>
      <c r="BJ57" s="27"/>
      <c r="BK57" s="27"/>
      <c r="BL57" s="27"/>
      <c r="BM57" s="27"/>
      <c r="BN57" s="27"/>
      <c r="BO57" s="27"/>
      <c r="BP57" s="27"/>
      <c r="BQ57" s="27"/>
      <c r="BR57" s="27"/>
      <c r="BS57" s="27"/>
      <c r="BT57" s="27"/>
      <c r="BU57" s="27"/>
      <c r="BV57" s="27"/>
      <c r="BW57" s="27"/>
      <c r="BX57" s="27"/>
      <c r="BY57" s="27"/>
      <c r="BZ57" s="27"/>
      <c r="CA57" s="27"/>
      <c r="CB57" s="27"/>
      <c r="CC57" s="27"/>
      <c r="CD57" s="27"/>
      <c r="CE57" s="27"/>
      <c r="CF57" s="27"/>
      <c r="CG57" s="27"/>
      <c r="CH57" s="27"/>
      <c r="CI57" s="27"/>
      <c r="CJ57" s="27"/>
      <c r="CK57" s="27"/>
      <c r="CL57" s="27"/>
      <c r="CM57" s="27"/>
      <c r="CN57" s="27"/>
      <c r="CO57" s="27"/>
      <c r="CP57" s="27"/>
      <c r="CQ57" s="27"/>
      <c r="CR57" s="27"/>
      <c r="CS57" s="27"/>
      <c r="CT57" s="27"/>
      <c r="CU57" s="27"/>
      <c r="CV57" s="27"/>
      <c r="CW57" s="27"/>
      <c r="CX57" s="27"/>
      <c r="CY57" s="27"/>
      <c r="CZ57" s="27"/>
      <c r="DA57" s="27"/>
      <c r="DB57" s="27"/>
      <c r="DC57" s="27"/>
      <c r="DD57" s="27"/>
      <c r="DE57" s="27"/>
      <c r="DF57" s="27"/>
      <c r="DG57" s="27"/>
      <c r="DH57" s="27"/>
      <c r="DI57" s="27"/>
      <c r="DJ57" s="27"/>
      <c r="DK57" s="27"/>
      <c r="DL57" s="27"/>
      <c r="DM57" s="27"/>
      <c r="DN57" s="27"/>
      <c r="DO57" s="27"/>
      <c r="DP57" s="27"/>
      <c r="DQ57" s="27"/>
      <c r="DR57" s="27"/>
      <c r="DS57" s="27"/>
      <c r="DT57" s="27"/>
    </row>
    <row r="58" spans="2:124" ht="9.75" customHeight="1" x14ac:dyDescent="0.2">
      <c r="B58" s="27"/>
      <c r="C58" s="27"/>
      <c r="D58" s="27"/>
      <c r="E58" s="27"/>
      <c r="F58" s="27"/>
      <c r="G58" s="27"/>
      <c r="H58" s="27"/>
      <c r="I58" s="27"/>
      <c r="J58" s="27"/>
      <c r="K58" s="27">
        <v>17</v>
      </c>
      <c r="L58" s="27">
        <f t="shared" si="4"/>
        <v>15</v>
      </c>
      <c r="M58" s="27">
        <v>5</v>
      </c>
      <c r="N58" s="27"/>
      <c r="O58" s="27">
        <v>7.5</v>
      </c>
      <c r="P58" s="27" t="e">
        <f t="shared" si="3"/>
        <v>#N/A</v>
      </c>
      <c r="Q58" s="27"/>
      <c r="R58" s="27">
        <v>7.5</v>
      </c>
      <c r="S58" s="27">
        <v>593.47</v>
      </c>
      <c r="T58" s="27"/>
      <c r="U58" s="27"/>
      <c r="V58" s="27"/>
      <c r="W58" s="27"/>
      <c r="X58" s="27"/>
      <c r="Y58" s="27"/>
      <c r="Z58" s="27"/>
      <c r="AA58" s="27"/>
      <c r="AB58" s="27"/>
      <c r="AC58" s="27"/>
      <c r="AD58" s="27"/>
      <c r="AE58" s="27"/>
      <c r="AF58" s="27"/>
      <c r="AG58" s="27"/>
      <c r="AH58" s="27"/>
      <c r="AI58" s="27"/>
      <c r="AJ58" s="27"/>
      <c r="AK58" s="27"/>
      <c r="AL58" s="27"/>
      <c r="AM58" s="27"/>
      <c r="AN58" s="27"/>
      <c r="AO58" s="27"/>
      <c r="AP58" s="27"/>
      <c r="AQ58" s="27"/>
      <c r="AR58" s="27"/>
      <c r="AS58" s="27"/>
      <c r="AT58" s="27"/>
      <c r="AU58" s="27"/>
      <c r="AV58" s="27"/>
      <c r="AW58" s="27"/>
      <c r="AX58" s="27"/>
      <c r="AY58" s="27"/>
      <c r="AZ58" s="27"/>
      <c r="BA58" s="27"/>
      <c r="BB58" s="27"/>
      <c r="BC58" s="27"/>
      <c r="BD58" s="27"/>
      <c r="BE58" s="27"/>
      <c r="BF58" s="27" t="s">
        <v>431</v>
      </c>
      <c r="BG58" s="27"/>
      <c r="BH58" s="27"/>
      <c r="BI58" s="27"/>
      <c r="BJ58" s="27"/>
      <c r="BK58" s="27"/>
      <c r="BL58" s="27"/>
      <c r="BM58" s="27"/>
      <c r="BN58" s="27"/>
      <c r="BO58" s="27"/>
      <c r="BP58" s="27"/>
      <c r="BQ58" s="27"/>
      <c r="BR58" s="27"/>
      <c r="BS58" s="27"/>
      <c r="BT58" s="27"/>
      <c r="BU58" s="27"/>
      <c r="BV58" s="27"/>
      <c r="BW58" s="27"/>
      <c r="BX58" s="27"/>
      <c r="BY58" s="27"/>
      <c r="BZ58" s="27">
        <v>19</v>
      </c>
      <c r="CA58" s="27">
        <v>0.02</v>
      </c>
      <c r="CB58" s="27">
        <v>5719.9</v>
      </c>
      <c r="CC58" s="27">
        <v>5403.6</v>
      </c>
      <c r="CD58" s="27">
        <v>5043.33</v>
      </c>
      <c r="CE58" s="27">
        <v>4819.3100000000004</v>
      </c>
      <c r="CF58" s="27">
        <v>4393.17</v>
      </c>
      <c r="CG58" s="27">
        <v>3822.01</v>
      </c>
      <c r="CH58" s="27">
        <v>3580.37</v>
      </c>
      <c r="CI58" s="27">
        <v>3492.51</v>
      </c>
      <c r="CJ58" s="27">
        <v>3382.69</v>
      </c>
      <c r="CK58" s="27">
        <v>4819.3100000000004</v>
      </c>
      <c r="CL58" s="27">
        <v>4481.0600000000004</v>
      </c>
      <c r="CM58" s="27">
        <v>3822.01</v>
      </c>
      <c r="CN58" s="27">
        <v>4718.28</v>
      </c>
      <c r="CO58" s="27"/>
      <c r="CP58" s="27"/>
      <c r="CQ58" s="27"/>
      <c r="CR58" s="27"/>
      <c r="CS58" s="27"/>
      <c r="CT58" s="27"/>
      <c r="CU58" s="27"/>
      <c r="CV58" s="27"/>
      <c r="CW58" s="27"/>
      <c r="CX58" s="27"/>
      <c r="CY58" s="27"/>
      <c r="CZ58" s="27"/>
      <c r="DA58" s="27"/>
      <c r="DB58" s="27"/>
      <c r="DC58" s="27"/>
      <c r="DD58" s="27"/>
      <c r="DE58" s="27"/>
      <c r="DF58" s="27"/>
      <c r="DG58" s="27"/>
      <c r="DH58" s="27"/>
      <c r="DI58" s="27"/>
      <c r="DJ58" s="27"/>
      <c r="DK58" s="27"/>
      <c r="DL58" s="27"/>
      <c r="DM58" s="27"/>
      <c r="DN58" s="27"/>
      <c r="DO58" s="27"/>
      <c r="DP58" s="27"/>
      <c r="DQ58" s="27"/>
      <c r="DR58" s="27"/>
      <c r="DS58" s="27"/>
      <c r="DT58" s="27"/>
    </row>
    <row r="59" spans="2:124" ht="9.75" customHeight="1" x14ac:dyDescent="0.2">
      <c r="B59" s="27"/>
      <c r="C59" s="27"/>
      <c r="D59" s="27"/>
      <c r="E59" s="27"/>
      <c r="F59" s="27"/>
      <c r="G59" s="27"/>
      <c r="H59" s="27"/>
      <c r="I59" s="27"/>
      <c r="J59" s="27"/>
      <c r="K59" s="27">
        <v>20</v>
      </c>
      <c r="L59" s="27">
        <f t="shared" si="4"/>
        <v>18</v>
      </c>
      <c r="M59" s="27">
        <v>6</v>
      </c>
      <c r="N59" s="27"/>
      <c r="O59" s="27">
        <v>8</v>
      </c>
      <c r="P59" s="27" t="e">
        <f t="shared" si="3"/>
        <v>#N/A</v>
      </c>
      <c r="Q59" s="27"/>
      <c r="R59" s="27">
        <v>8</v>
      </c>
      <c r="S59" s="27">
        <v>593.47</v>
      </c>
      <c r="T59" s="27"/>
      <c r="U59" s="27"/>
      <c r="V59" s="27"/>
      <c r="W59" s="27"/>
      <c r="X59" s="27"/>
      <c r="Y59" s="27"/>
      <c r="Z59" s="27"/>
      <c r="AA59" s="27"/>
      <c r="AB59" s="27"/>
      <c r="AC59" s="27"/>
      <c r="AD59" s="27"/>
      <c r="AE59" s="27"/>
      <c r="AF59" s="27"/>
      <c r="AG59" s="27"/>
      <c r="AH59" s="27"/>
      <c r="AI59" s="27"/>
      <c r="AJ59" s="27"/>
      <c r="AK59" s="27"/>
      <c r="AL59" s="27"/>
      <c r="AM59" s="27"/>
      <c r="AN59" s="27"/>
      <c r="AO59" s="27"/>
      <c r="AP59" s="27"/>
      <c r="AQ59" s="27"/>
      <c r="AR59" s="27"/>
      <c r="AS59" s="27"/>
      <c r="AT59" s="27"/>
      <c r="AU59" s="27"/>
      <c r="AV59" s="27"/>
      <c r="AW59" s="27"/>
      <c r="AX59" s="27"/>
      <c r="AY59" s="27"/>
      <c r="AZ59" s="27"/>
      <c r="BA59" s="27"/>
      <c r="BB59" s="27"/>
      <c r="BC59" s="27"/>
      <c r="BD59" s="27"/>
      <c r="BE59" s="27"/>
      <c r="BF59" s="27" t="s">
        <v>0</v>
      </c>
      <c r="BG59" s="27" t="s">
        <v>10</v>
      </c>
      <c r="BH59" s="27"/>
      <c r="BI59" s="27"/>
      <c r="BJ59" s="27"/>
      <c r="BK59" s="27"/>
      <c r="BL59" s="27"/>
      <c r="BM59" s="27"/>
      <c r="BN59" s="27"/>
      <c r="BO59" s="27"/>
      <c r="BP59" s="27"/>
      <c r="BQ59" s="27"/>
      <c r="BR59" s="27"/>
      <c r="BS59" s="27"/>
      <c r="BT59" s="27"/>
      <c r="BU59" s="27"/>
      <c r="BV59" s="27"/>
      <c r="BW59" s="27"/>
      <c r="BX59" s="27"/>
      <c r="BY59" s="27"/>
      <c r="BZ59" s="27"/>
      <c r="CA59" s="27"/>
      <c r="CB59" s="27"/>
      <c r="CC59" s="27"/>
      <c r="CD59" s="27"/>
      <c r="CE59" s="27"/>
      <c r="CF59" s="27"/>
      <c r="CG59" s="27"/>
      <c r="CH59" s="27"/>
      <c r="CI59" s="27"/>
      <c r="CJ59" s="27"/>
      <c r="CK59" s="27"/>
      <c r="CL59" s="27"/>
      <c r="CM59" s="27"/>
      <c r="CN59" s="27"/>
      <c r="CO59" s="27"/>
      <c r="CP59" s="27"/>
      <c r="CQ59" s="27"/>
      <c r="CR59" s="27"/>
      <c r="CS59" s="27"/>
      <c r="CT59" s="27"/>
      <c r="CU59" s="27"/>
      <c r="CV59" s="27"/>
      <c r="CW59" s="27"/>
      <c r="CX59" s="27"/>
      <c r="CY59" s="27"/>
      <c r="CZ59" s="27"/>
      <c r="DA59" s="27"/>
      <c r="DB59" s="27"/>
      <c r="DC59" s="27"/>
      <c r="DD59" s="27"/>
      <c r="DE59" s="27"/>
      <c r="DF59" s="27"/>
      <c r="DG59" s="27"/>
      <c r="DH59" s="27"/>
      <c r="DI59" s="27"/>
      <c r="DJ59" s="27"/>
      <c r="DK59" s="27"/>
      <c r="DL59" s="27"/>
      <c r="DM59" s="27"/>
      <c r="DN59" s="27"/>
      <c r="DO59" s="27"/>
      <c r="DP59" s="27"/>
      <c r="DQ59" s="27"/>
      <c r="DR59" s="27"/>
      <c r="DS59" s="27"/>
      <c r="DT59" s="27"/>
    </row>
    <row r="60" spans="2:124" ht="9.75" customHeight="1" x14ac:dyDescent="0.2">
      <c r="B60" s="27"/>
      <c r="C60" s="27"/>
      <c r="D60" s="27"/>
      <c r="E60" s="27"/>
      <c r="F60" s="27"/>
      <c r="G60" s="27"/>
      <c r="H60" s="27"/>
      <c r="I60" s="27"/>
      <c r="J60" s="27"/>
      <c r="K60" s="27">
        <v>24</v>
      </c>
      <c r="L60" s="27">
        <f t="shared" si="4"/>
        <v>21</v>
      </c>
      <c r="M60" s="27">
        <v>7</v>
      </c>
      <c r="N60" s="27"/>
      <c r="O60" s="27">
        <v>8.5</v>
      </c>
      <c r="P60" s="27" t="e">
        <f t="shared" si="3"/>
        <v>#N/A</v>
      </c>
      <c r="Q60" s="27"/>
      <c r="R60" s="27">
        <v>8.5</v>
      </c>
      <c r="S60" s="27">
        <v>593.47</v>
      </c>
      <c r="T60" s="27"/>
      <c r="U60" s="27"/>
      <c r="V60" s="27"/>
      <c r="W60" s="27" t="s">
        <v>432</v>
      </c>
      <c r="X60" s="27"/>
      <c r="Y60" s="27"/>
      <c r="Z60" s="27"/>
      <c r="AA60" s="27"/>
      <c r="AB60" s="27"/>
      <c r="AC60" s="27"/>
      <c r="AD60" s="27"/>
      <c r="AE60" s="27"/>
      <c r="AF60" s="27"/>
      <c r="AG60" s="27"/>
      <c r="AH60" s="27"/>
      <c r="AI60" s="27"/>
      <c r="AJ60" s="27"/>
      <c r="AK60" s="27"/>
      <c r="AL60" s="27"/>
      <c r="AM60" s="27"/>
      <c r="AN60" s="27"/>
      <c r="AO60" s="27"/>
      <c r="AP60" s="27"/>
      <c r="AQ60" s="27"/>
      <c r="AR60" s="27"/>
      <c r="AS60" s="27"/>
      <c r="AT60" s="27"/>
      <c r="AU60" s="27"/>
      <c r="AV60" s="27"/>
      <c r="AW60" s="27"/>
      <c r="AX60" s="27"/>
      <c r="AY60" s="27"/>
      <c r="AZ60" s="27"/>
      <c r="BA60" s="27"/>
      <c r="BB60" s="27"/>
      <c r="BC60" s="27"/>
      <c r="BD60" s="27"/>
      <c r="BE60" s="27"/>
      <c r="BF60" s="27" t="s">
        <v>433</v>
      </c>
      <c r="BG60" s="27">
        <v>6</v>
      </c>
      <c r="BH60" s="27"/>
      <c r="BI60" s="27"/>
      <c r="BJ60" s="27"/>
      <c r="BK60" s="27"/>
      <c r="BL60" s="27"/>
      <c r="BM60" s="27"/>
      <c r="BN60" s="27"/>
      <c r="BO60" s="27"/>
      <c r="BP60" s="27"/>
      <c r="BQ60" s="27"/>
      <c r="BR60" s="27"/>
      <c r="BS60" s="27"/>
      <c r="BT60" s="27"/>
      <c r="BU60" s="27"/>
      <c r="BV60" s="27"/>
      <c r="BW60" s="27"/>
      <c r="BX60" s="27"/>
      <c r="BY60" s="27"/>
      <c r="BZ60" s="27">
        <v>20</v>
      </c>
      <c r="CA60" s="27">
        <v>0.02</v>
      </c>
      <c r="CB60" s="27">
        <v>5834.29</v>
      </c>
      <c r="CC60" s="27">
        <v>5511.67</v>
      </c>
      <c r="CD60" s="27">
        <v>5144.1899999999996</v>
      </c>
      <c r="CE60" s="27">
        <v>4915.6899999999996</v>
      </c>
      <c r="CF60" s="27">
        <v>4481.03</v>
      </c>
      <c r="CG60" s="27">
        <v>3898.45</v>
      </c>
      <c r="CH60" s="27">
        <v>3651.97</v>
      </c>
      <c r="CI60" s="27">
        <v>3562.36</v>
      </c>
      <c r="CJ60" s="27">
        <v>3450.34</v>
      </c>
      <c r="CK60" s="27">
        <v>4915.6899999999996</v>
      </c>
      <c r="CL60" s="27">
        <v>4570.68</v>
      </c>
      <c r="CM60" s="27">
        <v>3898.45</v>
      </c>
      <c r="CN60" s="27">
        <v>4812.6400000000003</v>
      </c>
      <c r="CO60" s="27"/>
      <c r="CP60" s="27"/>
      <c r="CQ60" s="27"/>
      <c r="CR60" s="27"/>
      <c r="CS60" s="27"/>
      <c r="CT60" s="27"/>
      <c r="CU60" s="27"/>
      <c r="CV60" s="27"/>
      <c r="CW60" s="27"/>
      <c r="CX60" s="27"/>
      <c r="CY60" s="27"/>
      <c r="CZ60" s="27"/>
      <c r="DA60" s="27"/>
      <c r="DB60" s="27"/>
      <c r="DC60" s="27"/>
      <c r="DD60" s="27"/>
      <c r="DE60" s="27"/>
      <c r="DF60" s="27"/>
      <c r="DG60" s="27"/>
      <c r="DH60" s="27"/>
      <c r="DI60" s="27"/>
      <c r="DJ60" s="27"/>
      <c r="DK60" s="27"/>
      <c r="DL60" s="27"/>
      <c r="DM60" s="27"/>
      <c r="DN60" s="27"/>
      <c r="DO60" s="27"/>
      <c r="DP60" s="27"/>
      <c r="DQ60" s="27"/>
      <c r="DR60" s="27"/>
      <c r="DS60" s="27"/>
      <c r="DT60" s="27"/>
    </row>
    <row r="61" spans="2:124" ht="9.75" customHeight="1" x14ac:dyDescent="0.2">
      <c r="B61" s="27"/>
      <c r="C61" s="27"/>
      <c r="D61" s="27"/>
      <c r="E61" s="27"/>
      <c r="F61" s="27"/>
      <c r="G61" s="27"/>
      <c r="H61" s="27"/>
      <c r="I61" s="27"/>
      <c r="J61" s="27"/>
      <c r="K61" s="27"/>
      <c r="L61" s="27">
        <f t="shared" si="4"/>
        <v>25</v>
      </c>
      <c r="M61" s="27">
        <v>8</v>
      </c>
      <c r="N61" s="27"/>
      <c r="O61" s="27">
        <v>9</v>
      </c>
      <c r="P61" s="27" t="e">
        <f t="shared" si="3"/>
        <v>#N/A</v>
      </c>
      <c r="Q61" s="27"/>
      <c r="R61" s="27">
        <v>9</v>
      </c>
      <c r="S61" s="27">
        <v>593.47</v>
      </c>
      <c r="T61" s="27">
        <f>5581.83</f>
        <v>5581.83</v>
      </c>
      <c r="U61" s="27"/>
      <c r="V61" s="27"/>
      <c r="W61" s="27" t="s">
        <v>59</v>
      </c>
      <c r="X61" s="27"/>
      <c r="Y61" s="27"/>
      <c r="Z61" s="27"/>
      <c r="AA61" s="27"/>
      <c r="AB61" s="27"/>
      <c r="AC61" s="27"/>
      <c r="AD61" s="27"/>
      <c r="AE61" s="27"/>
      <c r="AF61" s="27"/>
      <c r="AG61" s="27"/>
      <c r="AH61" s="27"/>
      <c r="AI61" s="27"/>
      <c r="AJ61" s="27"/>
      <c r="AK61" s="27"/>
      <c r="AL61" s="27"/>
      <c r="AM61" s="27"/>
      <c r="AN61" s="27"/>
      <c r="AO61" s="27"/>
      <c r="AP61" s="27"/>
      <c r="AQ61" s="27"/>
      <c r="AR61" s="27"/>
      <c r="AS61" s="27"/>
      <c r="AT61" s="27"/>
      <c r="AU61" s="27"/>
      <c r="AV61" s="27"/>
      <c r="AW61" s="27"/>
      <c r="AX61" s="27"/>
      <c r="AY61" s="27"/>
      <c r="AZ61" s="27"/>
      <c r="BA61" s="27"/>
      <c r="BB61" s="27"/>
      <c r="BC61" s="27"/>
      <c r="BD61" s="27"/>
      <c r="BE61" s="27"/>
      <c r="BF61" s="27" t="s">
        <v>2</v>
      </c>
      <c r="BG61" s="27">
        <v>33</v>
      </c>
      <c r="BH61" s="27"/>
      <c r="BI61" s="27"/>
      <c r="BJ61" s="27"/>
      <c r="BK61" s="27"/>
      <c r="BL61" s="27"/>
      <c r="BM61" s="27"/>
      <c r="BN61" s="27"/>
      <c r="BO61" s="27"/>
      <c r="BP61" s="27"/>
      <c r="BQ61" s="27"/>
      <c r="BR61" s="27"/>
      <c r="BS61" s="27"/>
      <c r="BT61" s="27"/>
      <c r="BU61" s="27"/>
      <c r="BV61" s="27"/>
      <c r="BW61" s="27"/>
      <c r="BX61" s="27"/>
      <c r="BY61" s="27"/>
      <c r="BZ61" s="27"/>
      <c r="CA61" s="27"/>
      <c r="CB61" s="27"/>
      <c r="CC61" s="27"/>
      <c r="CD61" s="27"/>
      <c r="CE61" s="27"/>
      <c r="CF61" s="27"/>
      <c r="CG61" s="27"/>
      <c r="CH61" s="27"/>
      <c r="CI61" s="27"/>
      <c r="CJ61" s="27"/>
      <c r="CK61" s="27"/>
      <c r="CL61" s="27"/>
      <c r="CM61" s="27"/>
      <c r="CN61" s="27"/>
      <c r="CO61" s="27"/>
      <c r="CP61" s="27"/>
      <c r="CQ61" s="27"/>
      <c r="CR61" s="27"/>
      <c r="CS61" s="27"/>
      <c r="CT61" s="27"/>
      <c r="CU61" s="27"/>
      <c r="CV61" s="27"/>
      <c r="CW61" s="27"/>
      <c r="CX61" s="27"/>
      <c r="CY61" s="27"/>
      <c r="CZ61" s="27"/>
      <c r="DA61" s="27"/>
      <c r="DB61" s="27"/>
      <c r="DC61" s="27"/>
      <c r="DD61" s="27"/>
      <c r="DE61" s="27"/>
      <c r="DF61" s="27"/>
      <c r="DG61" s="27"/>
      <c r="DH61" s="27"/>
      <c r="DI61" s="27"/>
      <c r="DJ61" s="27"/>
      <c r="DK61" s="27"/>
      <c r="DL61" s="27"/>
      <c r="DM61" s="27"/>
      <c r="DN61" s="27"/>
      <c r="DO61" s="27"/>
      <c r="DP61" s="27"/>
      <c r="DQ61" s="27"/>
      <c r="DR61" s="27"/>
      <c r="DS61" s="27"/>
      <c r="DT61" s="27"/>
    </row>
    <row r="62" spans="2:124" ht="9.75" customHeight="1" x14ac:dyDescent="0.2">
      <c r="B62" s="27"/>
      <c r="C62" s="27"/>
      <c r="D62" s="27"/>
      <c r="E62" s="27"/>
      <c r="F62" s="27"/>
      <c r="G62" s="27"/>
      <c r="H62" s="27"/>
      <c r="I62" s="27"/>
      <c r="J62" s="27"/>
      <c r="K62" s="27"/>
      <c r="L62" s="27"/>
      <c r="M62" s="27"/>
      <c r="N62" s="27"/>
      <c r="O62" s="27"/>
      <c r="P62" s="27"/>
      <c r="Q62" s="27"/>
      <c r="R62" s="27"/>
      <c r="S62" s="27"/>
      <c r="T62" s="27">
        <v>3816.07</v>
      </c>
      <c r="U62" s="27"/>
      <c r="V62" s="27"/>
      <c r="W62" s="27"/>
      <c r="X62" s="27"/>
      <c r="Y62" s="27"/>
      <c r="Z62" s="27"/>
      <c r="AA62" s="27"/>
      <c r="AB62" s="27"/>
      <c r="AC62" s="27"/>
      <c r="AD62" s="27"/>
      <c r="AE62" s="27"/>
      <c r="AF62" s="27"/>
      <c r="AG62" s="27"/>
      <c r="AH62" s="27"/>
      <c r="AI62" s="27"/>
      <c r="AJ62" s="27"/>
      <c r="AK62" s="27"/>
      <c r="AL62" s="27"/>
      <c r="AM62" s="27"/>
      <c r="AN62" s="27"/>
      <c r="AO62" s="27"/>
      <c r="AP62" s="27"/>
      <c r="AQ62" s="27"/>
      <c r="AR62" s="27"/>
      <c r="AS62" s="27"/>
      <c r="AT62" s="27"/>
      <c r="AU62" s="27"/>
      <c r="AV62" s="27"/>
      <c r="AW62" s="27"/>
      <c r="AX62" s="27"/>
      <c r="AY62" s="27"/>
      <c r="AZ62" s="27"/>
      <c r="BA62" s="27"/>
      <c r="BB62" s="27"/>
      <c r="BC62" s="27"/>
      <c r="BD62" s="27"/>
      <c r="BE62" s="27"/>
      <c r="BF62" s="27" t="s">
        <v>434</v>
      </c>
      <c r="BG62" s="27">
        <v>0</v>
      </c>
      <c r="BH62" s="27"/>
      <c r="BI62" s="27"/>
      <c r="BJ62" s="27"/>
      <c r="BK62" s="27"/>
      <c r="BL62" s="27"/>
      <c r="BM62" s="27"/>
      <c r="BN62" s="27"/>
      <c r="BO62" s="27"/>
      <c r="BP62" s="27"/>
      <c r="BQ62" s="27"/>
      <c r="BR62" s="27"/>
      <c r="BS62" s="27"/>
      <c r="BT62" s="27"/>
      <c r="BU62" s="27"/>
      <c r="BV62" s="27"/>
      <c r="BW62" s="27"/>
      <c r="BX62" s="27"/>
      <c r="BY62" s="27"/>
      <c r="BZ62" s="27">
        <v>21</v>
      </c>
      <c r="CA62" s="27">
        <v>0.02</v>
      </c>
      <c r="CB62" s="27">
        <v>5950.97</v>
      </c>
      <c r="CC62" s="27">
        <v>5621.9</v>
      </c>
      <c r="CD62" s="27">
        <v>5247.07</v>
      </c>
      <c r="CE62" s="27">
        <v>5014</v>
      </c>
      <c r="CF62" s="27">
        <v>4570.6499999999996</v>
      </c>
      <c r="CG62" s="27">
        <v>3976.41</v>
      </c>
      <c r="CH62" s="27">
        <v>3725</v>
      </c>
      <c r="CI62" s="27">
        <v>3633.6</v>
      </c>
      <c r="CJ62" s="27">
        <v>3519.34</v>
      </c>
      <c r="CK62" s="27">
        <v>5014</v>
      </c>
      <c r="CL62" s="27">
        <v>4662.09</v>
      </c>
      <c r="CM62" s="27">
        <v>3976.41</v>
      </c>
      <c r="CN62" s="27">
        <v>4908.8900000000003</v>
      </c>
      <c r="CO62" s="27"/>
      <c r="CP62" s="27"/>
      <c r="CQ62" s="27"/>
      <c r="CR62" s="27"/>
      <c r="CS62" s="27"/>
      <c r="CT62" s="27"/>
      <c r="CU62" s="27"/>
      <c r="CV62" s="27"/>
      <c r="CW62" s="27"/>
      <c r="CX62" s="27"/>
      <c r="CY62" s="27"/>
      <c r="CZ62" s="27"/>
      <c r="DA62" s="27"/>
      <c r="DB62" s="27"/>
      <c r="DC62" s="27"/>
      <c r="DD62" s="27"/>
      <c r="DE62" s="27"/>
      <c r="DF62" s="27"/>
      <c r="DG62" s="27"/>
      <c r="DH62" s="27"/>
      <c r="DI62" s="27"/>
      <c r="DJ62" s="27"/>
      <c r="DK62" s="27"/>
      <c r="DL62" s="27"/>
      <c r="DM62" s="27"/>
      <c r="DN62" s="27"/>
      <c r="DO62" s="27"/>
      <c r="DP62" s="27"/>
      <c r="DQ62" s="27"/>
      <c r="DR62" s="27"/>
      <c r="DS62" s="27"/>
      <c r="DT62" s="27"/>
    </row>
    <row r="63" spans="2:124" ht="9.75" customHeight="1" x14ac:dyDescent="0.2">
      <c r="B63" s="27"/>
      <c r="C63" s="27"/>
      <c r="D63" s="27"/>
      <c r="E63" s="27"/>
      <c r="F63" s="27"/>
      <c r="G63" s="27"/>
      <c r="H63" s="27"/>
      <c r="I63" s="27"/>
      <c r="J63" s="27"/>
      <c r="K63" s="27"/>
      <c r="L63" s="27"/>
      <c r="M63" s="27"/>
      <c r="N63" s="27"/>
      <c r="O63" s="27"/>
      <c r="P63" s="27"/>
      <c r="Q63" s="27"/>
      <c r="R63" s="27"/>
      <c r="S63" s="27">
        <v>0.59475999999999996</v>
      </c>
      <c r="T63" s="27">
        <f>T61*S63</f>
        <v>3319.8492107999996</v>
      </c>
      <c r="U63" s="27"/>
      <c r="V63" s="27"/>
      <c r="W63" s="27"/>
      <c r="X63" s="27"/>
      <c r="Y63" s="27"/>
      <c r="Z63" s="27"/>
      <c r="AA63" s="27"/>
      <c r="AB63" s="27"/>
      <c r="AC63" s="27"/>
      <c r="AD63" s="27"/>
      <c r="AE63" s="27"/>
      <c r="AF63" s="27"/>
      <c r="AG63" s="27"/>
      <c r="AH63" s="27"/>
      <c r="AI63" s="27"/>
      <c r="AJ63" s="27"/>
      <c r="AK63" s="27"/>
      <c r="AL63" s="27"/>
      <c r="AM63" s="27"/>
      <c r="AN63" s="27"/>
      <c r="AO63" s="27"/>
      <c r="AP63" s="27"/>
      <c r="AQ63" s="27"/>
      <c r="AR63" s="27"/>
      <c r="AS63" s="27"/>
      <c r="AT63" s="27"/>
      <c r="AU63" s="27"/>
      <c r="AV63" s="27"/>
      <c r="AW63" s="27"/>
      <c r="AX63" s="27"/>
      <c r="AY63" s="27"/>
      <c r="AZ63" s="27"/>
      <c r="BA63" s="27"/>
      <c r="BB63" s="27"/>
      <c r="BC63" s="27"/>
      <c r="BD63" s="27"/>
      <c r="BE63" s="27"/>
      <c r="BF63" s="27" t="s">
        <v>275</v>
      </c>
      <c r="BG63" s="27">
        <v>33</v>
      </c>
      <c r="BH63" s="27"/>
      <c r="BI63" s="27"/>
      <c r="BJ63" s="27"/>
      <c r="BK63" s="27"/>
      <c r="BL63" s="27"/>
      <c r="BM63" s="27"/>
      <c r="BN63" s="27"/>
      <c r="BO63" s="27"/>
      <c r="BP63" s="27"/>
      <c r="BQ63" s="27"/>
      <c r="BR63" s="27"/>
      <c r="BS63" s="27"/>
      <c r="BT63" s="27"/>
      <c r="BU63" s="27"/>
      <c r="BV63" s="27"/>
      <c r="BW63" s="27"/>
      <c r="BX63" s="27"/>
      <c r="BY63" s="27"/>
      <c r="BZ63" s="27"/>
      <c r="CA63" s="27"/>
      <c r="CB63" s="27"/>
      <c r="CC63" s="27"/>
      <c r="CD63" s="27"/>
      <c r="CE63" s="27"/>
      <c r="CF63" s="27"/>
      <c r="CG63" s="27"/>
      <c r="CH63" s="27"/>
      <c r="CI63" s="27"/>
      <c r="CJ63" s="27"/>
      <c r="CK63" s="27"/>
      <c r="CL63" s="27"/>
      <c r="CM63" s="27"/>
      <c r="CN63" s="27"/>
      <c r="CO63" s="27"/>
      <c r="CP63" s="27"/>
      <c r="CQ63" s="27"/>
      <c r="CR63" s="27"/>
      <c r="CS63" s="27"/>
      <c r="CT63" s="27"/>
      <c r="CU63" s="27"/>
      <c r="CV63" s="27"/>
      <c r="CW63" s="27"/>
      <c r="CX63" s="27"/>
      <c r="CY63" s="27"/>
      <c r="CZ63" s="27"/>
      <c r="DA63" s="27"/>
      <c r="DB63" s="27"/>
      <c r="DC63" s="27"/>
      <c r="DD63" s="27"/>
      <c r="DE63" s="27"/>
      <c r="DF63" s="27"/>
      <c r="DG63" s="27"/>
      <c r="DH63" s="27"/>
      <c r="DI63" s="27"/>
      <c r="DJ63" s="27"/>
      <c r="DK63" s="27"/>
      <c r="DL63" s="27"/>
      <c r="DM63" s="27"/>
      <c r="DN63" s="27"/>
      <c r="DO63" s="27"/>
      <c r="DP63" s="27"/>
      <c r="DQ63" s="27"/>
      <c r="DR63" s="27"/>
      <c r="DS63" s="27"/>
      <c r="DT63" s="27"/>
    </row>
    <row r="64" spans="2:124" ht="9.75" customHeight="1" x14ac:dyDescent="0.2">
      <c r="B64" s="27"/>
      <c r="C64" s="27"/>
      <c r="D64" s="27"/>
      <c r="E64" s="27"/>
      <c r="F64" s="27"/>
      <c r="G64" s="27"/>
      <c r="H64" s="27"/>
      <c r="I64" s="27"/>
      <c r="J64" s="27"/>
      <c r="K64" s="27"/>
      <c r="L64" s="27"/>
      <c r="M64" s="27"/>
      <c r="N64" s="27"/>
      <c r="O64" s="27"/>
      <c r="P64" s="27"/>
      <c r="Q64" s="27"/>
      <c r="R64" s="27"/>
      <c r="S64" s="27">
        <v>0.86997999999999998</v>
      </c>
      <c r="T64" s="27">
        <f>T62*S64</f>
        <v>3319.9045786000001</v>
      </c>
      <c r="U64" s="27"/>
      <c r="V64" s="27"/>
      <c r="W64" s="27"/>
      <c r="X64" s="27"/>
      <c r="Y64" s="27"/>
      <c r="Z64" s="27"/>
      <c r="AA64" s="27"/>
      <c r="AB64" s="27"/>
      <c r="AC64" s="27"/>
      <c r="AD64" s="27"/>
      <c r="AE64" s="27"/>
      <c r="AF64" s="27"/>
      <c r="AG64" s="27"/>
      <c r="AH64" s="27"/>
      <c r="AI64" s="27"/>
      <c r="AJ64" s="27"/>
      <c r="AK64" s="27"/>
      <c r="AL64" s="27"/>
      <c r="AM64" s="27"/>
      <c r="AN64" s="27"/>
      <c r="AO64" s="27"/>
      <c r="AP64" s="27"/>
      <c r="AQ64" s="27"/>
      <c r="AR64" s="27"/>
      <c r="AS64" s="27"/>
      <c r="AT64" s="27"/>
      <c r="AU64" s="27"/>
      <c r="AV64" s="27"/>
      <c r="AW64" s="27"/>
      <c r="AX64" s="27"/>
      <c r="AY64" s="27"/>
      <c r="AZ64" s="27"/>
      <c r="BA64" s="27"/>
      <c r="BB64" s="27"/>
      <c r="BC64" s="27"/>
      <c r="BD64" s="27"/>
      <c r="BE64" s="27"/>
      <c r="BF64" s="27" t="s">
        <v>32</v>
      </c>
      <c r="BG64" s="27">
        <v>0</v>
      </c>
      <c r="BH64" s="27"/>
      <c r="BI64" s="27"/>
      <c r="BJ64" s="27"/>
      <c r="BK64" s="27"/>
      <c r="BL64" s="27"/>
      <c r="BM64" s="27"/>
      <c r="BN64" s="27"/>
      <c r="BO64" s="27"/>
      <c r="BP64" s="27"/>
      <c r="BQ64" s="27"/>
      <c r="BR64" s="27"/>
      <c r="BS64" s="27"/>
      <c r="BT64" s="27"/>
      <c r="BU64" s="27"/>
      <c r="BV64" s="27"/>
      <c r="BW64" s="27"/>
      <c r="BX64" s="27"/>
      <c r="BY64" s="27"/>
      <c r="BZ64" s="27">
        <v>22</v>
      </c>
      <c r="CA64" s="27">
        <v>0.02</v>
      </c>
      <c r="CB64" s="27">
        <v>6069.98</v>
      </c>
      <c r="CC64" s="27">
        <v>5734.33</v>
      </c>
      <c r="CD64" s="27">
        <v>5352.01</v>
      </c>
      <c r="CE64" s="27">
        <v>5114.28</v>
      </c>
      <c r="CF64" s="27">
        <v>4662.0600000000004</v>
      </c>
      <c r="CG64" s="27">
        <v>4055.93</v>
      </c>
      <c r="CH64" s="27">
        <v>3799.5</v>
      </c>
      <c r="CI64" s="27">
        <v>3706.27</v>
      </c>
      <c r="CJ64" s="27">
        <v>3589.72</v>
      </c>
      <c r="CK64" s="27">
        <v>5114.28</v>
      </c>
      <c r="CL64" s="27">
        <v>4755.33</v>
      </c>
      <c r="CM64" s="27">
        <v>4055.93</v>
      </c>
      <c r="CN64" s="27">
        <v>5007.0600000000004</v>
      </c>
      <c r="CO64" s="27"/>
      <c r="CP64" s="27"/>
      <c r="CQ64" s="27"/>
      <c r="CR64" s="27"/>
      <c r="CS64" s="27"/>
      <c r="CT64" s="27"/>
      <c r="CU64" s="27"/>
      <c r="CV64" s="27"/>
      <c r="CW64" s="27"/>
      <c r="CX64" s="27"/>
      <c r="CY64" s="27"/>
      <c r="CZ64" s="27"/>
      <c r="DA64" s="27"/>
      <c r="DB64" s="27"/>
      <c r="DC64" s="27"/>
      <c r="DD64" s="27"/>
      <c r="DE64" s="27"/>
      <c r="DF64" s="27"/>
      <c r="DG64" s="27"/>
      <c r="DH64" s="27"/>
      <c r="DI64" s="27"/>
      <c r="DJ64" s="27"/>
      <c r="DK64" s="27"/>
      <c r="DL64" s="27"/>
      <c r="DM64" s="27"/>
      <c r="DN64" s="27"/>
      <c r="DO64" s="27"/>
      <c r="DP64" s="27"/>
      <c r="DQ64" s="27"/>
      <c r="DR64" s="27"/>
      <c r="DS64" s="27"/>
      <c r="DT64" s="27"/>
    </row>
    <row r="65" spans="2:124" ht="9.75" customHeight="1" x14ac:dyDescent="0.2">
      <c r="B65" s="27"/>
      <c r="C65" s="27"/>
      <c r="D65" s="27"/>
      <c r="E65" s="27"/>
      <c r="F65" s="27"/>
      <c r="G65" s="27"/>
      <c r="H65" s="27"/>
      <c r="I65" s="27"/>
      <c r="J65" s="27" t="s">
        <v>269</v>
      </c>
      <c r="K65" s="27" t="s">
        <v>435</v>
      </c>
      <c r="L65" s="27"/>
      <c r="M65" s="27"/>
      <c r="N65" s="27"/>
      <c r="O65" s="27"/>
      <c r="P65" s="27"/>
      <c r="Q65" s="27"/>
      <c r="R65" s="27"/>
      <c r="S65" s="27"/>
      <c r="T65" s="27"/>
      <c r="U65" s="27"/>
      <c r="V65" s="27"/>
      <c r="W65" s="27"/>
      <c r="X65" s="27"/>
      <c r="Y65" s="27"/>
      <c r="Z65" s="27"/>
      <c r="AA65" s="27"/>
      <c r="AB65" s="27"/>
      <c r="AC65" s="27"/>
      <c r="AD65" s="27"/>
      <c r="AE65" s="27"/>
      <c r="AF65" s="27"/>
      <c r="AG65" s="27"/>
      <c r="AH65" s="27"/>
      <c r="AI65" s="27"/>
      <c r="AJ65" s="27"/>
      <c r="AK65" s="27"/>
      <c r="AL65" s="27"/>
      <c r="AM65" s="27"/>
      <c r="AN65" s="27"/>
      <c r="AO65" s="27"/>
      <c r="AP65" s="27"/>
      <c r="AQ65" s="27"/>
      <c r="AR65" s="27"/>
      <c r="AS65" s="27"/>
      <c r="AT65" s="27"/>
      <c r="AU65" s="27"/>
      <c r="AV65" s="27"/>
      <c r="AW65" s="27"/>
      <c r="AX65" s="27"/>
      <c r="AY65" s="27"/>
      <c r="AZ65" s="27"/>
      <c r="BA65" s="27"/>
      <c r="BB65" s="27"/>
      <c r="BC65" s="27"/>
      <c r="BD65" s="27"/>
      <c r="BE65" s="27"/>
      <c r="BF65" s="27" t="s">
        <v>436</v>
      </c>
      <c r="BG65" s="27" t="s">
        <v>84</v>
      </c>
      <c r="BH65" s="27"/>
      <c r="BI65" s="27"/>
      <c r="BJ65" s="27"/>
      <c r="BK65" s="27"/>
      <c r="BL65" s="27"/>
      <c r="BM65" s="27"/>
      <c r="BN65" s="27"/>
      <c r="BO65" s="27"/>
      <c r="BP65" s="27"/>
      <c r="BQ65" s="27"/>
      <c r="BR65" s="27"/>
      <c r="BS65" s="27"/>
      <c r="BT65" s="27"/>
      <c r="BU65" s="27"/>
      <c r="BV65" s="27"/>
      <c r="BW65" s="27"/>
      <c r="BX65" s="27"/>
      <c r="BY65" s="27"/>
      <c r="BZ65" s="27"/>
      <c r="CA65" s="27"/>
      <c r="CB65" s="27"/>
      <c r="CC65" s="27"/>
      <c r="CD65" s="27"/>
      <c r="CE65" s="27"/>
      <c r="CF65" s="27"/>
      <c r="CG65" s="27"/>
      <c r="CH65" s="27"/>
      <c r="CI65" s="27"/>
      <c r="CJ65" s="27"/>
      <c r="CK65" s="27"/>
      <c r="CL65" s="27"/>
      <c r="CM65" s="27"/>
      <c r="CN65" s="27"/>
      <c r="CO65" s="27"/>
      <c r="CP65" s="27"/>
      <c r="CQ65" s="27"/>
      <c r="CR65" s="27"/>
      <c r="CS65" s="27"/>
      <c r="CT65" s="27"/>
      <c r="CU65" s="27"/>
      <c r="CV65" s="27"/>
      <c r="CW65" s="27"/>
      <c r="CX65" s="27"/>
      <c r="CY65" s="27"/>
      <c r="CZ65" s="27"/>
      <c r="DA65" s="27"/>
      <c r="DB65" s="27"/>
      <c r="DC65" s="27"/>
      <c r="DD65" s="27"/>
      <c r="DE65" s="27"/>
      <c r="DF65" s="27"/>
      <c r="DG65" s="27"/>
      <c r="DH65" s="27"/>
      <c r="DI65" s="27"/>
      <c r="DJ65" s="27"/>
      <c r="DK65" s="27"/>
      <c r="DL65" s="27"/>
      <c r="DM65" s="27"/>
      <c r="DN65" s="27"/>
      <c r="DO65" s="27"/>
      <c r="DP65" s="27"/>
      <c r="DQ65" s="27"/>
      <c r="DR65" s="27"/>
      <c r="DS65" s="27"/>
      <c r="DT65" s="27"/>
    </row>
    <row r="66" spans="2:124" ht="16.5" customHeight="1" x14ac:dyDescent="0.2">
      <c r="B66" s="27"/>
      <c r="C66" s="27"/>
      <c r="D66" s="27"/>
      <c r="E66" s="27"/>
      <c r="F66" s="27"/>
      <c r="G66" s="27"/>
      <c r="H66" s="27"/>
      <c r="I66" s="27"/>
      <c r="J66" s="27">
        <f>IF(C19=F18,F26,F33)</f>
        <v>1</v>
      </c>
      <c r="K66" s="27">
        <f>VLOOKUP(J66,L54:M62,2,TRUE)</f>
        <v>1</v>
      </c>
      <c r="L66" s="27"/>
      <c r="M66" s="27"/>
      <c r="N66" s="27"/>
      <c r="O66" s="27"/>
      <c r="P66" s="27"/>
      <c r="Q66" s="27"/>
      <c r="R66" s="27"/>
      <c r="S66" s="27"/>
      <c r="T66" s="27"/>
      <c r="U66" s="27"/>
      <c r="V66" s="27"/>
      <c r="W66" s="27"/>
      <c r="X66" s="27"/>
      <c r="Y66" s="27"/>
      <c r="Z66" s="27"/>
      <c r="AA66" s="27"/>
      <c r="AB66" s="27"/>
      <c r="AC66" s="27"/>
      <c r="AD66" s="27"/>
      <c r="AE66" s="27"/>
      <c r="AF66" s="27"/>
      <c r="AG66" s="27"/>
      <c r="AH66" s="27"/>
      <c r="AI66" s="27"/>
      <c r="AJ66" s="27"/>
      <c r="AK66" s="27"/>
      <c r="AL66" s="27"/>
      <c r="AM66" s="27"/>
      <c r="AN66" s="27"/>
      <c r="AO66" s="27"/>
      <c r="AP66" s="27"/>
      <c r="AQ66" s="27"/>
      <c r="AR66" s="27"/>
      <c r="AS66" s="27"/>
      <c r="AT66" s="27"/>
      <c r="AU66" s="27"/>
      <c r="AV66" s="27"/>
      <c r="AW66" s="27"/>
      <c r="AX66" s="27"/>
      <c r="AY66" s="27"/>
      <c r="AZ66" s="27"/>
      <c r="BA66" s="27"/>
      <c r="BB66" s="27"/>
      <c r="BC66" s="27"/>
      <c r="BD66" s="27"/>
      <c r="BE66" s="27"/>
      <c r="BF66" s="27" t="s">
        <v>379</v>
      </c>
      <c r="BG66" s="27">
        <v>0</v>
      </c>
      <c r="BH66" s="27"/>
      <c r="BI66" s="27"/>
      <c r="BJ66" s="27"/>
      <c r="BK66" s="27"/>
      <c r="BL66" s="27"/>
      <c r="BM66" s="27"/>
      <c r="BN66" s="27"/>
      <c r="BO66" s="27"/>
      <c r="BP66" s="27"/>
      <c r="BQ66" s="27"/>
      <c r="BR66" s="27"/>
      <c r="BS66" s="27"/>
      <c r="BT66" s="27"/>
      <c r="BU66" s="27"/>
      <c r="BV66" s="27"/>
      <c r="BW66" s="27"/>
      <c r="BX66" s="27"/>
      <c r="BY66" s="27"/>
      <c r="BZ66" s="27">
        <v>23</v>
      </c>
      <c r="CA66" s="27">
        <v>0.02</v>
      </c>
      <c r="CB66" s="27">
        <v>6191.37</v>
      </c>
      <c r="CC66" s="27">
        <v>5849.01</v>
      </c>
      <c r="CD66" s="27">
        <v>5459.05</v>
      </c>
      <c r="CE66" s="27">
        <v>5216.5600000000004</v>
      </c>
      <c r="CF66" s="27">
        <v>4755.3</v>
      </c>
      <c r="CG66" s="27">
        <v>4137.04</v>
      </c>
      <c r="CH66" s="27">
        <v>3875.49</v>
      </c>
      <c r="CI66" s="27">
        <v>3780.39</v>
      </c>
      <c r="CJ66" s="27">
        <v>3661.51</v>
      </c>
      <c r="CK66" s="27">
        <v>5216.5600000000004</v>
      </c>
      <c r="CL66" s="27">
        <v>4850.43</v>
      </c>
      <c r="CM66" s="27">
        <v>4137.04</v>
      </c>
      <c r="CN66" s="27">
        <v>5107.2</v>
      </c>
      <c r="CO66" s="27"/>
      <c r="CP66" s="27"/>
      <c r="CQ66" s="27"/>
      <c r="CR66" s="27"/>
      <c r="CS66" s="27"/>
      <c r="CT66" s="27"/>
      <c r="CU66" s="27"/>
      <c r="CV66" s="27"/>
      <c r="CW66" s="27"/>
      <c r="CX66" s="27"/>
      <c r="CY66" s="27"/>
      <c r="CZ66" s="27"/>
      <c r="DA66" s="27"/>
      <c r="DB66" s="27"/>
      <c r="DC66" s="27"/>
      <c r="DD66" s="27"/>
      <c r="DE66" s="27"/>
      <c r="DF66" s="27"/>
      <c r="DG66" s="27"/>
      <c r="DH66" s="27"/>
      <c r="DI66" s="27"/>
      <c r="DJ66" s="27"/>
      <c r="DK66" s="27"/>
      <c r="DL66" s="27"/>
      <c r="DM66" s="27"/>
      <c r="DN66" s="27"/>
      <c r="DO66" s="27"/>
      <c r="DP66" s="27"/>
      <c r="DQ66" s="27"/>
      <c r="DR66" s="27"/>
      <c r="DS66" s="27"/>
      <c r="DT66" s="27"/>
    </row>
    <row r="67" spans="2:124" ht="9.75" customHeight="1" x14ac:dyDescent="0.2">
      <c r="B67" s="27"/>
      <c r="C67" s="27"/>
      <c r="D67" s="27"/>
      <c r="E67" s="27"/>
      <c r="F67" s="27"/>
      <c r="G67" s="27"/>
      <c r="H67" s="27"/>
      <c r="I67" s="27"/>
      <c r="J67" s="27"/>
      <c r="K67" s="27"/>
      <c r="L67" s="27"/>
      <c r="M67" s="27"/>
      <c r="N67" s="27"/>
      <c r="O67" s="27"/>
      <c r="P67" s="27"/>
      <c r="Q67" s="27"/>
      <c r="R67" s="27"/>
      <c r="S67" s="27"/>
      <c r="T67" s="27"/>
      <c r="U67" s="27"/>
      <c r="V67" s="27"/>
      <c r="W67" s="27"/>
      <c r="X67" s="27"/>
      <c r="Y67" s="27"/>
      <c r="Z67" s="27"/>
      <c r="AA67" s="27"/>
      <c r="AB67" s="27"/>
      <c r="AC67" s="27"/>
      <c r="AD67" s="27"/>
      <c r="AE67" s="27"/>
      <c r="AF67" s="27"/>
      <c r="AG67" s="27"/>
      <c r="AH67" s="27"/>
      <c r="AI67" s="27"/>
      <c r="AJ67" s="27"/>
      <c r="AK67" s="27"/>
      <c r="AL67" s="27"/>
      <c r="AM67" s="27"/>
      <c r="AN67" s="27"/>
      <c r="AO67" s="27"/>
      <c r="AP67" s="27"/>
      <c r="AQ67" s="27"/>
      <c r="AR67" s="27"/>
      <c r="AS67" s="27"/>
      <c r="AT67" s="27"/>
      <c r="AU67" s="27"/>
      <c r="AV67" s="27"/>
      <c r="AW67" s="27"/>
      <c r="AX67" s="27"/>
      <c r="AY67" s="27"/>
      <c r="AZ67" s="27"/>
      <c r="BA67" s="27"/>
      <c r="BB67" s="27"/>
      <c r="BC67" s="27"/>
      <c r="BD67" s="27"/>
      <c r="BE67" s="27"/>
      <c r="BF67" s="27" t="s">
        <v>437</v>
      </c>
      <c r="BG67" s="27" t="s">
        <v>115</v>
      </c>
      <c r="BH67" s="27"/>
      <c r="BI67" s="27"/>
      <c r="BJ67" s="27"/>
      <c r="BK67" s="27"/>
      <c r="BL67" s="27"/>
      <c r="BM67" s="27"/>
      <c r="BN67" s="27"/>
      <c r="BO67" s="27"/>
      <c r="BP67" s="27"/>
      <c r="BQ67" s="27"/>
      <c r="BR67" s="27"/>
      <c r="BS67" s="27"/>
      <c r="BT67" s="27"/>
      <c r="BU67" s="27"/>
      <c r="BV67" s="27"/>
      <c r="BW67" s="27"/>
      <c r="BX67" s="27"/>
      <c r="BY67" s="27"/>
      <c r="BZ67" s="27"/>
      <c r="CA67" s="27"/>
      <c r="CB67" s="27"/>
      <c r="CC67" s="27"/>
      <c r="CD67" s="27"/>
      <c r="CE67" s="27"/>
      <c r="CF67" s="27"/>
      <c r="CG67" s="27"/>
      <c r="CH67" s="27"/>
      <c r="CI67" s="27"/>
      <c r="CJ67" s="27"/>
      <c r="CK67" s="27"/>
      <c r="CL67" s="27"/>
      <c r="CM67" s="27"/>
      <c r="CN67" s="27"/>
      <c r="CO67" s="27"/>
      <c r="CP67" s="27"/>
      <c r="CQ67" s="27"/>
      <c r="CR67" s="27"/>
      <c r="CS67" s="27"/>
      <c r="CT67" s="27"/>
      <c r="CU67" s="27"/>
      <c r="CV67" s="27"/>
      <c r="CW67" s="27"/>
      <c r="CX67" s="27"/>
      <c r="CY67" s="27"/>
      <c r="CZ67" s="27"/>
      <c r="DA67" s="27"/>
      <c r="DB67" s="27"/>
      <c r="DC67" s="27"/>
      <c r="DD67" s="27"/>
      <c r="DE67" s="27"/>
      <c r="DF67" s="27"/>
      <c r="DG67" s="27"/>
      <c r="DH67" s="27"/>
      <c r="DI67" s="27"/>
      <c r="DJ67" s="27"/>
      <c r="DK67" s="27"/>
      <c r="DL67" s="27"/>
      <c r="DM67" s="27"/>
      <c r="DN67" s="27"/>
      <c r="DO67" s="27"/>
      <c r="DP67" s="27"/>
      <c r="DQ67" s="27"/>
      <c r="DR67" s="27"/>
      <c r="DS67" s="27"/>
      <c r="DT67" s="27"/>
    </row>
    <row r="68" spans="2:124" x14ac:dyDescent="0.2">
      <c r="B68" s="27"/>
      <c r="C68" s="27"/>
      <c r="D68" s="27"/>
      <c r="E68" s="27"/>
      <c r="F68" s="27"/>
      <c r="G68" s="27"/>
      <c r="H68" s="27"/>
      <c r="I68" s="27"/>
      <c r="J68" s="27"/>
      <c r="K68" s="27"/>
      <c r="L68" s="27"/>
      <c r="M68" s="27"/>
      <c r="N68" s="27"/>
      <c r="O68" s="27"/>
      <c r="P68" s="27"/>
      <c r="Q68" s="27"/>
      <c r="R68" s="27"/>
      <c r="S68" s="27"/>
      <c r="T68" s="27"/>
      <c r="U68" s="27"/>
      <c r="V68" s="27"/>
      <c r="W68" s="27"/>
      <c r="X68" s="27"/>
      <c r="Y68" s="27"/>
      <c r="Z68" s="27"/>
      <c r="AA68" s="27"/>
      <c r="AB68" s="27"/>
      <c r="AC68" s="27"/>
      <c r="AD68" s="27"/>
      <c r="AE68" s="27"/>
      <c r="AF68" s="27"/>
      <c r="AG68" s="27"/>
      <c r="AH68" s="27"/>
      <c r="AI68" s="27"/>
      <c r="AJ68" s="27"/>
      <c r="AK68" s="27"/>
      <c r="AL68" s="27"/>
      <c r="AM68" s="27"/>
      <c r="AN68" s="27"/>
      <c r="AO68" s="27"/>
      <c r="AP68" s="27"/>
      <c r="AQ68" s="27"/>
      <c r="AR68" s="27"/>
      <c r="AS68" s="27"/>
      <c r="AT68" s="27"/>
      <c r="AU68" s="27"/>
      <c r="AV68" s="27"/>
      <c r="AW68" s="27"/>
      <c r="AX68" s="27"/>
      <c r="AY68" s="27"/>
      <c r="AZ68" s="27"/>
      <c r="BA68" s="27"/>
      <c r="BB68" s="27"/>
      <c r="BC68" s="27"/>
      <c r="BD68" s="27"/>
      <c r="BE68" s="27"/>
      <c r="BF68" s="27" t="s">
        <v>438</v>
      </c>
      <c r="BG68" s="27">
        <v>0</v>
      </c>
      <c r="BH68" s="27"/>
      <c r="BI68" s="27"/>
      <c r="BJ68" s="27"/>
      <c r="BK68" s="27"/>
      <c r="BL68" s="27"/>
      <c r="BM68" s="27"/>
      <c r="BN68" s="27"/>
      <c r="BO68" s="27"/>
      <c r="BP68" s="27"/>
      <c r="BQ68" s="27"/>
      <c r="BR68" s="27"/>
      <c r="BS68" s="27"/>
      <c r="BT68" s="27"/>
      <c r="BU68" s="27"/>
      <c r="BV68" s="27"/>
      <c r="BW68" s="27"/>
      <c r="BX68" s="27"/>
      <c r="BY68" s="27"/>
      <c r="BZ68" s="27">
        <v>24</v>
      </c>
      <c r="CA68" s="27">
        <v>0.02</v>
      </c>
      <c r="CB68" s="27">
        <v>6315.19</v>
      </c>
      <c r="CC68" s="27">
        <v>5965.99</v>
      </c>
      <c r="CD68" s="27">
        <v>5568.23</v>
      </c>
      <c r="CE68" s="27">
        <v>5320.89</v>
      </c>
      <c r="CF68" s="27">
        <v>4850.3999999999996</v>
      </c>
      <c r="CG68" s="27">
        <v>4219.78</v>
      </c>
      <c r="CH68" s="27">
        <v>3952.99</v>
      </c>
      <c r="CI68" s="27">
        <v>3855.99</v>
      </c>
      <c r="CJ68" s="27">
        <v>3734.74</v>
      </c>
      <c r="CK68" s="27">
        <v>5320.89</v>
      </c>
      <c r="CL68" s="27">
        <v>4947.43</v>
      </c>
      <c r="CM68" s="27">
        <v>4219.78</v>
      </c>
      <c r="CN68" s="27">
        <v>5209.34</v>
      </c>
      <c r="CO68" s="27"/>
      <c r="CP68" s="27"/>
      <c r="CQ68" s="27"/>
      <c r="CR68" s="27"/>
      <c r="CS68" s="27"/>
      <c r="CT68" s="27"/>
      <c r="CU68" s="27"/>
      <c r="CV68" s="27"/>
      <c r="CW68" s="27"/>
      <c r="CX68" s="27"/>
      <c r="CY68" s="27"/>
      <c r="CZ68" s="27"/>
      <c r="DA68" s="27"/>
      <c r="DB68" s="27"/>
      <c r="DC68" s="27"/>
      <c r="DD68" s="27"/>
      <c r="DE68" s="27"/>
      <c r="DF68" s="27"/>
      <c r="DG68" s="27"/>
      <c r="DH68" s="27"/>
      <c r="DI68" s="27"/>
      <c r="DJ68" s="27"/>
      <c r="DK68" s="27"/>
      <c r="DL68" s="27"/>
      <c r="DM68" s="27"/>
      <c r="DN68" s="27"/>
      <c r="DO68" s="27"/>
      <c r="DP68" s="27"/>
      <c r="DQ68" s="27"/>
      <c r="DR68" s="27"/>
      <c r="DS68" s="27"/>
      <c r="DT68" s="27"/>
    </row>
    <row r="69" spans="2:124" ht="15.75" customHeight="1" x14ac:dyDescent="0.2">
      <c r="B69" s="27"/>
      <c r="C69" s="27"/>
      <c r="D69" s="27"/>
      <c r="E69" s="27"/>
      <c r="F69" s="27"/>
      <c r="G69" s="27"/>
      <c r="H69" s="27"/>
      <c r="I69" s="27"/>
      <c r="J69" s="27"/>
      <c r="K69" s="27"/>
      <c r="L69" s="27"/>
      <c r="M69" s="27"/>
      <c r="N69" s="27"/>
      <c r="O69" s="27">
        <v>952.99</v>
      </c>
      <c r="P69" s="27"/>
      <c r="Q69" s="27"/>
      <c r="R69" s="27"/>
      <c r="S69" s="27">
        <v>12700</v>
      </c>
      <c r="T69" s="27"/>
      <c r="U69" s="27"/>
      <c r="V69" s="27"/>
      <c r="W69" s="27" t="s">
        <v>407</v>
      </c>
      <c r="X69" s="27"/>
      <c r="Y69" s="27"/>
      <c r="Z69" s="27"/>
      <c r="AA69" s="27"/>
      <c r="AB69" s="27"/>
      <c r="AC69" s="27"/>
      <c r="AD69" s="27"/>
      <c r="AE69" s="27"/>
      <c r="AF69" s="27"/>
      <c r="AG69" s="27"/>
      <c r="AH69" s="27"/>
      <c r="AI69" s="27"/>
      <c r="AJ69" s="27"/>
      <c r="AK69" s="27"/>
      <c r="AL69" s="27"/>
      <c r="AM69" s="27"/>
      <c r="AN69" s="27"/>
      <c r="AO69" s="27"/>
      <c r="AP69" s="27"/>
      <c r="AQ69" s="27"/>
      <c r="AR69" s="27"/>
      <c r="AS69" s="27"/>
      <c r="AT69" s="27"/>
      <c r="AU69" s="27"/>
      <c r="AV69" s="27"/>
      <c r="AW69" s="27"/>
      <c r="AX69" s="27"/>
      <c r="AY69" s="27"/>
      <c r="AZ69" s="27"/>
      <c r="BA69" s="27"/>
      <c r="BB69" s="27"/>
      <c r="BC69" s="27"/>
      <c r="BD69" s="27"/>
      <c r="BE69" s="27"/>
      <c r="BF69" s="27" t="s">
        <v>439</v>
      </c>
      <c r="BG69" s="27">
        <v>0</v>
      </c>
      <c r="BH69" s="27"/>
      <c r="BI69" s="27"/>
      <c r="BJ69" s="27"/>
      <c r="BK69" s="27"/>
      <c r="BL69" s="27"/>
      <c r="BM69" s="27"/>
      <c r="BN69" s="27"/>
      <c r="BO69" s="27"/>
      <c r="BP69" s="27"/>
      <c r="BQ69" s="27"/>
      <c r="BR69" s="27"/>
      <c r="BS69" s="27"/>
      <c r="BT69" s="27"/>
      <c r="BU69" s="27"/>
      <c r="BV69" s="27"/>
      <c r="BW69" s="27"/>
      <c r="BX69" s="27"/>
      <c r="BY69" s="27"/>
      <c r="BZ69" s="27"/>
      <c r="CA69" s="27"/>
      <c r="CB69" s="27"/>
      <c r="CC69" s="27"/>
      <c r="CD69" s="27"/>
      <c r="CE69" s="27"/>
      <c r="CF69" s="27"/>
      <c r="CG69" s="27"/>
      <c r="CH69" s="27"/>
      <c r="CI69" s="27"/>
      <c r="CJ69" s="27"/>
      <c r="CK69" s="27"/>
      <c r="CL69" s="27"/>
      <c r="CM69" s="27"/>
      <c r="CN69" s="27"/>
      <c r="CO69" s="27"/>
      <c r="CP69" s="27"/>
      <c r="CQ69" s="27"/>
      <c r="CR69" s="27"/>
      <c r="CS69" s="27"/>
      <c r="CT69" s="27"/>
      <c r="CU69" s="27"/>
      <c r="CV69" s="27"/>
      <c r="CW69" s="27"/>
      <c r="CX69" s="27"/>
      <c r="CY69" s="27"/>
      <c r="CZ69" s="27"/>
      <c r="DA69" s="27"/>
      <c r="DB69" s="27"/>
      <c r="DC69" s="27"/>
      <c r="DD69" s="27"/>
      <c r="DE69" s="27"/>
      <c r="DF69" s="27"/>
      <c r="DG69" s="27"/>
      <c r="DH69" s="27"/>
      <c r="DI69" s="27"/>
      <c r="DJ69" s="27"/>
      <c r="DK69" s="27"/>
      <c r="DL69" s="27"/>
      <c r="DM69" s="27"/>
      <c r="DN69" s="27"/>
      <c r="DO69" s="27"/>
      <c r="DP69" s="27"/>
      <c r="DQ69" s="27"/>
      <c r="DR69" s="27"/>
      <c r="DS69" s="27"/>
      <c r="DT69" s="27"/>
    </row>
    <row r="70" spans="2:124" ht="22.5" customHeight="1" x14ac:dyDescent="0.2">
      <c r="B70" s="27"/>
      <c r="C70" s="27"/>
      <c r="D70" s="27"/>
      <c r="E70" s="27"/>
      <c r="F70" s="27"/>
      <c r="G70" s="27"/>
      <c r="H70" s="27"/>
      <c r="I70" s="27"/>
      <c r="J70" s="27"/>
      <c r="K70" s="27"/>
      <c r="L70" s="27"/>
      <c r="M70" s="27"/>
      <c r="N70" s="27"/>
      <c r="O70" s="27">
        <v>755</v>
      </c>
      <c r="P70" s="27"/>
      <c r="Q70" s="27"/>
      <c r="R70" s="27" t="s">
        <v>440</v>
      </c>
      <c r="S70" s="27">
        <f>VLOOKUP(S69,S72:S88,1,1)</f>
        <v>11552.402776248533</v>
      </c>
      <c r="T70" s="27"/>
      <c r="U70" s="27">
        <v>0.91154550000000001</v>
      </c>
      <c r="V70" s="27"/>
      <c r="W70" s="27"/>
      <c r="X70" s="27"/>
      <c r="Y70" s="27"/>
      <c r="Z70" s="27"/>
      <c r="AA70" s="27"/>
      <c r="AB70" s="27"/>
      <c r="AC70" s="27"/>
      <c r="AD70" s="27"/>
      <c r="AE70" s="27"/>
      <c r="AF70" s="27"/>
      <c r="AG70" s="27"/>
      <c r="AH70" s="27"/>
      <c r="AI70" s="27"/>
      <c r="AJ70" s="27"/>
      <c r="AK70" s="27"/>
      <c r="AL70" s="27"/>
      <c r="AM70" s="27"/>
      <c r="AN70" s="27"/>
      <c r="AO70" s="27"/>
      <c r="AP70" s="27"/>
      <c r="AQ70" s="27"/>
      <c r="AR70" s="27"/>
      <c r="AS70" s="27"/>
      <c r="AT70" s="27"/>
      <c r="AU70" s="27"/>
      <c r="AV70" s="27"/>
      <c r="AW70" s="27"/>
      <c r="AX70" s="27"/>
      <c r="AY70" s="27"/>
      <c r="AZ70" s="27"/>
      <c r="BA70" s="27"/>
      <c r="BB70" s="27"/>
      <c r="BC70" s="27"/>
      <c r="BD70" s="27"/>
      <c r="BE70" s="27"/>
      <c r="BF70" s="27" t="s">
        <v>441</v>
      </c>
      <c r="BG70" s="27">
        <v>0</v>
      </c>
      <c r="BH70" s="27"/>
      <c r="BI70" s="27"/>
      <c r="BJ70" s="27"/>
      <c r="BK70" s="27"/>
      <c r="BL70" s="27"/>
      <c r="BM70" s="27"/>
      <c r="BN70" s="27"/>
      <c r="BO70" s="27"/>
      <c r="BP70" s="27"/>
      <c r="BQ70" s="27"/>
      <c r="BR70" s="27"/>
      <c r="BS70" s="27"/>
      <c r="BT70" s="27"/>
      <c r="BU70" s="27"/>
      <c r="BV70" s="27"/>
      <c r="BW70" s="27"/>
      <c r="BX70" s="27"/>
      <c r="BY70" s="27"/>
      <c r="BZ70" s="27">
        <v>25</v>
      </c>
      <c r="CA70" s="27">
        <v>0.02</v>
      </c>
      <c r="CB70" s="27">
        <v>6441.49</v>
      </c>
      <c r="CC70" s="27">
        <v>6085.3</v>
      </c>
      <c r="CD70" s="27">
        <v>5679.59</v>
      </c>
      <c r="CE70" s="27">
        <v>5427.3</v>
      </c>
      <c r="CF70" s="27">
        <v>4947.3999999999996</v>
      </c>
      <c r="CG70" s="27">
        <v>4304.17</v>
      </c>
      <c r="CH70" s="27">
        <v>4032.04</v>
      </c>
      <c r="CI70" s="27">
        <v>3933.1</v>
      </c>
      <c r="CJ70" s="27">
        <v>3809.43</v>
      </c>
      <c r="CK70" s="27">
        <v>5427.3</v>
      </c>
      <c r="CL70" s="27">
        <v>5046.37</v>
      </c>
      <c r="CM70" s="27">
        <v>4304.17</v>
      </c>
      <c r="CN70" s="27">
        <v>5313.52</v>
      </c>
      <c r="CO70" s="27"/>
      <c r="CP70" s="27"/>
      <c r="CQ70" s="27"/>
      <c r="CR70" s="27"/>
      <c r="CS70" s="27"/>
      <c r="CT70" s="27"/>
      <c r="CU70" s="27"/>
      <c r="CV70" s="27"/>
      <c r="CW70" s="27"/>
      <c r="CX70" s="27"/>
      <c r="CY70" s="27"/>
      <c r="CZ70" s="27"/>
      <c r="DA70" s="27"/>
      <c r="DB70" s="27"/>
      <c r="DC70" s="27"/>
      <c r="DD70" s="27"/>
      <c r="DE70" s="27"/>
      <c r="DF70" s="27"/>
      <c r="DG70" s="27"/>
      <c r="DH70" s="27"/>
      <c r="DI70" s="27"/>
      <c r="DJ70" s="27"/>
      <c r="DK70" s="27"/>
      <c r="DL70" s="27"/>
      <c r="DM70" s="27"/>
      <c r="DN70" s="27"/>
      <c r="DO70" s="27"/>
      <c r="DP70" s="27"/>
      <c r="DQ70" s="27"/>
      <c r="DR70" s="27"/>
      <c r="DS70" s="27"/>
      <c r="DT70" s="27"/>
    </row>
    <row r="71" spans="2:124" ht="15.75" customHeight="1" x14ac:dyDescent="0.2">
      <c r="B71" s="27"/>
      <c r="C71" s="27"/>
      <c r="D71" s="27"/>
      <c r="E71" s="27"/>
      <c r="F71" s="27"/>
      <c r="G71" s="27"/>
      <c r="H71" s="27"/>
      <c r="I71" s="27"/>
      <c r="J71" s="27"/>
      <c r="K71" s="27"/>
      <c r="L71" s="27"/>
      <c r="M71" s="27"/>
      <c r="N71" s="27"/>
      <c r="O71" s="27">
        <v>714</v>
      </c>
      <c r="P71" s="27"/>
      <c r="Q71" s="27"/>
      <c r="R71" s="27" t="s">
        <v>442</v>
      </c>
      <c r="S71" s="27" t="s">
        <v>443</v>
      </c>
      <c r="T71" s="27" t="s">
        <v>9</v>
      </c>
      <c r="U71" s="27" t="s">
        <v>444</v>
      </c>
      <c r="V71" s="27" t="s">
        <v>445</v>
      </c>
      <c r="W71" s="27" t="s">
        <v>446</v>
      </c>
      <c r="X71" s="27">
        <v>1</v>
      </c>
      <c r="Y71" s="27"/>
      <c r="Z71" s="27"/>
      <c r="AA71" s="27"/>
      <c r="AB71" s="27"/>
      <c r="AC71" s="27"/>
      <c r="AD71" s="27"/>
      <c r="AE71" s="27"/>
      <c r="AF71" s="27"/>
      <c r="AG71" s="27"/>
      <c r="AH71" s="27"/>
      <c r="AI71" s="27"/>
      <c r="AJ71" s="27"/>
      <c r="AK71" s="27"/>
      <c r="AL71" s="27"/>
      <c r="AM71" s="27"/>
      <c r="AN71" s="27"/>
      <c r="AO71" s="27"/>
      <c r="AP71" s="27"/>
      <c r="AQ71" s="27"/>
      <c r="AR71" s="27"/>
      <c r="AS71" s="27"/>
      <c r="AT71" s="27"/>
      <c r="AU71" s="27"/>
      <c r="AV71" s="27"/>
      <c r="AW71" s="27"/>
      <c r="AX71" s="27"/>
      <c r="AY71" s="27"/>
      <c r="AZ71" s="27"/>
      <c r="BA71" s="27"/>
      <c r="BB71" s="27"/>
      <c r="BC71" s="27"/>
      <c r="BD71" s="27"/>
      <c r="BE71" s="27"/>
      <c r="BF71" s="27" t="s">
        <v>447</v>
      </c>
      <c r="BG71" s="27" t="s">
        <v>27</v>
      </c>
      <c r="BH71" s="27"/>
      <c r="BI71" s="27"/>
      <c r="BJ71" s="27"/>
      <c r="BK71" s="27"/>
      <c r="BL71" s="27"/>
      <c r="BM71" s="27"/>
      <c r="BN71" s="27"/>
      <c r="BO71" s="27"/>
      <c r="BP71" s="27"/>
      <c r="BQ71" s="27"/>
      <c r="BR71" s="27"/>
      <c r="BS71" s="27"/>
      <c r="BT71" s="27"/>
      <c r="BU71" s="27"/>
      <c r="BV71" s="27"/>
      <c r="BW71" s="27"/>
      <c r="BX71" s="27"/>
      <c r="BY71" s="27"/>
      <c r="BZ71" s="27"/>
      <c r="CA71" s="27"/>
      <c r="CB71" s="27"/>
      <c r="CC71" s="27"/>
      <c r="CD71" s="27"/>
      <c r="CE71" s="27"/>
      <c r="CF71" s="27"/>
      <c r="CG71" s="27"/>
      <c r="CH71" s="27"/>
      <c r="CI71" s="27"/>
      <c r="CJ71" s="27"/>
      <c r="CK71" s="27"/>
      <c r="CL71" s="27"/>
      <c r="CM71" s="27"/>
      <c r="CN71" s="27"/>
      <c r="CO71" s="27"/>
      <c r="CP71" s="27"/>
      <c r="CQ71" s="27"/>
      <c r="CR71" s="27"/>
      <c r="CS71" s="27"/>
      <c r="CT71" s="27"/>
      <c r="CU71" s="27"/>
      <c r="CV71" s="27"/>
      <c r="CW71" s="27"/>
      <c r="CX71" s="27"/>
      <c r="CY71" s="27"/>
      <c r="CZ71" s="27"/>
      <c r="DA71" s="27"/>
      <c r="DB71" s="27"/>
      <c r="DC71" s="27"/>
      <c r="DD71" s="27"/>
      <c r="DE71" s="27"/>
      <c r="DF71" s="27"/>
      <c r="DG71" s="27"/>
      <c r="DH71" s="27"/>
      <c r="DI71" s="27"/>
      <c r="DJ71" s="27"/>
      <c r="DK71" s="27"/>
      <c r="DL71" s="27"/>
      <c r="DM71" s="27"/>
      <c r="DN71" s="27"/>
      <c r="DO71" s="27"/>
      <c r="DP71" s="27"/>
      <c r="DQ71" s="27"/>
      <c r="DR71" s="27"/>
      <c r="DS71" s="27"/>
      <c r="DT71" s="27"/>
    </row>
    <row r="72" spans="2:124" ht="15.75" customHeight="1" x14ac:dyDescent="0.2">
      <c r="B72" s="27"/>
      <c r="C72" s="27"/>
      <c r="D72" s="27"/>
      <c r="E72" s="27"/>
      <c r="F72" s="27"/>
      <c r="G72" s="27"/>
      <c r="H72" s="27"/>
      <c r="I72" s="27"/>
      <c r="J72" s="27"/>
      <c r="K72" s="27"/>
      <c r="L72" s="27"/>
      <c r="M72" s="27"/>
      <c r="N72" s="27"/>
      <c r="O72" s="27">
        <v>628</v>
      </c>
      <c r="P72" s="27"/>
      <c r="Q72" s="27"/>
      <c r="R72" s="27">
        <f>IF(OR($C$5=$CB$16,$C$5=$CC$16),S72*1.05,S72)</f>
        <v>6300.0034374999996</v>
      </c>
      <c r="S72" s="27">
        <f>VLOOKUP(INT(W18),ofek4,1+2,FALSE)</f>
        <v>6300.0034374999996</v>
      </c>
      <c r="T72" s="27">
        <f>S72*0.75</f>
        <v>4725.0025781249997</v>
      </c>
      <c r="U72" s="27">
        <f t="shared" ref="U72:U88" si="5">T72*$U$70</f>
        <v>4307.0548375782419</v>
      </c>
      <c r="V72" s="27">
        <f t="shared" ref="V72:V88" si="6">U72*$S$64</f>
        <v>3747.0515675963188</v>
      </c>
      <c r="W72" s="27">
        <f>BG60</f>
        <v>6</v>
      </c>
      <c r="X72" s="27">
        <v>1.5</v>
      </c>
      <c r="Y72" s="27"/>
      <c r="Z72" s="27"/>
      <c r="AA72" s="27"/>
      <c r="AB72" s="27"/>
      <c r="AC72" s="27"/>
      <c r="AD72" s="27"/>
      <c r="AE72" s="27"/>
      <c r="AF72" s="27"/>
      <c r="AG72" s="27"/>
      <c r="AH72" s="27"/>
      <c r="AI72" s="27"/>
      <c r="AJ72" s="27"/>
      <c r="AK72" s="27"/>
      <c r="AL72" s="27"/>
      <c r="AM72" s="27"/>
      <c r="AN72" s="27"/>
      <c r="AO72" s="27"/>
      <c r="AP72" s="27"/>
      <c r="AQ72" s="27"/>
      <c r="AR72" s="27"/>
      <c r="AS72" s="27"/>
      <c r="AT72" s="27"/>
      <c r="AU72" s="27"/>
      <c r="AV72" s="27"/>
      <c r="AW72" s="27"/>
      <c r="AX72" s="27"/>
      <c r="AY72" s="27"/>
      <c r="AZ72" s="27"/>
      <c r="BA72" s="27"/>
      <c r="BB72" s="27"/>
      <c r="BC72" s="27"/>
      <c r="BD72" s="27"/>
      <c r="BE72" s="27"/>
      <c r="BF72" s="27" t="s">
        <v>251</v>
      </c>
      <c r="BG72" s="27">
        <v>0</v>
      </c>
      <c r="BH72" s="27"/>
      <c r="BI72" s="27"/>
      <c r="BJ72" s="27"/>
      <c r="BK72" s="27"/>
      <c r="BL72" s="27"/>
      <c r="BM72" s="27"/>
      <c r="BN72" s="27"/>
      <c r="BO72" s="27"/>
      <c r="BP72" s="27"/>
      <c r="BQ72" s="27"/>
      <c r="BR72" s="27"/>
      <c r="BS72" s="27"/>
      <c r="BT72" s="27"/>
      <c r="BU72" s="27"/>
      <c r="BV72" s="27"/>
      <c r="BW72" s="27"/>
      <c r="BX72" s="27"/>
      <c r="BY72" s="27"/>
      <c r="BZ72" s="27">
        <v>26</v>
      </c>
      <c r="CA72" s="27">
        <v>0.01</v>
      </c>
      <c r="CB72" s="27">
        <v>6505.9</v>
      </c>
      <c r="CC72" s="27">
        <v>6146.15</v>
      </c>
      <c r="CD72" s="27">
        <v>5736.38</v>
      </c>
      <c r="CE72" s="27">
        <v>5481.57</v>
      </c>
      <c r="CF72" s="27">
        <v>4996.87</v>
      </c>
      <c r="CG72" s="27">
        <v>4347.21</v>
      </c>
      <c r="CH72" s="27">
        <v>4072.36</v>
      </c>
      <c r="CI72" s="27">
        <v>3972.43</v>
      </c>
      <c r="CJ72" s="27">
        <v>3847.52</v>
      </c>
      <c r="CK72" s="27">
        <v>5481.57</v>
      </c>
      <c r="CL72" s="27">
        <v>5096.83</v>
      </c>
      <c r="CM72" s="27">
        <v>4347.21</v>
      </c>
      <c r="CN72" s="27">
        <v>5366.65</v>
      </c>
      <c r="CO72" s="27"/>
      <c r="CP72" s="27"/>
      <c r="CQ72" s="27"/>
      <c r="CR72" s="27"/>
      <c r="CS72" s="27"/>
      <c r="CT72" s="27"/>
      <c r="CU72" s="27"/>
      <c r="CV72" s="27"/>
      <c r="CW72" s="27"/>
      <c r="CX72" s="27"/>
      <c r="CY72" s="27"/>
      <c r="CZ72" s="27"/>
      <c r="DA72" s="27"/>
      <c r="DB72" s="27"/>
      <c r="DC72" s="27"/>
      <c r="DD72" s="27"/>
      <c r="DE72" s="27"/>
      <c r="DF72" s="27"/>
      <c r="DG72" s="27"/>
      <c r="DH72" s="27"/>
      <c r="DI72" s="27"/>
      <c r="DJ72" s="27"/>
      <c r="DK72" s="27"/>
      <c r="DL72" s="27"/>
      <c r="DM72" s="27"/>
      <c r="DN72" s="27"/>
      <c r="DO72" s="27"/>
      <c r="DP72" s="27"/>
      <c r="DQ72" s="27"/>
      <c r="DR72" s="27"/>
      <c r="DS72" s="27"/>
      <c r="DT72" s="27"/>
    </row>
    <row r="73" spans="2:124" ht="15.75" customHeight="1" x14ac:dyDescent="0.2">
      <c r="B73" s="27"/>
      <c r="C73" s="27"/>
      <c r="D73" s="27"/>
      <c r="E73" s="27"/>
      <c r="F73" s="27"/>
      <c r="G73" s="27"/>
      <c r="H73" s="27"/>
      <c r="I73" s="27"/>
      <c r="J73" s="27"/>
      <c r="K73" s="27"/>
      <c r="L73" s="27"/>
      <c r="M73" s="27"/>
      <c r="N73" s="27"/>
      <c r="O73" s="27">
        <v>543</v>
      </c>
      <c r="P73" s="27"/>
      <c r="Q73" s="27"/>
      <c r="R73" s="27">
        <f>R72*1.0375</f>
        <v>6536.2535664062498</v>
      </c>
      <c r="S73" s="27">
        <f>S72*1.0375</f>
        <v>6536.2535664062498</v>
      </c>
      <c r="T73" s="27">
        <f t="shared" ref="T73:T88" si="7">S73*0.75</f>
        <v>4902.1901748046876</v>
      </c>
      <c r="U73" s="27">
        <f t="shared" si="5"/>
        <v>4468.5693939874263</v>
      </c>
      <c r="V73" s="27">
        <f t="shared" si="6"/>
        <v>3887.5660013811812</v>
      </c>
      <c r="W73" s="27" t="e">
        <f>INT(Q10)</f>
        <v>#REF!</v>
      </c>
      <c r="X73" s="27">
        <v>2</v>
      </c>
      <c r="Y73" s="27"/>
      <c r="Z73" s="27"/>
      <c r="AA73" s="27"/>
      <c r="AB73" s="27"/>
      <c r="AC73" s="27"/>
      <c r="AD73" s="27"/>
      <c r="AE73" s="27"/>
      <c r="AF73" s="27"/>
      <c r="AG73" s="27"/>
      <c r="AH73" s="27"/>
      <c r="AI73" s="27"/>
      <c r="AJ73" s="27"/>
      <c r="AK73" s="27"/>
      <c r="AL73" s="27"/>
      <c r="AM73" s="27"/>
      <c r="AN73" s="27"/>
      <c r="AO73" s="27"/>
      <c r="AP73" s="27"/>
      <c r="AQ73" s="27"/>
      <c r="AR73" s="27"/>
      <c r="AS73" s="27"/>
      <c r="AT73" s="27"/>
      <c r="AU73" s="27"/>
      <c r="AV73" s="27"/>
      <c r="AW73" s="27"/>
      <c r="AX73" s="27"/>
      <c r="AY73" s="27"/>
      <c r="AZ73" s="27"/>
      <c r="BA73" s="27"/>
      <c r="BB73" s="27"/>
      <c r="BC73" s="27"/>
      <c r="BD73" s="27"/>
      <c r="BE73" s="27"/>
      <c r="BF73" s="27" t="s">
        <v>376</v>
      </c>
      <c r="BG73" s="27">
        <v>0</v>
      </c>
      <c r="BH73" s="27"/>
      <c r="BI73" s="27"/>
      <c r="BJ73" s="27"/>
      <c r="BK73" s="27"/>
      <c r="BL73" s="27"/>
      <c r="BM73" s="27"/>
      <c r="BN73" s="27"/>
      <c r="BO73" s="27"/>
      <c r="BP73" s="27"/>
      <c r="BQ73" s="27"/>
      <c r="BR73" s="27"/>
      <c r="BS73" s="27"/>
      <c r="BT73" s="27"/>
      <c r="BU73" s="27"/>
      <c r="BV73" s="27"/>
      <c r="BW73" s="27"/>
      <c r="BX73" s="27"/>
      <c r="BY73" s="27"/>
      <c r="BZ73" s="27"/>
      <c r="CA73" s="27"/>
      <c r="CB73" s="27"/>
      <c r="CC73" s="27"/>
      <c r="CD73" s="27"/>
      <c r="CE73" s="27"/>
      <c r="CF73" s="27"/>
      <c r="CG73" s="27"/>
      <c r="CH73" s="27"/>
      <c r="CI73" s="27"/>
      <c r="CJ73" s="27"/>
      <c r="CK73" s="27"/>
      <c r="CL73" s="27"/>
      <c r="CM73" s="27"/>
      <c r="CN73" s="27"/>
      <c r="CO73" s="27"/>
      <c r="CP73" s="27"/>
      <c r="CQ73" s="27"/>
      <c r="CR73" s="27"/>
      <c r="CS73" s="27"/>
      <c r="CT73" s="27"/>
      <c r="CU73" s="27"/>
      <c r="CV73" s="27"/>
      <c r="CW73" s="27"/>
      <c r="CX73" s="27"/>
      <c r="CY73" s="27"/>
      <c r="CZ73" s="27"/>
      <c r="DA73" s="27"/>
      <c r="DB73" s="27"/>
      <c r="DC73" s="27"/>
      <c r="DD73" s="27"/>
      <c r="DE73" s="27"/>
      <c r="DF73" s="27"/>
      <c r="DG73" s="27"/>
      <c r="DH73" s="27"/>
      <c r="DI73" s="27"/>
      <c r="DJ73" s="27"/>
      <c r="DK73" s="27"/>
      <c r="DL73" s="27"/>
      <c r="DM73" s="27"/>
      <c r="DN73" s="27"/>
      <c r="DO73" s="27"/>
      <c r="DP73" s="27"/>
      <c r="DQ73" s="27"/>
      <c r="DR73" s="27"/>
      <c r="DS73" s="27"/>
      <c r="DT73" s="27"/>
    </row>
    <row r="74" spans="2:124" ht="15.75" customHeight="1" x14ac:dyDescent="0.2">
      <c r="B74" s="27"/>
      <c r="C74" s="27"/>
      <c r="D74" s="27"/>
      <c r="E74" s="27"/>
      <c r="F74" s="27"/>
      <c r="G74" s="27"/>
      <c r="H74" s="27"/>
      <c r="I74" s="27" t="s">
        <v>448</v>
      </c>
      <c r="J74" s="27"/>
      <c r="K74" s="27"/>
      <c r="L74" s="27"/>
      <c r="M74" s="27"/>
      <c r="N74" s="27"/>
      <c r="O74" s="27">
        <v>543</v>
      </c>
      <c r="P74" s="27"/>
      <c r="Q74" s="27"/>
      <c r="R74" s="27">
        <f>IF(OR($C$5=$CB$16,$C$5=$CC$16),S74*1.05,S74)</f>
        <v>6772.5036953124991</v>
      </c>
      <c r="S74" s="27">
        <f>VLOOKUP(INT(W18),ofek4,2+2,FALSE)</f>
        <v>6772.5036953124991</v>
      </c>
      <c r="T74" s="27">
        <f t="shared" si="7"/>
        <v>5079.3777714843745</v>
      </c>
      <c r="U74" s="27">
        <f t="shared" si="5"/>
        <v>4630.0839503966099</v>
      </c>
      <c r="V74" s="27">
        <f t="shared" si="6"/>
        <v>4028.0804351660427</v>
      </c>
      <c r="W74" s="27"/>
      <c r="X74" s="27">
        <v>2.5</v>
      </c>
      <c r="Y74" s="27"/>
      <c r="Z74" s="27"/>
      <c r="AA74" s="27"/>
      <c r="AB74" s="27"/>
      <c r="AC74" s="27"/>
      <c r="AD74" s="27"/>
      <c r="AE74" s="27"/>
      <c r="AF74" s="27"/>
      <c r="AG74" s="27"/>
      <c r="AH74" s="27"/>
      <c r="AI74" s="27"/>
      <c r="AJ74" s="27"/>
      <c r="AK74" s="27"/>
      <c r="AL74" s="27"/>
      <c r="AM74" s="27"/>
      <c r="AN74" s="27"/>
      <c r="AO74" s="27"/>
      <c r="AP74" s="27"/>
      <c r="AQ74" s="27"/>
      <c r="AR74" s="27"/>
      <c r="AS74" s="27"/>
      <c r="AT74" s="27"/>
      <c r="AU74" s="27"/>
      <c r="AV74" s="27"/>
      <c r="AW74" s="27"/>
      <c r="AX74" s="27"/>
      <c r="AY74" s="27"/>
      <c r="AZ74" s="27"/>
      <c r="BA74" s="27"/>
      <c r="BB74" s="27"/>
      <c r="BC74" s="27"/>
      <c r="BD74" s="27"/>
      <c r="BE74" s="27"/>
      <c r="BF74" s="27" t="str">
        <f>IF(BG74&lt;0,"ימי מחלה לפדיון","יתרת ימי מחלה")</f>
        <v>יתרת ימי מחלה</v>
      </c>
      <c r="BG74" s="27">
        <v>0</v>
      </c>
      <c r="BH74" s="27"/>
      <c r="BI74" s="27"/>
      <c r="BJ74" s="27"/>
      <c r="BK74" s="27"/>
      <c r="BL74" s="27"/>
      <c r="BM74" s="27"/>
      <c r="BN74" s="27"/>
      <c r="BO74" s="27"/>
      <c r="BP74" s="27"/>
      <c r="BQ74" s="27"/>
      <c r="BR74" s="27"/>
      <c r="BS74" s="27"/>
      <c r="BT74" s="27"/>
      <c r="BU74" s="27"/>
      <c r="BV74" s="27"/>
      <c r="BW74" s="27"/>
      <c r="BX74" s="27"/>
      <c r="BY74" s="27"/>
      <c r="BZ74" s="27">
        <v>27</v>
      </c>
      <c r="CA74" s="27">
        <v>0.01</v>
      </c>
      <c r="CB74" s="27">
        <v>6570.95</v>
      </c>
      <c r="CC74" s="27">
        <v>6207.61</v>
      </c>
      <c r="CD74" s="27">
        <v>5793.74</v>
      </c>
      <c r="CE74" s="27">
        <v>5536.38</v>
      </c>
      <c r="CF74" s="27">
        <v>5046.83</v>
      </c>
      <c r="CG74" s="27">
        <v>4390.68</v>
      </c>
      <c r="CH74" s="27">
        <v>4113.08</v>
      </c>
      <c r="CI74" s="27">
        <v>4012.15</v>
      </c>
      <c r="CJ74" s="27">
        <v>3885.99</v>
      </c>
      <c r="CK74" s="27">
        <v>5536.38</v>
      </c>
      <c r="CL74" s="27">
        <v>5147.79</v>
      </c>
      <c r="CM74" s="27">
        <v>4390.68</v>
      </c>
      <c r="CN74" s="27">
        <v>5420.31</v>
      </c>
      <c r="CO74" s="27"/>
      <c r="CP74" s="27"/>
      <c r="CQ74" s="27"/>
      <c r="CR74" s="27"/>
      <c r="CS74" s="27"/>
      <c r="CT74" s="27"/>
      <c r="CU74" s="27"/>
      <c r="CV74" s="27"/>
      <c r="CW74" s="27"/>
      <c r="CX74" s="27"/>
      <c r="CY74" s="27"/>
      <c r="CZ74" s="27"/>
      <c r="DA74" s="27"/>
      <c r="DB74" s="27"/>
      <c r="DC74" s="27"/>
      <c r="DD74" s="27"/>
      <c r="DE74" s="27"/>
      <c r="DF74" s="27"/>
      <c r="DG74" s="27"/>
      <c r="DH74" s="27"/>
      <c r="DI74" s="27"/>
      <c r="DJ74" s="27"/>
      <c r="DK74" s="27"/>
      <c r="DL74" s="27"/>
      <c r="DM74" s="27"/>
      <c r="DN74" s="27"/>
      <c r="DO74" s="27"/>
      <c r="DP74" s="27"/>
      <c r="DQ74" s="27"/>
      <c r="DR74" s="27"/>
      <c r="DS74" s="27"/>
      <c r="DT74" s="27"/>
    </row>
    <row r="75" spans="2:124" ht="21" customHeight="1" x14ac:dyDescent="0.2">
      <c r="B75" s="27"/>
      <c r="C75" s="27"/>
      <c r="D75" s="27"/>
      <c r="E75" s="27"/>
      <c r="F75" s="27"/>
      <c r="G75" s="27"/>
      <c r="H75" s="27"/>
      <c r="I75" s="27">
        <f>C25+D25+E25</f>
        <v>1</v>
      </c>
      <c r="J75" s="27"/>
      <c r="K75" s="27">
        <f>D25*0.1</f>
        <v>0</v>
      </c>
      <c r="L75" s="27">
        <f>E25*1</f>
        <v>0</v>
      </c>
      <c r="M75" s="27"/>
      <c r="N75" s="27"/>
      <c r="O75" s="27">
        <v>543</v>
      </c>
      <c r="P75" s="27"/>
      <c r="Q75" s="27"/>
      <c r="R75" s="27">
        <f>R74*1.0375</f>
        <v>7026.472583886718</v>
      </c>
      <c r="S75" s="27">
        <f>S74*1.0375</f>
        <v>7026.472583886718</v>
      </c>
      <c r="T75" s="27">
        <f t="shared" si="7"/>
        <v>5269.8544379150389</v>
      </c>
      <c r="U75" s="27">
        <f t="shared" si="5"/>
        <v>4803.7120985364836</v>
      </c>
      <c r="V75" s="27">
        <f t="shared" si="6"/>
        <v>4179.1334514847695</v>
      </c>
      <c r="W75" s="27"/>
      <c r="X75" s="27">
        <v>3</v>
      </c>
      <c r="Y75" s="27"/>
      <c r="Z75" s="27"/>
      <c r="AA75" s="27"/>
      <c r="AB75" s="27"/>
      <c r="AC75" s="27"/>
      <c r="AD75" s="27"/>
      <c r="AE75" s="27"/>
      <c r="AF75" s="27"/>
      <c r="AG75" s="27"/>
      <c r="AH75" s="27"/>
      <c r="AI75" s="27"/>
      <c r="AJ75" s="27"/>
      <c r="AK75" s="27"/>
      <c r="AL75" s="27"/>
      <c r="AM75" s="27"/>
      <c r="AN75" s="27"/>
      <c r="AO75" s="27"/>
      <c r="AP75" s="27"/>
      <c r="AQ75" s="27"/>
      <c r="AR75" s="27"/>
      <c r="AS75" s="27"/>
      <c r="AT75" s="27"/>
      <c r="AU75" s="27"/>
      <c r="AV75" s="27"/>
      <c r="AW75" s="27"/>
      <c r="AX75" s="27"/>
      <c r="AY75" s="27"/>
      <c r="AZ75" s="27"/>
      <c r="BA75" s="27"/>
      <c r="BB75" s="27"/>
      <c r="BC75" s="27"/>
      <c r="BD75" s="27"/>
      <c r="BE75" s="27"/>
      <c r="BF75" s="27" t="str">
        <f>IF(BG75&lt;0,"ימי חופש לפדיון","יתרת ימי חופש")</f>
        <v>יתרת ימי חופש</v>
      </c>
      <c r="BG75" s="27">
        <v>0</v>
      </c>
      <c r="BH75" s="27"/>
      <c r="BI75" s="27"/>
      <c r="BJ75" s="27"/>
      <c r="BK75" s="27"/>
      <c r="BL75" s="27"/>
      <c r="BM75" s="27"/>
      <c r="BN75" s="27"/>
      <c r="BO75" s="27"/>
      <c r="BP75" s="27"/>
      <c r="BQ75" s="27"/>
      <c r="BR75" s="27"/>
      <c r="BS75" s="27"/>
      <c r="BT75" s="27"/>
      <c r="BU75" s="27"/>
      <c r="BV75" s="27"/>
      <c r="BW75" s="27"/>
      <c r="BX75" s="27"/>
      <c r="BY75" s="27"/>
      <c r="BZ75" s="27"/>
      <c r="CA75" s="27"/>
      <c r="CB75" s="27"/>
      <c r="CC75" s="27"/>
      <c r="CD75" s="27"/>
      <c r="CE75" s="27"/>
      <c r="CF75" s="27"/>
      <c r="CG75" s="27"/>
      <c r="CH75" s="27"/>
      <c r="CI75" s="27"/>
      <c r="CJ75" s="27"/>
      <c r="CK75" s="27"/>
      <c r="CL75" s="27"/>
      <c r="CM75" s="27"/>
      <c r="CN75" s="27"/>
      <c r="CO75" s="27"/>
      <c r="CP75" s="27"/>
      <c r="CQ75" s="27"/>
      <c r="CR75" s="27"/>
      <c r="CS75" s="27"/>
      <c r="CT75" s="27"/>
      <c r="CU75" s="27"/>
      <c r="CV75" s="27"/>
      <c r="CW75" s="27"/>
      <c r="CX75" s="27"/>
      <c r="CY75" s="27"/>
      <c r="CZ75" s="27"/>
      <c r="DA75" s="27"/>
      <c r="DB75" s="27"/>
      <c r="DC75" s="27"/>
      <c r="DD75" s="27"/>
      <c r="DE75" s="27"/>
      <c r="DF75" s="27"/>
      <c r="DG75" s="27"/>
      <c r="DH75" s="27"/>
      <c r="DI75" s="27"/>
      <c r="DJ75" s="27"/>
      <c r="DK75" s="27"/>
      <c r="DL75" s="27"/>
      <c r="DM75" s="27"/>
      <c r="DN75" s="27"/>
      <c r="DO75" s="27"/>
      <c r="DP75" s="27"/>
      <c r="DQ75" s="27"/>
      <c r="DR75" s="27"/>
      <c r="DS75" s="27"/>
      <c r="DT75" s="27"/>
    </row>
    <row r="76" spans="2:124" ht="15.75" customHeight="1" x14ac:dyDescent="0.2">
      <c r="B76" s="27"/>
      <c r="C76" s="27"/>
      <c r="D76" s="27"/>
      <c r="E76" s="27"/>
      <c r="F76" s="27"/>
      <c r="G76" s="27"/>
      <c r="H76" s="27"/>
      <c r="I76" s="27"/>
      <c r="J76" s="27"/>
      <c r="K76" s="27"/>
      <c r="L76" s="27"/>
      <c r="M76" s="27"/>
      <c r="N76" s="27"/>
      <c r="O76" s="27">
        <v>543</v>
      </c>
      <c r="P76" s="27"/>
      <c r="Q76" s="27"/>
      <c r="R76" s="27">
        <f>IF(OR($C$5=$CB$16,$C$5=$CC$16),S76*1.05,S76)</f>
        <v>7280.441472460936</v>
      </c>
      <c r="S76" s="27">
        <f>VLOOKUP(INT(W18),ofek4,3+2,FALSE)</f>
        <v>7280.441472460936</v>
      </c>
      <c r="T76" s="27">
        <f t="shared" si="7"/>
        <v>5460.3311043457015</v>
      </c>
      <c r="U76" s="27">
        <f t="shared" si="5"/>
        <v>4977.3402466763546</v>
      </c>
      <c r="V76" s="27">
        <f t="shared" si="6"/>
        <v>4330.1864678034945</v>
      </c>
      <c r="W76" s="27"/>
      <c r="X76" s="27">
        <v>3.5</v>
      </c>
      <c r="Y76" s="27"/>
      <c r="Z76" s="27"/>
      <c r="AA76" s="27"/>
      <c r="AB76" s="27"/>
      <c r="AC76" s="27"/>
      <c r="AD76" s="27"/>
      <c r="AE76" s="27"/>
      <c r="AF76" s="27"/>
      <c r="AG76" s="27"/>
      <c r="AH76" s="27"/>
      <c r="AI76" s="27"/>
      <c r="AJ76" s="27"/>
      <c r="AK76" s="27"/>
      <c r="AL76" s="27"/>
      <c r="AM76" s="27"/>
      <c r="AN76" s="27"/>
      <c r="AO76" s="27"/>
      <c r="AP76" s="27"/>
      <c r="AQ76" s="27"/>
      <c r="AR76" s="27"/>
      <c r="AS76" s="27"/>
      <c r="AT76" s="27"/>
      <c r="AU76" s="27"/>
      <c r="AV76" s="27"/>
      <c r="AW76" s="27"/>
      <c r="AX76" s="27"/>
      <c r="AY76" s="27"/>
      <c r="AZ76" s="27"/>
      <c r="BA76" s="27"/>
      <c r="BB76" s="27"/>
      <c r="BC76" s="27"/>
      <c r="BD76" s="27"/>
      <c r="BE76" s="27"/>
      <c r="BF76" s="27" t="s">
        <v>449</v>
      </c>
      <c r="BG76" s="27">
        <v>2.75</v>
      </c>
      <c r="BH76" s="27"/>
      <c r="BI76" s="27"/>
      <c r="BJ76" s="27"/>
      <c r="BK76" s="27"/>
      <c r="BL76" s="27"/>
      <c r="BM76" s="27"/>
      <c r="BN76" s="27"/>
      <c r="BO76" s="27"/>
      <c r="BP76" s="27"/>
      <c r="BQ76" s="27"/>
      <c r="BR76" s="27"/>
      <c r="BS76" s="27"/>
      <c r="BT76" s="27"/>
      <c r="BU76" s="27"/>
      <c r="BV76" s="27"/>
      <c r="BW76" s="27"/>
      <c r="BX76" s="27"/>
      <c r="BY76" s="27"/>
      <c r="BZ76" s="27">
        <v>28</v>
      </c>
      <c r="CA76" s="27">
        <v>0.01</v>
      </c>
      <c r="CB76" s="27">
        <v>6636.65</v>
      </c>
      <c r="CC76" s="27">
        <v>6269.68</v>
      </c>
      <c r="CD76" s="27">
        <v>5851.67</v>
      </c>
      <c r="CE76" s="27">
        <v>5591.74</v>
      </c>
      <c r="CF76" s="27">
        <v>5097.29</v>
      </c>
      <c r="CG76" s="27">
        <v>4434.58</v>
      </c>
      <c r="CH76" s="27">
        <v>4154.21</v>
      </c>
      <c r="CI76" s="27">
        <v>4052.27</v>
      </c>
      <c r="CJ76" s="27">
        <v>3924.84</v>
      </c>
      <c r="CK76" s="27">
        <v>5591.74</v>
      </c>
      <c r="CL76" s="27">
        <v>5199.26</v>
      </c>
      <c r="CM76" s="27">
        <v>4434.58</v>
      </c>
      <c r="CN76" s="27">
        <v>5474.51</v>
      </c>
      <c r="CO76" s="27"/>
      <c r="CP76" s="27"/>
      <c r="CQ76" s="27"/>
      <c r="CR76" s="27"/>
      <c r="CS76" s="27"/>
      <c r="CT76" s="27"/>
      <c r="CU76" s="27"/>
      <c r="CV76" s="27"/>
      <c r="CW76" s="27"/>
      <c r="CX76" s="27"/>
      <c r="CY76" s="27"/>
      <c r="CZ76" s="27"/>
      <c r="DA76" s="27"/>
      <c r="DB76" s="27"/>
      <c r="DC76" s="27"/>
      <c r="DD76" s="27"/>
      <c r="DE76" s="27"/>
      <c r="DF76" s="27"/>
      <c r="DG76" s="27"/>
      <c r="DH76" s="27"/>
      <c r="DI76" s="27"/>
      <c r="DJ76" s="27"/>
      <c r="DK76" s="27"/>
      <c r="DL76" s="27"/>
      <c r="DM76" s="27"/>
      <c r="DN76" s="27"/>
      <c r="DO76" s="27"/>
      <c r="DP76" s="27"/>
      <c r="DQ76" s="27"/>
      <c r="DR76" s="27"/>
      <c r="DS76" s="27"/>
      <c r="DT76" s="27"/>
    </row>
    <row r="77" spans="2:124" ht="15.75" customHeight="1" x14ac:dyDescent="0.2">
      <c r="B77" s="27"/>
      <c r="C77" s="27"/>
      <c r="D77" s="27"/>
      <c r="E77" s="27"/>
      <c r="F77" s="27"/>
      <c r="G77" s="27"/>
      <c r="H77" s="27"/>
      <c r="I77" s="27"/>
      <c r="J77" s="27"/>
      <c r="K77" s="27">
        <f>I75+K75+L75</f>
        <v>1</v>
      </c>
      <c r="L77" s="27"/>
      <c r="M77" s="27"/>
      <c r="N77" s="27"/>
      <c r="O77" s="27">
        <v>543</v>
      </c>
      <c r="P77" s="27"/>
      <c r="Q77" s="27"/>
      <c r="R77" s="27">
        <f>R76*1.0375</f>
        <v>7553.4580276782217</v>
      </c>
      <c r="S77" s="27">
        <f>S76*1.0375</f>
        <v>7553.4580276782217</v>
      </c>
      <c r="T77" s="27">
        <f t="shared" si="7"/>
        <v>5665.0935207586663</v>
      </c>
      <c r="U77" s="27">
        <f t="shared" si="5"/>
        <v>5163.9905059267185</v>
      </c>
      <c r="V77" s="27">
        <f t="shared" si="6"/>
        <v>4492.5684603461268</v>
      </c>
      <c r="W77" s="27"/>
      <c r="X77" s="27">
        <v>4</v>
      </c>
      <c r="Y77" s="27"/>
      <c r="Z77" s="27"/>
      <c r="AA77" s="27"/>
      <c r="AB77" s="27"/>
      <c r="AC77" s="27"/>
      <c r="AD77" s="27"/>
      <c r="AE77" s="27"/>
      <c r="AF77" s="27"/>
      <c r="AG77" s="27"/>
      <c r="AH77" s="27"/>
      <c r="AI77" s="27"/>
      <c r="AJ77" s="27"/>
      <c r="AK77" s="27"/>
      <c r="AL77" s="27"/>
      <c r="AM77" s="27"/>
      <c r="AN77" s="27"/>
      <c r="AO77" s="27"/>
      <c r="AP77" s="27"/>
      <c r="AQ77" s="27"/>
      <c r="AR77" s="27"/>
      <c r="AS77" s="27"/>
      <c r="AT77" s="27"/>
      <c r="AU77" s="27"/>
      <c r="AV77" s="27"/>
      <c r="AW77" s="27"/>
      <c r="AX77" s="27"/>
      <c r="AY77" s="27"/>
      <c r="AZ77" s="27"/>
      <c r="BA77" s="27"/>
      <c r="BB77" s="27"/>
      <c r="BC77" s="27"/>
      <c r="BD77" s="27"/>
      <c r="BE77" s="27"/>
      <c r="BF77" s="27" t="s">
        <v>451</v>
      </c>
      <c r="BG77" s="27">
        <v>138000</v>
      </c>
      <c r="BH77" s="27"/>
      <c r="BI77" s="27"/>
      <c r="BJ77" s="27"/>
      <c r="BK77" s="27"/>
      <c r="BL77" s="27"/>
      <c r="BM77" s="27"/>
      <c r="BN77" s="27"/>
      <c r="BO77" s="27"/>
      <c r="BP77" s="27"/>
      <c r="BQ77" s="27"/>
      <c r="BR77" s="27"/>
      <c r="BS77" s="27"/>
      <c r="BT77" s="27"/>
      <c r="BU77" s="27"/>
      <c r="BV77" s="27"/>
      <c r="BW77" s="27"/>
      <c r="BX77" s="27"/>
      <c r="BY77" s="27"/>
      <c r="BZ77" s="27"/>
      <c r="CA77" s="27"/>
      <c r="CB77" s="27"/>
      <c r="CC77" s="27"/>
      <c r="CD77" s="27"/>
      <c r="CE77" s="27"/>
      <c r="CF77" s="27"/>
      <c r="CG77" s="27"/>
      <c r="CH77" s="27"/>
      <c r="CI77" s="27"/>
      <c r="CJ77" s="27"/>
      <c r="CK77" s="27"/>
      <c r="CL77" s="27"/>
      <c r="CM77" s="27"/>
      <c r="CN77" s="27"/>
      <c r="CO77" s="27"/>
      <c r="CP77" s="27"/>
      <c r="CQ77" s="27"/>
      <c r="CR77" s="27"/>
      <c r="CS77" s="27"/>
      <c r="CT77" s="27"/>
      <c r="CU77" s="27"/>
      <c r="CV77" s="27"/>
      <c r="CW77" s="27"/>
      <c r="CX77" s="27"/>
      <c r="CY77" s="27"/>
      <c r="CZ77" s="27"/>
      <c r="DA77" s="27"/>
      <c r="DB77" s="27"/>
      <c r="DC77" s="27"/>
      <c r="DD77" s="27"/>
      <c r="DE77" s="27"/>
      <c r="DF77" s="27"/>
      <c r="DG77" s="27"/>
      <c r="DH77" s="27"/>
      <c r="DI77" s="27"/>
      <c r="DJ77" s="27"/>
      <c r="DK77" s="27"/>
      <c r="DL77" s="27"/>
      <c r="DM77" s="27"/>
      <c r="DN77" s="27"/>
      <c r="DO77" s="27"/>
      <c r="DP77" s="27"/>
      <c r="DQ77" s="27"/>
      <c r="DR77" s="27"/>
      <c r="DS77" s="27"/>
      <c r="DT77" s="27"/>
    </row>
    <row r="78" spans="2:124" ht="15.75" customHeight="1" x14ac:dyDescent="0.2">
      <c r="B78" s="27"/>
      <c r="C78" s="27"/>
      <c r="D78" s="27"/>
      <c r="E78" s="27"/>
      <c r="F78" s="27"/>
      <c r="G78" s="27"/>
      <c r="H78" s="27"/>
      <c r="I78" s="27"/>
      <c r="J78" s="27"/>
      <c r="K78" s="27"/>
      <c r="L78" s="27"/>
      <c r="M78" s="27"/>
      <c r="N78" s="27"/>
      <c r="O78" s="27">
        <v>543</v>
      </c>
      <c r="P78" s="27"/>
      <c r="Q78" s="27"/>
      <c r="R78" s="27">
        <f>IF(OR($C$5=$CB$16,$C$5=$CC$16),S78*1.05,S78)</f>
        <v>7826.4745828955056</v>
      </c>
      <c r="S78" s="27">
        <f>VLOOKUP(INT(W18),ofek4,4+2,FALSE)</f>
        <v>7826.4745828955056</v>
      </c>
      <c r="T78" s="27">
        <f t="shared" si="7"/>
        <v>5869.8559371716292</v>
      </c>
      <c r="U78" s="27">
        <f t="shared" si="5"/>
        <v>5350.6407651770814</v>
      </c>
      <c r="V78" s="27">
        <f t="shared" si="6"/>
        <v>4654.9504528887574</v>
      </c>
      <c r="W78" s="27">
        <f>INT(BG73)</f>
        <v>0</v>
      </c>
      <c r="X78" s="27">
        <v>4.5</v>
      </c>
      <c r="Y78" s="27"/>
      <c r="Z78" s="27"/>
      <c r="AA78" s="27"/>
      <c r="AB78" s="27"/>
      <c r="AC78" s="27"/>
      <c r="AD78" s="27"/>
      <c r="AE78" s="27"/>
      <c r="AF78" s="27"/>
      <c r="AG78" s="27"/>
      <c r="AH78" s="27"/>
      <c r="AI78" s="27"/>
      <c r="AJ78" s="27"/>
      <c r="AK78" s="27"/>
      <c r="AL78" s="27"/>
      <c r="AM78" s="27"/>
      <c r="AN78" s="27"/>
      <c r="AO78" s="27"/>
      <c r="AP78" s="27"/>
      <c r="AQ78" s="27"/>
      <c r="AR78" s="27"/>
      <c r="AS78" s="27"/>
      <c r="AT78" s="27"/>
      <c r="AU78" s="27"/>
      <c r="AV78" s="27"/>
      <c r="AW78" s="27"/>
      <c r="AX78" s="27"/>
      <c r="AY78" s="27"/>
      <c r="AZ78" s="27"/>
      <c r="BA78" s="27"/>
      <c r="BB78" s="27"/>
      <c r="BC78" s="27"/>
      <c r="BD78" s="27"/>
      <c r="BE78" s="27"/>
      <c r="BF78" s="27"/>
      <c r="BG78" s="27"/>
      <c r="BH78" s="27"/>
      <c r="BI78" s="27"/>
      <c r="BJ78" s="27"/>
      <c r="BK78" s="27"/>
      <c r="BL78" s="27"/>
      <c r="BM78" s="27"/>
      <c r="BN78" s="27"/>
      <c r="BO78" s="27"/>
      <c r="BP78" s="27"/>
      <c r="BQ78" s="27"/>
      <c r="BR78" s="27"/>
      <c r="BS78" s="27"/>
      <c r="BT78" s="27"/>
      <c r="BU78" s="27"/>
      <c r="BV78" s="27"/>
      <c r="BW78" s="27"/>
      <c r="BX78" s="27"/>
      <c r="BY78" s="27"/>
      <c r="BZ78" s="27">
        <v>29</v>
      </c>
      <c r="CA78" s="27">
        <v>0.01</v>
      </c>
      <c r="CB78" s="27">
        <v>6703.01</v>
      </c>
      <c r="CC78" s="27">
        <v>6332.37</v>
      </c>
      <c r="CD78" s="27">
        <v>5910.18</v>
      </c>
      <c r="CE78" s="27">
        <v>5647.65</v>
      </c>
      <c r="CF78" s="27">
        <v>5148.26</v>
      </c>
      <c r="CG78" s="27">
        <v>4478.92</v>
      </c>
      <c r="CH78" s="27">
        <v>4195.75</v>
      </c>
      <c r="CI78" s="27">
        <v>4092.79</v>
      </c>
      <c r="CJ78" s="27">
        <v>3964.08</v>
      </c>
      <c r="CK78" s="27">
        <v>5647.65</v>
      </c>
      <c r="CL78" s="27">
        <v>5251.25</v>
      </c>
      <c r="CM78" s="27">
        <v>4478.92</v>
      </c>
      <c r="CN78" s="27">
        <v>5529.25</v>
      </c>
      <c r="CO78" s="27"/>
      <c r="CP78" s="27"/>
      <c r="CQ78" s="27"/>
      <c r="CR78" s="27"/>
      <c r="CS78" s="27"/>
      <c r="CT78" s="27"/>
      <c r="CU78" s="27"/>
      <c r="CV78" s="27"/>
      <c r="CW78" s="27"/>
      <c r="CX78" s="27"/>
      <c r="CY78" s="27"/>
      <c r="CZ78" s="27"/>
      <c r="DA78" s="27"/>
      <c r="DB78" s="27"/>
      <c r="DC78" s="27"/>
      <c r="DD78" s="27"/>
      <c r="DE78" s="27"/>
      <c r="DF78" s="27"/>
      <c r="DG78" s="27"/>
      <c r="DH78" s="27"/>
      <c r="DI78" s="27"/>
      <c r="DJ78" s="27"/>
      <c r="DK78" s="27"/>
      <c r="DL78" s="27"/>
      <c r="DM78" s="27"/>
      <c r="DN78" s="27"/>
      <c r="DO78" s="27"/>
      <c r="DP78" s="27"/>
      <c r="DQ78" s="27"/>
      <c r="DR78" s="27"/>
      <c r="DS78" s="27"/>
      <c r="DT78" s="27"/>
    </row>
    <row r="79" spans="2:124" ht="15.75" customHeight="1" x14ac:dyDescent="0.2">
      <c r="B79" s="27"/>
      <c r="C79" s="27"/>
      <c r="D79" s="27"/>
      <c r="E79" s="27"/>
      <c r="F79" s="27"/>
      <c r="G79" s="27"/>
      <c r="H79" s="27"/>
      <c r="I79" s="27"/>
      <c r="J79" s="27"/>
      <c r="K79" s="27"/>
      <c r="L79" s="27"/>
      <c r="M79" s="27"/>
      <c r="N79" s="27"/>
      <c r="O79" s="27">
        <v>543</v>
      </c>
      <c r="P79" s="27"/>
      <c r="Q79" s="27"/>
      <c r="R79" s="27">
        <f>R78*1.0375</f>
        <v>8119.9673797540881</v>
      </c>
      <c r="S79" s="27">
        <f>S78*1.0375</f>
        <v>8119.9673797540881</v>
      </c>
      <c r="T79" s="27">
        <f t="shared" si="7"/>
        <v>6089.9755348155659</v>
      </c>
      <c r="U79" s="27">
        <f t="shared" si="5"/>
        <v>5551.2897938712222</v>
      </c>
      <c r="V79" s="27">
        <f t="shared" si="6"/>
        <v>4829.5110948720858</v>
      </c>
      <c r="W79" s="27">
        <f>INT(Q16)</f>
        <v>0</v>
      </c>
      <c r="X79" s="27">
        <v>5</v>
      </c>
      <c r="Y79" s="27"/>
      <c r="Z79" s="27"/>
      <c r="AA79" s="27"/>
      <c r="AB79" s="27"/>
      <c r="AC79" s="27"/>
      <c r="AD79" s="27"/>
      <c r="AE79" s="27"/>
      <c r="AF79" s="27"/>
      <c r="AG79" s="27"/>
      <c r="AH79" s="27"/>
      <c r="AI79" s="27"/>
      <c r="AJ79" s="27"/>
      <c r="AK79" s="27"/>
      <c r="AL79" s="27"/>
      <c r="AM79" s="27"/>
      <c r="AN79" s="27"/>
      <c r="AO79" s="27"/>
      <c r="AP79" s="27"/>
      <c r="AQ79" s="27"/>
      <c r="AR79" s="27"/>
      <c r="AS79" s="27"/>
      <c r="AT79" s="27"/>
      <c r="AU79" s="27"/>
      <c r="AV79" s="27"/>
      <c r="AW79" s="27"/>
      <c r="AX79" s="27"/>
      <c r="AY79" s="27"/>
      <c r="AZ79" s="27"/>
      <c r="BA79" s="27"/>
      <c r="BB79" s="27"/>
      <c r="BC79" s="27"/>
      <c r="BD79" s="27"/>
      <c r="BE79" s="27"/>
      <c r="BF79" s="27"/>
      <c r="BG79" s="27"/>
      <c r="BH79" s="27"/>
      <c r="BI79" s="27"/>
      <c r="BJ79" s="27"/>
      <c r="BK79" s="27"/>
      <c r="BL79" s="27"/>
      <c r="BM79" s="27"/>
      <c r="BN79" s="27"/>
      <c r="BO79" s="27"/>
      <c r="BP79" s="27"/>
      <c r="BQ79" s="27"/>
      <c r="BR79" s="27"/>
      <c r="BS79" s="27"/>
      <c r="BT79" s="27"/>
      <c r="BU79" s="27"/>
      <c r="BV79" s="27"/>
      <c r="BW79" s="27"/>
      <c r="BX79" s="27"/>
      <c r="BY79" s="27"/>
      <c r="BZ79" s="27"/>
      <c r="CA79" s="27"/>
      <c r="CB79" s="27"/>
      <c r="CC79" s="27"/>
      <c r="CD79" s="27"/>
      <c r="CE79" s="27"/>
      <c r="CF79" s="27"/>
      <c r="CG79" s="27"/>
      <c r="CH79" s="27"/>
      <c r="CI79" s="27"/>
      <c r="CJ79" s="27"/>
      <c r="CK79" s="27"/>
      <c r="CL79" s="27"/>
      <c r="CM79" s="27"/>
      <c r="CN79" s="27"/>
      <c r="CO79" s="27"/>
      <c r="CP79" s="27"/>
      <c r="CQ79" s="27"/>
      <c r="CR79" s="27"/>
      <c r="CS79" s="27"/>
      <c r="CT79" s="27"/>
      <c r="CU79" s="27"/>
      <c r="CV79" s="27"/>
      <c r="CW79" s="27"/>
      <c r="CX79" s="27"/>
      <c r="CY79" s="27"/>
      <c r="CZ79" s="27"/>
      <c r="DA79" s="27"/>
      <c r="DB79" s="27"/>
      <c r="DC79" s="27"/>
      <c r="DD79" s="27"/>
      <c r="DE79" s="27"/>
      <c r="DF79" s="27"/>
      <c r="DG79" s="27"/>
      <c r="DH79" s="27"/>
      <c r="DI79" s="27"/>
      <c r="DJ79" s="27"/>
      <c r="DK79" s="27"/>
      <c r="DL79" s="27"/>
      <c r="DM79" s="27"/>
      <c r="DN79" s="27"/>
      <c r="DO79" s="27"/>
      <c r="DP79" s="27"/>
      <c r="DQ79" s="27"/>
      <c r="DR79" s="27"/>
      <c r="DS79" s="27"/>
      <c r="DT79" s="27"/>
    </row>
    <row r="80" spans="2:124" ht="15.75" customHeight="1" x14ac:dyDescent="0.2">
      <c r="B80" s="27"/>
      <c r="C80" s="27"/>
      <c r="D80" s="27"/>
      <c r="E80" s="27"/>
      <c r="F80" s="27"/>
      <c r="G80" s="27"/>
      <c r="H80" s="27"/>
      <c r="I80" s="27"/>
      <c r="J80" s="27"/>
      <c r="K80" s="27"/>
      <c r="L80" s="27"/>
      <c r="M80" s="27" t="s">
        <v>453</v>
      </c>
      <c r="N80" s="27"/>
      <c r="O80" s="27">
        <v>543</v>
      </c>
      <c r="P80" s="27"/>
      <c r="Q80" s="27"/>
      <c r="R80" s="27">
        <f>IF(OR($C$5=$CB$16,$C$5=$CC$16),S80*1.05,S80)</f>
        <v>8413.4601766126689</v>
      </c>
      <c r="S80" s="27">
        <f>VLOOKUP(INT(W18),ofek4,5+2,FALSE)</f>
        <v>8413.4601766126689</v>
      </c>
      <c r="T80" s="27">
        <f t="shared" si="7"/>
        <v>6310.0951324595017</v>
      </c>
      <c r="U80" s="27">
        <f t="shared" si="5"/>
        <v>5751.9388225653629</v>
      </c>
      <c r="V80" s="27">
        <f t="shared" si="6"/>
        <v>5004.0717368554142</v>
      </c>
      <c r="W80" s="27">
        <f>INT(BG66)</f>
        <v>0</v>
      </c>
      <c r="X80" s="27">
        <v>5.5</v>
      </c>
      <c r="Y80" s="27"/>
      <c r="Z80" s="27"/>
      <c r="AA80" s="27"/>
      <c r="AB80" s="27"/>
      <c r="AC80" s="27"/>
      <c r="AD80" s="27"/>
      <c r="AE80" s="27"/>
      <c r="AF80" s="27"/>
      <c r="AG80" s="27"/>
      <c r="AH80" s="27"/>
      <c r="AI80" s="27"/>
      <c r="AJ80" s="27"/>
      <c r="AK80" s="27"/>
      <c r="AL80" s="27"/>
      <c r="AM80" s="27"/>
      <c r="AN80" s="27"/>
      <c r="AO80" s="27"/>
      <c r="AP80" s="27"/>
      <c r="AQ80" s="27"/>
      <c r="AR80" s="27"/>
      <c r="AS80" s="27"/>
      <c r="AT80" s="27"/>
      <c r="AU80" s="27"/>
      <c r="AV80" s="27"/>
      <c r="AW80" s="27"/>
      <c r="AX80" s="27"/>
      <c r="AY80" s="27"/>
      <c r="AZ80" s="27"/>
      <c r="BA80" s="27"/>
      <c r="BB80" s="27"/>
      <c r="BC80" s="27"/>
      <c r="BD80" s="27"/>
      <c r="BE80" s="27"/>
      <c r="BF80" s="27"/>
      <c r="BG80" s="27"/>
      <c r="BH80" s="27"/>
      <c r="BI80" s="27"/>
      <c r="BJ80" s="27"/>
      <c r="BK80" s="27"/>
      <c r="BL80" s="27"/>
      <c r="BM80" s="27"/>
      <c r="BN80" s="27"/>
      <c r="BO80" s="27"/>
      <c r="BP80" s="27"/>
      <c r="BQ80" s="27"/>
      <c r="BR80" s="27"/>
      <c r="BS80" s="27"/>
      <c r="BT80" s="27"/>
      <c r="BU80" s="27"/>
      <c r="BV80" s="27"/>
      <c r="BW80" s="27"/>
      <c r="BX80" s="27"/>
      <c r="BY80" s="27"/>
      <c r="BZ80" s="27">
        <v>30</v>
      </c>
      <c r="CA80" s="27">
        <v>0.01</v>
      </c>
      <c r="CB80" s="27">
        <v>6770.04</v>
      </c>
      <c r="CC80" s="27">
        <v>6395.69</v>
      </c>
      <c r="CD80" s="27">
        <v>5969.28</v>
      </c>
      <c r="CE80" s="27">
        <v>5704.12</v>
      </c>
      <c r="CF80" s="27">
        <v>5199.74</v>
      </c>
      <c r="CG80" s="27">
        <v>4523.7</v>
      </c>
      <c r="CH80" s="27">
        <v>4237.7</v>
      </c>
      <c r="CI80" s="27">
        <v>4133.71</v>
      </c>
      <c r="CJ80" s="27">
        <v>4003.72</v>
      </c>
      <c r="CK80" s="27">
        <v>5704.12</v>
      </c>
      <c r="CL80" s="27">
        <v>5303.76</v>
      </c>
      <c r="CM80" s="27">
        <v>4523.7</v>
      </c>
      <c r="CN80" s="27">
        <v>5584.54</v>
      </c>
      <c r="CO80" s="27"/>
      <c r="CP80" s="27"/>
      <c r="CQ80" s="27"/>
      <c r="CR80" s="27"/>
      <c r="CS80" s="27"/>
      <c r="CT80" s="27"/>
      <c r="CU80" s="27"/>
      <c r="CV80" s="27"/>
      <c r="CW80" s="27"/>
      <c r="CX80" s="27"/>
      <c r="CY80" s="27"/>
      <c r="CZ80" s="27"/>
      <c r="DA80" s="27"/>
      <c r="DB80" s="27"/>
      <c r="DC80" s="27"/>
      <c r="DD80" s="27"/>
      <c r="DE80" s="27"/>
      <c r="DF80" s="27"/>
      <c r="DG80" s="27"/>
      <c r="DH80" s="27"/>
      <c r="DI80" s="27"/>
      <c r="DJ80" s="27"/>
      <c r="DK80" s="27"/>
      <c r="DL80" s="27"/>
      <c r="DM80" s="27"/>
      <c r="DN80" s="27"/>
      <c r="DO80" s="27"/>
      <c r="DP80" s="27"/>
      <c r="DQ80" s="27"/>
      <c r="DR80" s="27"/>
      <c r="DS80" s="27"/>
      <c r="DT80" s="27"/>
    </row>
    <row r="81" spans="1:124" ht="15.75" customHeight="1" x14ac:dyDescent="0.2">
      <c r="B81" s="27"/>
      <c r="C81" s="27"/>
      <c r="D81" s="27"/>
      <c r="E81" s="27"/>
      <c r="F81" s="27"/>
      <c r="G81" s="27"/>
      <c r="H81" s="27"/>
      <c r="I81" s="27"/>
      <c r="J81" s="27"/>
      <c r="K81" s="27"/>
      <c r="L81" s="27"/>
      <c r="M81" s="27" t="s">
        <v>278</v>
      </c>
      <c r="N81" s="27" t="str">
        <f>W18&amp;"  שנות הוראה  "</f>
        <v xml:space="preserve">1  שנות הוראה  </v>
      </c>
      <c r="O81" s="27">
        <v>543</v>
      </c>
      <c r="P81" s="27"/>
      <c r="Q81" s="27"/>
      <c r="R81" s="27">
        <f>R80*1.0375</f>
        <v>8728.9649332356439</v>
      </c>
      <c r="S81" s="27">
        <f>S80*1.0375</f>
        <v>8728.9649332356439</v>
      </c>
      <c r="T81" s="27">
        <f t="shared" si="7"/>
        <v>6546.7236999267334</v>
      </c>
      <c r="U81" s="27">
        <f t="shared" si="5"/>
        <v>5967.6365284115645</v>
      </c>
      <c r="V81" s="27">
        <f t="shared" si="6"/>
        <v>5191.7244269874927</v>
      </c>
      <c r="W81" s="27" t="e">
        <f>INT(Q19)</f>
        <v>#REF!</v>
      </c>
      <c r="X81" s="27">
        <v>6</v>
      </c>
      <c r="Y81" s="27"/>
      <c r="Z81" s="27"/>
      <c r="AA81" s="27"/>
      <c r="AB81" s="27"/>
      <c r="AC81" s="27"/>
      <c r="AD81" s="27"/>
      <c r="AE81" s="27"/>
      <c r="AF81" s="27"/>
      <c r="AG81" s="27"/>
      <c r="AH81" s="27"/>
      <c r="AI81" s="27"/>
      <c r="AJ81" s="27"/>
      <c r="AK81" s="27"/>
      <c r="AL81" s="27"/>
      <c r="AM81" s="27"/>
      <c r="AN81" s="27"/>
      <c r="AO81" s="27"/>
      <c r="AP81" s="27"/>
      <c r="AQ81" s="27"/>
      <c r="AR81" s="27"/>
      <c r="AS81" s="27"/>
      <c r="AT81" s="27"/>
      <c r="AU81" s="27"/>
      <c r="AV81" s="27"/>
      <c r="AW81" s="27"/>
      <c r="AX81" s="27"/>
      <c r="AY81" s="27"/>
      <c r="AZ81" s="27"/>
      <c r="BA81" s="27"/>
      <c r="BB81" s="27"/>
      <c r="BC81" s="27"/>
      <c r="BD81" s="27"/>
      <c r="BE81" s="27"/>
      <c r="BF81" s="27"/>
      <c r="BG81" s="27"/>
      <c r="BH81" s="27"/>
      <c r="BI81" s="27"/>
      <c r="BJ81" s="27"/>
      <c r="BK81" s="27"/>
      <c r="BL81" s="27"/>
      <c r="BM81" s="27"/>
      <c r="BN81" s="27"/>
      <c r="BO81" s="27"/>
      <c r="BP81" s="27"/>
      <c r="BQ81" s="27"/>
      <c r="BR81" s="27"/>
      <c r="BS81" s="27"/>
      <c r="BT81" s="27"/>
      <c r="BU81" s="27"/>
      <c r="BV81" s="27"/>
      <c r="BW81" s="27"/>
      <c r="BX81" s="27"/>
      <c r="BY81" s="27"/>
      <c r="BZ81" s="27"/>
      <c r="CA81" s="27"/>
      <c r="CB81" s="27"/>
      <c r="CC81" s="27"/>
      <c r="CD81" s="27"/>
      <c r="CE81" s="27"/>
      <c r="CF81" s="27"/>
      <c r="CG81" s="27"/>
      <c r="CH81" s="27"/>
      <c r="CI81" s="27"/>
      <c r="CJ81" s="27"/>
      <c r="CK81" s="27"/>
      <c r="CL81" s="27"/>
      <c r="CM81" s="27"/>
      <c r="CN81" s="27"/>
      <c r="CO81" s="27"/>
      <c r="CP81" s="27"/>
      <c r="CQ81" s="27"/>
      <c r="CR81" s="27"/>
      <c r="CS81" s="27"/>
      <c r="CT81" s="27"/>
      <c r="CU81" s="27"/>
      <c r="CV81" s="27"/>
      <c r="CW81" s="27"/>
      <c r="CX81" s="27"/>
      <c r="CY81" s="27"/>
      <c r="CZ81" s="27"/>
      <c r="DA81" s="27"/>
      <c r="DB81" s="27"/>
      <c r="DC81" s="27"/>
      <c r="DD81" s="27"/>
      <c r="DE81" s="27"/>
      <c r="DF81" s="27"/>
      <c r="DG81" s="27"/>
      <c r="DH81" s="27"/>
      <c r="DI81" s="27"/>
      <c r="DJ81" s="27"/>
      <c r="DK81" s="27"/>
      <c r="DL81" s="27"/>
      <c r="DM81" s="27"/>
      <c r="DN81" s="27"/>
      <c r="DO81" s="27"/>
      <c r="DP81" s="27"/>
      <c r="DQ81" s="27"/>
      <c r="DR81" s="27"/>
      <c r="DS81" s="27"/>
      <c r="DT81" s="27"/>
    </row>
    <row r="82" spans="1:124" ht="15.75" customHeight="1" x14ac:dyDescent="0.2">
      <c r="B82" s="27"/>
      <c r="C82" s="27"/>
      <c r="D82" s="27"/>
      <c r="E82" s="27"/>
      <c r="F82" s="27"/>
      <c r="G82" s="27"/>
      <c r="H82" s="27"/>
      <c r="I82" s="27"/>
      <c r="J82" s="27"/>
      <c r="K82" s="27"/>
      <c r="L82" s="27"/>
      <c r="M82" s="27">
        <v>1</v>
      </c>
      <c r="N82" s="27">
        <f t="shared" ref="N82:N98" si="8">IF($C$5=$CB$16,R72*1.05,IF($C$5=$CE$16,T72,IF($C$5=$CF$16,U72,IF(OR($C$5=$CC$16,$C$5=$CD$16),S72,U72*$S$64))))</f>
        <v>6300.0034374999996</v>
      </c>
      <c r="O82" s="27"/>
      <c r="P82" s="27"/>
      <c r="Q82" s="27"/>
      <c r="R82" s="27">
        <f>IF(OR($C$5=$CB$16,$C$5=$CC$16),S82*1.05,S82)</f>
        <v>9044.4696898586189</v>
      </c>
      <c r="S82" s="27">
        <f>VLOOKUP(INT(W18),ofek4,6+2,FALSE)</f>
        <v>9044.4696898586189</v>
      </c>
      <c r="T82" s="27">
        <f t="shared" si="7"/>
        <v>6783.3522673939642</v>
      </c>
      <c r="U82" s="27">
        <f t="shared" si="5"/>
        <v>6183.3342342577653</v>
      </c>
      <c r="V82" s="27">
        <f t="shared" si="6"/>
        <v>5379.3771171195704</v>
      </c>
      <c r="W82" s="27" t="e">
        <f>INT(Q20)</f>
        <v>#REF!</v>
      </c>
      <c r="X82" s="27">
        <v>6.5</v>
      </c>
      <c r="Y82" s="27"/>
      <c r="Z82" s="27"/>
      <c r="AA82" s="27"/>
      <c r="AB82" s="27"/>
      <c r="AC82" s="27"/>
      <c r="AD82" s="27"/>
      <c r="AE82" s="27"/>
      <c r="AF82" s="27"/>
      <c r="AG82" s="27"/>
      <c r="AH82" s="27"/>
      <c r="AI82" s="27"/>
      <c r="AJ82" s="27"/>
      <c r="AK82" s="27"/>
      <c r="AL82" s="27"/>
      <c r="AM82" s="27"/>
      <c r="AN82" s="27"/>
      <c r="AO82" s="27"/>
      <c r="AP82" s="27"/>
      <c r="AQ82" s="27"/>
      <c r="AR82" s="27"/>
      <c r="AS82" s="27"/>
      <c r="AT82" s="27"/>
      <c r="AU82" s="27"/>
      <c r="AV82" s="27"/>
      <c r="AW82" s="27"/>
      <c r="AX82" s="27"/>
      <c r="AY82" s="27"/>
      <c r="AZ82" s="27"/>
      <c r="BA82" s="27"/>
      <c r="BB82" s="27"/>
      <c r="BC82" s="27"/>
      <c r="BD82" s="27"/>
      <c r="BE82" s="27"/>
      <c r="BF82" s="27"/>
      <c r="BG82" s="27"/>
      <c r="BH82" s="27"/>
      <c r="BI82" s="27"/>
      <c r="BJ82" s="27"/>
      <c r="BK82" s="27"/>
      <c r="BL82" s="27"/>
      <c r="BM82" s="27"/>
      <c r="BN82" s="27"/>
      <c r="BO82" s="27"/>
      <c r="BP82" s="27"/>
      <c r="BQ82" s="27"/>
      <c r="BR82" s="27"/>
      <c r="BS82" s="27"/>
      <c r="BT82" s="27"/>
      <c r="BU82" s="27"/>
      <c r="BV82" s="27"/>
      <c r="BW82" s="27"/>
      <c r="BX82" s="27"/>
      <c r="BY82" s="27"/>
      <c r="BZ82" s="27">
        <v>31</v>
      </c>
      <c r="CA82" s="27">
        <v>0.01</v>
      </c>
      <c r="CB82" s="27">
        <v>6837.74</v>
      </c>
      <c r="CC82" s="27">
        <v>6459.64</v>
      </c>
      <c r="CD82" s="27">
        <v>6028.97</v>
      </c>
      <c r="CE82" s="27">
        <v>5761.16</v>
      </c>
      <c r="CF82" s="27">
        <v>5251.73</v>
      </c>
      <c r="CG82" s="27">
        <v>4568.93</v>
      </c>
      <c r="CH82" s="27">
        <v>4280.07</v>
      </c>
      <c r="CI82" s="27">
        <v>4175.04</v>
      </c>
      <c r="CJ82" s="27">
        <v>4043.75</v>
      </c>
      <c r="CK82" s="27">
        <v>5761.16</v>
      </c>
      <c r="CL82" s="27">
        <v>5356.79</v>
      </c>
      <c r="CM82" s="27">
        <v>4568.93</v>
      </c>
      <c r="CN82" s="27">
        <v>5640.38</v>
      </c>
      <c r="CO82" s="27"/>
      <c r="CP82" s="27"/>
      <c r="CQ82" s="27"/>
      <c r="CR82" s="27"/>
      <c r="CS82" s="27"/>
      <c r="CT82" s="27"/>
      <c r="CU82" s="27"/>
      <c r="CV82" s="27"/>
      <c r="CW82" s="27"/>
      <c r="CX82" s="27"/>
      <c r="CY82" s="27"/>
      <c r="CZ82" s="27"/>
      <c r="DA82" s="27"/>
      <c r="DB82" s="27"/>
      <c r="DC82" s="27"/>
      <c r="DD82" s="27"/>
      <c r="DE82" s="27"/>
      <c r="DF82" s="27"/>
      <c r="DG82" s="27"/>
      <c r="DH82" s="27"/>
      <c r="DI82" s="27"/>
      <c r="DJ82" s="27"/>
      <c r="DK82" s="27"/>
      <c r="DL82" s="27"/>
      <c r="DM82" s="27"/>
      <c r="DN82" s="27"/>
      <c r="DO82" s="27"/>
      <c r="DP82" s="27"/>
      <c r="DQ82" s="27"/>
      <c r="DR82" s="27"/>
      <c r="DS82" s="27"/>
      <c r="DT82" s="27"/>
    </row>
    <row r="83" spans="1:124" ht="15.75" customHeight="1" x14ac:dyDescent="0.2">
      <c r="B83" s="27"/>
      <c r="C83" s="27"/>
      <c r="D83" s="27"/>
      <c r="E83" s="27"/>
      <c r="F83" s="27"/>
      <c r="G83" s="27"/>
      <c r="H83" s="27"/>
      <c r="I83" s="27"/>
      <c r="J83" s="27"/>
      <c r="K83" s="27"/>
      <c r="L83" s="27"/>
      <c r="M83" s="27">
        <v>1.5</v>
      </c>
      <c r="N83" s="27">
        <f t="shared" si="8"/>
        <v>6536.2535664062498</v>
      </c>
      <c r="O83" s="27"/>
      <c r="P83" s="27"/>
      <c r="Q83" s="27"/>
      <c r="R83" s="27">
        <f>R82*1.0375</f>
        <v>9383.6373032283173</v>
      </c>
      <c r="S83" s="27">
        <f>S82*1.0425</f>
        <v>9428.8596516776106</v>
      </c>
      <c r="T83" s="27">
        <f t="shared" si="7"/>
        <v>7071.6447387582084</v>
      </c>
      <c r="U83" s="27">
        <f t="shared" si="5"/>
        <v>6446.1259392137208</v>
      </c>
      <c r="V83" s="27">
        <f t="shared" si="6"/>
        <v>5608.000644597153</v>
      </c>
      <c r="W83" s="27" t="e">
        <f>INT(Q21)</f>
        <v>#REF!</v>
      </c>
      <c r="X83" s="27">
        <v>7</v>
      </c>
      <c r="Y83" s="27"/>
      <c r="Z83" s="27"/>
      <c r="AA83" s="27"/>
      <c r="AB83" s="27"/>
      <c r="AC83" s="27"/>
      <c r="AD83" s="27"/>
      <c r="AE83" s="27"/>
      <c r="AF83" s="27"/>
      <c r="AG83" s="27"/>
      <c r="AH83" s="27"/>
      <c r="AI83" s="27"/>
      <c r="AJ83" s="27"/>
      <c r="AK83" s="27"/>
      <c r="AL83" s="27"/>
      <c r="AM83" s="27"/>
      <c r="AN83" s="27"/>
      <c r="AO83" s="27"/>
      <c r="AP83" s="27"/>
      <c r="AQ83" s="27"/>
      <c r="AR83" s="27"/>
      <c r="AS83" s="27"/>
      <c r="AT83" s="27"/>
      <c r="AU83" s="27"/>
      <c r="AV83" s="27"/>
      <c r="AW83" s="27"/>
      <c r="AX83" s="27"/>
      <c r="AY83" s="27"/>
      <c r="AZ83" s="27"/>
      <c r="BA83" s="27"/>
      <c r="BB83" s="27"/>
      <c r="BC83" s="27"/>
      <c r="BD83" s="27"/>
      <c r="BE83" s="27"/>
      <c r="BF83" s="27"/>
      <c r="BG83" s="27"/>
      <c r="BH83" s="27"/>
      <c r="BI83" s="27"/>
      <c r="BJ83" s="27"/>
      <c r="BK83" s="27"/>
      <c r="BL83" s="27"/>
      <c r="BM83" s="27"/>
      <c r="BN83" s="27"/>
      <c r="BO83" s="27"/>
      <c r="BP83" s="27"/>
      <c r="BQ83" s="27"/>
      <c r="BR83" s="27"/>
      <c r="BS83" s="27"/>
      <c r="BT83" s="27"/>
      <c r="BU83" s="27"/>
      <c r="BV83" s="27"/>
      <c r="BW83" s="27"/>
      <c r="BX83" s="27"/>
      <c r="BY83" s="27"/>
      <c r="BZ83" s="27"/>
      <c r="CA83" s="27"/>
      <c r="CB83" s="27"/>
      <c r="CC83" s="27"/>
      <c r="CD83" s="27"/>
      <c r="CE83" s="27"/>
      <c r="CF83" s="27"/>
      <c r="CG83" s="27"/>
      <c r="CH83" s="27"/>
      <c r="CI83" s="27"/>
      <c r="CJ83" s="27"/>
      <c r="CK83" s="27"/>
      <c r="CL83" s="27"/>
      <c r="CM83" s="27"/>
      <c r="CN83" s="27"/>
      <c r="CO83" s="27"/>
      <c r="CP83" s="27"/>
      <c r="CQ83" s="27"/>
      <c r="CR83" s="27"/>
      <c r="CS83" s="27"/>
      <c r="CT83" s="27"/>
      <c r="CU83" s="27"/>
      <c r="CV83" s="27"/>
      <c r="CW83" s="27"/>
      <c r="CX83" s="27"/>
      <c r="CY83" s="27"/>
      <c r="CZ83" s="27"/>
      <c r="DA83" s="27"/>
      <c r="DB83" s="27"/>
      <c r="DC83" s="27"/>
      <c r="DD83" s="27"/>
      <c r="DE83" s="27"/>
      <c r="DF83" s="27"/>
      <c r="DG83" s="27"/>
      <c r="DH83" s="27"/>
      <c r="DI83" s="27"/>
      <c r="DJ83" s="27"/>
      <c r="DK83" s="27"/>
      <c r="DL83" s="27"/>
      <c r="DM83" s="27"/>
      <c r="DN83" s="27"/>
      <c r="DO83" s="27"/>
      <c r="DP83" s="27"/>
      <c r="DQ83" s="27"/>
      <c r="DR83" s="27"/>
      <c r="DS83" s="27"/>
      <c r="DT83" s="27"/>
    </row>
    <row r="84" spans="1:124" ht="15.75" customHeight="1" x14ac:dyDescent="0.2">
      <c r="B84" s="27"/>
      <c r="C84" s="27"/>
      <c r="D84" s="27"/>
      <c r="E84" s="27"/>
      <c r="F84" s="27"/>
      <c r="G84" s="27"/>
      <c r="H84" s="27"/>
      <c r="I84" s="27"/>
      <c r="J84" s="27"/>
      <c r="K84" s="27"/>
      <c r="L84" s="27"/>
      <c r="M84" s="27">
        <v>2</v>
      </c>
      <c r="N84" s="27">
        <f t="shared" si="8"/>
        <v>6772.5036953124991</v>
      </c>
      <c r="O84" s="27"/>
      <c r="P84" s="27"/>
      <c r="Q84" s="27"/>
      <c r="R84" s="27">
        <f>IF(OR($C$5=$CB$16,$C$5=$CC$16),S84*1.05,S84)</f>
        <v>9813.2496134966004</v>
      </c>
      <c r="S84" s="27">
        <f>VLOOKUP(INT(W18),ofek4,7+2,FALSE)</f>
        <v>9813.2496134966004</v>
      </c>
      <c r="T84" s="27">
        <f>S84*0.75</f>
        <v>7359.9372101224508</v>
      </c>
      <c r="U84" s="27">
        <f t="shared" si="5"/>
        <v>6708.9176441696745</v>
      </c>
      <c r="V84" s="27">
        <f t="shared" si="6"/>
        <v>5836.624172074733</v>
      </c>
      <c r="W84" s="27" t="e">
        <f>INT(AB16*Q10)</f>
        <v>#REF!</v>
      </c>
      <c r="X84" s="27">
        <v>7.5</v>
      </c>
      <c r="Y84" s="27"/>
      <c r="Z84" s="27"/>
      <c r="AA84" s="27"/>
      <c r="AB84" s="27"/>
      <c r="AC84" s="27"/>
      <c r="AD84" s="27"/>
      <c r="AE84" s="27"/>
      <c r="AF84" s="27"/>
      <c r="AG84" s="27"/>
      <c r="AH84" s="27"/>
      <c r="AI84" s="27"/>
      <c r="AJ84" s="27"/>
      <c r="AK84" s="27"/>
      <c r="AL84" s="27"/>
      <c r="AM84" s="27"/>
      <c r="AN84" s="27"/>
      <c r="AO84" s="27"/>
      <c r="AP84" s="27"/>
      <c r="AQ84" s="27"/>
      <c r="AR84" s="27"/>
      <c r="AS84" s="27"/>
      <c r="AT84" s="27"/>
      <c r="AU84" s="27"/>
      <c r="AV84" s="27"/>
      <c r="AW84" s="27"/>
      <c r="AX84" s="27"/>
      <c r="AY84" s="27"/>
      <c r="AZ84" s="27"/>
      <c r="BA84" s="27"/>
      <c r="BB84" s="27"/>
      <c r="BC84" s="27"/>
      <c r="BD84" s="27"/>
      <c r="BE84" s="27"/>
      <c r="BF84" s="27"/>
      <c r="BG84" s="27"/>
      <c r="BH84" s="27"/>
      <c r="BI84" s="27"/>
      <c r="BJ84" s="27"/>
      <c r="BK84" s="27"/>
      <c r="BL84" s="27"/>
      <c r="BM84" s="27"/>
      <c r="BN84" s="27"/>
      <c r="BO84" s="27"/>
      <c r="BP84" s="27"/>
      <c r="BQ84" s="27"/>
      <c r="BR84" s="27"/>
      <c r="BS84" s="27"/>
      <c r="BT84" s="27"/>
      <c r="BU84" s="27"/>
      <c r="BV84" s="27"/>
      <c r="BW84" s="27"/>
      <c r="BX84" s="27"/>
      <c r="BY84" s="27"/>
      <c r="BZ84" s="27">
        <v>32</v>
      </c>
      <c r="CA84" s="27">
        <v>0.01</v>
      </c>
      <c r="CB84" s="27">
        <v>6906.11</v>
      </c>
      <c r="CC84" s="27">
        <v>6524.23</v>
      </c>
      <c r="CD84" s="27">
        <v>6089.25</v>
      </c>
      <c r="CE84" s="27">
        <v>5818.77</v>
      </c>
      <c r="CF84" s="27">
        <v>5304.24</v>
      </c>
      <c r="CG84" s="27">
        <v>4614.6099999999997</v>
      </c>
      <c r="CH84" s="27">
        <v>4322.87</v>
      </c>
      <c r="CI84" s="27">
        <v>4216.79</v>
      </c>
      <c r="CJ84" s="27">
        <v>4084.18</v>
      </c>
      <c r="CK84" s="27">
        <v>5818.77</v>
      </c>
      <c r="CL84" s="27">
        <v>5410.35</v>
      </c>
      <c r="CM84" s="27">
        <v>4614.6099999999997</v>
      </c>
      <c r="CN84" s="27">
        <v>5696.78</v>
      </c>
      <c r="CO84" s="27"/>
      <c r="CP84" s="27"/>
      <c r="CQ84" s="27"/>
      <c r="CR84" s="27"/>
      <c r="CS84" s="27"/>
      <c r="CT84" s="27"/>
      <c r="CU84" s="27"/>
      <c r="CV84" s="27"/>
      <c r="CW84" s="27"/>
      <c r="CX84" s="27"/>
      <c r="CY84" s="27"/>
      <c r="CZ84" s="27"/>
      <c r="DA84" s="27"/>
      <c r="DB84" s="27"/>
      <c r="DC84" s="27"/>
      <c r="DD84" s="27"/>
      <c r="DE84" s="27"/>
      <c r="DF84" s="27"/>
      <c r="DG84" s="27"/>
      <c r="DH84" s="27"/>
      <c r="DI84" s="27"/>
      <c r="DJ84" s="27"/>
      <c r="DK84" s="27"/>
      <c r="DL84" s="27"/>
      <c r="DM84" s="27"/>
      <c r="DN84" s="27"/>
      <c r="DO84" s="27"/>
      <c r="DP84" s="27"/>
      <c r="DQ84" s="27"/>
      <c r="DR84" s="27"/>
      <c r="DS84" s="27"/>
      <c r="DT84" s="27"/>
    </row>
    <row r="85" spans="1:124" ht="15.75" customHeight="1" x14ac:dyDescent="0.2">
      <c r="B85" s="27"/>
      <c r="C85" s="27"/>
      <c r="D85" s="27"/>
      <c r="E85" s="27"/>
      <c r="F85" s="27"/>
      <c r="G85" s="27"/>
      <c r="H85" s="27"/>
      <c r="I85" s="27"/>
      <c r="J85" s="27"/>
      <c r="K85" s="27"/>
      <c r="L85" s="27"/>
      <c r="M85" s="27">
        <v>2.5</v>
      </c>
      <c r="N85" s="27">
        <f t="shared" si="8"/>
        <v>7026.472583886718</v>
      </c>
      <c r="O85" s="27" t="s">
        <v>9</v>
      </c>
      <c r="P85" s="27" t="s">
        <v>12</v>
      </c>
      <c r="Q85" s="27" t="s">
        <v>13</v>
      </c>
      <c r="R85" s="27">
        <f>R84*1.0375</f>
        <v>10181.246474002724</v>
      </c>
      <c r="S85" s="27">
        <f>S84*1.0425</f>
        <v>10230.312722070206</v>
      </c>
      <c r="T85" s="27">
        <f t="shared" si="7"/>
        <v>7672.7345415526543</v>
      </c>
      <c r="U85" s="27">
        <f t="shared" si="5"/>
        <v>6994.0466440468854</v>
      </c>
      <c r="V85" s="27">
        <f t="shared" si="6"/>
        <v>6084.680699387909</v>
      </c>
      <c r="W85" s="27" t="e">
        <f xml:space="preserve">  INT(Q23)</f>
        <v>#REF!</v>
      </c>
      <c r="X85" s="27">
        <v>8</v>
      </c>
      <c r="Y85" s="27"/>
      <c r="Z85" s="27"/>
      <c r="AA85" s="27"/>
      <c r="AB85" s="27"/>
      <c r="AC85" s="27"/>
      <c r="AD85" s="27"/>
      <c r="AE85" s="27"/>
      <c r="AF85" s="27"/>
      <c r="AG85" s="27"/>
      <c r="AH85" s="27"/>
      <c r="AI85" s="27"/>
      <c r="AJ85" s="27"/>
      <c r="AK85" s="27"/>
      <c r="AL85" s="27"/>
      <c r="AM85" s="27"/>
      <c r="AN85" s="27"/>
      <c r="AO85" s="27"/>
      <c r="AP85" s="27"/>
      <c r="AQ85" s="27"/>
      <c r="AR85" s="27"/>
      <c r="AS85" s="27"/>
      <c r="AT85" s="27"/>
      <c r="AU85" s="27"/>
      <c r="AV85" s="27"/>
      <c r="AW85" s="27"/>
      <c r="AX85" s="27"/>
      <c r="AY85" s="27"/>
      <c r="AZ85" s="27"/>
      <c r="BA85" s="27"/>
      <c r="BB85" s="27"/>
      <c r="BC85" s="27"/>
      <c r="BD85" s="27"/>
      <c r="BE85" s="27"/>
      <c r="BF85" s="27"/>
      <c r="BG85" s="27"/>
      <c r="BH85" s="27"/>
      <c r="BI85" s="27"/>
      <c r="BJ85" s="27"/>
      <c r="BK85" s="27"/>
      <c r="BL85" s="27"/>
      <c r="BM85" s="27"/>
      <c r="BN85" s="27"/>
      <c r="BO85" s="27"/>
      <c r="BP85" s="27"/>
      <c r="BQ85" s="27"/>
      <c r="BR85" s="27"/>
      <c r="BS85" s="27"/>
      <c r="BT85" s="27"/>
      <c r="BU85" s="27"/>
      <c r="BV85" s="27"/>
      <c r="BW85" s="27"/>
      <c r="BX85" s="27"/>
      <c r="BY85" s="27"/>
      <c r="BZ85" s="27"/>
      <c r="CA85" s="27"/>
      <c r="CB85" s="27"/>
      <c r="CC85" s="27"/>
      <c r="CD85" s="27"/>
      <c r="CE85" s="27"/>
      <c r="CF85" s="27"/>
      <c r="CG85" s="27"/>
      <c r="CH85" s="27"/>
      <c r="CI85" s="27"/>
      <c r="CJ85" s="27"/>
      <c r="CK85" s="27"/>
      <c r="CL85" s="27"/>
      <c r="CM85" s="27"/>
      <c r="CN85" s="27"/>
      <c r="CO85" s="27"/>
      <c r="CP85" s="27"/>
      <c r="CQ85" s="27"/>
      <c r="CR85" s="27"/>
      <c r="CS85" s="27"/>
      <c r="CT85" s="27"/>
      <c r="CU85" s="27"/>
      <c r="CV85" s="27"/>
      <c r="CW85" s="27"/>
      <c r="CX85" s="27"/>
      <c r="CY85" s="27"/>
      <c r="CZ85" s="27"/>
      <c r="DA85" s="27"/>
      <c r="DB85" s="27"/>
      <c r="DC85" s="27"/>
      <c r="DD85" s="27"/>
      <c r="DE85" s="27"/>
      <c r="DF85" s="27"/>
      <c r="DG85" s="27"/>
      <c r="DH85" s="27"/>
      <c r="DI85" s="27"/>
      <c r="DJ85" s="27"/>
      <c r="DK85" s="27"/>
      <c r="DL85" s="27"/>
      <c r="DM85" s="27"/>
      <c r="DN85" s="27"/>
      <c r="DO85" s="27"/>
      <c r="DP85" s="27"/>
      <c r="DQ85" s="27"/>
      <c r="DR85" s="27"/>
      <c r="DS85" s="27"/>
      <c r="DT85" s="27"/>
    </row>
    <row r="86" spans="1:124" ht="19.5" customHeight="1" x14ac:dyDescent="0.2">
      <c r="B86" s="27"/>
      <c r="C86" s="27"/>
      <c r="D86" s="27"/>
      <c r="E86" s="27"/>
      <c r="F86" s="27"/>
      <c r="G86" s="27"/>
      <c r="H86" s="27"/>
      <c r="I86" s="27"/>
      <c r="J86" s="27"/>
      <c r="K86" s="27"/>
      <c r="L86" s="27"/>
      <c r="M86" s="27">
        <v>3</v>
      </c>
      <c r="N86" s="27">
        <f t="shared" si="8"/>
        <v>7280.441472460936</v>
      </c>
      <c r="O86" s="27">
        <f t="shared" ref="O86:O102" si="9">N120*0.75</f>
        <v>4725.0025781249997</v>
      </c>
      <c r="P86" s="27">
        <f t="shared" ref="P86:P102" si="10">O86*$U$70</f>
        <v>4307.0548375782419</v>
      </c>
      <c r="Q86" s="27">
        <f t="shared" ref="Q86:Q102" si="11">P86*$S$64</f>
        <v>3747.0515675963188</v>
      </c>
      <c r="R86" s="27">
        <f>IF(OR($C$5=$CB$16,$C$5=$CC$16),S86*1.05,S86)</f>
        <v>10647.37583064381</v>
      </c>
      <c r="S86" s="27">
        <f>VLOOKUP(INT(W18),ofek4,8+2,FALSE)</f>
        <v>10647.37583064381</v>
      </c>
      <c r="T86" s="27">
        <f t="shared" si="7"/>
        <v>7985.5318729828577</v>
      </c>
      <c r="U86" s="27">
        <f t="shared" si="5"/>
        <v>7279.1756439240953</v>
      </c>
      <c r="V86" s="27">
        <f t="shared" si="6"/>
        <v>6332.7372267010842</v>
      </c>
      <c r="W86" s="27" t="e">
        <f>W73*BG72</f>
        <v>#REF!</v>
      </c>
      <c r="X86" s="27">
        <v>8.5</v>
      </c>
      <c r="Y86" s="27"/>
      <c r="Z86" s="27"/>
      <c r="AA86" s="27"/>
      <c r="AB86" s="27"/>
      <c r="AC86" s="27"/>
      <c r="AD86" s="27"/>
      <c r="AE86" s="27"/>
      <c r="AF86" s="27"/>
      <c r="AG86" s="27" t="s">
        <v>59</v>
      </c>
      <c r="AH86" s="27"/>
      <c r="AI86" s="27"/>
      <c r="AJ86" s="27"/>
      <c r="AK86" s="27"/>
      <c r="AL86" s="27"/>
      <c r="AM86" s="27"/>
      <c r="AN86" s="27"/>
      <c r="AO86" s="27"/>
      <c r="AP86" s="27"/>
      <c r="AQ86" s="27"/>
      <c r="AR86" s="27"/>
      <c r="AS86" s="27"/>
      <c r="AT86" s="27"/>
      <c r="AU86" s="27"/>
      <c r="AV86" s="27"/>
      <c r="AW86" s="27"/>
      <c r="AX86" s="27"/>
      <c r="AY86" s="27"/>
      <c r="AZ86" s="27"/>
      <c r="BA86" s="27"/>
      <c r="BB86" s="27"/>
      <c r="BC86" s="27"/>
      <c r="BD86" s="27"/>
      <c r="BE86" s="27"/>
      <c r="BF86" s="27"/>
      <c r="BG86" s="27"/>
      <c r="BH86" s="27"/>
      <c r="BI86" s="27"/>
      <c r="BJ86" s="27"/>
      <c r="BK86" s="27"/>
      <c r="BL86" s="27"/>
      <c r="BM86" s="27"/>
      <c r="BN86" s="27"/>
      <c r="BO86" s="27"/>
      <c r="BP86" s="27"/>
      <c r="BQ86" s="27"/>
      <c r="BR86" s="27"/>
      <c r="BS86" s="27"/>
      <c r="BT86" s="27"/>
      <c r="BU86" s="27"/>
      <c r="BV86" s="27"/>
      <c r="BW86" s="27"/>
      <c r="BX86" s="27"/>
      <c r="BY86" s="27"/>
      <c r="BZ86" s="27">
        <v>33</v>
      </c>
      <c r="CA86" s="27">
        <v>0.01</v>
      </c>
      <c r="CB86" s="27">
        <v>6975.17</v>
      </c>
      <c r="CC86" s="27">
        <v>6589.47</v>
      </c>
      <c r="CD86" s="27">
        <v>6150.14</v>
      </c>
      <c r="CE86" s="27">
        <v>5876.95</v>
      </c>
      <c r="CF86" s="27">
        <v>5357.28</v>
      </c>
      <c r="CG86" s="27">
        <v>4660.75</v>
      </c>
      <c r="CH86" s="27">
        <v>4366.09</v>
      </c>
      <c r="CI86" s="27">
        <v>4258.95</v>
      </c>
      <c r="CJ86" s="27">
        <v>4125.0200000000004</v>
      </c>
      <c r="CK86" s="27">
        <v>5876.95</v>
      </c>
      <c r="CL86" s="27">
        <v>5464.45</v>
      </c>
      <c r="CM86" s="27">
        <v>4660.75</v>
      </c>
      <c r="CN86" s="27">
        <v>5753.74</v>
      </c>
      <c r="CO86" s="27"/>
      <c r="CP86" s="27"/>
      <c r="CQ86" s="27"/>
      <c r="CR86" s="27"/>
      <c r="CS86" s="27"/>
      <c r="CT86" s="27"/>
      <c r="CU86" s="27"/>
      <c r="CV86" s="27"/>
      <c r="CW86" s="27"/>
      <c r="CX86" s="27"/>
      <c r="CY86" s="27"/>
      <c r="CZ86" s="27"/>
      <c r="DA86" s="27"/>
      <c r="DB86" s="27"/>
      <c r="DC86" s="27"/>
      <c r="DD86" s="27"/>
      <c r="DE86" s="27"/>
      <c r="DF86" s="27"/>
      <c r="DG86" s="27"/>
      <c r="DH86" s="27"/>
      <c r="DI86" s="27"/>
      <c r="DJ86" s="27"/>
      <c r="DK86" s="27"/>
      <c r="DL86" s="27"/>
      <c r="DM86" s="27"/>
      <c r="DN86" s="27"/>
      <c r="DO86" s="27"/>
      <c r="DP86" s="27"/>
      <c r="DQ86" s="27"/>
      <c r="DR86" s="27"/>
      <c r="DS86" s="27"/>
      <c r="DT86" s="27"/>
    </row>
    <row r="87" spans="1:124" ht="19.5" customHeight="1" x14ac:dyDescent="0.2">
      <c r="A87" t="s">
        <v>59</v>
      </c>
      <c r="B87" s="27"/>
      <c r="C87" s="27"/>
      <c r="D87" s="27"/>
      <c r="E87" s="27"/>
      <c r="F87" s="27"/>
      <c r="G87" s="27"/>
      <c r="H87" s="27"/>
      <c r="I87" s="27"/>
      <c r="J87" s="27"/>
      <c r="K87" s="27"/>
      <c r="L87" s="27"/>
      <c r="M87" s="27">
        <v>3.5</v>
      </c>
      <c r="N87" s="27">
        <f t="shared" si="8"/>
        <v>7553.4580276782217</v>
      </c>
      <c r="O87" s="27">
        <f t="shared" si="9"/>
        <v>4902.1901748046876</v>
      </c>
      <c r="P87" s="27">
        <f t="shared" si="10"/>
        <v>4468.5693939874263</v>
      </c>
      <c r="Q87" s="27">
        <f t="shared" si="11"/>
        <v>3887.5660013811812</v>
      </c>
      <c r="R87" s="27">
        <f>R86*1.0375</f>
        <v>11046.652424292954</v>
      </c>
      <c r="S87" s="27">
        <f>S86*1.0425</f>
        <v>11099.889303446173</v>
      </c>
      <c r="T87" s="27">
        <f t="shared" si="7"/>
        <v>8324.9169775846294</v>
      </c>
      <c r="U87" s="27">
        <f t="shared" si="5"/>
        <v>7588.5406087908696</v>
      </c>
      <c r="V87" s="27">
        <f t="shared" si="6"/>
        <v>6601.8785588358805</v>
      </c>
      <c r="W87" s="27" t="e">
        <f>INT(Q15)</f>
        <v>#REF!</v>
      </c>
      <c r="X87" s="27">
        <v>9</v>
      </c>
      <c r="Y87" s="27"/>
      <c r="Z87" s="27"/>
      <c r="AA87" s="27"/>
      <c r="AB87" s="27"/>
      <c r="AC87" s="27"/>
      <c r="AD87" s="27"/>
      <c r="AE87" s="27"/>
      <c r="AF87" s="27"/>
      <c r="AG87" s="27"/>
      <c r="AH87" s="27"/>
      <c r="AI87" s="27"/>
      <c r="AJ87" s="27"/>
      <c r="AK87" s="27"/>
      <c r="AL87" s="27"/>
      <c r="AM87" s="27"/>
      <c r="AN87" s="27"/>
      <c r="AO87" s="27"/>
      <c r="AP87" s="27"/>
      <c r="AQ87" s="27"/>
      <c r="AR87" s="27"/>
      <c r="AS87" s="27"/>
      <c r="AT87" s="27"/>
      <c r="AU87" s="27"/>
      <c r="AV87" s="27"/>
      <c r="AW87" s="27"/>
      <c r="AX87" s="27"/>
      <c r="AY87" s="27"/>
      <c r="AZ87" s="27"/>
      <c r="BA87" s="27"/>
      <c r="BB87" s="27"/>
      <c r="BC87" s="27"/>
      <c r="BD87" s="27"/>
      <c r="BE87" s="27"/>
      <c r="BF87" s="27"/>
      <c r="BG87" s="27"/>
      <c r="BH87" s="27"/>
      <c r="BI87" s="27"/>
      <c r="BJ87" s="27"/>
      <c r="BK87" s="27"/>
      <c r="BL87" s="27"/>
      <c r="BM87" s="27"/>
      <c r="BN87" s="27"/>
      <c r="BO87" s="27"/>
      <c r="BP87" s="27"/>
      <c r="BQ87" s="27"/>
      <c r="BR87" s="27"/>
      <c r="BS87" s="27"/>
      <c r="BT87" s="27"/>
      <c r="BU87" s="27"/>
      <c r="BV87" s="27"/>
      <c r="BW87" s="27"/>
      <c r="BX87" s="27"/>
      <c r="BY87" s="27"/>
      <c r="BZ87" s="27"/>
      <c r="CA87" s="27"/>
      <c r="CB87" s="27"/>
      <c r="CC87" s="27"/>
      <c r="CD87" s="27"/>
      <c r="CE87" s="27"/>
      <c r="CF87" s="27"/>
      <c r="CG87" s="27"/>
      <c r="CH87" s="27"/>
      <c r="CI87" s="27"/>
      <c r="CJ87" s="27"/>
      <c r="CK87" s="27"/>
      <c r="CL87" s="27"/>
      <c r="CM87" s="27"/>
      <c r="CN87" s="27"/>
      <c r="CO87" s="27"/>
      <c r="CP87" s="27"/>
      <c r="CQ87" s="27"/>
      <c r="CR87" s="27"/>
      <c r="CS87" s="27"/>
      <c r="CT87" s="27"/>
      <c r="CU87" s="27"/>
      <c r="CV87" s="27"/>
      <c r="CW87" s="27"/>
      <c r="CX87" s="27"/>
      <c r="CY87" s="27"/>
      <c r="CZ87" s="27"/>
      <c r="DA87" s="27"/>
      <c r="DB87" s="27"/>
      <c r="DC87" s="27"/>
      <c r="DD87" s="27"/>
      <c r="DE87" s="27"/>
      <c r="DF87" s="27"/>
      <c r="DG87" s="27"/>
      <c r="DH87" s="27"/>
      <c r="DI87" s="27"/>
      <c r="DJ87" s="27"/>
      <c r="DK87" s="27"/>
      <c r="DL87" s="27"/>
      <c r="DM87" s="27"/>
      <c r="DN87" s="27"/>
      <c r="DO87" s="27"/>
      <c r="DP87" s="27"/>
      <c r="DQ87" s="27"/>
      <c r="DR87" s="27"/>
      <c r="DS87" s="27"/>
      <c r="DT87" s="27"/>
    </row>
    <row r="88" spans="1:124" ht="15.75" customHeight="1" x14ac:dyDescent="0.2">
      <c r="B88" s="27"/>
      <c r="C88" s="27"/>
      <c r="D88" s="27"/>
      <c r="E88" s="27"/>
      <c r="F88" s="27"/>
      <c r="G88" s="27"/>
      <c r="H88" s="27"/>
      <c r="I88" s="27"/>
      <c r="J88" s="27"/>
      <c r="K88" s="27"/>
      <c r="L88" s="27"/>
      <c r="M88" s="27">
        <v>4</v>
      </c>
      <c r="N88" s="27">
        <f t="shared" si="8"/>
        <v>7826.4745828955056</v>
      </c>
      <c r="O88" s="27">
        <f t="shared" si="9"/>
        <v>5079.3777714843745</v>
      </c>
      <c r="P88" s="27">
        <f t="shared" si="10"/>
        <v>4630.0839503966099</v>
      </c>
      <c r="Q88" s="27">
        <f t="shared" si="11"/>
        <v>4028.0804351660427</v>
      </c>
      <c r="R88" s="27">
        <f>IF(OR($C$5=$CB$16,$C$5=$CC$16),S88*1.05,S88)</f>
        <v>11552.402776248533</v>
      </c>
      <c r="S88" s="27">
        <f>VLOOKUP(INT(W18),ofek4,9+2,FALSE)</f>
        <v>11552.402776248533</v>
      </c>
      <c r="T88" s="27">
        <f t="shared" si="7"/>
        <v>8664.3020821863993</v>
      </c>
      <c r="U88" s="27">
        <f t="shared" si="5"/>
        <v>7897.9055736576429</v>
      </c>
      <c r="V88" s="27">
        <f t="shared" si="6"/>
        <v>6871.019890970676</v>
      </c>
      <c r="W88" s="27"/>
      <c r="X88" s="27"/>
      <c r="Y88" s="27"/>
      <c r="Z88" s="27"/>
      <c r="AA88" s="27"/>
      <c r="AB88" s="27"/>
      <c r="AC88" s="27"/>
      <c r="AD88" s="27"/>
      <c r="AE88" s="27"/>
      <c r="AF88" s="27"/>
      <c r="AG88" s="27"/>
      <c r="AH88" s="27"/>
      <c r="AI88" s="27"/>
      <c r="AJ88" s="27"/>
      <c r="AK88" s="27"/>
      <c r="AL88" s="27"/>
      <c r="AM88" s="27"/>
      <c r="AN88" s="27"/>
      <c r="AO88" s="27"/>
      <c r="AP88" s="27"/>
      <c r="AQ88" s="27"/>
      <c r="AR88" s="27"/>
      <c r="AS88" s="27"/>
      <c r="AT88" s="27"/>
      <c r="AU88" s="27"/>
      <c r="AV88" s="27"/>
      <c r="AW88" s="27"/>
      <c r="AX88" s="27"/>
      <c r="AY88" s="27"/>
      <c r="AZ88" s="27"/>
      <c r="BA88" s="27"/>
      <c r="BB88" s="27" t="e">
        <f>((Q26*12+#REF!+#REF!+AJ33))</f>
        <v>#REF!</v>
      </c>
      <c r="BC88" s="27"/>
      <c r="BD88" s="27"/>
      <c r="BE88" s="27"/>
      <c r="BF88" s="27"/>
      <c r="BG88" s="27"/>
      <c r="BH88" s="27"/>
      <c r="BI88" s="27"/>
      <c r="BJ88" s="27"/>
      <c r="BK88" s="27"/>
      <c r="BL88" s="27"/>
      <c r="BM88" s="27"/>
      <c r="BN88" s="27"/>
      <c r="BO88" s="27"/>
      <c r="BP88" s="27"/>
      <c r="BQ88" s="27"/>
      <c r="BR88" s="27"/>
      <c r="BS88" s="27"/>
      <c r="BT88" s="27"/>
      <c r="BU88" s="27"/>
      <c r="BV88" s="27"/>
      <c r="BW88" s="27"/>
      <c r="BX88" s="27"/>
      <c r="BY88" s="27"/>
      <c r="BZ88" s="27">
        <v>34</v>
      </c>
      <c r="CA88" s="27">
        <v>0.01</v>
      </c>
      <c r="CB88" s="27">
        <v>7044.92</v>
      </c>
      <c r="CC88" s="27">
        <v>6655.36</v>
      </c>
      <c r="CD88" s="27">
        <v>6211.64</v>
      </c>
      <c r="CE88" s="27">
        <v>5935.71</v>
      </c>
      <c r="CF88" s="27">
        <v>5410.85</v>
      </c>
      <c r="CG88" s="27">
        <v>4707.3500000000004</v>
      </c>
      <c r="CH88" s="27">
        <v>4409.75</v>
      </c>
      <c r="CI88" s="27">
        <v>4301.53</v>
      </c>
      <c r="CJ88" s="27">
        <v>4166.2700000000004</v>
      </c>
      <c r="CK88" s="27">
        <v>5935.71</v>
      </c>
      <c r="CL88" s="27">
        <v>5519.09</v>
      </c>
      <c r="CM88" s="27">
        <v>4707.3500000000004</v>
      </c>
      <c r="CN88" s="27">
        <v>5811.27</v>
      </c>
      <c r="CO88" s="27"/>
      <c r="CP88" s="27"/>
      <c r="CQ88" s="27"/>
      <c r="CR88" s="27"/>
      <c r="CS88" s="27"/>
      <c r="CT88" s="27"/>
      <c r="CU88" s="27"/>
      <c r="CV88" s="27"/>
      <c r="CW88" s="27"/>
      <c r="CX88" s="27"/>
      <c r="CY88" s="27"/>
      <c r="CZ88" s="27"/>
      <c r="DA88" s="27"/>
      <c r="DB88" s="27"/>
      <c r="DC88" s="27"/>
      <c r="DD88" s="27"/>
      <c r="DE88" s="27"/>
      <c r="DF88" s="27"/>
      <c r="DG88" s="27"/>
      <c r="DH88" s="27"/>
      <c r="DI88" s="27"/>
      <c r="DJ88" s="27"/>
      <c r="DK88" s="27"/>
      <c r="DL88" s="27"/>
      <c r="DM88" s="27"/>
      <c r="DN88" s="27"/>
      <c r="DO88" s="27"/>
      <c r="DP88" s="27"/>
      <c r="DQ88" s="27"/>
      <c r="DR88" s="27"/>
      <c r="DS88" s="27"/>
      <c r="DT88" s="27"/>
    </row>
    <row r="89" spans="1:124" ht="15.75" customHeight="1" x14ac:dyDescent="0.2">
      <c r="B89" s="27"/>
      <c r="C89" s="27"/>
      <c r="D89" s="27"/>
      <c r="E89" s="27"/>
      <c r="F89" s="27"/>
      <c r="G89" s="27"/>
      <c r="H89" s="27"/>
      <c r="I89" s="27"/>
      <c r="J89" s="27"/>
      <c r="K89" s="27"/>
      <c r="L89" s="27"/>
      <c r="M89" s="27">
        <v>4.5</v>
      </c>
      <c r="N89" s="27">
        <f t="shared" si="8"/>
        <v>8119.9673797540881</v>
      </c>
      <c r="O89" s="27">
        <f t="shared" si="9"/>
        <v>5269.8544379150389</v>
      </c>
      <c r="P89" s="27">
        <f t="shared" si="10"/>
        <v>4803.7120985364836</v>
      </c>
      <c r="Q89" s="27">
        <f t="shared" si="11"/>
        <v>4179.1334514847695</v>
      </c>
      <c r="R89" s="27"/>
      <c r="S89" s="27"/>
      <c r="T89" s="27"/>
      <c r="U89" s="27"/>
      <c r="V89" s="27"/>
      <c r="W89" s="27"/>
      <c r="X89" s="27"/>
      <c r="Y89" s="27"/>
      <c r="Z89" s="27"/>
      <c r="AA89" s="27"/>
      <c r="AB89" s="27"/>
      <c r="AC89" s="27"/>
      <c r="AD89" s="27"/>
      <c r="AE89" s="27"/>
      <c r="AF89" s="27"/>
      <c r="AG89" s="27"/>
      <c r="AH89" s="27"/>
      <c r="AI89" s="27"/>
      <c r="AJ89" s="27"/>
      <c r="AK89" s="27"/>
      <c r="AL89" s="27"/>
      <c r="AM89" s="27"/>
      <c r="AN89" s="27"/>
      <c r="AO89" s="27"/>
      <c r="AP89" s="27"/>
      <c r="AQ89" s="27"/>
      <c r="AR89" s="27"/>
      <c r="AS89" s="27"/>
      <c r="AT89" s="27"/>
      <c r="AU89" s="27"/>
      <c r="AV89" s="27"/>
      <c r="AW89" s="27"/>
      <c r="AX89" s="27"/>
      <c r="AY89" s="27" t="s">
        <v>454</v>
      </c>
      <c r="AZ89" s="27"/>
      <c r="BA89" s="27"/>
      <c r="BB89" s="27" t="e">
        <f>((Q26*12+#REF!+#REF!+AJ33)*'[1]נתוני מס'!L27)/12</f>
        <v>#REF!</v>
      </c>
      <c r="BC89" s="27"/>
      <c r="BD89" s="27"/>
      <c r="BE89" s="27"/>
      <c r="BF89" s="27"/>
      <c r="BG89" s="27"/>
      <c r="BH89" s="27"/>
      <c r="BI89" s="27"/>
      <c r="BJ89" s="27"/>
      <c r="BK89" s="27"/>
      <c r="BL89" s="27"/>
      <c r="BM89" s="27"/>
      <c r="BN89" s="27"/>
      <c r="BO89" s="27"/>
      <c r="BP89" s="27"/>
      <c r="BQ89" s="27"/>
      <c r="BR89" s="27"/>
      <c r="BS89" s="27"/>
      <c r="BT89" s="27"/>
      <c r="BU89" s="27"/>
      <c r="BV89" s="27"/>
      <c r="BW89" s="27"/>
      <c r="BX89" s="27"/>
      <c r="BY89" s="27"/>
      <c r="BZ89" s="27"/>
      <c r="CA89" s="27"/>
      <c r="CB89" s="27"/>
      <c r="CC89" s="27"/>
      <c r="CD89" s="27"/>
      <c r="CE89" s="27"/>
      <c r="CF89" s="27"/>
      <c r="CG89" s="27"/>
      <c r="CH89" s="27"/>
      <c r="CI89" s="27"/>
      <c r="CJ89" s="27"/>
      <c r="CK89" s="27"/>
      <c r="CL89" s="27"/>
      <c r="CM89" s="27"/>
      <c r="CN89" s="27"/>
      <c r="CO89" s="27"/>
      <c r="CP89" s="27"/>
      <c r="CQ89" s="27"/>
      <c r="CR89" s="27"/>
      <c r="CS89" s="27"/>
      <c r="CT89" s="27"/>
      <c r="CU89" s="27"/>
      <c r="CV89" s="27"/>
      <c r="CW89" s="27"/>
      <c r="CX89" s="27"/>
      <c r="CY89" s="27"/>
      <c r="CZ89" s="27"/>
      <c r="DA89" s="27"/>
      <c r="DB89" s="27"/>
      <c r="DC89" s="27"/>
      <c r="DD89" s="27"/>
      <c r="DE89" s="27"/>
      <c r="DF89" s="27"/>
      <c r="DG89" s="27"/>
      <c r="DH89" s="27"/>
      <c r="DI89" s="27"/>
      <c r="DJ89" s="27"/>
      <c r="DK89" s="27"/>
      <c r="DL89" s="27"/>
      <c r="DM89" s="27"/>
      <c r="DN89" s="27"/>
      <c r="DO89" s="27"/>
      <c r="DP89" s="27"/>
      <c r="DQ89" s="27"/>
      <c r="DR89" s="27"/>
      <c r="DS89" s="27"/>
      <c r="DT89" s="27"/>
    </row>
    <row r="90" spans="1:124" ht="15.75" customHeight="1" x14ac:dyDescent="0.2">
      <c r="B90" s="27"/>
      <c r="C90" s="27"/>
      <c r="D90" s="27"/>
      <c r="E90" s="27"/>
      <c r="F90" s="27"/>
      <c r="G90" s="27"/>
      <c r="H90" s="27"/>
      <c r="I90" s="27"/>
      <c r="J90" s="27"/>
      <c r="K90" s="27"/>
      <c r="L90" s="27"/>
      <c r="M90" s="27">
        <v>5</v>
      </c>
      <c r="N90" s="27">
        <f t="shared" si="8"/>
        <v>8413.4601766126689</v>
      </c>
      <c r="O90" s="27">
        <f t="shared" si="9"/>
        <v>5460.3311043457015</v>
      </c>
      <c r="P90" s="27">
        <f t="shared" si="10"/>
        <v>4977.3402466763546</v>
      </c>
      <c r="Q90" s="27">
        <f t="shared" si="11"/>
        <v>4330.1864678034945</v>
      </c>
      <c r="R90" s="27"/>
      <c r="S90" s="27"/>
      <c r="T90" s="27"/>
      <c r="U90" s="27"/>
      <c r="V90" s="27"/>
      <c r="W90" s="27" t="e">
        <f>Q26</f>
        <v>#REF!</v>
      </c>
      <c r="X90" s="27"/>
      <c r="Y90" s="27"/>
      <c r="Z90" s="27"/>
      <c r="AA90" s="27"/>
      <c r="AB90" s="27"/>
      <c r="AC90" s="27"/>
      <c r="AD90" s="27"/>
      <c r="AE90" s="27"/>
      <c r="AF90" s="27"/>
      <c r="AG90" s="27"/>
      <c r="AH90" s="27"/>
      <c r="AI90" s="27"/>
      <c r="AJ90" s="27"/>
      <c r="AK90" s="27" t="s">
        <v>59</v>
      </c>
      <c r="AL90" s="27"/>
      <c r="AM90" s="27"/>
      <c r="AN90" s="27"/>
      <c r="AO90" s="27"/>
      <c r="AP90" s="27"/>
      <c r="AQ90" s="27"/>
      <c r="AR90" s="27"/>
      <c r="AS90" s="27"/>
      <c r="AT90" s="27"/>
      <c r="AU90" s="27"/>
      <c r="AV90" s="27"/>
      <c r="AW90" s="27"/>
      <c r="AX90" s="27"/>
      <c r="AY90" s="27" t="s">
        <v>455</v>
      </c>
      <c r="AZ90" s="27"/>
      <c r="BA90" s="27"/>
      <c r="BB90" s="27" t="e">
        <f>IF(BC90&gt;'[1]נתוני מס'!L28*'[1]נתוני מס'!M28,'[1]נתוני מס'!L28*'[1]נתוני מס'!M28,BC90)</f>
        <v>#REF!</v>
      </c>
      <c r="BC90" s="27" t="e">
        <f>((BG77-(Q26*AJ30*12+AJ33+#REF!+#REF!))*'[1]נתוני מס'!L28)/12</f>
        <v>#REF!</v>
      </c>
      <c r="BD90" s="27"/>
      <c r="BE90" s="27"/>
      <c r="BF90" s="27"/>
      <c r="BG90" s="27"/>
      <c r="BH90" s="27" t="s">
        <v>456</v>
      </c>
      <c r="BI90" s="27"/>
      <c r="BJ90" s="27"/>
      <c r="BK90" s="27"/>
      <c r="BL90" s="27"/>
      <c r="BM90" s="27"/>
      <c r="BN90" s="27"/>
      <c r="BO90" s="27"/>
      <c r="BP90" s="27"/>
      <c r="BQ90" s="27"/>
      <c r="BR90" s="27"/>
      <c r="BS90" s="27"/>
      <c r="BT90" s="27"/>
      <c r="BU90" s="27"/>
      <c r="BV90" s="27"/>
      <c r="BW90" s="27"/>
      <c r="BX90" s="27"/>
      <c r="BY90" s="27"/>
      <c r="BZ90" s="27">
        <v>35</v>
      </c>
      <c r="CA90" s="27">
        <v>0.01</v>
      </c>
      <c r="CB90" s="27">
        <v>7115.36</v>
      </c>
      <c r="CC90" s="27">
        <v>6721.91</v>
      </c>
      <c r="CD90" s="27">
        <v>6273.75</v>
      </c>
      <c r="CE90" s="27">
        <v>5995.06</v>
      </c>
      <c r="CF90" s="27">
        <v>5464.95</v>
      </c>
      <c r="CG90" s="27">
        <v>4754.42</v>
      </c>
      <c r="CH90" s="27">
        <v>4453.84</v>
      </c>
      <c r="CI90" s="27">
        <v>4344.54</v>
      </c>
      <c r="CJ90" s="27">
        <v>4207.93</v>
      </c>
      <c r="CK90" s="27">
        <v>5995.06</v>
      </c>
      <c r="CL90" s="27">
        <v>5574.28</v>
      </c>
      <c r="CM90" s="27">
        <v>4754.42</v>
      </c>
      <c r="CN90" s="27">
        <v>5869.38</v>
      </c>
      <c r="CO90" s="27"/>
      <c r="CP90" s="27"/>
      <c r="CQ90" s="27"/>
      <c r="CR90" s="27"/>
      <c r="CS90" s="27"/>
      <c r="CT90" s="27"/>
      <c r="CU90" s="27"/>
      <c r="CV90" s="27"/>
      <c r="CW90" s="27"/>
      <c r="CX90" s="27"/>
      <c r="CY90" s="27"/>
      <c r="CZ90" s="27"/>
      <c r="DA90" s="27"/>
      <c r="DB90" s="27"/>
      <c r="DC90" s="27"/>
      <c r="DD90" s="27"/>
      <c r="DE90" s="27"/>
      <c r="DF90" s="27"/>
      <c r="DG90" s="27"/>
      <c r="DH90" s="27"/>
      <c r="DI90" s="27"/>
      <c r="DJ90" s="27"/>
      <c r="DK90" s="27"/>
      <c r="DL90" s="27"/>
      <c r="DM90" s="27"/>
      <c r="DN90" s="27"/>
      <c r="DO90" s="27"/>
      <c r="DP90" s="27"/>
      <c r="DQ90" s="27"/>
      <c r="DR90" s="27"/>
      <c r="DS90" s="27"/>
      <c r="DT90" s="27"/>
    </row>
    <row r="91" spans="1:124" ht="15.75" customHeight="1" x14ac:dyDescent="0.2">
      <c r="B91" s="27"/>
      <c r="C91" s="27"/>
      <c r="D91" s="27"/>
      <c r="E91" s="27"/>
      <c r="F91" s="27"/>
      <c r="G91" s="27"/>
      <c r="H91" s="27"/>
      <c r="I91" s="27"/>
      <c r="J91" s="27"/>
      <c r="K91" s="27"/>
      <c r="L91" s="27"/>
      <c r="M91" s="27">
        <v>5.5</v>
      </c>
      <c r="N91" s="27">
        <f t="shared" si="8"/>
        <v>8728.9649332356439</v>
      </c>
      <c r="O91" s="27">
        <f t="shared" si="9"/>
        <v>5665.0935207586663</v>
      </c>
      <c r="P91" s="27">
        <f t="shared" si="10"/>
        <v>5163.9905059267185</v>
      </c>
      <c r="Q91" s="27">
        <f t="shared" si="11"/>
        <v>4492.5684603461268</v>
      </c>
      <c r="R91" s="27"/>
      <c r="S91" s="27"/>
      <c r="T91" s="27"/>
      <c r="U91" s="27"/>
      <c r="V91" s="27"/>
      <c r="W91" s="27"/>
      <c r="X91" s="27"/>
      <c r="Y91" s="27"/>
      <c r="Z91" s="27"/>
      <c r="AA91" s="27"/>
      <c r="AB91" s="27"/>
      <c r="AC91" s="27"/>
      <c r="AD91" s="27"/>
      <c r="AE91" s="27"/>
      <c r="AF91" s="27"/>
      <c r="AG91" s="27"/>
      <c r="AH91" s="27"/>
      <c r="AI91" s="27"/>
      <c r="AJ91" s="27"/>
      <c r="AK91" s="27"/>
      <c r="AL91" s="27"/>
      <c r="AM91" s="27"/>
      <c r="AN91" s="27"/>
      <c r="AO91" s="27"/>
      <c r="AP91" s="27"/>
      <c r="AQ91" s="27"/>
      <c r="AR91" s="27"/>
      <c r="AS91" s="27"/>
      <c r="AT91" s="27"/>
      <c r="AU91" s="27"/>
      <c r="AV91" s="27"/>
      <c r="AW91" s="27"/>
      <c r="AX91" s="27"/>
      <c r="AY91" s="27"/>
      <c r="AZ91" s="27"/>
      <c r="BA91" s="27"/>
      <c r="BB91" s="27" t="s">
        <v>457</v>
      </c>
      <c r="BC91" s="27"/>
      <c r="BD91" s="27"/>
      <c r="BE91" s="27"/>
      <c r="BF91" s="27"/>
      <c r="BG91" s="27"/>
      <c r="BH91" s="27" t="s">
        <v>27</v>
      </c>
      <c r="BI91" s="27">
        <v>0</v>
      </c>
      <c r="BJ91" s="27">
        <v>0</v>
      </c>
      <c r="BK91" s="27"/>
      <c r="BL91" s="27"/>
      <c r="BM91" s="27"/>
      <c r="BN91" s="27"/>
      <c r="BO91" s="27"/>
      <c r="BP91" s="27"/>
      <c r="BQ91" s="27"/>
      <c r="BR91" s="27"/>
      <c r="BS91" s="27"/>
      <c r="BT91" s="27"/>
      <c r="BU91" s="27"/>
      <c r="BV91" s="27"/>
      <c r="BW91" s="27" t="s">
        <v>59</v>
      </c>
      <c r="BX91" s="27"/>
      <c r="BY91" s="27"/>
      <c r="BZ91" s="27"/>
      <c r="CA91" s="27"/>
      <c r="CB91" s="27"/>
      <c r="CC91" s="27"/>
      <c r="CD91" s="27"/>
      <c r="CE91" s="27"/>
      <c r="CF91" s="27"/>
      <c r="CG91" s="27"/>
      <c r="CH91" s="27"/>
      <c r="CI91" s="27"/>
      <c r="CJ91" s="27"/>
      <c r="CK91" s="27"/>
      <c r="CL91" s="27"/>
      <c r="CM91" s="27"/>
      <c r="CN91" s="27"/>
      <c r="CO91" s="27"/>
      <c r="CP91" s="27"/>
      <c r="CQ91" s="27"/>
      <c r="CR91" s="27"/>
      <c r="CS91" s="27"/>
      <c r="CT91" s="27"/>
      <c r="CU91" s="27"/>
      <c r="CV91" s="27"/>
      <c r="CW91" s="27"/>
      <c r="CX91" s="27"/>
      <c r="CY91" s="27"/>
      <c r="CZ91" s="27"/>
      <c r="DA91" s="27"/>
      <c r="DB91" s="27"/>
      <c r="DC91" s="27"/>
      <c r="DD91" s="27"/>
      <c r="DE91" s="27"/>
      <c r="DF91" s="27"/>
      <c r="DG91" s="27"/>
      <c r="DH91" s="27"/>
      <c r="DI91" s="27"/>
      <c r="DJ91" s="27"/>
      <c r="DK91" s="27"/>
      <c r="DL91" s="27"/>
      <c r="DM91" s="27"/>
      <c r="DN91" s="27"/>
      <c r="DO91" s="27"/>
      <c r="DP91" s="27"/>
      <c r="DQ91" s="27"/>
      <c r="DR91" s="27"/>
      <c r="DS91" s="27"/>
      <c r="DT91" s="27"/>
    </row>
    <row r="92" spans="1:124" ht="15.75" customHeight="1" x14ac:dyDescent="0.2">
      <c r="B92" s="27"/>
      <c r="C92" s="27"/>
      <c r="D92" s="27"/>
      <c r="E92" s="27"/>
      <c r="F92" s="27"/>
      <c r="G92" s="27"/>
      <c r="H92" s="27"/>
      <c r="I92" s="27"/>
      <c r="J92" s="27"/>
      <c r="K92" s="27"/>
      <c r="L92" s="27"/>
      <c r="M92" s="27">
        <v>6</v>
      </c>
      <c r="N92" s="27">
        <f t="shared" si="8"/>
        <v>9044.4696898586189</v>
      </c>
      <c r="O92" s="27">
        <f t="shared" si="9"/>
        <v>5869.8559371716292</v>
      </c>
      <c r="P92" s="27">
        <f t="shared" si="10"/>
        <v>5350.6407651770814</v>
      </c>
      <c r="Q92" s="27">
        <f t="shared" si="11"/>
        <v>4654.9504528887574</v>
      </c>
      <c r="R92" s="27"/>
      <c r="S92" s="27"/>
      <c r="T92" s="27"/>
      <c r="U92" s="27"/>
      <c r="V92" s="27"/>
      <c r="W92" s="27"/>
      <c r="X92" s="27"/>
      <c r="Y92" s="27"/>
      <c r="Z92" s="27"/>
      <c r="AA92" s="27"/>
      <c r="AB92" s="27"/>
      <c r="AC92" s="27"/>
      <c r="AD92" s="27"/>
      <c r="AE92" s="27"/>
      <c r="AF92" s="27"/>
      <c r="AG92" s="27"/>
      <c r="AH92" s="27"/>
      <c r="AI92" s="27"/>
      <c r="AJ92" s="27"/>
      <c r="AK92" s="27"/>
      <c r="AL92" s="27"/>
      <c r="AM92" s="27"/>
      <c r="AN92" s="27"/>
      <c r="AO92" s="27"/>
      <c r="AP92" s="27"/>
      <c r="AQ92" s="27"/>
      <c r="AR92" s="27"/>
      <c r="AS92" s="27"/>
      <c r="AT92" s="27"/>
      <c r="AU92" s="27"/>
      <c r="AV92" s="27"/>
      <c r="AW92" s="27"/>
      <c r="AX92" s="27"/>
      <c r="AY92" s="27"/>
      <c r="AZ92" s="27"/>
      <c r="BA92" s="27"/>
      <c r="BB92" s="27"/>
      <c r="BC92" s="27"/>
      <c r="BD92" s="27"/>
      <c r="BE92" s="27"/>
      <c r="BF92" s="27"/>
      <c r="BG92" s="27"/>
      <c r="BH92" s="27" t="s">
        <v>458</v>
      </c>
      <c r="BI92" s="27">
        <f>'[1]נתוני מס'!B17</f>
        <v>0.13</v>
      </c>
      <c r="BJ92" s="27">
        <f>'[1]נתוני מס'!C17</f>
        <v>227640</v>
      </c>
      <c r="BK92" s="27"/>
      <c r="BL92" s="27"/>
      <c r="BM92" s="27"/>
      <c r="BN92" s="27"/>
      <c r="BO92" s="27"/>
      <c r="BP92" s="27"/>
      <c r="BQ92" s="27"/>
      <c r="BR92" s="27"/>
      <c r="BS92" s="27"/>
      <c r="BT92" s="27"/>
      <c r="BU92" s="27"/>
      <c r="BV92" s="27"/>
      <c r="BW92" s="27"/>
      <c r="BX92" s="27"/>
      <c r="BY92" s="27"/>
      <c r="BZ92" s="27">
        <v>36</v>
      </c>
      <c r="CA92" s="27">
        <v>0.01</v>
      </c>
      <c r="CB92" s="27">
        <v>7186.51</v>
      </c>
      <c r="CC92" s="27">
        <v>6789.12</v>
      </c>
      <c r="CD92" s="27">
        <v>6336.48</v>
      </c>
      <c r="CE92" s="27">
        <v>6055.01</v>
      </c>
      <c r="CF92" s="27">
        <v>5519.59</v>
      </c>
      <c r="CG92" s="27">
        <v>4801.96</v>
      </c>
      <c r="CH92" s="27">
        <v>4498.37</v>
      </c>
      <c r="CI92" s="27">
        <v>4387.9799999999996</v>
      </c>
      <c r="CJ92" s="27">
        <v>4250</v>
      </c>
      <c r="CK92" s="27">
        <v>6055.01</v>
      </c>
      <c r="CL92" s="27">
        <v>5630.02</v>
      </c>
      <c r="CM92" s="27">
        <v>4801.96</v>
      </c>
      <c r="CN92" s="27">
        <v>5928.07</v>
      </c>
      <c r="CO92" s="27"/>
      <c r="CP92" s="27"/>
      <c r="CQ92" s="27"/>
      <c r="CR92" s="27"/>
      <c r="CS92" s="27"/>
      <c r="CT92" s="27"/>
      <c r="CU92" s="27"/>
      <c r="CV92" s="27"/>
      <c r="CW92" s="27"/>
      <c r="CX92" s="27"/>
      <c r="CY92" s="27"/>
      <c r="CZ92" s="27"/>
      <c r="DA92" s="27"/>
      <c r="DB92" s="27"/>
      <c r="DC92" s="27"/>
      <c r="DD92" s="27"/>
      <c r="DE92" s="27"/>
      <c r="DF92" s="27"/>
      <c r="DG92" s="27"/>
      <c r="DH92" s="27"/>
      <c r="DI92" s="27"/>
      <c r="DJ92" s="27"/>
      <c r="DK92" s="27"/>
      <c r="DL92" s="27"/>
      <c r="DM92" s="27"/>
      <c r="DN92" s="27"/>
      <c r="DO92" s="27"/>
      <c r="DP92" s="27"/>
      <c r="DQ92" s="27"/>
      <c r="DR92" s="27"/>
      <c r="DS92" s="27"/>
      <c r="DT92" s="27"/>
    </row>
    <row r="93" spans="1:124" ht="17.25" customHeight="1" x14ac:dyDescent="0.2">
      <c r="B93" s="27"/>
      <c r="C93" s="27"/>
      <c r="D93" s="27"/>
      <c r="E93" s="27"/>
      <c r="F93" s="27"/>
      <c r="G93" s="27"/>
      <c r="H93" s="27"/>
      <c r="I93" s="27"/>
      <c r="J93" s="27"/>
      <c r="K93" s="27"/>
      <c r="L93" s="27"/>
      <c r="M93" s="27">
        <v>6.5</v>
      </c>
      <c r="N93" s="27">
        <f t="shared" si="8"/>
        <v>9428.8596516776106</v>
      </c>
      <c r="O93" s="27">
        <f t="shared" si="9"/>
        <v>6089.9755348155659</v>
      </c>
      <c r="P93" s="27">
        <f t="shared" si="10"/>
        <v>5551.2897938712222</v>
      </c>
      <c r="Q93" s="27">
        <f t="shared" si="11"/>
        <v>4829.5110948720858</v>
      </c>
      <c r="R93" s="27"/>
      <c r="S93" s="27"/>
      <c r="T93" s="27"/>
      <c r="U93" s="27"/>
      <c r="V93" s="27"/>
      <c r="W93" s="27"/>
      <c r="X93" s="27"/>
      <c r="Y93" s="27"/>
      <c r="Z93" s="27"/>
      <c r="AA93" s="27"/>
      <c r="AB93" s="27"/>
      <c r="AC93" s="27"/>
      <c r="AD93" s="27"/>
      <c r="AE93" s="27"/>
      <c r="AF93" s="27"/>
      <c r="AG93" s="27"/>
      <c r="AH93" s="27"/>
      <c r="AI93" s="27"/>
      <c r="AJ93" s="27"/>
      <c r="AK93" s="27"/>
      <c r="AL93" s="27"/>
      <c r="AM93" s="27"/>
      <c r="AN93" s="27"/>
      <c r="AO93" s="27"/>
      <c r="AP93" s="27"/>
      <c r="AQ93" s="27"/>
      <c r="AR93" s="27"/>
      <c r="AS93" s="27"/>
      <c r="AT93" s="27"/>
      <c r="AU93" s="27"/>
      <c r="AV93" s="27"/>
      <c r="AW93" s="27"/>
      <c r="AX93" s="27"/>
      <c r="AY93" s="27"/>
      <c r="AZ93" s="27"/>
      <c r="BA93" s="27"/>
      <c r="BB93" s="27"/>
      <c r="BC93" s="27"/>
      <c r="BD93" s="27"/>
      <c r="BE93" s="27"/>
      <c r="BF93" s="27"/>
      <c r="BG93" s="27"/>
      <c r="BH93" s="27" t="s">
        <v>459</v>
      </c>
      <c r="BI93" s="27">
        <f>'[1]נתוני מס'!B18</f>
        <v>0.25</v>
      </c>
      <c r="BJ93" s="27">
        <f>'[1]נתוני מס'!C18</f>
        <v>227640</v>
      </c>
      <c r="BK93" s="27"/>
      <c r="BL93" s="27"/>
      <c r="BM93" s="27"/>
      <c r="BN93" s="27"/>
      <c r="BO93" s="27"/>
      <c r="BP93" s="27"/>
      <c r="BQ93" s="27"/>
      <c r="BR93" s="27"/>
      <c r="BS93" s="27"/>
      <c r="BT93" s="27"/>
      <c r="BU93" s="27"/>
      <c r="BV93" s="27"/>
      <c r="BW93" s="27"/>
      <c r="BX93" s="27"/>
      <c r="BY93" s="27"/>
      <c r="BZ93" s="27"/>
      <c r="CA93" s="27"/>
      <c r="CB93" s="27"/>
      <c r="CC93" s="27"/>
      <c r="CD93" s="27"/>
      <c r="CE93" s="27"/>
      <c r="CF93" s="27"/>
      <c r="CG93" s="27"/>
      <c r="CH93" s="27"/>
      <c r="CI93" s="27"/>
      <c r="CJ93" s="27"/>
      <c r="CK93" s="27"/>
      <c r="CL93" s="27"/>
      <c r="CM93" s="27"/>
      <c r="CN93" s="27"/>
      <c r="CO93" s="27"/>
      <c r="CP93" s="27"/>
      <c r="CQ93" s="27"/>
      <c r="CR93" s="27"/>
      <c r="CS93" s="27"/>
      <c r="CT93" s="27"/>
      <c r="CU93" s="27"/>
      <c r="CV93" s="27"/>
      <c r="CW93" s="27"/>
      <c r="CX93" s="27"/>
      <c r="CY93" s="27"/>
      <c r="CZ93" s="27"/>
      <c r="DA93" s="27"/>
      <c r="DB93" s="27"/>
      <c r="DC93" s="27"/>
      <c r="DD93" s="27"/>
      <c r="DE93" s="27"/>
      <c r="DF93" s="27"/>
      <c r="DG93" s="27"/>
      <c r="DH93" s="27"/>
      <c r="DI93" s="27"/>
      <c r="DJ93" s="27"/>
      <c r="DK93" s="27"/>
      <c r="DL93" s="27"/>
      <c r="DM93" s="27"/>
      <c r="DN93" s="27"/>
      <c r="DO93" s="27"/>
      <c r="DP93" s="27"/>
      <c r="DQ93" s="27"/>
      <c r="DR93" s="27"/>
      <c r="DS93" s="27"/>
      <c r="DT93" s="27"/>
    </row>
    <row r="94" spans="1:124" ht="14.25" customHeight="1" x14ac:dyDescent="0.2">
      <c r="B94" s="27"/>
      <c r="C94" s="27"/>
      <c r="D94" s="27"/>
      <c r="E94" s="27"/>
      <c r="F94" s="27"/>
      <c r="G94" s="27"/>
      <c r="H94" s="27"/>
      <c r="I94" s="27"/>
      <c r="J94" s="27"/>
      <c r="K94" s="27"/>
      <c r="L94" s="27"/>
      <c r="M94" s="27">
        <v>7</v>
      </c>
      <c r="N94" s="27">
        <f t="shared" si="8"/>
        <v>9813.2496134966004</v>
      </c>
      <c r="O94" s="27">
        <f t="shared" si="9"/>
        <v>6310.0951324595017</v>
      </c>
      <c r="P94" s="27">
        <f t="shared" si="10"/>
        <v>5751.9388225653629</v>
      </c>
      <c r="Q94" s="27">
        <f t="shared" si="11"/>
        <v>5004.0717368554142</v>
      </c>
      <c r="R94" s="27"/>
      <c r="S94" s="27"/>
      <c r="T94" s="27"/>
      <c r="U94" s="27"/>
      <c r="V94" s="27"/>
      <c r="W94" s="27"/>
      <c r="X94" s="27"/>
      <c r="Y94" s="27"/>
      <c r="Z94" s="27"/>
      <c r="AA94" s="27"/>
      <c r="AB94" s="27"/>
      <c r="AC94" s="27"/>
      <c r="AD94" s="27"/>
      <c r="AE94" s="27"/>
      <c r="AF94" s="27"/>
      <c r="AG94" s="27"/>
      <c r="AH94" s="27"/>
      <c r="AI94" s="27"/>
      <c r="AJ94" s="27"/>
      <c r="AK94" s="27"/>
      <c r="AL94" s="27"/>
      <c r="AM94" s="27"/>
      <c r="AN94" s="27"/>
      <c r="AO94" s="27"/>
      <c r="AP94" s="27"/>
      <c r="AQ94" s="27"/>
      <c r="AR94" s="27"/>
      <c r="AS94" s="27"/>
      <c r="AT94" s="27"/>
      <c r="AU94" s="27"/>
      <c r="AV94" s="27"/>
      <c r="AW94" s="27"/>
      <c r="AX94" s="27"/>
      <c r="AY94" s="27"/>
      <c r="AZ94" s="27"/>
      <c r="BA94" s="27"/>
      <c r="BB94" s="27"/>
      <c r="BC94" s="27"/>
      <c r="BD94" s="27"/>
      <c r="BE94" s="27"/>
      <c r="BF94" s="27"/>
      <c r="BG94" s="27"/>
      <c r="BH94" s="27" t="s">
        <v>460</v>
      </c>
      <c r="BI94" s="27">
        <f>'[1]נתוני מס'!B19</f>
        <v>0.2</v>
      </c>
      <c r="BJ94" s="27">
        <f>'[1]נתוני מס'!C19</f>
        <v>227640</v>
      </c>
      <c r="BK94" s="27"/>
      <c r="BL94" s="27"/>
      <c r="BM94" s="27"/>
      <c r="BN94" s="27"/>
      <c r="BO94" s="27"/>
      <c r="BP94" s="27"/>
      <c r="BQ94" s="27"/>
      <c r="BR94" s="27"/>
      <c r="BS94" s="27"/>
      <c r="BT94" s="27"/>
      <c r="BU94" s="27"/>
      <c r="BV94" s="27"/>
      <c r="BW94" s="27"/>
      <c r="BX94" s="27"/>
      <c r="BY94" s="27"/>
      <c r="BZ94" s="27"/>
      <c r="CA94" s="27"/>
      <c r="CB94" s="27"/>
      <c r="CC94" s="27"/>
      <c r="CD94" s="27"/>
      <c r="CE94" s="27"/>
      <c r="CF94" s="27"/>
      <c r="CG94" s="27"/>
      <c r="CH94" s="27"/>
      <c r="CI94" s="27"/>
      <c r="CJ94" s="27"/>
      <c r="CK94" s="27"/>
      <c r="CL94" s="27"/>
      <c r="CM94" s="27"/>
      <c r="CN94" s="27"/>
      <c r="CO94" s="27"/>
      <c r="CP94" s="27"/>
      <c r="CQ94" s="27"/>
      <c r="CR94" s="27"/>
      <c r="CS94" s="27"/>
      <c r="CT94" s="27"/>
      <c r="CU94" s="27"/>
      <c r="CV94" s="27"/>
      <c r="CW94" s="27"/>
      <c r="CX94" s="27"/>
      <c r="CY94" s="27"/>
      <c r="CZ94" s="27"/>
      <c r="DA94" s="27"/>
      <c r="DB94" s="27"/>
      <c r="DC94" s="27"/>
      <c r="DD94" s="27"/>
      <c r="DE94" s="27"/>
      <c r="DF94" s="27"/>
      <c r="DG94" s="27"/>
      <c r="DH94" s="27"/>
      <c r="DI94" s="27"/>
      <c r="DJ94" s="27"/>
      <c r="DK94" s="27"/>
      <c r="DL94" s="27"/>
      <c r="DM94" s="27"/>
      <c r="DN94" s="27"/>
      <c r="DO94" s="27"/>
      <c r="DP94" s="27"/>
      <c r="DQ94" s="27"/>
      <c r="DR94" s="27"/>
      <c r="DS94" s="27"/>
      <c r="DT94" s="27"/>
    </row>
    <row r="95" spans="1:124" ht="13.5" customHeight="1" x14ac:dyDescent="0.2">
      <c r="B95" s="27"/>
      <c r="C95" s="27"/>
      <c r="D95" s="27"/>
      <c r="E95" s="27"/>
      <c r="F95" s="27"/>
      <c r="G95" s="27"/>
      <c r="H95" s="27"/>
      <c r="I95" s="27"/>
      <c r="J95" s="27"/>
      <c r="K95" s="27"/>
      <c r="L95" s="27"/>
      <c r="M95" s="27">
        <v>7.5</v>
      </c>
      <c r="N95" s="27">
        <f t="shared" si="8"/>
        <v>10230.312722070206</v>
      </c>
      <c r="O95" s="27">
        <f t="shared" si="9"/>
        <v>6546.7236999267334</v>
      </c>
      <c r="P95" s="27">
        <f t="shared" si="10"/>
        <v>5967.6365284115645</v>
      </c>
      <c r="Q95" s="27">
        <f t="shared" si="11"/>
        <v>5191.7244269874927</v>
      </c>
      <c r="R95" s="27"/>
      <c r="S95" s="27"/>
      <c r="T95" s="27"/>
      <c r="U95" s="27" t="s">
        <v>59</v>
      </c>
      <c r="V95" s="27"/>
      <c r="W95" s="27"/>
      <c r="X95" s="27"/>
      <c r="Y95" s="27"/>
      <c r="Z95" s="27"/>
      <c r="AA95" s="27"/>
      <c r="AB95" s="27"/>
      <c r="AC95" s="27"/>
      <c r="AD95" s="27"/>
      <c r="AE95" s="27"/>
      <c r="AF95" s="27"/>
      <c r="AG95" s="27"/>
      <c r="AH95" s="27"/>
      <c r="AI95" s="27"/>
      <c r="AJ95" s="27"/>
      <c r="AK95" s="27"/>
      <c r="AL95" s="27"/>
      <c r="AM95" s="27"/>
      <c r="AN95" s="27"/>
      <c r="AO95" s="27"/>
      <c r="AP95" s="27"/>
      <c r="AQ95" s="27"/>
      <c r="AR95" s="27"/>
      <c r="AS95" s="27"/>
      <c r="AT95" s="27"/>
      <c r="AU95" s="27"/>
      <c r="AV95" s="27"/>
      <c r="AW95" s="27"/>
      <c r="AX95" s="27"/>
      <c r="AY95" s="27"/>
      <c r="AZ95" s="27"/>
      <c r="BA95" s="27"/>
      <c r="BB95" s="27"/>
      <c r="BC95" s="27"/>
      <c r="BD95" s="27"/>
      <c r="BE95" s="27"/>
      <c r="BF95" s="27"/>
      <c r="BG95" s="27"/>
      <c r="BH95" s="27" t="s">
        <v>461</v>
      </c>
      <c r="BI95" s="27">
        <f>'[1]נתוני מס'!B20</f>
        <v>0.16</v>
      </c>
      <c r="BJ95" s="27">
        <f>'[1]נתוני מס'!C20</f>
        <v>151680</v>
      </c>
      <c r="BK95" s="27"/>
      <c r="BL95" s="27"/>
      <c r="BM95" s="27"/>
      <c r="BN95" s="27"/>
      <c r="BO95" s="27"/>
      <c r="BP95" s="27"/>
      <c r="BQ95" s="27"/>
      <c r="BR95" s="27"/>
      <c r="BS95" s="27"/>
      <c r="BT95" s="27"/>
      <c r="BU95" s="27"/>
      <c r="BV95" s="27"/>
      <c r="BW95" s="27"/>
      <c r="BX95" s="27"/>
      <c r="BY95" s="27"/>
      <c r="BZ95" s="27"/>
      <c r="CA95" s="27"/>
      <c r="CB95" s="27"/>
      <c r="CC95" s="27"/>
      <c r="CD95" s="27"/>
      <c r="CE95" s="27"/>
      <c r="CF95" s="27"/>
      <c r="CG95" s="27"/>
      <c r="CH95" s="27"/>
      <c r="CI95" s="27"/>
      <c r="CJ95" s="27"/>
      <c r="CK95" s="27"/>
      <c r="CL95" s="27"/>
      <c r="CM95" s="27"/>
      <c r="CN95" s="27"/>
      <c r="CO95" s="27"/>
      <c r="CP95" s="27"/>
      <c r="CQ95" s="27"/>
      <c r="CR95" s="27"/>
      <c r="CS95" s="27"/>
      <c r="CT95" s="27"/>
      <c r="CU95" s="27"/>
      <c r="CV95" s="27"/>
      <c r="CW95" s="27"/>
      <c r="CX95" s="27"/>
      <c r="CY95" s="27"/>
      <c r="CZ95" s="27"/>
      <c r="DA95" s="27"/>
      <c r="DB95" s="27"/>
      <c r="DC95" s="27"/>
      <c r="DD95" s="27"/>
      <c r="DE95" s="27"/>
      <c r="DF95" s="27"/>
      <c r="DG95" s="27"/>
      <c r="DH95" s="27"/>
      <c r="DI95" s="27"/>
      <c r="DJ95" s="27"/>
      <c r="DK95" s="27"/>
      <c r="DL95" s="27"/>
      <c r="DM95" s="27"/>
      <c r="DN95" s="27"/>
      <c r="DO95" s="27"/>
      <c r="DP95" s="27"/>
      <c r="DQ95" s="27"/>
      <c r="DR95" s="27"/>
      <c r="DS95" s="27"/>
      <c r="DT95" s="27"/>
    </row>
    <row r="96" spans="1:124" ht="15" customHeight="1" x14ac:dyDescent="0.2">
      <c r="B96" s="27"/>
      <c r="C96" s="27"/>
      <c r="D96" s="27"/>
      <c r="E96" s="27"/>
      <c r="F96" s="27"/>
      <c r="G96" s="27"/>
      <c r="H96" s="27"/>
      <c r="I96" s="27"/>
      <c r="J96" s="27"/>
      <c r="K96" s="27"/>
      <c r="L96" s="27"/>
      <c r="M96" s="27">
        <v>8</v>
      </c>
      <c r="N96" s="27">
        <f t="shared" si="8"/>
        <v>10647.37583064381</v>
      </c>
      <c r="O96" s="27">
        <f t="shared" si="9"/>
        <v>6783.3522673939642</v>
      </c>
      <c r="P96" s="27">
        <f t="shared" si="10"/>
        <v>6183.3342342577653</v>
      </c>
      <c r="Q96" s="27">
        <f t="shared" si="11"/>
        <v>5379.3771171195704</v>
      </c>
      <c r="R96" s="27"/>
      <c r="S96" s="27"/>
      <c r="T96" s="27"/>
      <c r="U96" s="27"/>
      <c r="V96" s="27"/>
      <c r="W96" s="27"/>
      <c r="X96" s="27"/>
      <c r="Y96" s="27"/>
      <c r="Z96" s="27"/>
      <c r="AA96" s="27"/>
      <c r="AB96" s="27"/>
      <c r="AC96" s="27"/>
      <c r="AD96" s="27"/>
      <c r="AE96" s="27"/>
      <c r="AF96" s="27"/>
      <c r="AG96" s="27"/>
      <c r="AH96" s="27"/>
      <c r="AI96" s="27"/>
      <c r="AJ96" s="27"/>
      <c r="AK96" s="27"/>
      <c r="AL96" s="27"/>
      <c r="AM96" s="27"/>
      <c r="AN96" s="27"/>
      <c r="AO96" s="27"/>
      <c r="AP96" s="27"/>
      <c r="AQ96" s="27"/>
      <c r="AR96" s="27"/>
      <c r="AS96" s="27"/>
      <c r="AT96" s="27"/>
      <c r="AU96" s="27"/>
      <c r="AV96" s="27"/>
      <c r="AW96" s="27"/>
      <c r="AX96" s="27"/>
      <c r="AY96" s="27"/>
      <c r="AZ96" s="27"/>
      <c r="BA96" s="27"/>
      <c r="BB96" s="27"/>
      <c r="BC96" s="27"/>
      <c r="BD96" s="27"/>
      <c r="BE96" s="27"/>
      <c r="BF96" s="27"/>
      <c r="BG96" s="27"/>
      <c r="BH96" s="27" t="s">
        <v>462</v>
      </c>
      <c r="BI96" s="27">
        <f>'[1]נתוני מס'!B21</f>
        <v>0.25</v>
      </c>
      <c r="BJ96" s="27">
        <f>'[1]נתוני מס'!C21</f>
        <v>151680</v>
      </c>
      <c r="BK96" s="27"/>
      <c r="BL96" s="27"/>
      <c r="BM96" s="27"/>
      <c r="BN96" s="27"/>
      <c r="BO96" s="27"/>
      <c r="BP96" s="27"/>
      <c r="BQ96" s="27"/>
      <c r="BR96" s="27"/>
      <c r="BS96" s="27"/>
      <c r="BT96" s="27"/>
      <c r="BU96" s="27"/>
      <c r="BV96" s="27"/>
      <c r="BW96" s="27"/>
      <c r="BX96" s="27"/>
      <c r="BY96" s="27"/>
      <c r="BZ96" s="27"/>
      <c r="CA96" s="27"/>
      <c r="CB96" s="27"/>
      <c r="CC96" s="27"/>
      <c r="CD96" s="27"/>
      <c r="CE96" s="27"/>
      <c r="CF96" s="27"/>
      <c r="CG96" s="27"/>
      <c r="CH96" s="27"/>
      <c r="CI96" s="27"/>
      <c r="CJ96" s="27"/>
      <c r="CK96" s="27"/>
      <c r="CL96" s="27"/>
      <c r="CM96" s="27"/>
      <c r="CN96" s="27"/>
      <c r="CO96" s="27"/>
      <c r="CP96" s="27"/>
      <c r="CQ96" s="27"/>
      <c r="CR96" s="27"/>
      <c r="CS96" s="27"/>
      <c r="CT96" s="27"/>
      <c r="CU96" s="27"/>
      <c r="CV96" s="27"/>
      <c r="CW96" s="27"/>
      <c r="CX96" s="27"/>
      <c r="CY96" s="27"/>
      <c r="CZ96" s="27"/>
      <c r="DA96" s="27"/>
      <c r="DB96" s="27"/>
      <c r="DC96" s="27"/>
      <c r="DD96" s="27"/>
      <c r="DE96" s="27"/>
      <c r="DF96" s="27"/>
      <c r="DG96" s="27"/>
      <c r="DH96" s="27"/>
      <c r="DI96" s="27"/>
      <c r="DJ96" s="27"/>
      <c r="DK96" s="27"/>
      <c r="DL96" s="27"/>
      <c r="DM96" s="27"/>
      <c r="DN96" s="27"/>
      <c r="DO96" s="27"/>
      <c r="DP96" s="27"/>
      <c r="DQ96" s="27"/>
      <c r="DR96" s="27"/>
      <c r="DS96" s="27"/>
      <c r="DT96" s="27"/>
    </row>
    <row r="97" spans="2:124" ht="15.75" customHeight="1" x14ac:dyDescent="0.2">
      <c r="B97" s="27"/>
      <c r="C97" s="27"/>
      <c r="D97" s="27"/>
      <c r="E97" s="27"/>
      <c r="F97" s="27"/>
      <c r="G97" s="27"/>
      <c r="H97" s="27"/>
      <c r="I97" s="27"/>
      <c r="J97" s="27"/>
      <c r="K97" s="27"/>
      <c r="L97" s="27"/>
      <c r="M97" s="27">
        <v>8.5</v>
      </c>
      <c r="N97" s="27">
        <f t="shared" si="8"/>
        <v>11099.889303446173</v>
      </c>
      <c r="O97" s="27">
        <f t="shared" si="9"/>
        <v>7071.6447387582084</v>
      </c>
      <c r="P97" s="27">
        <f t="shared" si="10"/>
        <v>6446.1259392137208</v>
      </c>
      <c r="Q97" s="27">
        <f t="shared" si="11"/>
        <v>5608.000644597153</v>
      </c>
      <c r="R97" s="27"/>
      <c r="S97" s="27"/>
      <c r="T97" s="27"/>
      <c r="U97" s="27"/>
      <c r="V97" s="27"/>
      <c r="W97" s="27"/>
      <c r="X97" s="27"/>
      <c r="Y97" s="27"/>
      <c r="Z97" s="27"/>
      <c r="AA97" s="27"/>
      <c r="AB97" s="27"/>
      <c r="AC97" s="27"/>
      <c r="AD97" s="27"/>
      <c r="AE97" s="27"/>
      <c r="AF97" s="27"/>
      <c r="AG97" s="27"/>
      <c r="AH97" s="27"/>
      <c r="AI97" s="27"/>
      <c r="AJ97" s="27"/>
      <c r="AK97" s="27"/>
      <c r="AL97" s="27"/>
      <c r="AM97" s="27"/>
      <c r="AN97" s="27"/>
      <c r="AO97" s="27"/>
      <c r="AP97" s="27"/>
      <c r="AQ97" s="27"/>
      <c r="AR97" s="27"/>
      <c r="AS97" s="27"/>
      <c r="AT97" s="27"/>
      <c r="AU97" s="27"/>
      <c r="AV97" s="27"/>
      <c r="AW97" s="27"/>
      <c r="AX97" s="27"/>
      <c r="AY97" s="27"/>
      <c r="AZ97" s="27"/>
      <c r="BA97" s="27"/>
      <c r="BB97" s="27"/>
      <c r="BC97" s="27"/>
      <c r="BD97" s="27"/>
      <c r="BE97" s="27"/>
      <c r="BF97" s="27"/>
      <c r="BG97" s="27"/>
      <c r="BH97" s="27" t="s">
        <v>463</v>
      </c>
      <c r="BI97" s="27">
        <f>'[1]נתוני מס'!B22</f>
        <v>0.2</v>
      </c>
      <c r="BJ97" s="27">
        <f>'[1]נתוני מס'!C22</f>
        <v>151680</v>
      </c>
      <c r="BK97" s="27"/>
      <c r="BL97" s="27"/>
      <c r="BM97" s="27"/>
      <c r="BN97" s="27"/>
      <c r="BO97" s="27"/>
      <c r="BP97" s="27"/>
      <c r="BQ97" s="27"/>
      <c r="BR97" s="27"/>
      <c r="BS97" s="27"/>
      <c r="BT97" s="27"/>
      <c r="BU97" s="27"/>
      <c r="BV97" s="27"/>
      <c r="BW97" s="27"/>
      <c r="BX97" s="27"/>
      <c r="BY97" s="27"/>
      <c r="BZ97" s="27"/>
      <c r="CA97" s="27"/>
      <c r="CB97" s="27"/>
      <c r="CC97" s="27"/>
      <c r="CD97" s="27"/>
      <c r="CE97" s="27"/>
      <c r="CF97" s="27"/>
      <c r="CG97" s="27"/>
      <c r="CH97" s="27"/>
      <c r="CI97" s="27"/>
      <c r="CJ97" s="27"/>
      <c r="CK97" s="27"/>
      <c r="CL97" s="27"/>
      <c r="CM97" s="27"/>
      <c r="CN97" s="27"/>
      <c r="CO97" s="27"/>
      <c r="CP97" s="27"/>
      <c r="CQ97" s="27"/>
      <c r="CR97" s="27"/>
      <c r="CS97" s="27"/>
      <c r="CT97" s="27"/>
      <c r="CU97" s="27"/>
      <c r="CV97" s="27"/>
      <c r="CW97" s="27"/>
      <c r="CX97" s="27"/>
      <c r="CY97" s="27"/>
      <c r="CZ97" s="27"/>
      <c r="DA97" s="27"/>
      <c r="DB97" s="27"/>
      <c r="DC97" s="27"/>
      <c r="DD97" s="27"/>
      <c r="DE97" s="27"/>
      <c r="DF97" s="27"/>
      <c r="DG97" s="27"/>
      <c r="DH97" s="27"/>
      <c r="DI97" s="27"/>
      <c r="DJ97" s="27"/>
      <c r="DK97" s="27"/>
      <c r="DL97" s="27"/>
      <c r="DM97" s="27"/>
      <c r="DN97" s="27"/>
      <c r="DO97" s="27"/>
      <c r="DP97" s="27"/>
      <c r="DQ97" s="27"/>
      <c r="DR97" s="27"/>
      <c r="DS97" s="27"/>
      <c r="DT97" s="27"/>
    </row>
    <row r="98" spans="2:124" ht="18" customHeight="1" x14ac:dyDescent="0.2">
      <c r="B98" s="27"/>
      <c r="C98" s="27"/>
      <c r="D98" s="27"/>
      <c r="E98" s="27"/>
      <c r="F98" s="27"/>
      <c r="G98" s="27"/>
      <c r="H98" s="27"/>
      <c r="I98" s="27"/>
      <c r="J98" s="27"/>
      <c r="K98" s="27"/>
      <c r="L98" s="27"/>
      <c r="M98" s="27">
        <v>9</v>
      </c>
      <c r="N98" s="27">
        <f t="shared" si="8"/>
        <v>11552.402776248533</v>
      </c>
      <c r="O98" s="27">
        <f t="shared" si="9"/>
        <v>7359.9372101224508</v>
      </c>
      <c r="P98" s="27">
        <f t="shared" si="10"/>
        <v>6708.9176441696745</v>
      </c>
      <c r="Q98" s="27">
        <f t="shared" si="11"/>
        <v>5836.624172074733</v>
      </c>
      <c r="R98" s="27"/>
      <c r="S98" s="27"/>
      <c r="T98" s="27"/>
      <c r="U98" s="27" t="s">
        <v>59</v>
      </c>
      <c r="V98" s="27"/>
      <c r="W98" s="27"/>
      <c r="X98" s="27"/>
      <c r="Y98" s="27"/>
      <c r="Z98" s="27"/>
      <c r="AA98" s="27"/>
      <c r="AB98" s="27"/>
      <c r="AC98" s="27"/>
      <c r="AD98" s="27"/>
      <c r="AE98" s="27"/>
      <c r="AF98" s="27"/>
      <c r="AG98" s="27"/>
      <c r="AH98" s="27"/>
      <c r="AI98" s="27"/>
      <c r="AJ98" s="27"/>
      <c r="AK98" s="27"/>
      <c r="AL98" s="27"/>
      <c r="AM98" s="27"/>
      <c r="AN98" s="27"/>
      <c r="AO98" s="27"/>
      <c r="AP98" s="27"/>
      <c r="AQ98" s="27"/>
      <c r="AR98" s="27"/>
      <c r="AS98" s="27"/>
      <c r="AT98" s="27"/>
      <c r="AU98" s="27"/>
      <c r="AV98" s="27"/>
      <c r="AW98" s="27"/>
      <c r="AX98" s="27"/>
      <c r="AY98" s="27"/>
      <c r="AZ98" s="27"/>
      <c r="BA98" s="27"/>
      <c r="BB98" s="27"/>
      <c r="BC98" s="27"/>
      <c r="BD98" s="27"/>
      <c r="BE98" s="27"/>
      <c r="BF98" s="27"/>
      <c r="BG98" s="27"/>
      <c r="BH98" s="27" t="s">
        <v>464</v>
      </c>
      <c r="BI98" s="27">
        <f>IF(BH92=U2,BI92+BI104,IF(BH93=U2,BI93+BI104,IF(BH94=U2,BI94+BI104,IF(BH95=U2,BI95+BI104,IF(BH96=U2,BI96+BI104,IF(BH97=U2,BI97+BI104,BI104))))))</f>
        <v>0</v>
      </c>
      <c r="BJ98" s="27">
        <f>IF(BH92=U2,BJ92,IF(BH93=U2,BJ93,IF(BH94=U2,BJ94,IF(BH95=U2,BJ95,IF(BH96=U2,BJ96,IF(BH97=U2,BJ97,0))))))</f>
        <v>0</v>
      </c>
      <c r="BK98" s="27"/>
      <c r="BL98" s="27"/>
      <c r="BM98" s="27"/>
      <c r="BN98" s="27"/>
      <c r="BO98" s="27"/>
      <c r="BP98" s="27"/>
      <c r="BQ98" s="27"/>
      <c r="BR98" s="27"/>
      <c r="BS98" s="27"/>
      <c r="BT98" s="27"/>
      <c r="BU98" s="27"/>
      <c r="BV98" s="27"/>
      <c r="BW98" s="27"/>
      <c r="BX98" s="27"/>
      <c r="BY98" s="27"/>
      <c r="BZ98" s="27"/>
      <c r="CA98" s="27"/>
      <c r="CB98" s="27"/>
      <c r="CC98" s="27"/>
      <c r="CD98" s="27"/>
      <c r="CE98" s="27"/>
      <c r="CF98" s="27"/>
      <c r="CG98" s="27"/>
      <c r="CH98" s="27"/>
      <c r="CI98" s="27"/>
      <c r="CJ98" s="27"/>
      <c r="CK98" s="27"/>
      <c r="CL98" s="27"/>
      <c r="CM98" s="27"/>
      <c r="CN98" s="27"/>
      <c r="CO98" s="27"/>
      <c r="CP98" s="27"/>
      <c r="CQ98" s="27"/>
      <c r="CR98" s="27"/>
      <c r="CS98" s="27"/>
      <c r="CT98" s="27"/>
      <c r="CU98" s="27"/>
      <c r="CV98" s="27"/>
      <c r="CW98" s="27"/>
      <c r="CX98" s="27"/>
      <c r="CY98" s="27"/>
      <c r="CZ98" s="27"/>
      <c r="DA98" s="27"/>
      <c r="DB98" s="27"/>
      <c r="DC98" s="27"/>
      <c r="DD98" s="27"/>
      <c r="DE98" s="27"/>
      <c r="DF98" s="27"/>
      <c r="DG98" s="27"/>
      <c r="DH98" s="27"/>
      <c r="DI98" s="27"/>
      <c r="DJ98" s="27"/>
      <c r="DK98" s="27"/>
      <c r="DL98" s="27"/>
      <c r="DM98" s="27"/>
      <c r="DN98" s="27"/>
      <c r="DO98" s="27"/>
      <c r="DP98" s="27"/>
      <c r="DQ98" s="27"/>
      <c r="DR98" s="27"/>
      <c r="DS98" s="27"/>
      <c r="DT98" s="27"/>
    </row>
    <row r="99" spans="2:124" ht="13.5" customHeight="1" x14ac:dyDescent="0.2">
      <c r="B99" s="27"/>
      <c r="C99" s="27"/>
      <c r="D99" s="27"/>
      <c r="E99" s="27"/>
      <c r="F99" s="27"/>
      <c r="G99" s="27"/>
      <c r="H99" s="27"/>
      <c r="I99" s="27"/>
      <c r="J99" s="27"/>
      <c r="K99" s="27"/>
      <c r="L99" s="27"/>
      <c r="M99" s="27"/>
      <c r="N99" s="27"/>
      <c r="O99" s="27">
        <f t="shared" si="9"/>
        <v>7672.7345415526543</v>
      </c>
      <c r="P99" s="27">
        <f t="shared" si="10"/>
        <v>6994.0466440468854</v>
      </c>
      <c r="Q99" s="27">
        <f t="shared" si="11"/>
        <v>6084.680699387909</v>
      </c>
      <c r="R99" s="27"/>
      <c r="S99" s="27"/>
      <c r="T99" s="27"/>
      <c r="U99" s="27"/>
      <c r="V99" s="27"/>
      <c r="W99" s="27"/>
      <c r="X99" s="27"/>
      <c r="Y99" s="27"/>
      <c r="Z99" s="27"/>
      <c r="AA99" s="27"/>
      <c r="AB99" s="27"/>
      <c r="AC99" s="27"/>
      <c r="AD99" s="27"/>
      <c r="AE99" s="27"/>
      <c r="AF99" s="27"/>
      <c r="AG99" s="27"/>
      <c r="AH99" s="27"/>
      <c r="AI99" s="27"/>
      <c r="AJ99" s="27"/>
      <c r="AK99" s="27"/>
      <c r="AL99" s="27"/>
      <c r="AM99" s="27"/>
      <c r="AN99" s="27"/>
      <c r="AO99" s="27"/>
      <c r="AP99" s="27"/>
      <c r="AQ99" s="27"/>
      <c r="AR99" s="27"/>
      <c r="AS99" s="27"/>
      <c r="AT99" s="27"/>
      <c r="AU99" s="27"/>
      <c r="AV99" s="27"/>
      <c r="AW99" s="27"/>
      <c r="AX99" s="27"/>
      <c r="AY99" s="27"/>
      <c r="AZ99" s="27"/>
      <c r="BA99" s="27"/>
      <c r="BB99" s="27"/>
      <c r="BC99" s="27"/>
      <c r="BD99" s="27"/>
      <c r="BE99" s="27"/>
      <c r="BF99" s="27"/>
      <c r="BG99" s="27"/>
      <c r="BH99" s="27" t="s">
        <v>285</v>
      </c>
      <c r="BI99" s="27">
        <f>100%-BI98</f>
        <v>1</v>
      </c>
      <c r="BJ99" s="27">
        <f>BJ98/12</f>
        <v>0</v>
      </c>
      <c r="BK99" s="27"/>
      <c r="BL99" s="27"/>
      <c r="BM99" s="27"/>
      <c r="BN99" s="27"/>
      <c r="BO99" s="27"/>
      <c r="BP99" s="27"/>
      <c r="BQ99" s="27"/>
      <c r="BR99" s="27"/>
      <c r="BS99" s="27"/>
      <c r="BT99" s="27"/>
      <c r="BU99" s="27"/>
      <c r="BV99" s="27"/>
      <c r="BW99" s="27"/>
      <c r="BX99" s="27"/>
      <c r="BY99" s="27"/>
      <c r="BZ99" s="27"/>
      <c r="CA99" s="27"/>
      <c r="CB99" s="27"/>
      <c r="CC99" s="27"/>
      <c r="CD99" s="27"/>
      <c r="CE99" s="27"/>
      <c r="CF99" s="27"/>
      <c r="CG99" s="27"/>
      <c r="CH99" s="27"/>
      <c r="CI99" s="27"/>
      <c r="CJ99" s="27"/>
      <c r="CK99" s="27"/>
      <c r="CL99" s="27"/>
      <c r="CM99" s="27"/>
      <c r="CN99" s="27"/>
      <c r="CO99" s="27"/>
      <c r="CP99" s="27"/>
      <c r="CQ99" s="27"/>
      <c r="CR99" s="27"/>
      <c r="CS99" s="27"/>
      <c r="CT99" s="27"/>
      <c r="CU99" s="27"/>
      <c r="CV99" s="27"/>
      <c r="CW99" s="27"/>
      <c r="CX99" s="27"/>
      <c r="CY99" s="27"/>
      <c r="CZ99" s="27"/>
      <c r="DA99" s="27"/>
      <c r="DB99" s="27"/>
      <c r="DC99" s="27"/>
      <c r="DD99" s="27"/>
      <c r="DE99" s="27"/>
      <c r="DF99" s="27"/>
      <c r="DG99" s="27"/>
      <c r="DH99" s="27"/>
      <c r="DI99" s="27"/>
      <c r="DJ99" s="27"/>
      <c r="DK99" s="27"/>
      <c r="DL99" s="27"/>
      <c r="DM99" s="27"/>
      <c r="DN99" s="27"/>
      <c r="DO99" s="27"/>
      <c r="DP99" s="27"/>
      <c r="DQ99" s="27"/>
      <c r="DR99" s="27"/>
      <c r="DS99" s="27"/>
      <c r="DT99" s="27"/>
    </row>
    <row r="100" spans="2:124" ht="17.25" customHeight="1" x14ac:dyDescent="0.2">
      <c r="B100" s="27"/>
      <c r="C100" s="27"/>
      <c r="D100" s="27"/>
      <c r="E100" s="27"/>
      <c r="F100" s="27"/>
      <c r="G100" s="27"/>
      <c r="H100" s="27"/>
      <c r="I100" s="27"/>
      <c r="J100" s="27"/>
      <c r="K100" s="27"/>
      <c r="L100" s="27"/>
      <c r="M100" s="27"/>
      <c r="N100" s="27"/>
      <c r="O100" s="27">
        <f t="shared" si="9"/>
        <v>7985.5318729828577</v>
      </c>
      <c r="P100" s="27">
        <f t="shared" si="10"/>
        <v>7279.1756439240953</v>
      </c>
      <c r="Q100" s="27">
        <f t="shared" si="11"/>
        <v>6332.7372267010842</v>
      </c>
      <c r="R100" s="27"/>
      <c r="S100" s="27"/>
      <c r="T100" s="27"/>
      <c r="U100" s="27"/>
      <c r="V100" s="27"/>
      <c r="W100" s="27"/>
      <c r="X100" s="27"/>
      <c r="Y100" s="27"/>
      <c r="Z100" s="27"/>
      <c r="AA100" s="27"/>
      <c r="AB100" s="27"/>
      <c r="AC100" s="27"/>
      <c r="AD100" s="27"/>
      <c r="AE100" s="27"/>
      <c r="AF100" s="27"/>
      <c r="AG100" s="27"/>
      <c r="AH100" s="27"/>
      <c r="AI100" s="27"/>
      <c r="AJ100" s="27"/>
      <c r="AK100" s="27"/>
      <c r="AL100" s="27"/>
      <c r="AM100" s="27"/>
      <c r="AN100" s="27"/>
      <c r="AO100" s="27"/>
      <c r="AP100" s="27"/>
      <c r="AQ100" s="27"/>
      <c r="AR100" s="27"/>
      <c r="AS100" s="27"/>
      <c r="AT100" s="27"/>
      <c r="AU100" s="27"/>
      <c r="AV100" s="27"/>
      <c r="AW100" s="27"/>
      <c r="AX100" s="27"/>
      <c r="AY100" s="27"/>
      <c r="AZ100" s="27"/>
      <c r="BA100" s="27"/>
      <c r="BB100" s="27"/>
      <c r="BC100" s="27"/>
      <c r="BD100" s="27"/>
      <c r="BE100" s="27"/>
      <c r="BF100" s="27"/>
      <c r="BG100" s="27"/>
      <c r="BH100" s="27"/>
      <c r="BI100" s="27"/>
      <c r="BJ100" s="27" t="s">
        <v>59</v>
      </c>
      <c r="BK100" s="27"/>
      <c r="BL100" s="27"/>
      <c r="BM100" s="27"/>
      <c r="BN100" s="27"/>
      <c r="BO100" s="27"/>
      <c r="BP100" s="27"/>
      <c r="BQ100" s="27"/>
      <c r="BR100" s="27"/>
      <c r="BS100" s="27"/>
      <c r="BT100" s="27"/>
      <c r="BU100" s="27"/>
      <c r="BV100" s="27"/>
      <c r="BW100" s="27"/>
      <c r="BX100" s="27"/>
      <c r="BY100" s="27"/>
      <c r="BZ100" s="27"/>
      <c r="CA100" s="27"/>
      <c r="CB100" s="27"/>
      <c r="CC100" s="27"/>
      <c r="CD100" s="27"/>
      <c r="CE100" s="27"/>
      <c r="CF100" s="27"/>
      <c r="CG100" s="27"/>
      <c r="CH100" s="27"/>
      <c r="CI100" s="27"/>
      <c r="CJ100" s="27"/>
      <c r="CK100" s="27"/>
      <c r="CL100" s="27"/>
      <c r="CM100" s="27"/>
      <c r="CN100" s="27"/>
      <c r="CO100" s="27"/>
      <c r="CP100" s="27"/>
      <c r="CQ100" s="27"/>
      <c r="CR100" s="27"/>
      <c r="CS100" s="27"/>
      <c r="CT100" s="27"/>
      <c r="CU100" s="27"/>
      <c r="CV100" s="27"/>
      <c r="CW100" s="27"/>
      <c r="CX100" s="27"/>
      <c r="CY100" s="27"/>
      <c r="CZ100" s="27"/>
      <c r="DA100" s="27"/>
      <c r="DB100" s="27"/>
      <c r="DC100" s="27"/>
      <c r="DD100" s="27"/>
      <c r="DE100" s="27"/>
      <c r="DF100" s="27"/>
      <c r="DG100" s="27"/>
      <c r="DH100" s="27"/>
      <c r="DI100" s="27"/>
      <c r="DJ100" s="27"/>
      <c r="DK100" s="27"/>
      <c r="DL100" s="27"/>
      <c r="DM100" s="27"/>
      <c r="DN100" s="27"/>
      <c r="DO100" s="27"/>
      <c r="DP100" s="27"/>
      <c r="DQ100" s="27"/>
      <c r="DR100" s="27"/>
      <c r="DS100" s="27"/>
      <c r="DT100" s="27"/>
    </row>
    <row r="101" spans="2:124" ht="17.25" customHeight="1" x14ac:dyDescent="0.2">
      <c r="B101" s="27"/>
      <c r="C101" s="27"/>
      <c r="D101" s="27"/>
      <c r="E101" s="27"/>
      <c r="F101" s="27"/>
      <c r="G101" s="27"/>
      <c r="H101" s="27"/>
      <c r="I101" s="27"/>
      <c r="J101" s="27"/>
      <c r="K101" s="27"/>
      <c r="L101" s="27"/>
      <c r="M101" s="27"/>
      <c r="N101" s="27"/>
      <c r="O101" s="27">
        <f t="shared" si="9"/>
        <v>8324.9169775846294</v>
      </c>
      <c r="P101" s="27">
        <f t="shared" si="10"/>
        <v>7588.5406087908696</v>
      </c>
      <c r="Q101" s="27">
        <f t="shared" si="11"/>
        <v>6601.8785588358805</v>
      </c>
      <c r="R101" s="27"/>
      <c r="S101" s="27"/>
      <c r="T101" s="27"/>
      <c r="U101" s="27"/>
      <c r="V101" s="27"/>
      <c r="W101" s="27"/>
      <c r="X101" s="27"/>
      <c r="Y101" s="27"/>
      <c r="Z101" s="27"/>
      <c r="AA101" s="27"/>
      <c r="AB101" s="27" t="s">
        <v>59</v>
      </c>
      <c r="AC101" s="27"/>
      <c r="AD101" s="27"/>
      <c r="AE101" s="27"/>
      <c r="AF101" s="27"/>
      <c r="AG101" s="27"/>
      <c r="AH101" s="27"/>
      <c r="AI101" s="27"/>
      <c r="AJ101" s="27"/>
      <c r="AK101" s="27"/>
      <c r="AL101" s="27"/>
      <c r="AM101" s="27"/>
      <c r="AN101" s="27"/>
      <c r="AO101" s="27"/>
      <c r="AP101" s="27"/>
      <c r="AQ101" s="27"/>
      <c r="AR101" s="27"/>
      <c r="AS101" s="27"/>
      <c r="AT101" s="27"/>
      <c r="AU101" s="27"/>
      <c r="AV101" s="27"/>
      <c r="AW101" s="27"/>
      <c r="AX101" s="27"/>
      <c r="AY101" s="27"/>
      <c r="AZ101" s="27"/>
      <c r="BA101" s="27"/>
      <c r="BB101" s="27"/>
      <c r="BC101" s="27"/>
      <c r="BD101" s="27"/>
      <c r="BE101" s="27"/>
      <c r="BF101" s="27"/>
      <c r="BG101" s="27"/>
      <c r="BH101" s="27" t="s">
        <v>465</v>
      </c>
      <c r="BI101" s="27"/>
      <c r="BJ101" s="27">
        <f>'[1]נתוני מס'!C24</f>
        <v>579600</v>
      </c>
      <c r="BK101" s="27"/>
      <c r="BL101" s="27"/>
      <c r="BM101" s="27"/>
      <c r="BN101" s="27"/>
      <c r="BO101" s="27"/>
      <c r="BP101" s="27"/>
      <c r="BQ101" s="27"/>
      <c r="BR101" s="27"/>
      <c r="BS101" s="27"/>
      <c r="BT101" s="27"/>
      <c r="BU101" s="27"/>
      <c r="BV101" s="27"/>
      <c r="BW101" s="27"/>
      <c r="BX101" s="27"/>
      <c r="BY101" s="27"/>
      <c r="BZ101" s="27"/>
      <c r="CA101" s="27"/>
      <c r="CB101" s="27"/>
      <c r="CC101" s="27"/>
      <c r="CD101" s="27"/>
      <c r="CE101" s="27"/>
      <c r="CF101" s="27"/>
      <c r="CG101" s="27"/>
      <c r="CH101" s="27"/>
      <c r="CI101" s="27"/>
      <c r="CJ101" s="27"/>
      <c r="CK101" s="27"/>
      <c r="CL101" s="27"/>
      <c r="CM101" s="27"/>
      <c r="CN101" s="27"/>
      <c r="CO101" s="27"/>
      <c r="CP101" s="27"/>
      <c r="CQ101" s="27"/>
      <c r="CR101" s="27"/>
      <c r="CS101" s="27"/>
      <c r="CT101" s="27"/>
      <c r="CU101" s="27"/>
      <c r="CV101" s="27"/>
      <c r="CW101" s="27"/>
      <c r="CX101" s="27"/>
      <c r="CY101" s="27"/>
      <c r="CZ101" s="27"/>
      <c r="DA101" s="27"/>
      <c r="DB101" s="27"/>
      <c r="DC101" s="27"/>
      <c r="DD101" s="27"/>
      <c r="DE101" s="27"/>
      <c r="DF101" s="27"/>
      <c r="DG101" s="27"/>
      <c r="DH101" s="27"/>
      <c r="DI101" s="27"/>
      <c r="DJ101" s="27"/>
      <c r="DK101" s="27"/>
      <c r="DL101" s="27"/>
      <c r="DM101" s="27"/>
      <c r="DN101" s="27"/>
      <c r="DO101" s="27"/>
      <c r="DP101" s="27"/>
      <c r="DQ101" s="27"/>
      <c r="DR101" s="27"/>
      <c r="DS101" s="27"/>
      <c r="DT101" s="27"/>
    </row>
    <row r="102" spans="2:124" ht="13.5" customHeight="1" x14ac:dyDescent="0.2">
      <c r="B102" s="27"/>
      <c r="C102" s="27"/>
      <c r="D102" s="27"/>
      <c r="E102" s="27"/>
      <c r="F102" s="27"/>
      <c r="G102" s="27"/>
      <c r="H102" s="27"/>
      <c r="I102" s="27"/>
      <c r="J102" s="27"/>
      <c r="K102" s="27"/>
      <c r="L102" s="27"/>
      <c r="M102" s="27"/>
      <c r="N102" s="27"/>
      <c r="O102" s="27">
        <f t="shared" si="9"/>
        <v>8664.3020821863993</v>
      </c>
      <c r="P102" s="27">
        <f t="shared" si="10"/>
        <v>7897.9055736576429</v>
      </c>
      <c r="Q102" s="27">
        <f t="shared" si="11"/>
        <v>6871.019890970676</v>
      </c>
      <c r="R102" s="27"/>
      <c r="S102" s="27"/>
      <c r="T102" s="27"/>
      <c r="U102" s="27"/>
      <c r="V102" s="27"/>
      <c r="W102" s="27"/>
      <c r="X102" s="27"/>
      <c r="Y102" s="27"/>
      <c r="Z102" s="27"/>
      <c r="AA102" s="27"/>
      <c r="AB102" s="27"/>
      <c r="AC102" s="27"/>
      <c r="AD102" s="27"/>
      <c r="AE102" s="27"/>
      <c r="AF102" s="27"/>
      <c r="AG102" s="27"/>
      <c r="AH102" s="27"/>
      <c r="AI102" s="27"/>
      <c r="AJ102" s="27"/>
      <c r="AK102" s="27"/>
      <c r="AL102" s="27"/>
      <c r="AM102" s="27"/>
      <c r="AN102" s="27"/>
      <c r="AO102" s="27"/>
      <c r="AP102" s="27"/>
      <c r="AQ102" s="27"/>
      <c r="AR102" s="27"/>
      <c r="AS102" s="27"/>
      <c r="AT102" s="27"/>
      <c r="AU102" s="27"/>
      <c r="AV102" s="27"/>
      <c r="AW102" s="27"/>
      <c r="AX102" s="27"/>
      <c r="AY102" s="27"/>
      <c r="AZ102" s="27"/>
      <c r="BA102" s="27"/>
      <c r="BB102" s="27"/>
      <c r="BC102" s="27"/>
      <c r="BD102" s="27"/>
      <c r="BE102" s="27"/>
      <c r="BF102" s="27"/>
      <c r="BG102" s="27"/>
      <c r="BH102" s="27"/>
      <c r="BI102" s="27" t="s">
        <v>204</v>
      </c>
      <c r="BJ102" s="27">
        <f>IF(U3=AH44,BJ101/12,0)</f>
        <v>0</v>
      </c>
      <c r="BK102" s="27"/>
      <c r="BL102" s="27"/>
      <c r="BM102" s="27"/>
      <c r="BN102" s="27"/>
      <c r="BO102" s="27"/>
      <c r="BP102" s="27"/>
      <c r="BQ102" s="27"/>
      <c r="BR102" s="27"/>
      <c r="BS102" s="27"/>
      <c r="BT102" s="27"/>
      <c r="BU102" s="27"/>
      <c r="BV102" s="27"/>
      <c r="BW102" s="27"/>
      <c r="BX102" s="27"/>
      <c r="BY102" s="27"/>
      <c r="BZ102" s="27"/>
      <c r="CA102" s="27"/>
      <c r="CB102" s="27"/>
      <c r="CC102" s="27"/>
      <c r="CD102" s="27"/>
      <c r="CE102" s="27"/>
      <c r="CF102" s="27"/>
      <c r="CG102" s="27"/>
      <c r="CH102" s="27"/>
      <c r="CI102" s="27"/>
      <c r="CJ102" s="27"/>
      <c r="CK102" s="27"/>
      <c r="CL102" s="27"/>
      <c r="CM102" s="27"/>
      <c r="CN102" s="27"/>
      <c r="CO102" s="27"/>
      <c r="CP102" s="27"/>
      <c r="CQ102" s="27"/>
      <c r="CR102" s="27"/>
      <c r="CS102" s="27"/>
      <c r="CT102" s="27"/>
      <c r="CU102" s="27"/>
      <c r="CV102" s="27"/>
      <c r="CW102" s="27"/>
      <c r="CX102" s="27"/>
      <c r="CY102" s="27"/>
      <c r="CZ102" s="27"/>
      <c r="DA102" s="27"/>
      <c r="DB102" s="27"/>
      <c r="DC102" s="27"/>
      <c r="DD102" s="27"/>
      <c r="DE102" s="27"/>
      <c r="DF102" s="27"/>
      <c r="DG102" s="27"/>
      <c r="DH102" s="27"/>
      <c r="DI102" s="27"/>
      <c r="DJ102" s="27"/>
      <c r="DK102" s="27"/>
      <c r="DL102" s="27"/>
      <c r="DM102" s="27"/>
      <c r="DN102" s="27"/>
      <c r="DO102" s="27"/>
      <c r="DP102" s="27"/>
      <c r="DQ102" s="27"/>
      <c r="DR102" s="27"/>
      <c r="DS102" s="27"/>
      <c r="DT102" s="27"/>
    </row>
    <row r="103" spans="2:124" ht="13.5" customHeight="1" x14ac:dyDescent="0.2">
      <c r="B103" s="27"/>
      <c r="C103" s="27"/>
      <c r="D103" s="27"/>
      <c r="E103" s="27"/>
      <c r="F103" s="27"/>
      <c r="G103" s="27"/>
      <c r="H103" s="27"/>
      <c r="I103" s="27"/>
      <c r="J103" s="27"/>
      <c r="K103" s="27"/>
      <c r="L103" s="27"/>
      <c r="M103" s="27"/>
      <c r="N103" s="27">
        <v>3</v>
      </c>
      <c r="O103" s="27"/>
      <c r="P103" s="27"/>
      <c r="Q103" s="27"/>
      <c r="R103" s="27"/>
      <c r="S103" s="27"/>
      <c r="T103" s="27"/>
      <c r="U103" s="27"/>
      <c r="V103" s="27"/>
      <c r="W103" s="27"/>
      <c r="X103" s="27"/>
      <c r="Y103" s="27"/>
      <c r="Z103" s="27"/>
      <c r="AA103" s="27" t="s">
        <v>59</v>
      </c>
      <c r="AB103" s="27" t="s">
        <v>59</v>
      </c>
      <c r="AC103" s="27"/>
      <c r="AD103" s="27"/>
      <c r="AE103" s="27"/>
      <c r="AF103" s="27"/>
      <c r="AG103" s="27"/>
      <c r="AH103" s="27"/>
      <c r="AI103" s="27"/>
      <c r="AJ103" s="27"/>
      <c r="AK103" s="27"/>
      <c r="AL103" s="27"/>
      <c r="AM103" s="27"/>
      <c r="AN103" s="27"/>
      <c r="AO103" s="27"/>
      <c r="AP103" s="27"/>
      <c r="AQ103" s="27"/>
      <c r="AR103" s="27"/>
      <c r="AS103" s="27"/>
      <c r="AT103" s="27"/>
      <c r="AU103" s="27"/>
      <c r="AV103" s="27"/>
      <c r="AW103" s="27"/>
      <c r="AX103" s="27"/>
      <c r="AY103" s="27"/>
      <c r="AZ103" s="27"/>
      <c r="BA103" s="27"/>
      <c r="BB103" s="27"/>
      <c r="BC103" s="27"/>
      <c r="BD103" s="27"/>
      <c r="BE103" s="27"/>
      <c r="BF103" s="27"/>
      <c r="BG103" s="27"/>
      <c r="BH103" s="27"/>
      <c r="BI103" s="27"/>
      <c r="BJ103" s="27"/>
      <c r="BK103" s="27"/>
      <c r="BL103" s="27"/>
      <c r="BM103" s="27"/>
      <c r="BN103" s="27"/>
      <c r="BO103" s="27"/>
      <c r="BP103" s="27"/>
      <c r="BQ103" s="27"/>
      <c r="BR103" s="27"/>
      <c r="BS103" s="27"/>
      <c r="BT103" s="27"/>
      <c r="BU103" s="27"/>
      <c r="BV103" s="27"/>
      <c r="BW103" s="27"/>
      <c r="BX103" s="27"/>
      <c r="BY103" s="27"/>
      <c r="BZ103" s="27"/>
      <c r="CA103" s="27"/>
      <c r="CB103" s="27"/>
      <c r="CC103" s="27"/>
      <c r="CD103" s="27"/>
      <c r="CE103" s="27"/>
      <c r="CF103" s="27"/>
      <c r="CG103" s="27"/>
      <c r="CH103" s="27"/>
      <c r="CI103" s="27"/>
      <c r="CJ103" s="27"/>
      <c r="CK103" s="27"/>
      <c r="CL103" s="27"/>
      <c r="CM103" s="27"/>
      <c r="CN103" s="27"/>
      <c r="CO103" s="27"/>
      <c r="CP103" s="27"/>
      <c r="CQ103" s="27"/>
      <c r="CR103" s="27"/>
      <c r="CS103" s="27"/>
      <c r="CT103" s="27"/>
      <c r="CU103" s="27"/>
      <c r="CV103" s="27"/>
      <c r="CW103" s="27"/>
      <c r="CX103" s="27"/>
      <c r="CY103" s="27"/>
      <c r="CZ103" s="27"/>
      <c r="DA103" s="27"/>
      <c r="DB103" s="27"/>
      <c r="DC103" s="27"/>
      <c r="DD103" s="27"/>
      <c r="DE103" s="27"/>
      <c r="DF103" s="27"/>
      <c r="DG103" s="27"/>
      <c r="DH103" s="27"/>
      <c r="DI103" s="27"/>
      <c r="DJ103" s="27"/>
      <c r="DK103" s="27"/>
      <c r="DL103" s="27"/>
      <c r="DM103" s="27"/>
      <c r="DN103" s="27"/>
      <c r="DO103" s="27"/>
      <c r="DP103" s="27"/>
      <c r="DQ103" s="27"/>
      <c r="DR103" s="27"/>
      <c r="DS103" s="27"/>
      <c r="DT103" s="27"/>
    </row>
    <row r="104" spans="2:124" ht="16.5" customHeight="1" x14ac:dyDescent="0.2">
      <c r="B104" s="27"/>
      <c r="C104" s="27"/>
      <c r="D104" s="27"/>
      <c r="E104" s="27"/>
      <c r="F104" s="27"/>
      <c r="G104" s="27"/>
      <c r="H104" s="27"/>
      <c r="I104" s="27"/>
      <c r="J104" s="27"/>
      <c r="K104" s="27"/>
      <c r="L104" s="27"/>
      <c r="M104" s="27">
        <v>550</v>
      </c>
      <c r="N104" s="27">
        <v>3.5</v>
      </c>
      <c r="O104" s="27"/>
      <c r="P104" s="27"/>
      <c r="Q104" s="27"/>
      <c r="R104" s="27"/>
      <c r="S104" s="27"/>
      <c r="T104" s="27"/>
      <c r="U104" s="27"/>
      <c r="V104" s="27"/>
      <c r="W104" s="27"/>
      <c r="X104" s="27"/>
      <c r="Y104" s="27"/>
      <c r="Z104" s="27"/>
      <c r="AA104" s="27"/>
      <c r="AB104" s="27"/>
      <c r="AC104" s="27"/>
      <c r="AD104" s="27"/>
      <c r="AE104" s="27"/>
      <c r="AF104" s="27"/>
      <c r="AG104" s="27"/>
      <c r="AH104" s="27"/>
      <c r="AI104" s="27"/>
      <c r="AJ104" s="27"/>
      <c r="AK104" s="27"/>
      <c r="AL104" s="27"/>
      <c r="AM104" s="27"/>
      <c r="AN104" s="27"/>
      <c r="AO104" s="27"/>
      <c r="AP104" s="27"/>
      <c r="AQ104" s="27"/>
      <c r="AR104" s="27"/>
      <c r="AS104" s="27"/>
      <c r="AT104" s="27"/>
      <c r="AU104" s="27"/>
      <c r="AV104" s="27"/>
      <c r="AW104" s="27"/>
      <c r="AX104" s="27"/>
      <c r="AY104" s="27"/>
      <c r="AZ104" s="27"/>
      <c r="BA104" s="27"/>
      <c r="BB104" s="27"/>
      <c r="BC104" s="27"/>
      <c r="BD104" s="27"/>
      <c r="BE104" s="27"/>
      <c r="BF104" s="27"/>
      <c r="BG104" s="27"/>
      <c r="BH104" s="27" t="s">
        <v>466</v>
      </c>
      <c r="BI104" s="27">
        <f>IF(AB17=AH44,5%,0%)</f>
        <v>0</v>
      </c>
      <c r="BJ104" s="27">
        <f>100%-BI104</f>
        <v>1</v>
      </c>
      <c r="BK104" s="27">
        <f>'[1]נתוני מס'!C26/12</f>
        <v>12640</v>
      </c>
      <c r="BL104" s="27"/>
      <c r="BM104" s="27"/>
      <c r="BN104" s="27"/>
      <c r="BO104" s="27"/>
      <c r="BP104" s="27"/>
      <c r="BQ104" s="27"/>
      <c r="BR104" s="27"/>
      <c r="BS104" s="27"/>
      <c r="BT104" s="27"/>
      <c r="BU104" s="27"/>
      <c r="BV104" s="27"/>
      <c r="BW104" s="27"/>
      <c r="BX104" s="27"/>
      <c r="BY104" s="27"/>
      <c r="BZ104" s="27"/>
      <c r="CA104" s="27"/>
      <c r="CB104" s="27"/>
      <c r="CC104" s="27"/>
      <c r="CD104" s="27"/>
      <c r="CE104" s="27"/>
      <c r="CF104" s="27"/>
      <c r="CG104" s="27"/>
      <c r="CH104" s="27"/>
      <c r="CI104" s="27"/>
      <c r="CJ104" s="27"/>
      <c r="CK104" s="27"/>
      <c r="CL104" s="27"/>
      <c r="CM104" s="27"/>
      <c r="CN104" s="27"/>
      <c r="CO104" s="27"/>
      <c r="CP104" s="27"/>
      <c r="CQ104" s="27"/>
      <c r="CR104" s="27"/>
      <c r="CS104" s="27"/>
      <c r="CT104" s="27"/>
      <c r="CU104" s="27"/>
      <c r="CV104" s="27"/>
      <c r="CW104" s="27"/>
      <c r="CX104" s="27"/>
      <c r="CY104" s="27"/>
      <c r="CZ104" s="27"/>
      <c r="DA104" s="27"/>
      <c r="DB104" s="27"/>
      <c r="DC104" s="27"/>
      <c r="DD104" s="27"/>
      <c r="DE104" s="27"/>
      <c r="DF104" s="27"/>
      <c r="DG104" s="27"/>
      <c r="DH104" s="27"/>
      <c r="DI104" s="27"/>
      <c r="DJ104" s="27"/>
      <c r="DK104" s="27"/>
      <c r="DL104" s="27"/>
      <c r="DM104" s="27"/>
      <c r="DN104" s="27"/>
      <c r="DO104" s="27"/>
      <c r="DP104" s="27"/>
      <c r="DQ104" s="27"/>
      <c r="DR104" s="27"/>
      <c r="DS104" s="27"/>
      <c r="DT104" s="27"/>
    </row>
    <row r="105" spans="2:124" ht="13.5" customHeight="1" x14ac:dyDescent="0.2">
      <c r="B105" s="27"/>
      <c r="C105" s="27"/>
      <c r="D105" s="27"/>
      <c r="E105" s="27"/>
      <c r="F105" s="27"/>
      <c r="G105" s="27"/>
      <c r="H105" s="27"/>
      <c r="I105" s="27"/>
      <c r="J105" s="27"/>
      <c r="K105" s="27"/>
      <c r="L105" s="27"/>
      <c r="M105" s="27"/>
      <c r="N105" s="27">
        <v>4</v>
      </c>
      <c r="O105" s="27"/>
      <c r="P105" s="27"/>
      <c r="Q105" s="27"/>
      <c r="R105" s="27"/>
      <c r="S105" s="27"/>
      <c r="T105" s="27"/>
      <c r="U105" s="27"/>
      <c r="V105" s="27"/>
      <c r="W105" s="27"/>
      <c r="X105" s="27"/>
      <c r="Y105" s="27"/>
      <c r="Z105" s="27"/>
      <c r="AA105" s="27"/>
      <c r="AB105" s="27"/>
      <c r="AC105" s="27"/>
      <c r="AD105" s="27"/>
      <c r="AE105" s="27"/>
      <c r="AF105" s="27"/>
      <c r="AG105" s="27"/>
      <c r="AH105" s="27"/>
      <c r="AI105" s="27"/>
      <c r="AJ105" s="27"/>
      <c r="AK105" s="27"/>
      <c r="AL105" s="27"/>
      <c r="AM105" s="27"/>
      <c r="AN105" s="27"/>
      <c r="AO105" s="27"/>
      <c r="AP105" s="27"/>
      <c r="AQ105" s="27"/>
      <c r="AR105" s="27"/>
      <c r="AS105" s="27"/>
      <c r="AT105" s="27"/>
      <c r="AU105" s="27"/>
      <c r="AV105" s="27"/>
      <c r="AW105" s="27"/>
      <c r="AX105" s="27"/>
      <c r="AY105" s="27"/>
      <c r="AZ105" s="27"/>
      <c r="BA105" s="27"/>
      <c r="BB105" s="27"/>
      <c r="BC105" s="27"/>
      <c r="BD105" s="27"/>
      <c r="BE105" s="27"/>
      <c r="BF105" s="27"/>
      <c r="BG105" s="27"/>
      <c r="BH105" s="27"/>
      <c r="BI105" s="27"/>
      <c r="BJ105" s="27"/>
      <c r="BK105" s="27"/>
      <c r="BL105" s="27"/>
      <c r="BM105" s="27"/>
      <c r="BN105" s="27"/>
      <c r="BO105" s="27"/>
      <c r="BP105" s="27"/>
      <c r="BQ105" s="27"/>
      <c r="BR105" s="27"/>
      <c r="BS105" s="27"/>
      <c r="BT105" s="27"/>
      <c r="BU105" s="27"/>
      <c r="BV105" s="27"/>
      <c r="BW105" s="27"/>
      <c r="BX105" s="27"/>
      <c r="BY105" s="27"/>
      <c r="BZ105" s="27"/>
      <c r="CA105" s="27"/>
      <c r="CB105" s="27"/>
      <c r="CC105" s="27"/>
      <c r="CD105" s="27"/>
      <c r="CE105" s="27"/>
      <c r="CF105" s="27"/>
      <c r="CG105" s="27"/>
      <c r="CH105" s="27"/>
      <c r="CI105" s="27"/>
      <c r="CJ105" s="27"/>
      <c r="CK105" s="27"/>
      <c r="CL105" s="27"/>
      <c r="CM105" s="27"/>
      <c r="CN105" s="27"/>
      <c r="CO105" s="27"/>
      <c r="CP105" s="27"/>
      <c r="CQ105" s="27"/>
      <c r="CR105" s="27"/>
      <c r="CS105" s="27"/>
      <c r="CT105" s="27"/>
      <c r="CU105" s="27"/>
      <c r="CV105" s="27"/>
      <c r="CW105" s="27"/>
      <c r="CX105" s="27"/>
      <c r="CY105" s="27"/>
      <c r="CZ105" s="27"/>
      <c r="DA105" s="27"/>
      <c r="DB105" s="27"/>
      <c r="DC105" s="27"/>
      <c r="DD105" s="27"/>
      <c r="DE105" s="27"/>
      <c r="DF105" s="27"/>
      <c r="DG105" s="27"/>
      <c r="DH105" s="27"/>
      <c r="DI105" s="27"/>
      <c r="DJ105" s="27"/>
      <c r="DK105" s="27"/>
      <c r="DL105" s="27"/>
      <c r="DM105" s="27"/>
      <c r="DN105" s="27"/>
      <c r="DO105" s="27"/>
      <c r="DP105" s="27"/>
      <c r="DQ105" s="27"/>
      <c r="DR105" s="27"/>
      <c r="DS105" s="27"/>
      <c r="DT105" s="27"/>
    </row>
    <row r="106" spans="2:124" ht="15.75" customHeight="1" x14ac:dyDescent="0.2">
      <c r="B106" s="27"/>
      <c r="C106" s="27"/>
      <c r="D106" s="27"/>
      <c r="E106" s="27"/>
      <c r="F106" s="27"/>
      <c r="G106" s="27"/>
      <c r="H106" s="27"/>
      <c r="I106" s="27"/>
      <c r="J106" s="27"/>
      <c r="K106" s="27"/>
      <c r="L106" s="27"/>
      <c r="M106" s="27"/>
      <c r="N106" s="27">
        <v>4.5</v>
      </c>
      <c r="O106" s="27"/>
      <c r="P106" s="27">
        <f>(G202-T7)*2.4%</f>
        <v>2.6659199999999998</v>
      </c>
      <c r="Q106" s="27" t="s">
        <v>467</v>
      </c>
      <c r="R106" s="27" t="str">
        <f>IF(Q105&gt;=60,"עד גיל 60 בלבד ","" )</f>
        <v/>
      </c>
      <c r="S106" s="27" t="e">
        <f>#REF!</f>
        <v>#REF!</v>
      </c>
      <c r="T106" s="27"/>
      <c r="U106" s="27"/>
      <c r="V106" s="27"/>
      <c r="W106" s="27"/>
      <c r="X106" s="27"/>
      <c r="Y106" s="27"/>
      <c r="Z106" s="27"/>
      <c r="AA106" s="27"/>
      <c r="AB106" s="27"/>
      <c r="AC106" s="27"/>
      <c r="AD106" s="27"/>
      <c r="AE106" s="27"/>
      <c r="AF106" s="27"/>
      <c r="AG106" s="27"/>
      <c r="AH106" s="27"/>
      <c r="AI106" s="27"/>
      <c r="AJ106" s="27"/>
      <c r="AK106" s="27"/>
      <c r="AL106" s="27"/>
      <c r="AM106" s="27"/>
      <c r="AN106" s="27"/>
      <c r="AO106" s="27"/>
      <c r="AP106" s="27"/>
      <c r="AQ106" s="27"/>
      <c r="AR106" s="27"/>
      <c r="AS106" s="27"/>
      <c r="AT106" s="27"/>
      <c r="AU106" s="27"/>
      <c r="AV106" s="27"/>
      <c r="AW106" s="27"/>
      <c r="AX106" s="27"/>
      <c r="AY106" s="27"/>
      <c r="AZ106" s="27"/>
      <c r="BA106" s="27"/>
      <c r="BB106" s="27"/>
      <c r="BC106" s="27"/>
      <c r="BD106" s="27"/>
      <c r="BE106" s="27"/>
      <c r="BF106" s="27"/>
      <c r="BG106" s="27"/>
      <c r="BH106" s="27"/>
      <c r="BI106" s="27"/>
      <c r="BJ106" s="27"/>
      <c r="BK106" s="27"/>
      <c r="BL106" s="27"/>
      <c r="BM106" s="27"/>
      <c r="BN106" s="27"/>
      <c r="BO106" s="27"/>
      <c r="BP106" s="27"/>
      <c r="BQ106" s="27"/>
      <c r="BR106" s="27"/>
      <c r="BS106" s="27"/>
      <c r="BT106" s="27"/>
      <c r="BU106" s="27"/>
      <c r="BV106" s="27"/>
      <c r="BW106" s="27"/>
      <c r="BX106" s="27"/>
      <c r="BY106" s="27"/>
      <c r="BZ106" s="27"/>
      <c r="CA106" s="27"/>
      <c r="CB106" s="27"/>
      <c r="CC106" s="27"/>
      <c r="CD106" s="27"/>
      <c r="CE106" s="27"/>
      <c r="CF106" s="27"/>
      <c r="CG106" s="27"/>
      <c r="CH106" s="27"/>
      <c r="CI106" s="27"/>
      <c r="CJ106" s="27"/>
      <c r="CK106" s="27"/>
      <c r="CL106" s="27"/>
      <c r="CM106" s="27"/>
      <c r="CN106" s="27"/>
      <c r="CO106" s="27"/>
      <c r="CP106" s="27"/>
      <c r="CQ106" s="27"/>
      <c r="CR106" s="27"/>
      <c r="CS106" s="27"/>
      <c r="CT106" s="27"/>
      <c r="CU106" s="27"/>
      <c r="CV106" s="27"/>
      <c r="CW106" s="27"/>
      <c r="CX106" s="27"/>
      <c r="CY106" s="27"/>
      <c r="CZ106" s="27"/>
      <c r="DA106" s="27"/>
      <c r="DB106" s="27"/>
      <c r="DC106" s="27"/>
      <c r="DD106" s="27"/>
      <c r="DE106" s="27"/>
      <c r="DF106" s="27"/>
      <c r="DG106" s="27"/>
      <c r="DH106" s="27"/>
      <c r="DI106" s="27"/>
      <c r="DJ106" s="27"/>
      <c r="DK106" s="27"/>
      <c r="DL106" s="27"/>
      <c r="DM106" s="27"/>
      <c r="DN106" s="27"/>
      <c r="DO106" s="27"/>
      <c r="DP106" s="27"/>
      <c r="DQ106" s="27"/>
      <c r="DR106" s="27"/>
      <c r="DS106" s="27"/>
      <c r="DT106" s="27"/>
    </row>
    <row r="107" spans="2:124" ht="12" customHeight="1" x14ac:dyDescent="0.2">
      <c r="B107" s="27"/>
      <c r="C107" s="27"/>
      <c r="D107" s="27"/>
      <c r="E107" s="27"/>
      <c r="F107" s="27"/>
      <c r="G107" s="27"/>
      <c r="H107" s="27"/>
      <c r="I107" s="27"/>
      <c r="J107" s="27"/>
      <c r="K107" s="27"/>
      <c r="L107" s="27"/>
      <c r="M107" s="27"/>
      <c r="N107" s="27">
        <v>5</v>
      </c>
      <c r="O107" s="27"/>
      <c r="P107" s="27">
        <f>IF(AB16=0,0,IF(G202-T7+BG70&gt;13,13,G202-T7+BG70))</f>
        <v>0</v>
      </c>
      <c r="Q107" s="27" t="s">
        <v>468</v>
      </c>
      <c r="R107" s="27" t="s">
        <v>469</v>
      </c>
      <c r="S107" s="27">
        <f>F154</f>
        <v>0</v>
      </c>
      <c r="T107" s="27"/>
      <c r="U107" s="27"/>
      <c r="V107" s="27">
        <v>2001</v>
      </c>
      <c r="W107" s="27"/>
      <c r="X107" s="27"/>
      <c r="Y107" s="27"/>
      <c r="Z107" s="27"/>
      <c r="AA107" s="27"/>
      <c r="AB107" s="27"/>
      <c r="AC107" s="27"/>
      <c r="AD107" s="27"/>
      <c r="AE107" s="27"/>
      <c r="AF107" s="27"/>
      <c r="AG107" s="27"/>
      <c r="AH107" s="27"/>
      <c r="AI107" s="27"/>
      <c r="AJ107" s="27"/>
      <c r="AK107" s="27"/>
      <c r="AL107" s="27"/>
      <c r="AM107" s="27"/>
      <c r="AN107" s="27"/>
      <c r="AO107" s="27"/>
      <c r="AP107" s="27"/>
      <c r="AQ107" s="27"/>
      <c r="AR107" s="27"/>
      <c r="AS107" s="27"/>
      <c r="AT107" s="27"/>
      <c r="AU107" s="27"/>
      <c r="AV107" s="27"/>
      <c r="AW107" s="27"/>
      <c r="AX107" s="27"/>
      <c r="AY107" s="27"/>
      <c r="AZ107" s="27"/>
      <c r="BA107" s="27"/>
      <c r="BB107" s="27"/>
      <c r="BC107" s="27"/>
      <c r="BD107" s="27"/>
      <c r="BE107" s="27"/>
      <c r="BF107" s="27"/>
      <c r="BG107" s="27"/>
      <c r="BH107" s="27"/>
      <c r="BI107" s="27"/>
      <c r="BJ107" s="27"/>
      <c r="BK107" s="27"/>
      <c r="BL107" s="27"/>
      <c r="BM107" s="27"/>
      <c r="BN107" s="27"/>
      <c r="BO107" s="27"/>
      <c r="BP107" s="27"/>
      <c r="BQ107" s="27"/>
      <c r="BR107" s="27"/>
      <c r="BS107" s="27"/>
      <c r="BT107" s="27"/>
      <c r="BU107" s="27"/>
      <c r="BV107" s="27"/>
      <c r="BW107" s="27"/>
      <c r="BX107" s="27"/>
      <c r="BY107" s="27"/>
      <c r="BZ107" s="27"/>
      <c r="CA107" s="27"/>
      <c r="CB107" s="27"/>
      <c r="CC107" s="27"/>
      <c r="CD107" s="27"/>
      <c r="CE107" s="27"/>
      <c r="CF107" s="27"/>
      <c r="CG107" s="27"/>
      <c r="CH107" s="27"/>
      <c r="CI107" s="27"/>
      <c r="CJ107" s="27"/>
      <c r="CK107" s="27"/>
      <c r="CL107" s="27"/>
      <c r="CM107" s="27"/>
      <c r="CN107" s="27"/>
      <c r="CO107" s="27"/>
      <c r="CP107" s="27"/>
      <c r="CQ107" s="27"/>
      <c r="CR107" s="27"/>
      <c r="CS107" s="27"/>
      <c r="CT107" s="27"/>
      <c r="CU107" s="27"/>
      <c r="CV107" s="27"/>
      <c r="CW107" s="27"/>
      <c r="CX107" s="27"/>
      <c r="CY107" s="27"/>
      <c r="CZ107" s="27"/>
      <c r="DA107" s="27"/>
      <c r="DB107" s="27"/>
      <c r="DC107" s="27"/>
      <c r="DD107" s="27"/>
      <c r="DE107" s="27"/>
      <c r="DF107" s="27"/>
      <c r="DG107" s="27"/>
      <c r="DH107" s="27"/>
      <c r="DI107" s="27"/>
      <c r="DJ107" s="27"/>
      <c r="DK107" s="27"/>
      <c r="DL107" s="27"/>
      <c r="DM107" s="27"/>
      <c r="DN107" s="27"/>
      <c r="DO107" s="27"/>
      <c r="DP107" s="27"/>
      <c r="DQ107" s="27"/>
      <c r="DR107" s="27"/>
      <c r="DS107" s="27"/>
      <c r="DT107" s="27"/>
    </row>
    <row r="108" spans="2:124" ht="19.5" customHeight="1" x14ac:dyDescent="0.2">
      <c r="B108" s="27"/>
      <c r="C108" s="27"/>
      <c r="D108" s="27"/>
      <c r="E108" s="27"/>
      <c r="F108" s="27"/>
      <c r="G108" s="27"/>
      <c r="H108" s="27"/>
      <c r="I108" s="27"/>
      <c r="J108" s="27"/>
      <c r="K108" s="27"/>
      <c r="L108" s="27"/>
      <c r="M108" s="27"/>
      <c r="N108" s="27">
        <v>5.5</v>
      </c>
      <c r="O108" s="27"/>
      <c r="P108" s="27"/>
      <c r="Q108" s="27" t="s">
        <v>470</v>
      </c>
      <c r="R108" s="27" t="e">
        <f>#REF!</f>
        <v>#REF!</v>
      </c>
      <c r="S108" s="27" t="e">
        <f>IF(AC53=AA48,F155*AB48,IF(AC53=AA49,F155*AB49,IF(AC53=AA50,F155*AB50)))</f>
        <v>#REF!</v>
      </c>
      <c r="T108" s="27"/>
      <c r="U108" s="27"/>
      <c r="V108" s="27"/>
      <c r="W108" s="27"/>
      <c r="X108" s="27"/>
      <c r="Y108" s="27"/>
      <c r="Z108" s="27"/>
      <c r="AA108" s="27"/>
      <c r="AB108" s="27"/>
      <c r="AC108" s="27"/>
      <c r="AD108" s="27"/>
      <c r="AE108" s="27"/>
      <c r="AF108" s="27"/>
      <c r="AG108" s="27"/>
      <c r="AH108" s="27"/>
      <c r="AI108" s="27"/>
      <c r="AJ108" s="27"/>
      <c r="AK108" s="27"/>
      <c r="AL108" s="27"/>
      <c r="AM108" s="27"/>
      <c r="AN108" s="27"/>
      <c r="AO108" s="27"/>
      <c r="AP108" s="27"/>
      <c r="AQ108" s="27"/>
      <c r="AR108" s="27"/>
      <c r="AS108" s="27"/>
      <c r="AT108" s="27"/>
      <c r="AU108" s="27"/>
      <c r="AV108" s="27"/>
      <c r="AW108" s="27"/>
      <c r="AX108" s="27"/>
      <c r="AY108" s="27"/>
      <c r="AZ108" s="27"/>
      <c r="BA108" s="27"/>
      <c r="BB108" s="27"/>
      <c r="BC108" s="27"/>
      <c r="BD108" s="27"/>
      <c r="BE108" s="27"/>
      <c r="BF108" s="27"/>
      <c r="BG108" s="27"/>
      <c r="BH108" s="27"/>
      <c r="BI108" s="27"/>
      <c r="BJ108" s="27"/>
      <c r="BK108" s="27"/>
      <c r="BL108" s="27"/>
      <c r="BM108" s="27"/>
      <c r="BN108" s="27"/>
      <c r="BO108" s="27"/>
      <c r="BP108" s="27"/>
      <c r="BQ108" s="27"/>
      <c r="BR108" s="27"/>
      <c r="BS108" s="27"/>
      <c r="BT108" s="27"/>
      <c r="BU108" s="27"/>
      <c r="BV108" s="27"/>
      <c r="BW108" s="27"/>
      <c r="BX108" s="27"/>
      <c r="BY108" s="27"/>
      <c r="BZ108" s="27"/>
      <c r="CA108" s="27"/>
      <c r="CB108" s="27"/>
      <c r="CC108" s="27"/>
      <c r="CD108" s="27"/>
      <c r="CE108" s="27"/>
      <c r="CF108" s="27"/>
      <c r="CG108" s="27"/>
      <c r="CH108" s="27"/>
      <c r="CI108" s="27"/>
      <c r="CJ108" s="27"/>
      <c r="CK108" s="27"/>
      <c r="CL108" s="27"/>
      <c r="CM108" s="27"/>
      <c r="CN108" s="27"/>
      <c r="CO108" s="27"/>
      <c r="CP108" s="27"/>
      <c r="CQ108" s="27"/>
      <c r="CR108" s="27"/>
      <c r="CS108" s="27"/>
      <c r="CT108" s="27"/>
      <c r="CU108" s="27"/>
      <c r="CV108" s="27"/>
      <c r="CW108" s="27"/>
      <c r="CX108" s="27"/>
      <c r="CY108" s="27"/>
      <c r="CZ108" s="27"/>
      <c r="DA108" s="27"/>
      <c r="DB108" s="27"/>
      <c r="DC108" s="27"/>
      <c r="DD108" s="27"/>
      <c r="DE108" s="27"/>
      <c r="DF108" s="27"/>
      <c r="DG108" s="27"/>
      <c r="DH108" s="27"/>
      <c r="DI108" s="27"/>
      <c r="DJ108" s="27"/>
      <c r="DK108" s="27"/>
      <c r="DL108" s="27"/>
      <c r="DM108" s="27"/>
      <c r="DN108" s="27"/>
      <c r="DO108" s="27"/>
      <c r="DP108" s="27"/>
      <c r="DQ108" s="27"/>
      <c r="DR108" s="27"/>
      <c r="DS108" s="27"/>
      <c r="DT108" s="27"/>
    </row>
    <row r="109" spans="2:124" ht="15.75" customHeight="1" x14ac:dyDescent="0.2">
      <c r="B109" s="27"/>
      <c r="C109" s="27"/>
      <c r="D109" s="27"/>
      <c r="E109" s="27"/>
      <c r="F109" s="27"/>
      <c r="G109" s="27"/>
      <c r="H109" s="27"/>
      <c r="I109" s="27"/>
      <c r="J109" s="27"/>
      <c r="K109" s="27"/>
      <c r="L109" s="27"/>
      <c r="M109" s="27"/>
      <c r="N109" s="27">
        <v>6</v>
      </c>
      <c r="O109" s="27"/>
      <c r="P109" s="27"/>
      <c r="Q109" s="27" t="s">
        <v>471</v>
      </c>
      <c r="R109" s="27" t="e">
        <f>#REF!</f>
        <v>#REF!</v>
      </c>
      <c r="S109" s="27" t="e">
        <f>#REF!</f>
        <v>#REF!</v>
      </c>
      <c r="T109" s="27"/>
      <c r="U109" s="27"/>
      <c r="V109" s="27">
        <v>2008</v>
      </c>
      <c r="W109" s="27"/>
      <c r="X109" s="27"/>
      <c r="Y109" s="27"/>
      <c r="Z109" s="27"/>
      <c r="AA109" s="27"/>
      <c r="AB109" s="27"/>
      <c r="AC109" s="27"/>
      <c r="AD109" s="27"/>
      <c r="AE109" s="27"/>
      <c r="AF109" s="27"/>
      <c r="AG109" s="27"/>
      <c r="AH109" s="27"/>
      <c r="AI109" s="27"/>
      <c r="AJ109" s="27"/>
      <c r="AK109" s="27"/>
      <c r="AL109" s="27"/>
      <c r="AM109" s="27"/>
      <c r="AN109" s="27"/>
      <c r="AO109" s="27"/>
      <c r="AP109" s="27"/>
      <c r="AQ109" s="27"/>
      <c r="AR109" s="27"/>
      <c r="AS109" s="27"/>
      <c r="AT109" s="27"/>
      <c r="AU109" s="27"/>
      <c r="AV109" s="27"/>
      <c r="AW109" s="27"/>
      <c r="AX109" s="27"/>
      <c r="AY109" s="27"/>
      <c r="AZ109" s="27"/>
      <c r="BA109" s="27"/>
      <c r="BB109" s="27"/>
      <c r="BC109" s="27"/>
      <c r="BD109" s="27"/>
      <c r="BE109" s="27"/>
      <c r="BF109" s="27"/>
      <c r="BG109" s="27"/>
      <c r="BH109" s="27"/>
      <c r="BI109" s="27"/>
      <c r="BJ109" s="27"/>
      <c r="BK109" s="27"/>
      <c r="BL109" s="27"/>
      <c r="BM109" s="27"/>
      <c r="BN109" s="27"/>
      <c r="BO109" s="27"/>
      <c r="BP109" s="27"/>
      <c r="BQ109" s="27"/>
      <c r="BR109" s="27"/>
      <c r="BS109" s="27"/>
      <c r="BT109" s="27"/>
      <c r="BU109" s="27"/>
      <c r="BV109" s="27"/>
      <c r="BW109" s="27"/>
      <c r="BX109" s="27"/>
      <c r="BY109" s="27"/>
      <c r="BZ109" s="27"/>
      <c r="CA109" s="27"/>
      <c r="CB109" s="27"/>
      <c r="CC109" s="27"/>
      <c r="CD109" s="27"/>
      <c r="CE109" s="27"/>
      <c r="CF109" s="27"/>
      <c r="CG109" s="27"/>
      <c r="CH109" s="27"/>
      <c r="CI109" s="27"/>
      <c r="CJ109" s="27"/>
      <c r="CK109" s="27"/>
      <c r="CL109" s="27"/>
      <c r="CM109" s="27"/>
      <c r="CN109" s="27"/>
      <c r="CO109" s="27"/>
      <c r="CP109" s="27"/>
      <c r="CQ109" s="27"/>
      <c r="CR109" s="27"/>
      <c r="CS109" s="27"/>
      <c r="CT109" s="27"/>
      <c r="CU109" s="27"/>
      <c r="CV109" s="27"/>
      <c r="CW109" s="27"/>
      <c r="CX109" s="27"/>
      <c r="CY109" s="27"/>
      <c r="CZ109" s="27"/>
      <c r="DA109" s="27"/>
      <c r="DB109" s="27"/>
      <c r="DC109" s="27"/>
      <c r="DD109" s="27"/>
      <c r="DE109" s="27"/>
      <c r="DF109" s="27"/>
      <c r="DG109" s="27"/>
      <c r="DH109" s="27"/>
      <c r="DI109" s="27"/>
      <c r="DJ109" s="27"/>
      <c r="DK109" s="27"/>
      <c r="DL109" s="27"/>
      <c r="DM109" s="27"/>
      <c r="DN109" s="27"/>
      <c r="DO109" s="27"/>
      <c r="DP109" s="27"/>
      <c r="DQ109" s="27"/>
      <c r="DR109" s="27"/>
      <c r="DS109" s="27"/>
      <c r="DT109" s="27"/>
    </row>
    <row r="110" spans="2:124" ht="15.75" customHeight="1" x14ac:dyDescent="0.2">
      <c r="B110" s="27"/>
      <c r="C110" s="27"/>
      <c r="D110" s="27"/>
      <c r="E110" s="27"/>
      <c r="F110" s="27"/>
      <c r="G110" s="27"/>
      <c r="H110" s="27"/>
      <c r="I110" s="27"/>
      <c r="J110" s="27"/>
      <c r="K110" s="27"/>
      <c r="L110" s="27"/>
      <c r="M110" s="27"/>
      <c r="N110" s="27">
        <v>6.5</v>
      </c>
      <c r="O110" s="27"/>
      <c r="P110" s="27"/>
      <c r="Q110" s="27" t="s">
        <v>472</v>
      </c>
      <c r="R110" s="27" t="e">
        <f>#REF!</f>
        <v>#REF!</v>
      </c>
      <c r="S110" s="27" t="e">
        <f>#REF!</f>
        <v>#REF!</v>
      </c>
      <c r="T110" s="27"/>
      <c r="U110" s="27"/>
      <c r="V110" s="27" t="s">
        <v>450</v>
      </c>
      <c r="W110" s="27"/>
      <c r="X110" s="27"/>
      <c r="Y110" s="27"/>
      <c r="Z110" s="27"/>
      <c r="AA110" s="27"/>
      <c r="AB110" s="27"/>
      <c r="AC110" s="27"/>
      <c r="AD110" s="27"/>
      <c r="AE110" s="27"/>
      <c r="AF110" s="27"/>
      <c r="AG110" s="27"/>
      <c r="AH110" s="27"/>
      <c r="AI110" s="27"/>
      <c r="AJ110" s="27"/>
      <c r="AK110" s="27"/>
      <c r="AL110" s="27"/>
      <c r="AM110" s="27"/>
      <c r="AN110" s="27"/>
      <c r="AO110" s="27"/>
      <c r="AP110" s="27"/>
      <c r="AQ110" s="27"/>
      <c r="AR110" s="27"/>
      <c r="AS110" s="27"/>
      <c r="AT110" s="27"/>
      <c r="AU110" s="27"/>
      <c r="AV110" s="27"/>
      <c r="AW110" s="27"/>
      <c r="AX110" s="27"/>
      <c r="AY110" s="27"/>
      <c r="AZ110" s="27"/>
      <c r="BA110" s="27"/>
      <c r="BB110" s="27"/>
      <c r="BC110" s="27"/>
      <c r="BD110" s="27"/>
      <c r="BE110" s="27"/>
      <c r="BF110" s="27"/>
      <c r="BG110" s="27"/>
      <c r="BH110" s="27"/>
      <c r="BI110" s="27"/>
      <c r="BJ110" s="27"/>
      <c r="BK110" s="27"/>
      <c r="BL110" s="27"/>
      <c r="BM110" s="27"/>
      <c r="BN110" s="27"/>
      <c r="BO110" s="27"/>
      <c r="BP110" s="27"/>
      <c r="BQ110" s="27"/>
      <c r="BR110" s="27"/>
      <c r="BS110" s="27"/>
      <c r="BT110" s="27"/>
      <c r="BU110" s="27"/>
      <c r="BV110" s="27"/>
      <c r="BW110" s="27"/>
      <c r="BX110" s="27"/>
      <c r="BY110" s="27"/>
      <c r="BZ110" s="27"/>
      <c r="CA110" s="27"/>
      <c r="CB110" s="27"/>
      <c r="CC110" s="27"/>
      <c r="CD110" s="27"/>
      <c r="CE110" s="27"/>
      <c r="CF110" s="27"/>
      <c r="CG110" s="27"/>
      <c r="CH110" s="27"/>
      <c r="CI110" s="27"/>
      <c r="CJ110" s="27"/>
      <c r="CK110" s="27"/>
      <c r="CL110" s="27"/>
      <c r="CM110" s="27"/>
      <c r="CN110" s="27"/>
      <c r="CO110" s="27"/>
      <c r="CP110" s="27"/>
      <c r="CQ110" s="27"/>
      <c r="CR110" s="27"/>
      <c r="CS110" s="27"/>
      <c r="CT110" s="27"/>
      <c r="CU110" s="27"/>
      <c r="CV110" s="27"/>
      <c r="CW110" s="27"/>
      <c r="CX110" s="27"/>
      <c r="CY110" s="27"/>
      <c r="CZ110" s="27"/>
      <c r="DA110" s="27"/>
      <c r="DB110" s="27"/>
      <c r="DC110" s="27"/>
      <c r="DD110" s="27"/>
      <c r="DE110" s="27"/>
      <c r="DF110" s="27"/>
      <c r="DG110" s="27"/>
      <c r="DH110" s="27"/>
      <c r="DI110" s="27"/>
      <c r="DJ110" s="27"/>
      <c r="DK110" s="27"/>
      <c r="DL110" s="27"/>
      <c r="DM110" s="27"/>
      <c r="DN110" s="27"/>
      <c r="DO110" s="27"/>
      <c r="DP110" s="27"/>
      <c r="DQ110" s="27"/>
      <c r="DR110" s="27"/>
      <c r="DS110" s="27"/>
      <c r="DT110" s="27"/>
    </row>
    <row r="111" spans="2:124" ht="15.75" customHeight="1" x14ac:dyDescent="0.2">
      <c r="B111" s="27"/>
      <c r="C111" s="27"/>
      <c r="D111" s="27"/>
      <c r="E111" s="27"/>
      <c r="F111" s="27"/>
      <c r="G111" s="27"/>
      <c r="H111" s="27"/>
      <c r="I111" s="27"/>
      <c r="J111" s="27"/>
      <c r="K111" s="27"/>
      <c r="L111" s="27"/>
      <c r="M111" s="27"/>
      <c r="N111" s="27">
        <v>7</v>
      </c>
      <c r="O111" s="27"/>
      <c r="P111" s="27"/>
      <c r="Q111" s="27" t="s">
        <v>473</v>
      </c>
      <c r="R111" s="27">
        <f>IF(AD97=0,AB97,AC97)</f>
        <v>0</v>
      </c>
      <c r="S111" s="27" t="e">
        <f>#REF!</f>
        <v>#REF!</v>
      </c>
      <c r="T111" s="27"/>
      <c r="U111" s="27"/>
      <c r="V111" s="27"/>
      <c r="W111" s="27"/>
      <c r="X111" s="27"/>
      <c r="Y111" s="27"/>
      <c r="Z111" s="27"/>
      <c r="AA111" s="27"/>
      <c r="AB111" s="27"/>
      <c r="AC111" s="27"/>
      <c r="AD111" s="27"/>
      <c r="AE111" s="27"/>
      <c r="AF111" s="27"/>
      <c r="AG111" s="27"/>
      <c r="AH111" s="27"/>
      <c r="AI111" s="27"/>
      <c r="AJ111" s="27"/>
      <c r="AK111" s="27"/>
      <c r="AL111" s="27"/>
      <c r="AM111" s="27"/>
      <c r="AN111" s="27"/>
      <c r="AO111" s="27"/>
      <c r="AP111" s="27"/>
      <c r="AQ111" s="27"/>
      <c r="AR111" s="27"/>
      <c r="AS111" s="27"/>
      <c r="AT111" s="27"/>
      <c r="AU111" s="27"/>
      <c r="AV111" s="27"/>
      <c r="AW111" s="27"/>
      <c r="AX111" s="27"/>
      <c r="AY111" s="27"/>
      <c r="AZ111" s="27"/>
      <c r="BA111" s="27"/>
      <c r="BB111" s="27"/>
      <c r="BC111" s="27"/>
      <c r="BD111" s="27"/>
      <c r="BE111" s="27"/>
      <c r="BF111" s="27"/>
      <c r="BG111" s="27"/>
      <c r="BH111" s="27"/>
      <c r="BI111" s="27"/>
      <c r="BJ111" s="27"/>
      <c r="BK111" s="27"/>
      <c r="BL111" s="27"/>
      <c r="BM111" s="27"/>
      <c r="BN111" s="27"/>
      <c r="BO111" s="27"/>
      <c r="BP111" s="27"/>
      <c r="BQ111" s="27"/>
      <c r="BR111" s="27"/>
      <c r="BS111" s="27"/>
      <c r="BT111" s="27"/>
      <c r="BU111" s="27"/>
      <c r="BV111" s="27"/>
      <c r="BW111" s="27"/>
      <c r="BX111" s="27"/>
      <c r="BY111" s="27"/>
      <c r="BZ111" s="27"/>
      <c r="CA111" s="27"/>
      <c r="CB111" s="27"/>
      <c r="CC111" s="27"/>
      <c r="CD111" s="27"/>
      <c r="CE111" s="27"/>
      <c r="CF111" s="27"/>
      <c r="CG111" s="27"/>
      <c r="CH111" s="27"/>
      <c r="CI111" s="27"/>
      <c r="CJ111" s="27"/>
      <c r="CK111" s="27"/>
      <c r="CL111" s="27"/>
      <c r="CM111" s="27"/>
      <c r="CN111" s="27"/>
      <c r="CO111" s="27"/>
      <c r="CP111" s="27"/>
      <c r="CQ111" s="27"/>
      <c r="CR111" s="27"/>
      <c r="CS111" s="27"/>
      <c r="CT111" s="27"/>
      <c r="CU111" s="27"/>
      <c r="CV111" s="27"/>
      <c r="CW111" s="27"/>
      <c r="CX111" s="27"/>
      <c r="CY111" s="27"/>
      <c r="CZ111" s="27"/>
      <c r="DA111" s="27"/>
      <c r="DB111" s="27"/>
      <c r="DC111" s="27"/>
      <c r="DD111" s="27"/>
      <c r="DE111" s="27"/>
      <c r="DF111" s="27"/>
      <c r="DG111" s="27"/>
      <c r="DH111" s="27"/>
      <c r="DI111" s="27"/>
      <c r="DJ111" s="27"/>
      <c r="DK111" s="27"/>
      <c r="DL111" s="27"/>
      <c r="DM111" s="27"/>
      <c r="DN111" s="27"/>
      <c r="DO111" s="27"/>
      <c r="DP111" s="27"/>
      <c r="DQ111" s="27"/>
      <c r="DR111" s="27"/>
      <c r="DS111" s="27"/>
      <c r="DT111" s="27"/>
    </row>
    <row r="112" spans="2:124" ht="15.75" customHeight="1" x14ac:dyDescent="0.2">
      <c r="B112" s="27"/>
      <c r="C112" s="27"/>
      <c r="D112" s="27"/>
      <c r="E112" s="27"/>
      <c r="F112" s="27"/>
      <c r="G112" s="27"/>
      <c r="H112" s="27"/>
      <c r="I112" s="27"/>
      <c r="J112" s="27"/>
      <c r="K112" s="27"/>
      <c r="L112" s="27"/>
      <c r="M112" s="27"/>
      <c r="N112" s="27">
        <v>7.5</v>
      </c>
      <c r="O112" s="27"/>
      <c r="P112" s="27"/>
      <c r="Q112" s="27"/>
      <c r="R112" s="27"/>
      <c r="S112" s="27" t="e">
        <f>SUM(S106:S111)</f>
        <v>#REF!</v>
      </c>
      <c r="T112" s="27"/>
      <c r="U112" s="27"/>
      <c r="V112" s="27"/>
      <c r="W112" s="27"/>
      <c r="X112" s="27"/>
      <c r="Y112" s="27"/>
      <c r="Z112" s="27"/>
      <c r="AA112" s="27"/>
      <c r="AB112" s="27"/>
      <c r="AC112" s="27"/>
      <c r="AD112" s="27"/>
      <c r="AE112" s="27"/>
      <c r="AF112" s="27"/>
      <c r="AG112" s="27"/>
      <c r="AH112" s="27"/>
      <c r="AI112" s="27"/>
      <c r="AJ112" s="27"/>
      <c r="AK112" s="27"/>
      <c r="AL112" s="27"/>
      <c r="AM112" s="27"/>
      <c r="AN112" s="27"/>
      <c r="AO112" s="27"/>
      <c r="AP112" s="27"/>
      <c r="AQ112" s="27"/>
      <c r="AR112" s="27"/>
      <c r="AS112" s="27"/>
      <c r="AT112" s="27"/>
      <c r="AU112" s="27"/>
      <c r="AV112" s="27"/>
      <c r="AW112" s="27"/>
      <c r="AX112" s="27"/>
      <c r="AY112" s="27"/>
      <c r="AZ112" s="27"/>
      <c r="BA112" s="27"/>
      <c r="BB112" s="27"/>
      <c r="BC112" s="27"/>
      <c r="BD112" s="27"/>
      <c r="BE112" s="27"/>
      <c r="BF112" s="27"/>
      <c r="BG112" s="27"/>
      <c r="BH112" s="27"/>
      <c r="BI112" s="27"/>
      <c r="BJ112" s="27"/>
      <c r="BK112" s="27"/>
      <c r="BL112" s="27"/>
      <c r="BM112" s="27"/>
      <c r="BN112" s="27"/>
      <c r="BO112" s="27"/>
      <c r="BP112" s="27"/>
      <c r="BQ112" s="27"/>
      <c r="BR112" s="27"/>
      <c r="BS112" s="27"/>
      <c r="BT112" s="27"/>
      <c r="BU112" s="27"/>
      <c r="BV112" s="27"/>
      <c r="BW112" s="27"/>
      <c r="BX112" s="27"/>
      <c r="BY112" s="27"/>
      <c r="BZ112" s="27"/>
      <c r="CA112" s="27"/>
      <c r="CB112" s="27"/>
      <c r="CC112" s="27"/>
      <c r="CD112" s="27"/>
      <c r="CE112" s="27"/>
      <c r="CF112" s="27"/>
      <c r="CG112" s="27"/>
      <c r="CH112" s="27"/>
      <c r="CI112" s="27"/>
      <c r="CJ112" s="27"/>
      <c r="CK112" s="27"/>
      <c r="CL112" s="27"/>
      <c r="CM112" s="27"/>
      <c r="CN112" s="27"/>
      <c r="CO112" s="27"/>
      <c r="CP112" s="27"/>
      <c r="CQ112" s="27"/>
      <c r="CR112" s="27"/>
      <c r="CS112" s="27"/>
      <c r="CT112" s="27"/>
      <c r="CU112" s="27"/>
      <c r="CV112" s="27"/>
      <c r="CW112" s="27"/>
      <c r="CX112" s="27"/>
      <c r="CY112" s="27"/>
      <c r="CZ112" s="27"/>
      <c r="DA112" s="27"/>
      <c r="DB112" s="27"/>
      <c r="DC112" s="27"/>
      <c r="DD112" s="27"/>
      <c r="DE112" s="27"/>
      <c r="DF112" s="27"/>
      <c r="DG112" s="27"/>
      <c r="DH112" s="27"/>
      <c r="DI112" s="27"/>
      <c r="DJ112" s="27"/>
      <c r="DK112" s="27"/>
      <c r="DL112" s="27"/>
      <c r="DM112" s="27"/>
      <c r="DN112" s="27"/>
      <c r="DO112" s="27"/>
      <c r="DP112" s="27"/>
      <c r="DQ112" s="27"/>
      <c r="DR112" s="27"/>
      <c r="DS112" s="27"/>
      <c r="DT112" s="27"/>
    </row>
    <row r="113" spans="2:124" ht="15.75" customHeight="1" x14ac:dyDescent="0.2">
      <c r="B113" s="27"/>
      <c r="C113" s="27"/>
      <c r="D113" s="27"/>
      <c r="E113" s="27"/>
      <c r="F113" s="27"/>
      <c r="G113" s="27"/>
      <c r="H113" s="27"/>
      <c r="I113" s="27"/>
      <c r="J113" s="27"/>
      <c r="K113" s="27"/>
      <c r="L113" s="27"/>
      <c r="M113" s="27"/>
      <c r="N113" s="27">
        <v>8</v>
      </c>
      <c r="O113" s="27"/>
      <c r="P113" s="27"/>
      <c r="Q113" s="27"/>
      <c r="R113" s="27"/>
      <c r="S113" s="27"/>
      <c r="T113" s="27"/>
      <c r="U113" s="27"/>
      <c r="V113" s="27"/>
      <c r="W113" s="27"/>
      <c r="X113" s="27"/>
      <c r="Y113" s="27"/>
      <c r="Z113" s="27"/>
      <c r="AA113" s="27"/>
      <c r="AB113" s="27"/>
      <c r="AC113" s="27"/>
      <c r="AD113" s="27"/>
      <c r="AE113" s="27"/>
      <c r="AF113" s="27"/>
      <c r="AG113" s="27"/>
      <c r="AH113" s="27"/>
      <c r="AI113" s="27"/>
      <c r="AJ113" s="27"/>
      <c r="AK113" s="27"/>
      <c r="AL113" s="27"/>
      <c r="AM113" s="27"/>
      <c r="AN113" s="27"/>
      <c r="AO113" s="27"/>
      <c r="AP113" s="27"/>
      <c r="AQ113" s="27"/>
      <c r="AR113" s="27"/>
      <c r="AS113" s="27"/>
      <c r="AT113" s="27"/>
      <c r="AU113" s="27"/>
      <c r="AV113" s="27"/>
      <c r="AW113" s="27"/>
      <c r="AX113" s="27"/>
      <c r="AY113" s="27"/>
      <c r="AZ113" s="27"/>
      <c r="BA113" s="27"/>
      <c r="BB113" s="27"/>
      <c r="BC113" s="27"/>
      <c r="BD113" s="27"/>
      <c r="BE113" s="27"/>
      <c r="BF113" s="27"/>
      <c r="BG113" s="27"/>
      <c r="BH113" s="27"/>
      <c r="BI113" s="27"/>
      <c r="BJ113" s="27"/>
      <c r="BK113" s="27"/>
      <c r="BL113" s="27"/>
      <c r="BM113" s="27"/>
      <c r="BN113" s="27"/>
      <c r="BO113" s="27"/>
      <c r="BP113" s="27"/>
      <c r="BQ113" s="27"/>
      <c r="BR113" s="27"/>
      <c r="BS113" s="27"/>
      <c r="BT113" s="27"/>
      <c r="BU113" s="27"/>
      <c r="BV113" s="27"/>
      <c r="BW113" s="27"/>
      <c r="BX113" s="27"/>
      <c r="BY113" s="27"/>
      <c r="BZ113" s="27"/>
      <c r="CA113" s="27"/>
      <c r="CB113" s="27"/>
      <c r="CC113" s="27"/>
      <c r="CD113" s="27"/>
      <c r="CE113" s="27"/>
      <c r="CF113" s="27"/>
      <c r="CG113" s="27"/>
      <c r="CH113" s="27"/>
      <c r="CI113" s="27"/>
      <c r="CJ113" s="27"/>
      <c r="CK113" s="27"/>
      <c r="CL113" s="27"/>
      <c r="CM113" s="27"/>
      <c r="CN113" s="27"/>
      <c r="CO113" s="27"/>
      <c r="CP113" s="27"/>
      <c r="CQ113" s="27"/>
      <c r="CR113" s="27"/>
      <c r="CS113" s="27"/>
      <c r="CT113" s="27"/>
      <c r="CU113" s="27"/>
      <c r="CV113" s="27"/>
      <c r="CW113" s="27"/>
      <c r="CX113" s="27"/>
      <c r="CY113" s="27"/>
      <c r="CZ113" s="27"/>
      <c r="DA113" s="27"/>
      <c r="DB113" s="27"/>
      <c r="DC113" s="27"/>
      <c r="DD113" s="27"/>
      <c r="DE113" s="27"/>
      <c r="DF113" s="27"/>
      <c r="DG113" s="27"/>
      <c r="DH113" s="27"/>
      <c r="DI113" s="27"/>
      <c r="DJ113" s="27"/>
      <c r="DK113" s="27"/>
      <c r="DL113" s="27"/>
      <c r="DM113" s="27"/>
      <c r="DN113" s="27"/>
      <c r="DO113" s="27"/>
      <c r="DP113" s="27"/>
      <c r="DQ113" s="27"/>
      <c r="DR113" s="27"/>
      <c r="DS113" s="27"/>
      <c r="DT113" s="27"/>
    </row>
    <row r="114" spans="2:124" ht="15.75" customHeight="1" x14ac:dyDescent="0.2">
      <c r="B114" s="27"/>
      <c r="C114" s="27"/>
      <c r="D114" s="27"/>
      <c r="E114" s="27"/>
      <c r="F114" s="27"/>
      <c r="G114" s="27"/>
      <c r="H114" s="27"/>
      <c r="I114" s="27"/>
      <c r="J114" s="27"/>
      <c r="K114" s="27"/>
      <c r="L114" s="27"/>
      <c r="M114" s="27"/>
      <c r="N114" s="27">
        <v>8.5</v>
      </c>
      <c r="O114" s="27"/>
      <c r="P114" s="27"/>
      <c r="Q114" s="27"/>
      <c r="R114" s="27"/>
      <c r="S114" s="27"/>
      <c r="T114" s="27"/>
      <c r="U114" s="27"/>
      <c r="V114" s="27"/>
      <c r="W114" s="27"/>
      <c r="X114" s="27"/>
      <c r="Y114" s="27"/>
      <c r="Z114" s="27"/>
      <c r="AA114" s="27"/>
      <c r="AB114" s="27"/>
      <c r="AC114" s="27"/>
      <c r="AD114" s="27"/>
      <c r="AE114" s="27"/>
      <c r="AF114" s="27"/>
      <c r="AG114" s="27"/>
      <c r="AH114" s="27"/>
      <c r="AI114" s="27"/>
      <c r="AJ114" s="27"/>
      <c r="AK114" s="27"/>
      <c r="AL114" s="27"/>
      <c r="AM114" s="27"/>
      <c r="AN114" s="27"/>
      <c r="AO114" s="27"/>
      <c r="AP114" s="27"/>
      <c r="AQ114" s="27"/>
      <c r="AR114" s="27"/>
      <c r="AS114" s="27"/>
      <c r="AT114" s="27"/>
      <c r="AU114" s="27"/>
      <c r="AV114" s="27"/>
      <c r="AW114" s="27"/>
      <c r="AX114" s="27"/>
      <c r="AY114" s="27"/>
      <c r="AZ114" s="27"/>
      <c r="BA114" s="27"/>
      <c r="BB114" s="27"/>
      <c r="BC114" s="27"/>
      <c r="BD114" s="27"/>
      <c r="BE114" s="27"/>
      <c r="BF114" s="27"/>
      <c r="BG114" s="27"/>
      <c r="BH114" s="27"/>
      <c r="BI114" s="27"/>
      <c r="BJ114" s="27"/>
      <c r="BK114" s="27"/>
      <c r="BL114" s="27"/>
      <c r="BM114" s="27"/>
      <c r="BN114" s="27"/>
      <c r="BO114" s="27"/>
      <c r="BP114" s="27"/>
      <c r="BQ114" s="27"/>
      <c r="BR114" s="27"/>
      <c r="BS114" s="27"/>
      <c r="BT114" s="27"/>
      <c r="BU114" s="27"/>
      <c r="BV114" s="27"/>
      <c r="BW114" s="27"/>
      <c r="BX114" s="27"/>
      <c r="BY114" s="27"/>
      <c r="BZ114" s="27"/>
      <c r="CA114" s="27"/>
      <c r="CB114" s="27"/>
      <c r="CC114" s="27"/>
      <c r="CD114" s="27"/>
      <c r="CE114" s="27"/>
      <c r="CF114" s="27"/>
      <c r="CG114" s="27"/>
      <c r="CH114" s="27"/>
      <c r="CI114" s="27"/>
      <c r="CJ114" s="27"/>
      <c r="CK114" s="27"/>
      <c r="CL114" s="27"/>
      <c r="CM114" s="27"/>
      <c r="CN114" s="27"/>
      <c r="CO114" s="27"/>
      <c r="CP114" s="27"/>
      <c r="CQ114" s="27"/>
      <c r="CR114" s="27"/>
      <c r="CS114" s="27"/>
      <c r="CT114" s="27"/>
      <c r="CU114" s="27"/>
      <c r="CV114" s="27"/>
      <c r="CW114" s="27"/>
      <c r="CX114" s="27"/>
      <c r="CY114" s="27"/>
      <c r="CZ114" s="27"/>
      <c r="DA114" s="27"/>
      <c r="DB114" s="27"/>
      <c r="DC114" s="27"/>
      <c r="DD114" s="27"/>
      <c r="DE114" s="27"/>
      <c r="DF114" s="27"/>
      <c r="DG114" s="27"/>
      <c r="DH114" s="27"/>
      <c r="DI114" s="27"/>
      <c r="DJ114" s="27"/>
      <c r="DK114" s="27"/>
      <c r="DL114" s="27"/>
      <c r="DM114" s="27"/>
      <c r="DN114" s="27"/>
      <c r="DO114" s="27"/>
      <c r="DP114" s="27"/>
      <c r="DQ114" s="27"/>
      <c r="DR114" s="27"/>
      <c r="DS114" s="27"/>
      <c r="DT114" s="27"/>
    </row>
    <row r="115" spans="2:124" ht="15.75" customHeight="1" x14ac:dyDescent="0.2">
      <c r="B115" s="27"/>
      <c r="C115" s="27"/>
      <c r="D115" s="27"/>
      <c r="E115" s="27"/>
      <c r="F115" s="27"/>
      <c r="G115" s="27"/>
      <c r="H115" s="27"/>
      <c r="I115" s="27"/>
      <c r="J115" s="27"/>
      <c r="K115" s="27"/>
      <c r="L115" s="27" t="s">
        <v>13</v>
      </c>
      <c r="M115" s="27"/>
      <c r="N115" s="27">
        <v>9</v>
      </c>
      <c r="O115" s="27"/>
      <c r="P115" s="27"/>
      <c r="Q115" s="27"/>
      <c r="R115" s="27"/>
      <c r="S115" s="27"/>
      <c r="T115" s="27"/>
      <c r="U115" s="27"/>
      <c r="V115" s="27"/>
      <c r="W115" s="27"/>
      <c r="X115" s="27"/>
      <c r="Y115" s="27"/>
      <c r="Z115" s="27"/>
      <c r="AA115" s="27"/>
      <c r="AB115" s="27"/>
      <c r="AC115" s="27"/>
      <c r="AD115" s="27"/>
      <c r="AE115" s="27"/>
      <c r="AF115" s="27"/>
      <c r="AG115" s="27"/>
      <c r="AH115" s="27"/>
      <c r="AI115" s="27"/>
      <c r="AJ115" s="27"/>
      <c r="AK115" s="27"/>
      <c r="AL115" s="27"/>
      <c r="AM115" s="27"/>
      <c r="AN115" s="27"/>
      <c r="AO115" s="27"/>
      <c r="AP115" s="27"/>
      <c r="AQ115" s="27"/>
      <c r="AR115" s="27"/>
      <c r="AS115" s="27"/>
      <c r="AT115" s="27"/>
      <c r="AU115" s="27"/>
      <c r="AV115" s="27"/>
      <c r="AW115" s="27"/>
      <c r="AX115" s="27"/>
      <c r="AY115" s="27"/>
      <c r="AZ115" s="27"/>
      <c r="BA115" s="27"/>
      <c r="BB115" s="27"/>
      <c r="BC115" s="27"/>
      <c r="BD115" s="27"/>
      <c r="BE115" s="27"/>
      <c r="BF115" s="27"/>
      <c r="BG115" s="27"/>
      <c r="BH115" s="27"/>
      <c r="BI115" s="27"/>
      <c r="BJ115" s="27"/>
      <c r="BK115" s="27"/>
      <c r="BL115" s="27"/>
      <c r="BM115" s="27"/>
      <c r="BN115" s="27"/>
      <c r="BO115" s="27"/>
      <c r="BP115" s="27"/>
      <c r="BQ115" s="27"/>
      <c r="BR115" s="27"/>
      <c r="BS115" s="27"/>
      <c r="BT115" s="27"/>
      <c r="BU115" s="27"/>
      <c r="BV115" s="27"/>
      <c r="BW115" s="27"/>
      <c r="BX115" s="27"/>
      <c r="BY115" s="27"/>
      <c r="BZ115" s="27"/>
      <c r="CA115" s="27"/>
      <c r="CB115" s="27"/>
      <c r="CC115" s="27"/>
      <c r="CD115" s="27"/>
      <c r="CE115" s="27"/>
      <c r="CF115" s="27"/>
      <c r="CG115" s="27"/>
      <c r="CH115" s="27"/>
      <c r="CI115" s="27"/>
      <c r="CJ115" s="27"/>
      <c r="CK115" s="27"/>
      <c r="CL115" s="27"/>
      <c r="CM115" s="27"/>
      <c r="CN115" s="27"/>
      <c r="CO115" s="27"/>
      <c r="CP115" s="27"/>
      <c r="CQ115" s="27"/>
      <c r="CR115" s="27"/>
      <c r="CS115" s="27"/>
      <c r="CT115" s="27"/>
      <c r="CU115" s="27"/>
      <c r="CV115" s="27"/>
      <c r="CW115" s="27"/>
      <c r="CX115" s="27"/>
      <c r="CY115" s="27"/>
      <c r="CZ115" s="27"/>
      <c r="DA115" s="27"/>
      <c r="DB115" s="27"/>
      <c r="DC115" s="27"/>
      <c r="DD115" s="27"/>
      <c r="DE115" s="27"/>
      <c r="DF115" s="27"/>
      <c r="DG115" s="27"/>
      <c r="DH115" s="27"/>
      <c r="DI115" s="27"/>
      <c r="DJ115" s="27"/>
      <c r="DK115" s="27"/>
      <c r="DL115" s="27"/>
      <c r="DM115" s="27"/>
      <c r="DN115" s="27"/>
      <c r="DO115" s="27"/>
      <c r="DP115" s="27"/>
      <c r="DQ115" s="27"/>
      <c r="DR115" s="27"/>
      <c r="DS115" s="27"/>
      <c r="DT115" s="27"/>
    </row>
    <row r="116" spans="2:124" ht="15.75" customHeight="1" x14ac:dyDescent="0.2">
      <c r="B116" s="27"/>
      <c r="C116" s="27"/>
      <c r="D116" s="27"/>
      <c r="E116" s="27"/>
      <c r="F116" s="27"/>
      <c r="G116" s="27"/>
      <c r="H116" s="27"/>
      <c r="I116" s="27"/>
      <c r="J116" s="27"/>
      <c r="K116" s="27"/>
      <c r="L116" s="27">
        <f t="shared" ref="L116:L132" si="12">K116*$S$64</f>
        <v>0</v>
      </c>
      <c r="M116" s="27"/>
      <c r="N116" s="27"/>
      <c r="O116" s="27"/>
      <c r="P116" s="27"/>
      <c r="Q116" s="27"/>
      <c r="R116" s="27"/>
      <c r="S116" s="27"/>
      <c r="T116" s="27"/>
      <c r="U116" s="27"/>
      <c r="V116" s="27"/>
      <c r="W116" s="27"/>
      <c r="X116" s="27"/>
      <c r="Y116" s="27"/>
      <c r="Z116" s="27"/>
      <c r="AA116" s="27"/>
      <c r="AB116" s="27"/>
      <c r="AC116" s="27"/>
      <c r="AD116" s="27"/>
      <c r="AE116" s="27"/>
      <c r="AF116" s="27"/>
      <c r="AG116" s="27"/>
      <c r="AH116" s="27"/>
      <c r="AI116" s="27"/>
      <c r="AJ116" s="27"/>
      <c r="AK116" s="27"/>
      <c r="AL116" s="27"/>
      <c r="AM116" s="27"/>
      <c r="AN116" s="27"/>
      <c r="AO116" s="27"/>
      <c r="AP116" s="27"/>
      <c r="AQ116" s="27"/>
      <c r="AR116" s="27"/>
      <c r="AS116" s="27"/>
      <c r="AT116" s="27"/>
      <c r="AU116" s="27"/>
      <c r="AV116" s="27"/>
      <c r="AW116" s="27"/>
      <c r="AX116" s="27"/>
      <c r="AY116" s="27"/>
      <c r="AZ116" s="27"/>
      <c r="BA116" s="27"/>
      <c r="BB116" s="27"/>
      <c r="BC116" s="27"/>
      <c r="BD116" s="27"/>
      <c r="BE116" s="27"/>
      <c r="BF116" s="27"/>
      <c r="BG116" s="27"/>
      <c r="BH116" s="27"/>
      <c r="BI116" s="27"/>
      <c r="BJ116" s="27"/>
      <c r="BK116" s="27"/>
      <c r="BL116" s="27"/>
      <c r="BM116" s="27"/>
      <c r="BN116" s="27"/>
      <c r="BO116" s="27"/>
      <c r="BP116" s="27"/>
      <c r="BQ116" s="27"/>
      <c r="BR116" s="27"/>
      <c r="BS116" s="27"/>
      <c r="BT116" s="27"/>
      <c r="BU116" s="27"/>
      <c r="BV116" s="27"/>
      <c r="BW116" s="27"/>
      <c r="BX116" s="27"/>
      <c r="BY116" s="27"/>
      <c r="BZ116" s="27"/>
      <c r="CA116" s="27"/>
      <c r="CB116" s="27"/>
      <c r="CC116" s="27"/>
      <c r="CD116" s="27"/>
      <c r="CE116" s="27"/>
      <c r="CF116" s="27"/>
      <c r="CG116" s="27"/>
      <c r="CH116" s="27"/>
      <c r="CI116" s="27"/>
      <c r="CJ116" s="27"/>
      <c r="CK116" s="27"/>
      <c r="CL116" s="27"/>
      <c r="CM116" s="27"/>
      <c r="CN116" s="27"/>
      <c r="CO116" s="27"/>
      <c r="CP116" s="27"/>
      <c r="CQ116" s="27"/>
      <c r="CR116" s="27"/>
      <c r="CS116" s="27"/>
      <c r="CT116" s="27"/>
      <c r="CU116" s="27"/>
      <c r="CV116" s="27"/>
      <c r="CW116" s="27"/>
      <c r="CX116" s="27"/>
      <c r="CY116" s="27"/>
      <c r="CZ116" s="27"/>
      <c r="DA116" s="27"/>
      <c r="DB116" s="27"/>
      <c r="DC116" s="27"/>
      <c r="DD116" s="27"/>
      <c r="DE116" s="27"/>
      <c r="DF116" s="27"/>
      <c r="DG116" s="27"/>
      <c r="DH116" s="27"/>
      <c r="DI116" s="27"/>
      <c r="DJ116" s="27"/>
      <c r="DK116" s="27"/>
      <c r="DL116" s="27"/>
      <c r="DM116" s="27"/>
      <c r="DN116" s="27"/>
      <c r="DO116" s="27"/>
      <c r="DP116" s="27"/>
      <c r="DQ116" s="27"/>
      <c r="DR116" s="27"/>
      <c r="DS116" s="27"/>
      <c r="DT116" s="27"/>
    </row>
    <row r="117" spans="2:124" ht="15.75" customHeight="1" x14ac:dyDescent="0.2">
      <c r="B117" s="27"/>
      <c r="C117" s="27"/>
      <c r="D117" s="27"/>
      <c r="E117" s="27"/>
      <c r="F117" s="27"/>
      <c r="G117" s="27"/>
      <c r="H117" s="27"/>
      <c r="I117" s="27"/>
      <c r="J117" s="27"/>
      <c r="K117" s="27"/>
      <c r="L117" s="27">
        <f t="shared" si="12"/>
        <v>0</v>
      </c>
      <c r="M117" s="27"/>
      <c r="N117" s="27"/>
      <c r="O117" s="27"/>
      <c r="P117" s="27"/>
      <c r="Q117" s="27"/>
      <c r="R117" s="27"/>
      <c r="S117" s="27"/>
      <c r="T117" s="27"/>
      <c r="U117" s="27"/>
      <c r="V117" s="27"/>
      <c r="W117" s="27"/>
      <c r="X117" s="27"/>
      <c r="Y117" s="27"/>
      <c r="Z117" s="27"/>
      <c r="AA117" s="27"/>
      <c r="AB117" s="27"/>
      <c r="AC117" s="27"/>
      <c r="AD117" s="27"/>
      <c r="AE117" s="27"/>
      <c r="AF117" s="27"/>
      <c r="AG117" s="27"/>
      <c r="AH117" s="27"/>
      <c r="AI117" s="27"/>
      <c r="AJ117" s="27"/>
      <c r="AK117" s="27"/>
      <c r="AL117" s="27"/>
      <c r="AM117" s="27"/>
      <c r="AN117" s="27"/>
      <c r="AO117" s="27"/>
      <c r="AP117" s="27"/>
      <c r="AQ117" s="27"/>
      <c r="AR117" s="27"/>
      <c r="AS117" s="27"/>
      <c r="AT117" s="27"/>
      <c r="AU117" s="27"/>
      <c r="AV117" s="27"/>
      <c r="AW117" s="27"/>
      <c r="AX117" s="27"/>
      <c r="AY117" s="27"/>
      <c r="AZ117" s="27"/>
      <c r="BA117" s="27"/>
      <c r="BB117" s="27"/>
      <c r="BC117" s="27"/>
      <c r="BD117" s="27"/>
      <c r="BE117" s="27"/>
      <c r="BF117" s="27"/>
      <c r="BG117" s="27"/>
      <c r="BH117" s="27"/>
      <c r="BI117" s="27"/>
      <c r="BJ117" s="27"/>
      <c r="BK117" s="27"/>
      <c r="BL117" s="27"/>
      <c r="BM117" s="27"/>
      <c r="BN117" s="27"/>
      <c r="BO117" s="27"/>
      <c r="BP117" s="27"/>
      <c r="BQ117" s="27"/>
      <c r="BR117" s="27"/>
      <c r="BS117" s="27"/>
      <c r="BT117" s="27"/>
      <c r="BU117" s="27"/>
      <c r="BV117" s="27"/>
      <c r="BW117" s="27"/>
      <c r="BX117" s="27"/>
      <c r="BY117" s="27"/>
      <c r="BZ117" s="27"/>
      <c r="CA117" s="27"/>
      <c r="CB117" s="27"/>
      <c r="CC117" s="27"/>
      <c r="CD117" s="27"/>
      <c r="CE117" s="27"/>
      <c r="CF117" s="27"/>
      <c r="CG117" s="27"/>
      <c r="CH117" s="27"/>
      <c r="CI117" s="27"/>
      <c r="CJ117" s="27"/>
      <c r="CK117" s="27"/>
      <c r="CL117" s="27"/>
      <c r="CM117" s="27"/>
      <c r="CN117" s="27"/>
      <c r="CO117" s="27"/>
      <c r="CP117" s="27"/>
      <c r="CQ117" s="27"/>
      <c r="CR117" s="27"/>
      <c r="CS117" s="27"/>
      <c r="CT117" s="27"/>
      <c r="CU117" s="27"/>
      <c r="CV117" s="27"/>
      <c r="CW117" s="27"/>
      <c r="CX117" s="27"/>
      <c r="CY117" s="27"/>
      <c r="CZ117" s="27"/>
      <c r="DA117" s="27"/>
      <c r="DB117" s="27"/>
      <c r="DC117" s="27"/>
      <c r="DD117" s="27"/>
      <c r="DE117" s="27"/>
      <c r="DF117" s="27"/>
      <c r="DG117" s="27"/>
      <c r="DH117" s="27"/>
      <c r="DI117" s="27"/>
      <c r="DJ117" s="27"/>
      <c r="DK117" s="27"/>
      <c r="DL117" s="27"/>
      <c r="DM117" s="27"/>
      <c r="DN117" s="27"/>
      <c r="DO117" s="27"/>
      <c r="DP117" s="27"/>
      <c r="DQ117" s="27"/>
      <c r="DR117" s="27"/>
      <c r="DS117" s="27"/>
      <c r="DT117" s="27"/>
    </row>
    <row r="118" spans="2:124" ht="15.75" customHeight="1" x14ac:dyDescent="0.2">
      <c r="B118" s="27"/>
      <c r="C118" s="27"/>
      <c r="D118" s="27"/>
      <c r="E118" s="27"/>
      <c r="F118" s="27"/>
      <c r="G118" s="27"/>
      <c r="H118" s="27"/>
      <c r="I118" s="27"/>
      <c r="J118" s="27"/>
      <c r="K118" s="27"/>
      <c r="L118" s="27">
        <f t="shared" si="12"/>
        <v>0</v>
      </c>
      <c r="M118" s="27"/>
      <c r="N118" s="27"/>
      <c r="O118" s="27"/>
      <c r="P118" s="27"/>
      <c r="Q118" s="27"/>
      <c r="R118" s="27"/>
      <c r="S118" s="27"/>
      <c r="T118" s="27"/>
      <c r="U118" s="27"/>
      <c r="V118" s="27"/>
      <c r="W118" s="27"/>
      <c r="X118" s="27"/>
      <c r="Y118" s="27"/>
      <c r="Z118" s="27"/>
      <c r="AA118" s="27"/>
      <c r="AB118" s="27"/>
      <c r="AC118" s="27"/>
      <c r="AD118" s="27"/>
      <c r="AE118" s="27"/>
      <c r="AF118" s="27"/>
      <c r="AG118" s="27"/>
      <c r="AH118" s="27"/>
      <c r="AI118" s="27"/>
      <c r="AJ118" s="27"/>
      <c r="AK118" s="27"/>
      <c r="AL118" s="27"/>
      <c r="AM118" s="27"/>
      <c r="AN118" s="27"/>
      <c r="AO118" s="27"/>
      <c r="AP118" s="27"/>
      <c r="AQ118" s="27"/>
      <c r="AR118" s="27"/>
      <c r="AS118" s="27"/>
      <c r="AT118" s="27"/>
      <c r="AU118" s="27"/>
      <c r="AV118" s="27"/>
      <c r="AW118" s="27"/>
      <c r="AX118" s="27"/>
      <c r="AY118" s="27"/>
      <c r="AZ118" s="27"/>
      <c r="BA118" s="27"/>
      <c r="BB118" s="27"/>
      <c r="BC118" s="27"/>
      <c r="BD118" s="27"/>
      <c r="BE118" s="27"/>
      <c r="BF118" s="27"/>
      <c r="BG118" s="27"/>
      <c r="BH118" s="27"/>
      <c r="BI118" s="27"/>
      <c r="BJ118" s="27"/>
      <c r="BK118" s="27"/>
      <c r="BL118" s="27"/>
      <c r="BM118" s="27"/>
      <c r="BN118" s="27"/>
      <c r="BO118" s="27"/>
      <c r="BP118" s="27"/>
      <c r="BQ118" s="27"/>
      <c r="BR118" s="27"/>
      <c r="BS118" s="27"/>
      <c r="BT118" s="27"/>
      <c r="BU118" s="27"/>
      <c r="BV118" s="27"/>
      <c r="BW118" s="27"/>
      <c r="BX118" s="27"/>
      <c r="BY118" s="27"/>
      <c r="BZ118" s="27"/>
      <c r="CA118" s="27"/>
      <c r="CB118" s="27"/>
      <c r="CC118" s="27"/>
      <c r="CD118" s="27"/>
      <c r="CE118" s="27"/>
      <c r="CF118" s="27"/>
      <c r="CG118" s="27"/>
      <c r="CH118" s="27"/>
      <c r="CI118" s="27"/>
      <c r="CJ118" s="27"/>
      <c r="CK118" s="27"/>
      <c r="CL118" s="27"/>
      <c r="CM118" s="27"/>
      <c r="CN118" s="27"/>
      <c r="CO118" s="27"/>
      <c r="CP118" s="27"/>
      <c r="CQ118" s="27"/>
      <c r="CR118" s="27"/>
      <c r="CS118" s="27"/>
      <c r="CT118" s="27"/>
      <c r="CU118" s="27"/>
      <c r="CV118" s="27"/>
      <c r="CW118" s="27"/>
      <c r="CX118" s="27"/>
      <c r="CY118" s="27"/>
      <c r="CZ118" s="27"/>
      <c r="DA118" s="27"/>
      <c r="DB118" s="27"/>
      <c r="DC118" s="27"/>
      <c r="DD118" s="27"/>
      <c r="DE118" s="27"/>
      <c r="DF118" s="27"/>
      <c r="DG118" s="27"/>
      <c r="DH118" s="27"/>
      <c r="DI118" s="27"/>
      <c r="DJ118" s="27"/>
      <c r="DK118" s="27"/>
      <c r="DL118" s="27"/>
      <c r="DM118" s="27"/>
      <c r="DN118" s="27"/>
      <c r="DO118" s="27"/>
      <c r="DP118" s="27"/>
      <c r="DQ118" s="27"/>
      <c r="DR118" s="27"/>
      <c r="DS118" s="27"/>
      <c r="DT118" s="27"/>
    </row>
    <row r="119" spans="2:124" ht="18.75" customHeight="1" x14ac:dyDescent="0.2">
      <c r="B119" s="27"/>
      <c r="C119" s="27"/>
      <c r="D119" s="27"/>
      <c r="E119" s="27"/>
      <c r="F119" s="27"/>
      <c r="G119" s="27"/>
      <c r="H119" s="27"/>
      <c r="I119" s="27"/>
      <c r="J119" s="27"/>
      <c r="K119" s="27"/>
      <c r="L119" s="27">
        <f t="shared" si="12"/>
        <v>0</v>
      </c>
      <c r="M119" s="27" t="s">
        <v>11</v>
      </c>
      <c r="N119" s="27" t="s">
        <v>1</v>
      </c>
      <c r="O119" s="27"/>
      <c r="P119" s="27"/>
      <c r="Q119" s="27"/>
      <c r="R119" s="27"/>
      <c r="S119" s="27"/>
      <c r="T119" s="27"/>
      <c r="U119" s="27"/>
      <c r="V119" s="27"/>
      <c r="W119" s="27"/>
      <c r="X119" s="27"/>
      <c r="Y119" s="27"/>
      <c r="Z119" s="27"/>
      <c r="AA119" s="27"/>
      <c r="AB119" s="27"/>
      <c r="AC119" s="27"/>
      <c r="AD119" s="27"/>
      <c r="AE119" s="27"/>
      <c r="AF119" s="27"/>
      <c r="AG119" s="27"/>
      <c r="AH119" s="27"/>
      <c r="AI119" s="27"/>
      <c r="AJ119" s="27"/>
      <c r="AK119" s="27"/>
      <c r="AL119" s="27"/>
      <c r="AM119" s="27"/>
      <c r="AN119" s="27"/>
      <c r="AO119" s="27"/>
      <c r="AP119" s="27"/>
      <c r="AQ119" s="27"/>
      <c r="AR119" s="27"/>
      <c r="AS119" s="27"/>
      <c r="AT119" s="27"/>
      <c r="AU119" s="27"/>
      <c r="AV119" s="27"/>
      <c r="AW119" s="27"/>
      <c r="AX119" s="27"/>
      <c r="AY119" s="27"/>
      <c r="AZ119" s="27"/>
      <c r="BA119" s="27"/>
      <c r="BB119" s="27"/>
      <c r="BC119" s="27"/>
      <c r="BD119" s="27"/>
      <c r="BE119" s="27"/>
      <c r="BF119" s="27"/>
      <c r="BG119" s="27"/>
      <c r="BH119" s="27"/>
      <c r="BI119" s="27"/>
      <c r="BJ119" s="27"/>
      <c r="BK119" s="27"/>
      <c r="BL119" s="27"/>
      <c r="BM119" s="27"/>
      <c r="BN119" s="27"/>
      <c r="BO119" s="27"/>
      <c r="BP119" s="27"/>
      <c r="BQ119" s="27"/>
      <c r="BR119" s="27"/>
      <c r="BS119" s="27"/>
      <c r="BT119" s="27"/>
      <c r="BU119" s="27"/>
      <c r="BV119" s="27"/>
      <c r="BW119" s="27"/>
      <c r="BX119" s="27"/>
      <c r="BY119" s="27"/>
      <c r="BZ119" s="27"/>
      <c r="CA119" s="27"/>
      <c r="CB119" s="27"/>
      <c r="CC119" s="27"/>
      <c r="CD119" s="27"/>
      <c r="CE119" s="27"/>
      <c r="CF119" s="27"/>
      <c r="CG119" s="27"/>
      <c r="CH119" s="27"/>
      <c r="CI119" s="27"/>
      <c r="CJ119" s="27"/>
      <c r="CK119" s="27"/>
      <c r="CL119" s="27"/>
      <c r="CM119" s="27"/>
      <c r="CN119" s="27"/>
      <c r="CO119" s="27"/>
      <c r="CP119" s="27"/>
      <c r="CQ119" s="27"/>
      <c r="CR119" s="27"/>
      <c r="CS119" s="27"/>
      <c r="CT119" s="27"/>
      <c r="CU119" s="27"/>
      <c r="CV119" s="27"/>
      <c r="CW119" s="27"/>
      <c r="CX119" s="27"/>
      <c r="CY119" s="27"/>
      <c r="CZ119" s="27"/>
      <c r="DA119" s="27"/>
      <c r="DB119" s="27"/>
      <c r="DC119" s="27"/>
      <c r="DD119" s="27"/>
      <c r="DE119" s="27"/>
      <c r="DF119" s="27"/>
      <c r="DG119" s="27"/>
      <c r="DH119" s="27"/>
      <c r="DI119" s="27"/>
      <c r="DJ119" s="27"/>
      <c r="DK119" s="27"/>
      <c r="DL119" s="27"/>
      <c r="DM119" s="27"/>
      <c r="DN119" s="27"/>
      <c r="DO119" s="27"/>
      <c r="DP119" s="27"/>
      <c r="DQ119" s="27"/>
      <c r="DR119" s="27"/>
      <c r="DS119" s="27"/>
      <c r="DT119" s="27"/>
    </row>
    <row r="120" spans="2:124" ht="20.25" customHeight="1" x14ac:dyDescent="0.2">
      <c r="B120" s="27"/>
      <c r="C120" s="27"/>
      <c r="D120" s="27"/>
      <c r="E120" s="27"/>
      <c r="F120" s="27"/>
      <c r="G120" s="27"/>
      <c r="H120" s="27"/>
      <c r="I120" s="27"/>
      <c r="J120" s="27"/>
      <c r="K120" s="27"/>
      <c r="L120" s="27">
        <f t="shared" si="12"/>
        <v>0</v>
      </c>
      <c r="M120" s="27">
        <f>IF(OR($C$5=$CB$16,$C$5=$CC$16),N120*1.05,N120)</f>
        <v>6300.0034374999996</v>
      </c>
      <c r="N120" s="27">
        <v>6300.0034374999996</v>
      </c>
      <c r="O120" s="27"/>
      <c r="P120" s="27"/>
      <c r="Q120" s="27"/>
      <c r="R120" s="27"/>
      <c r="S120" s="27"/>
      <c r="T120" s="27"/>
      <c r="U120" s="27"/>
      <c r="V120" s="27"/>
      <c r="W120" s="27"/>
      <c r="X120" s="27"/>
      <c r="Y120" s="27"/>
      <c r="Z120" s="27"/>
      <c r="AA120" s="27"/>
      <c r="AB120" s="27"/>
      <c r="AC120" s="27"/>
      <c r="AD120" s="27"/>
      <c r="AE120" s="27"/>
      <c r="AF120" s="27"/>
      <c r="AG120" s="27"/>
      <c r="AH120" s="27"/>
      <c r="AI120" s="27"/>
      <c r="AJ120" s="27"/>
      <c r="AK120" s="27"/>
      <c r="AL120" s="27"/>
      <c r="AM120" s="27"/>
      <c r="AN120" s="27"/>
      <c r="AO120" s="27"/>
      <c r="AP120" s="27"/>
      <c r="AQ120" s="27"/>
      <c r="AR120" s="27"/>
      <c r="AS120" s="27"/>
      <c r="AT120" s="27"/>
      <c r="AU120" s="27"/>
      <c r="AV120" s="27"/>
      <c r="AW120" s="27"/>
      <c r="AX120" s="27"/>
      <c r="AY120" s="27"/>
      <c r="AZ120" s="27"/>
      <c r="BA120" s="27"/>
      <c r="BB120" s="27"/>
      <c r="BC120" s="27"/>
      <c r="BD120" s="27"/>
      <c r="BE120" s="27"/>
      <c r="BF120" s="27"/>
      <c r="BG120" s="27"/>
      <c r="BH120" s="27"/>
      <c r="BI120" s="27"/>
      <c r="BJ120" s="27"/>
      <c r="BK120" s="27"/>
      <c r="BL120" s="27"/>
      <c r="BM120" s="27"/>
      <c r="BN120" s="27"/>
      <c r="BO120" s="27"/>
      <c r="BP120" s="27"/>
      <c r="BQ120" s="27"/>
      <c r="BR120" s="27"/>
      <c r="BS120" s="27"/>
      <c r="BT120" s="27"/>
      <c r="BU120" s="27"/>
      <c r="BV120" s="27"/>
      <c r="BW120" s="27"/>
      <c r="BX120" s="27"/>
      <c r="BY120" s="27"/>
      <c r="BZ120" s="27"/>
      <c r="CA120" s="27"/>
      <c r="CB120" s="27"/>
      <c r="CC120" s="27"/>
      <c r="CD120" s="27"/>
      <c r="CE120" s="27"/>
      <c r="CF120" s="27"/>
      <c r="CG120" s="27"/>
      <c r="CH120" s="27"/>
      <c r="CI120" s="27"/>
      <c r="CJ120" s="27"/>
      <c r="CK120" s="27"/>
      <c r="CL120" s="27"/>
      <c r="CM120" s="27"/>
      <c r="CN120" s="27"/>
      <c r="CO120" s="27"/>
      <c r="CP120" s="27"/>
      <c r="CQ120" s="27"/>
      <c r="CR120" s="27"/>
      <c r="CS120" s="27"/>
      <c r="CT120" s="27"/>
      <c r="CU120" s="27"/>
      <c r="CV120" s="27"/>
      <c r="CW120" s="27"/>
      <c r="CX120" s="27"/>
      <c r="CY120" s="27"/>
      <c r="CZ120" s="27"/>
      <c r="DA120" s="27"/>
      <c r="DB120" s="27"/>
      <c r="DC120" s="27"/>
      <c r="DD120" s="27"/>
      <c r="DE120" s="27"/>
      <c r="DF120" s="27"/>
      <c r="DG120" s="27"/>
      <c r="DH120" s="27"/>
      <c r="DI120" s="27"/>
      <c r="DJ120" s="27"/>
      <c r="DK120" s="27"/>
      <c r="DL120" s="27"/>
      <c r="DM120" s="27"/>
      <c r="DN120" s="27"/>
      <c r="DO120" s="27"/>
      <c r="DP120" s="27"/>
      <c r="DQ120" s="27"/>
      <c r="DR120" s="27"/>
      <c r="DS120" s="27"/>
      <c r="DT120" s="27"/>
    </row>
    <row r="121" spans="2:124" ht="15.75" customHeight="1" x14ac:dyDescent="0.2">
      <c r="B121" s="27"/>
      <c r="C121" s="27"/>
      <c r="D121" s="27"/>
      <c r="E121" s="27"/>
      <c r="F121" s="27"/>
      <c r="G121" s="27"/>
      <c r="H121" s="27"/>
      <c r="I121" s="27"/>
      <c r="J121" s="27"/>
      <c r="K121" s="27"/>
      <c r="L121" s="27">
        <f t="shared" si="12"/>
        <v>0</v>
      </c>
      <c r="M121" s="27">
        <f>M120*1.0375</f>
        <v>6536.2535664062498</v>
      </c>
      <c r="N121" s="27">
        <v>6536.2535664062498</v>
      </c>
      <c r="O121" s="27"/>
      <c r="P121" s="27"/>
      <c r="Q121" s="27"/>
      <c r="R121" s="27"/>
      <c r="S121" s="27"/>
      <c r="T121" s="27"/>
      <c r="U121" s="27"/>
      <c r="V121" s="27"/>
      <c r="W121" s="27"/>
      <c r="X121" s="27"/>
      <c r="Y121" s="27"/>
      <c r="Z121" s="27"/>
      <c r="AA121" s="27"/>
      <c r="AB121" s="27"/>
      <c r="AC121" s="27"/>
      <c r="AD121" s="27"/>
      <c r="AE121" s="27"/>
      <c r="AF121" s="27"/>
      <c r="AG121" s="27"/>
      <c r="AH121" s="27"/>
      <c r="AI121" s="27"/>
      <c r="AJ121" s="27"/>
      <c r="AK121" s="27"/>
      <c r="AL121" s="27"/>
      <c r="AM121" s="27"/>
      <c r="AN121" s="27"/>
      <c r="AO121" s="27"/>
      <c r="AP121" s="27"/>
      <c r="AQ121" s="27"/>
      <c r="AR121" s="27"/>
      <c r="AS121" s="27"/>
      <c r="AT121" s="27"/>
      <c r="AU121" s="27"/>
      <c r="AV121" s="27"/>
      <c r="AW121" s="27"/>
      <c r="AX121" s="27"/>
      <c r="AY121" s="27"/>
      <c r="AZ121" s="27"/>
      <c r="BA121" s="27"/>
      <c r="BB121" s="27"/>
      <c r="BC121" s="27"/>
      <c r="BD121" s="27"/>
      <c r="BE121" s="27"/>
      <c r="BF121" s="27"/>
      <c r="BG121" s="27"/>
      <c r="BH121" s="27"/>
      <c r="BI121" s="27"/>
      <c r="BJ121" s="27"/>
      <c r="BK121" s="27"/>
      <c r="BL121" s="27"/>
      <c r="BM121" s="27"/>
      <c r="BN121" s="27"/>
      <c r="BO121" s="27"/>
      <c r="BP121" s="27"/>
      <c r="BQ121" s="27"/>
      <c r="BR121" s="27"/>
      <c r="BS121" s="27"/>
      <c r="BT121" s="27"/>
      <c r="BU121" s="27"/>
      <c r="BV121" s="27"/>
      <c r="BW121" s="27"/>
      <c r="BX121" s="27"/>
      <c r="BY121" s="27"/>
      <c r="BZ121" s="27"/>
      <c r="CA121" s="27"/>
      <c r="CB121" s="27"/>
      <c r="CC121" s="27"/>
      <c r="CD121" s="27"/>
      <c r="CE121" s="27"/>
      <c r="CF121" s="27"/>
      <c r="CG121" s="27"/>
      <c r="CH121" s="27"/>
      <c r="CI121" s="27"/>
      <c r="CJ121" s="27"/>
      <c r="CK121" s="27"/>
      <c r="CL121" s="27"/>
      <c r="CM121" s="27"/>
      <c r="CN121" s="27"/>
      <c r="CO121" s="27"/>
      <c r="CP121" s="27"/>
      <c r="CQ121" s="27"/>
      <c r="CR121" s="27"/>
      <c r="CS121" s="27"/>
      <c r="CT121" s="27"/>
      <c r="CU121" s="27"/>
      <c r="CV121" s="27"/>
      <c r="CW121" s="27"/>
      <c r="CX121" s="27"/>
      <c r="CY121" s="27"/>
      <c r="CZ121" s="27"/>
      <c r="DA121" s="27"/>
      <c r="DB121" s="27"/>
      <c r="DC121" s="27"/>
      <c r="DD121" s="27"/>
      <c r="DE121" s="27"/>
      <c r="DF121" s="27"/>
      <c r="DG121" s="27"/>
      <c r="DH121" s="27"/>
      <c r="DI121" s="27"/>
      <c r="DJ121" s="27"/>
      <c r="DK121" s="27"/>
      <c r="DL121" s="27"/>
      <c r="DM121" s="27"/>
      <c r="DN121" s="27"/>
      <c r="DO121" s="27"/>
      <c r="DP121" s="27"/>
      <c r="DQ121" s="27"/>
      <c r="DR121" s="27"/>
      <c r="DS121" s="27"/>
      <c r="DT121" s="27"/>
    </row>
    <row r="122" spans="2:124" ht="20.25" customHeight="1" x14ac:dyDescent="0.2">
      <c r="B122" s="27"/>
      <c r="C122" s="27"/>
      <c r="D122" s="27"/>
      <c r="E122" s="27"/>
      <c r="F122" s="27"/>
      <c r="G122" s="27"/>
      <c r="H122" s="27"/>
      <c r="I122" s="27"/>
      <c r="J122" s="27"/>
      <c r="K122" s="27"/>
      <c r="L122" s="27">
        <f t="shared" si="12"/>
        <v>0</v>
      </c>
      <c r="M122" s="27">
        <f>IF(OR($C$5=$CB$16,$C$5=$CC$16),N122*1.05,N122)</f>
        <v>6772.5036953124991</v>
      </c>
      <c r="N122" s="27">
        <v>6772.5036953124991</v>
      </c>
      <c r="O122" s="27"/>
      <c r="P122" s="27"/>
      <c r="Q122" s="27"/>
      <c r="R122" s="27"/>
      <c r="S122" s="27"/>
      <c r="T122" s="27"/>
      <c r="U122" s="27"/>
      <c r="V122" s="27"/>
      <c r="W122" s="27"/>
      <c r="X122" s="27"/>
      <c r="Y122" s="27"/>
      <c r="Z122" s="27"/>
      <c r="AA122" s="27"/>
      <c r="AB122" s="27"/>
      <c r="AC122" s="27"/>
      <c r="AD122" s="27"/>
      <c r="AE122" s="27"/>
      <c r="AF122" s="27"/>
      <c r="AG122" s="27"/>
      <c r="AH122" s="27"/>
      <c r="AI122" s="27"/>
      <c r="AJ122" s="27"/>
      <c r="AK122" s="27"/>
      <c r="AL122" s="27"/>
      <c r="AM122" s="27"/>
      <c r="AN122" s="27"/>
      <c r="AO122" s="27"/>
      <c r="AP122" s="27"/>
      <c r="AQ122" s="27"/>
      <c r="AR122" s="27"/>
      <c r="AS122" s="27"/>
      <c r="AT122" s="27"/>
      <c r="AU122" s="27"/>
      <c r="AV122" s="27"/>
      <c r="AW122" s="27"/>
      <c r="AX122" s="27"/>
      <c r="AY122" s="27"/>
      <c r="AZ122" s="27"/>
      <c r="BA122" s="27"/>
      <c r="BB122" s="27"/>
      <c r="BC122" s="27"/>
      <c r="BD122" s="27"/>
      <c r="BE122" s="27"/>
      <c r="BF122" s="27"/>
      <c r="BG122" s="27"/>
      <c r="BH122" s="27"/>
      <c r="BI122" s="27"/>
      <c r="BJ122" s="27"/>
      <c r="BK122" s="27"/>
      <c r="BL122" s="27"/>
      <c r="BM122" s="27"/>
      <c r="BN122" s="27"/>
      <c r="BO122" s="27"/>
      <c r="BP122" s="27"/>
      <c r="BQ122" s="27"/>
      <c r="BR122" s="27"/>
      <c r="BS122" s="27"/>
      <c r="BT122" s="27"/>
      <c r="BU122" s="27"/>
      <c r="BV122" s="27"/>
      <c r="BW122" s="27"/>
      <c r="BX122" s="27"/>
      <c r="BY122" s="27"/>
      <c r="BZ122" s="27"/>
      <c r="CA122" s="27"/>
      <c r="CB122" s="27"/>
      <c r="CC122" s="27"/>
      <c r="CD122" s="27"/>
      <c r="CE122" s="27"/>
      <c r="CF122" s="27"/>
      <c r="CG122" s="27"/>
      <c r="CH122" s="27"/>
      <c r="CI122" s="27"/>
      <c r="CJ122" s="27"/>
      <c r="CK122" s="27"/>
      <c r="CL122" s="27"/>
      <c r="CM122" s="27"/>
      <c r="CN122" s="27"/>
      <c r="CO122" s="27"/>
      <c r="CP122" s="27"/>
      <c r="CQ122" s="27"/>
      <c r="CR122" s="27"/>
      <c r="CS122" s="27"/>
      <c r="CT122" s="27"/>
      <c r="CU122" s="27"/>
      <c r="CV122" s="27"/>
      <c r="CW122" s="27"/>
      <c r="CX122" s="27"/>
      <c r="CY122" s="27"/>
      <c r="CZ122" s="27"/>
      <c r="DA122" s="27"/>
      <c r="DB122" s="27"/>
      <c r="DC122" s="27"/>
      <c r="DD122" s="27"/>
      <c r="DE122" s="27"/>
      <c r="DF122" s="27"/>
      <c r="DG122" s="27"/>
      <c r="DH122" s="27"/>
      <c r="DI122" s="27"/>
      <c r="DJ122" s="27"/>
      <c r="DK122" s="27"/>
      <c r="DL122" s="27"/>
      <c r="DM122" s="27"/>
      <c r="DN122" s="27"/>
      <c r="DO122" s="27"/>
      <c r="DP122" s="27"/>
      <c r="DQ122" s="27"/>
      <c r="DR122" s="27"/>
      <c r="DS122" s="27"/>
      <c r="DT122" s="27"/>
    </row>
    <row r="123" spans="2:124" ht="14.25" customHeight="1" x14ac:dyDescent="0.2">
      <c r="B123" s="27"/>
      <c r="C123" s="27"/>
      <c r="D123" s="27"/>
      <c r="E123" s="27"/>
      <c r="F123" s="27"/>
      <c r="G123" s="27"/>
      <c r="H123" s="27"/>
      <c r="I123" s="27"/>
      <c r="J123" s="27"/>
      <c r="K123" s="27"/>
      <c r="L123" s="27">
        <f t="shared" si="12"/>
        <v>0</v>
      </c>
      <c r="M123" s="27">
        <f>M122*1.0375</f>
        <v>7026.472583886718</v>
      </c>
      <c r="N123" s="27">
        <v>7026.472583886718</v>
      </c>
      <c r="O123" s="27"/>
      <c r="P123" s="27"/>
      <c r="Q123" s="27"/>
      <c r="R123" s="27"/>
      <c r="S123" s="27"/>
      <c r="T123" s="27"/>
      <c r="U123" s="27"/>
      <c r="V123" s="27"/>
      <c r="W123" s="27"/>
      <c r="X123" s="27"/>
      <c r="Y123" s="27"/>
      <c r="Z123" s="27"/>
      <c r="AA123" s="27"/>
      <c r="AB123" s="27"/>
      <c r="AC123" s="27"/>
      <c r="AD123" s="27"/>
      <c r="AE123" s="27"/>
      <c r="AF123" s="27"/>
      <c r="AG123" s="27"/>
      <c r="AH123" s="27"/>
      <c r="AI123" s="27"/>
      <c r="AJ123" s="27"/>
      <c r="AK123" s="27"/>
      <c r="AL123" s="27"/>
      <c r="AM123" s="27"/>
      <c r="AN123" s="27"/>
      <c r="AO123" s="27"/>
      <c r="AP123" s="27"/>
      <c r="AQ123" s="27"/>
      <c r="AR123" s="27"/>
      <c r="AS123" s="27"/>
      <c r="AT123" s="27"/>
      <c r="AU123" s="27"/>
      <c r="AV123" s="27"/>
      <c r="AW123" s="27"/>
      <c r="AX123" s="27"/>
      <c r="AY123" s="27"/>
      <c r="AZ123" s="27"/>
      <c r="BA123" s="27"/>
      <c r="BB123" s="27"/>
      <c r="BC123" s="27"/>
      <c r="BD123" s="27"/>
      <c r="BE123" s="27"/>
      <c r="BF123" s="27"/>
      <c r="BG123" s="27"/>
      <c r="BH123" s="27"/>
      <c r="BI123" s="27"/>
      <c r="BJ123" s="27"/>
      <c r="BK123" s="27"/>
      <c r="BL123" s="27"/>
      <c r="BM123" s="27"/>
      <c r="BN123" s="27"/>
      <c r="BO123" s="27"/>
      <c r="BP123" s="27"/>
      <c r="BQ123" s="27"/>
      <c r="BR123" s="27"/>
      <c r="BS123" s="27"/>
      <c r="BT123" s="27"/>
      <c r="BU123" s="27"/>
      <c r="BV123" s="27"/>
      <c r="BW123" s="27"/>
      <c r="BX123" s="27"/>
      <c r="BY123" s="27"/>
      <c r="BZ123" s="27"/>
      <c r="CA123" s="27"/>
      <c r="CB123" s="27"/>
      <c r="CC123" s="27"/>
      <c r="CD123" s="27"/>
      <c r="CE123" s="27"/>
      <c r="CF123" s="27"/>
      <c r="CG123" s="27"/>
      <c r="CH123" s="27"/>
      <c r="CI123" s="27"/>
      <c r="CJ123" s="27"/>
      <c r="CK123" s="27"/>
      <c r="CL123" s="27"/>
      <c r="CM123" s="27"/>
      <c r="CN123" s="27"/>
      <c r="CO123" s="27"/>
      <c r="CP123" s="27"/>
      <c r="CQ123" s="27"/>
      <c r="CR123" s="27"/>
      <c r="CS123" s="27"/>
      <c r="CT123" s="27"/>
      <c r="CU123" s="27"/>
      <c r="CV123" s="27"/>
      <c r="CW123" s="27"/>
      <c r="CX123" s="27"/>
      <c r="CY123" s="27"/>
      <c r="CZ123" s="27"/>
      <c r="DA123" s="27"/>
      <c r="DB123" s="27"/>
      <c r="DC123" s="27"/>
      <c r="DD123" s="27"/>
      <c r="DE123" s="27"/>
      <c r="DF123" s="27"/>
      <c r="DG123" s="27"/>
      <c r="DH123" s="27"/>
      <c r="DI123" s="27"/>
      <c r="DJ123" s="27"/>
      <c r="DK123" s="27"/>
      <c r="DL123" s="27"/>
      <c r="DM123" s="27"/>
      <c r="DN123" s="27"/>
      <c r="DO123" s="27"/>
      <c r="DP123" s="27"/>
      <c r="DQ123" s="27"/>
      <c r="DR123" s="27"/>
      <c r="DS123" s="27"/>
      <c r="DT123" s="27"/>
    </row>
    <row r="124" spans="2:124" ht="16.5" customHeight="1" x14ac:dyDescent="0.2">
      <c r="B124" s="27"/>
      <c r="C124" s="27"/>
      <c r="D124" s="27"/>
      <c r="E124" s="27"/>
      <c r="F124" s="27"/>
      <c r="G124" s="27"/>
      <c r="H124" s="27"/>
      <c r="I124" s="27"/>
      <c r="J124" s="27"/>
      <c r="K124" s="27"/>
      <c r="L124" s="27">
        <f t="shared" si="12"/>
        <v>0</v>
      </c>
      <c r="M124" s="27">
        <f>IF(OR($C$5=$CB$16,$C$5=$CC$16),N124*1.05,N124)</f>
        <v>7280.441472460936</v>
      </c>
      <c r="N124" s="27">
        <v>7280.441472460936</v>
      </c>
      <c r="O124" s="27"/>
      <c r="P124" s="27"/>
      <c r="Q124" s="27"/>
      <c r="R124" s="27"/>
      <c r="S124" s="27"/>
      <c r="T124" s="27"/>
      <c r="U124" s="27"/>
      <c r="V124" s="27"/>
      <c r="W124" s="27"/>
      <c r="X124" s="27"/>
      <c r="Y124" s="27"/>
      <c r="Z124" s="27"/>
      <c r="AA124" s="27"/>
      <c r="AB124" s="27"/>
      <c r="AC124" s="27"/>
      <c r="AD124" s="27"/>
      <c r="AE124" s="27"/>
      <c r="AF124" s="27"/>
      <c r="AG124" s="27"/>
      <c r="AH124" s="27"/>
      <c r="AI124" s="27"/>
      <c r="AJ124" s="27"/>
      <c r="AK124" s="27"/>
      <c r="AL124" s="27"/>
      <c r="AM124" s="27"/>
      <c r="AN124" s="27"/>
      <c r="AO124" s="27"/>
      <c r="AP124" s="27"/>
      <c r="AQ124" s="27"/>
      <c r="AR124" s="27"/>
      <c r="AS124" s="27"/>
      <c r="AT124" s="27"/>
      <c r="AU124" s="27"/>
      <c r="AV124" s="27"/>
      <c r="AW124" s="27"/>
      <c r="AX124" s="27"/>
      <c r="AY124" s="27"/>
      <c r="AZ124" s="27"/>
      <c r="BA124" s="27"/>
      <c r="BB124" s="27"/>
      <c r="BC124" s="27"/>
      <c r="BD124" s="27"/>
      <c r="BE124" s="27"/>
      <c r="BF124" s="27"/>
      <c r="BG124" s="27"/>
      <c r="BH124" s="27"/>
      <c r="BI124" s="27"/>
      <c r="BJ124" s="27"/>
      <c r="BK124" s="27"/>
      <c r="BL124" s="27"/>
      <c r="BM124" s="27"/>
      <c r="BN124" s="27"/>
      <c r="BO124" s="27"/>
      <c r="BP124" s="27"/>
      <c r="BQ124" s="27"/>
      <c r="BR124" s="27"/>
      <c r="BS124" s="27"/>
      <c r="BT124" s="27"/>
      <c r="BU124" s="27"/>
      <c r="BV124" s="27"/>
      <c r="BW124" s="27"/>
      <c r="BX124" s="27"/>
      <c r="BY124" s="27"/>
      <c r="BZ124" s="27"/>
      <c r="CA124" s="27"/>
      <c r="CB124" s="27"/>
      <c r="CC124" s="27"/>
      <c r="CD124" s="27"/>
      <c r="CE124" s="27"/>
      <c r="CF124" s="27"/>
      <c r="CG124" s="27"/>
      <c r="CH124" s="27"/>
      <c r="CI124" s="27"/>
      <c r="CJ124" s="27"/>
      <c r="CK124" s="27"/>
      <c r="CL124" s="27"/>
      <c r="CM124" s="27"/>
      <c r="CN124" s="27"/>
      <c r="CO124" s="27"/>
      <c r="CP124" s="27"/>
      <c r="CQ124" s="27"/>
      <c r="CR124" s="27"/>
      <c r="CS124" s="27"/>
      <c r="CT124" s="27"/>
      <c r="CU124" s="27"/>
      <c r="CV124" s="27"/>
      <c r="CW124" s="27"/>
      <c r="CX124" s="27"/>
      <c r="CY124" s="27"/>
      <c r="CZ124" s="27"/>
      <c r="DA124" s="27"/>
      <c r="DB124" s="27"/>
      <c r="DC124" s="27"/>
      <c r="DD124" s="27"/>
      <c r="DE124" s="27"/>
      <c r="DF124" s="27"/>
      <c r="DG124" s="27"/>
      <c r="DH124" s="27"/>
      <c r="DI124" s="27"/>
      <c r="DJ124" s="27"/>
      <c r="DK124" s="27"/>
      <c r="DL124" s="27"/>
      <c r="DM124" s="27"/>
      <c r="DN124" s="27"/>
      <c r="DO124" s="27"/>
      <c r="DP124" s="27"/>
      <c r="DQ124" s="27"/>
      <c r="DR124" s="27"/>
      <c r="DS124" s="27"/>
      <c r="DT124" s="27"/>
    </row>
    <row r="125" spans="2:124" ht="15" customHeight="1" x14ac:dyDescent="0.2">
      <c r="B125" s="27"/>
      <c r="C125" s="27"/>
      <c r="D125" s="27"/>
      <c r="E125" s="27"/>
      <c r="F125" s="27"/>
      <c r="G125" s="27"/>
      <c r="H125" s="27"/>
      <c r="I125" s="27"/>
      <c r="J125" s="27"/>
      <c r="K125" s="27"/>
      <c r="L125" s="27">
        <f t="shared" si="12"/>
        <v>0</v>
      </c>
      <c r="M125" s="27">
        <f>M124*1.0375</f>
        <v>7553.4580276782217</v>
      </c>
      <c r="N125" s="27">
        <v>7553.4580276782217</v>
      </c>
      <c r="O125" s="27"/>
      <c r="P125" s="27"/>
      <c r="Q125" s="27"/>
      <c r="R125" s="27"/>
      <c r="S125" s="27"/>
      <c r="T125" s="27"/>
      <c r="U125" s="27"/>
      <c r="V125" s="27"/>
      <c r="W125" s="27"/>
      <c r="X125" s="27"/>
      <c r="Y125" s="27"/>
      <c r="Z125" s="27"/>
      <c r="AA125" s="27"/>
      <c r="AB125" s="27"/>
      <c r="AC125" s="27"/>
      <c r="AD125" s="27"/>
      <c r="AE125" s="27"/>
      <c r="AF125" s="27"/>
      <c r="AG125" s="27"/>
      <c r="AH125" s="27"/>
      <c r="AI125" s="27"/>
      <c r="AJ125" s="27"/>
      <c r="AK125" s="27"/>
      <c r="AL125" s="27"/>
      <c r="AM125" s="27"/>
      <c r="AN125" s="27"/>
      <c r="AO125" s="27"/>
      <c r="AP125" s="27"/>
      <c r="AQ125" s="27"/>
      <c r="AR125" s="27"/>
      <c r="AS125" s="27"/>
      <c r="AT125" s="27"/>
      <c r="AU125" s="27"/>
      <c r="AV125" s="27"/>
      <c r="AW125" s="27"/>
      <c r="AX125" s="27"/>
      <c r="AY125" s="27"/>
      <c r="AZ125" s="27"/>
      <c r="BA125" s="27"/>
      <c r="BB125" s="27"/>
      <c r="BC125" s="27"/>
      <c r="BD125" s="27"/>
      <c r="BE125" s="27"/>
      <c r="BF125" s="27"/>
      <c r="BG125" s="27"/>
      <c r="BH125" s="27"/>
      <c r="BI125" s="27"/>
      <c r="BJ125" s="27"/>
      <c r="BK125" s="27"/>
      <c r="BL125" s="27"/>
      <c r="BM125" s="27"/>
      <c r="BN125" s="27"/>
      <c r="BO125" s="27"/>
      <c r="BP125" s="27"/>
      <c r="BQ125" s="27"/>
      <c r="BR125" s="27"/>
      <c r="BS125" s="27"/>
      <c r="BT125" s="27"/>
      <c r="BU125" s="27"/>
      <c r="BV125" s="27"/>
      <c r="BW125" s="27"/>
      <c r="BX125" s="27"/>
      <c r="BY125" s="27"/>
      <c r="BZ125" s="27"/>
      <c r="CA125" s="27"/>
      <c r="CB125" s="27"/>
      <c r="CC125" s="27"/>
      <c r="CD125" s="27"/>
      <c r="CE125" s="27"/>
      <c r="CF125" s="27"/>
      <c r="CG125" s="27"/>
      <c r="CH125" s="27"/>
      <c r="CI125" s="27"/>
      <c r="CJ125" s="27"/>
      <c r="CK125" s="27"/>
      <c r="CL125" s="27"/>
      <c r="CM125" s="27"/>
      <c r="CN125" s="27"/>
      <c r="CO125" s="27"/>
      <c r="CP125" s="27"/>
      <c r="CQ125" s="27"/>
      <c r="CR125" s="27"/>
      <c r="CS125" s="27"/>
      <c r="CT125" s="27"/>
      <c r="CU125" s="27"/>
      <c r="CV125" s="27"/>
      <c r="CW125" s="27"/>
      <c r="CX125" s="27"/>
      <c r="CY125" s="27"/>
      <c r="CZ125" s="27"/>
      <c r="DA125" s="27"/>
      <c r="DB125" s="27"/>
      <c r="DC125" s="27"/>
      <c r="DD125" s="27"/>
      <c r="DE125" s="27"/>
      <c r="DF125" s="27"/>
      <c r="DG125" s="27"/>
      <c r="DH125" s="27"/>
      <c r="DI125" s="27"/>
      <c r="DJ125" s="27"/>
      <c r="DK125" s="27"/>
      <c r="DL125" s="27"/>
      <c r="DM125" s="27"/>
      <c r="DN125" s="27"/>
      <c r="DO125" s="27"/>
      <c r="DP125" s="27"/>
      <c r="DQ125" s="27"/>
      <c r="DR125" s="27"/>
      <c r="DS125" s="27"/>
      <c r="DT125" s="27"/>
    </row>
    <row r="126" spans="2:124" ht="15" customHeight="1" x14ac:dyDescent="0.2">
      <c r="B126" s="27"/>
      <c r="C126" s="27"/>
      <c r="D126" s="27"/>
      <c r="E126" s="27"/>
      <c r="F126" s="27"/>
      <c r="G126" s="27"/>
      <c r="H126" s="27">
        <f t="shared" ref="H126:H132" si="13">I126*1.05</f>
        <v>0</v>
      </c>
      <c r="I126" s="27"/>
      <c r="J126" s="27"/>
      <c r="K126" s="27"/>
      <c r="L126" s="27">
        <f t="shared" si="12"/>
        <v>0</v>
      </c>
      <c r="M126" s="27">
        <f>IF(OR($C$5=$CB$16,$C$5=$CC$16),N126*1.05,N126)</f>
        <v>7826.4745828955056</v>
      </c>
      <c r="N126" s="27">
        <v>7826.4745828955056</v>
      </c>
      <c r="O126" s="27"/>
      <c r="P126" s="27"/>
      <c r="Q126" s="27"/>
      <c r="R126" s="27"/>
      <c r="S126" s="27"/>
      <c r="T126" s="27"/>
      <c r="U126" s="27"/>
      <c r="V126" s="27"/>
      <c r="W126" s="27"/>
      <c r="X126" s="27"/>
      <c r="Y126" s="27"/>
      <c r="Z126" s="27"/>
      <c r="AA126" s="27"/>
      <c r="AB126" s="27"/>
      <c r="AC126" s="27"/>
      <c r="AD126" s="27"/>
      <c r="AE126" s="27"/>
      <c r="AF126" s="27"/>
      <c r="AG126" s="27"/>
      <c r="AH126" s="27"/>
      <c r="AI126" s="27"/>
      <c r="AJ126" s="27"/>
      <c r="AK126" s="27"/>
      <c r="AL126" s="27"/>
      <c r="AM126" s="27"/>
      <c r="AN126" s="27"/>
      <c r="AO126" s="27"/>
      <c r="AP126" s="27"/>
      <c r="AQ126" s="27"/>
      <c r="AR126" s="27"/>
      <c r="AS126" s="27"/>
      <c r="AT126" s="27"/>
      <c r="AU126" s="27"/>
      <c r="AV126" s="27"/>
      <c r="AW126" s="27"/>
      <c r="AX126" s="27"/>
      <c r="AY126" s="27"/>
      <c r="AZ126" s="27"/>
      <c r="BA126" s="27"/>
      <c r="BB126" s="27"/>
      <c r="BC126" s="27"/>
      <c r="BD126" s="27"/>
      <c r="BE126" s="27"/>
      <c r="BF126" s="27"/>
      <c r="BG126" s="27"/>
      <c r="BH126" s="27"/>
      <c r="BI126" s="27"/>
      <c r="BJ126" s="27"/>
      <c r="BK126" s="27"/>
      <c r="BL126" s="27"/>
      <c r="BM126" s="27"/>
      <c r="BN126" s="27"/>
      <c r="BO126" s="27"/>
      <c r="BP126" s="27"/>
      <c r="BQ126" s="27"/>
      <c r="BR126" s="27"/>
      <c r="BS126" s="27"/>
      <c r="BT126" s="27"/>
      <c r="BU126" s="27"/>
      <c r="BV126" s="27"/>
      <c r="BW126" s="27"/>
      <c r="BX126" s="27"/>
      <c r="BY126" s="27"/>
      <c r="BZ126" s="27"/>
      <c r="CA126" s="27"/>
      <c r="CB126" s="27"/>
      <c r="CC126" s="27"/>
      <c r="CD126" s="27"/>
      <c r="CE126" s="27"/>
      <c r="CF126" s="27"/>
      <c r="CG126" s="27"/>
      <c r="CH126" s="27"/>
      <c r="CI126" s="27"/>
      <c r="CJ126" s="27"/>
      <c r="CK126" s="27"/>
      <c r="CL126" s="27"/>
      <c r="CM126" s="27"/>
      <c r="CN126" s="27"/>
      <c r="CO126" s="27"/>
      <c r="CP126" s="27"/>
      <c r="CQ126" s="27"/>
      <c r="CR126" s="27"/>
      <c r="CS126" s="27"/>
      <c r="CT126" s="27"/>
      <c r="CU126" s="27"/>
      <c r="CV126" s="27"/>
      <c r="CW126" s="27"/>
      <c r="CX126" s="27"/>
      <c r="CY126" s="27"/>
      <c r="CZ126" s="27"/>
      <c r="DA126" s="27"/>
      <c r="DB126" s="27"/>
      <c r="DC126" s="27"/>
      <c r="DD126" s="27"/>
      <c r="DE126" s="27"/>
      <c r="DF126" s="27"/>
      <c r="DG126" s="27"/>
      <c r="DH126" s="27"/>
      <c r="DI126" s="27"/>
      <c r="DJ126" s="27"/>
      <c r="DK126" s="27"/>
      <c r="DL126" s="27"/>
      <c r="DM126" s="27"/>
      <c r="DN126" s="27"/>
      <c r="DO126" s="27"/>
      <c r="DP126" s="27"/>
      <c r="DQ126" s="27"/>
      <c r="DR126" s="27"/>
      <c r="DS126" s="27"/>
      <c r="DT126" s="27"/>
    </row>
    <row r="127" spans="2:124" ht="15.75" customHeight="1" x14ac:dyDescent="0.2">
      <c r="B127" s="27"/>
      <c r="C127" s="27"/>
      <c r="D127" s="27"/>
      <c r="E127" s="27"/>
      <c r="F127" s="27"/>
      <c r="G127" s="27"/>
      <c r="H127" s="27">
        <f t="shared" si="13"/>
        <v>0</v>
      </c>
      <c r="I127" s="27"/>
      <c r="J127" s="27"/>
      <c r="K127" s="27"/>
      <c r="L127" s="27">
        <f t="shared" si="12"/>
        <v>0</v>
      </c>
      <c r="M127" s="27">
        <f>M126*1.0375</f>
        <v>8119.9673797540881</v>
      </c>
      <c r="N127" s="27">
        <v>8119.9673797540881</v>
      </c>
      <c r="O127" s="27"/>
      <c r="P127" s="27"/>
      <c r="Q127" s="27"/>
      <c r="R127" s="27"/>
      <c r="S127" s="27"/>
      <c r="T127" s="27"/>
      <c r="U127" s="27"/>
      <c r="V127" s="27"/>
      <c r="W127" s="27"/>
      <c r="X127" s="27"/>
      <c r="Y127" s="27"/>
      <c r="Z127" s="27"/>
      <c r="AA127" s="27"/>
      <c r="AB127" s="27"/>
      <c r="AC127" s="27"/>
      <c r="AD127" s="27"/>
      <c r="AE127" s="27"/>
      <c r="AF127" s="27"/>
      <c r="AG127" s="27"/>
      <c r="AH127" s="27"/>
      <c r="AI127" s="27"/>
      <c r="AJ127" s="27"/>
      <c r="AK127" s="27"/>
      <c r="AL127" s="27"/>
      <c r="AM127" s="27"/>
      <c r="AN127" s="27"/>
      <c r="AO127" s="27"/>
      <c r="AP127" s="27"/>
      <c r="AQ127" s="27"/>
      <c r="AR127" s="27"/>
      <c r="AS127" s="27"/>
      <c r="AT127" s="27"/>
      <c r="AU127" s="27"/>
      <c r="AV127" s="27"/>
      <c r="AW127" s="27"/>
      <c r="AX127" s="27"/>
      <c r="AY127" s="27"/>
      <c r="AZ127" s="27"/>
      <c r="BA127" s="27"/>
      <c r="BB127" s="27"/>
      <c r="BC127" s="27"/>
      <c r="BD127" s="27"/>
      <c r="BE127" s="27"/>
      <c r="BF127" s="27"/>
      <c r="BG127" s="27"/>
      <c r="BH127" s="27"/>
      <c r="BI127" s="27"/>
      <c r="BJ127" s="27"/>
      <c r="BK127" s="27"/>
      <c r="BL127" s="27"/>
      <c r="BM127" s="27"/>
      <c r="BN127" s="27"/>
      <c r="BO127" s="27"/>
      <c r="BP127" s="27"/>
      <c r="BQ127" s="27"/>
      <c r="BR127" s="27"/>
      <c r="BS127" s="27"/>
      <c r="BT127" s="27"/>
      <c r="BU127" s="27"/>
      <c r="BV127" s="27"/>
      <c r="BW127" s="27"/>
      <c r="BX127" s="27"/>
      <c r="BY127" s="27"/>
      <c r="BZ127" s="27"/>
      <c r="CA127" s="27"/>
      <c r="CB127" s="27"/>
      <c r="CC127" s="27"/>
      <c r="CD127" s="27"/>
      <c r="CE127" s="27"/>
      <c r="CF127" s="27"/>
      <c r="CG127" s="27"/>
      <c r="CH127" s="27"/>
      <c r="CI127" s="27"/>
      <c r="CJ127" s="27"/>
      <c r="CK127" s="27"/>
      <c r="CL127" s="27"/>
      <c r="CM127" s="27"/>
      <c r="CN127" s="27"/>
      <c r="CO127" s="27"/>
      <c r="CP127" s="27"/>
      <c r="CQ127" s="27"/>
      <c r="CR127" s="27"/>
      <c r="CS127" s="27"/>
      <c r="CT127" s="27"/>
      <c r="CU127" s="27"/>
      <c r="CV127" s="27"/>
      <c r="CW127" s="27"/>
      <c r="CX127" s="27"/>
      <c r="CY127" s="27"/>
      <c r="CZ127" s="27"/>
      <c r="DA127" s="27"/>
      <c r="DB127" s="27"/>
      <c r="DC127" s="27"/>
      <c r="DD127" s="27"/>
      <c r="DE127" s="27"/>
      <c r="DF127" s="27"/>
      <c r="DG127" s="27"/>
      <c r="DH127" s="27"/>
      <c r="DI127" s="27"/>
      <c r="DJ127" s="27"/>
      <c r="DK127" s="27"/>
      <c r="DL127" s="27"/>
      <c r="DM127" s="27"/>
      <c r="DN127" s="27"/>
      <c r="DO127" s="27"/>
      <c r="DP127" s="27"/>
      <c r="DQ127" s="27"/>
      <c r="DR127" s="27"/>
      <c r="DS127" s="27"/>
      <c r="DT127" s="27"/>
    </row>
    <row r="128" spans="2:124" ht="12" customHeight="1" x14ac:dyDescent="0.2">
      <c r="B128" s="27"/>
      <c r="C128" s="27"/>
      <c r="D128" s="27"/>
      <c r="E128" s="27"/>
      <c r="F128" s="27"/>
      <c r="G128" s="27"/>
      <c r="H128" s="27">
        <f t="shared" si="13"/>
        <v>0</v>
      </c>
      <c r="I128" s="27"/>
      <c r="J128" s="27"/>
      <c r="K128" s="27"/>
      <c r="L128" s="27">
        <f t="shared" si="12"/>
        <v>0</v>
      </c>
      <c r="M128" s="27">
        <f>IF(OR($C$5=$CB$16,$C$5=$CC$16),N128*1.05,N128)</f>
        <v>8413.4601766126689</v>
      </c>
      <c r="N128" s="27">
        <v>8413.4601766126689</v>
      </c>
      <c r="O128" s="27"/>
      <c r="P128" s="27"/>
      <c r="Q128" s="27"/>
      <c r="R128" s="27"/>
      <c r="S128" s="27"/>
      <c r="T128" s="27"/>
      <c r="U128" s="27"/>
      <c r="V128" s="27"/>
      <c r="W128" s="27"/>
      <c r="X128" s="27"/>
      <c r="Y128" s="27"/>
      <c r="Z128" s="27"/>
      <c r="AA128" s="27"/>
      <c r="AB128" s="27"/>
      <c r="AC128" s="27"/>
      <c r="AD128" s="27"/>
      <c r="AE128" s="27"/>
      <c r="AF128" s="27"/>
      <c r="AG128" s="27"/>
      <c r="AH128" s="27"/>
      <c r="AI128" s="27"/>
      <c r="AJ128" s="27"/>
      <c r="AK128" s="27"/>
      <c r="AL128" s="27"/>
      <c r="AM128" s="27"/>
      <c r="AN128" s="27"/>
      <c r="AO128" s="27"/>
      <c r="AP128" s="27"/>
      <c r="AQ128" s="27"/>
      <c r="AR128" s="27"/>
      <c r="AS128" s="27"/>
      <c r="AT128" s="27"/>
      <c r="AU128" s="27"/>
      <c r="AV128" s="27"/>
      <c r="AW128" s="27"/>
      <c r="AX128" s="27"/>
      <c r="AY128" s="27"/>
      <c r="AZ128" s="27"/>
      <c r="BA128" s="27"/>
      <c r="BB128" s="27"/>
      <c r="BC128" s="27"/>
      <c r="BD128" s="27"/>
      <c r="BE128" s="27"/>
      <c r="BF128" s="27"/>
      <c r="BG128" s="27"/>
      <c r="BH128" s="27"/>
      <c r="BI128" s="27"/>
      <c r="BJ128" s="27"/>
      <c r="BK128" s="27"/>
      <c r="BL128" s="27"/>
      <c r="BM128" s="27"/>
      <c r="BN128" s="27"/>
      <c r="BO128" s="27"/>
      <c r="BP128" s="27"/>
      <c r="BQ128" s="27"/>
      <c r="BR128" s="27"/>
      <c r="BS128" s="27"/>
      <c r="BT128" s="27"/>
      <c r="BU128" s="27"/>
      <c r="BV128" s="27"/>
      <c r="BW128" s="27"/>
      <c r="BX128" s="27"/>
      <c r="BY128" s="27"/>
      <c r="BZ128" s="27"/>
      <c r="CA128" s="27"/>
      <c r="CB128" s="27"/>
      <c r="CC128" s="27"/>
      <c r="CD128" s="27"/>
      <c r="CE128" s="27"/>
      <c r="CF128" s="27"/>
      <c r="CG128" s="27"/>
      <c r="CH128" s="27"/>
      <c r="CI128" s="27"/>
      <c r="CJ128" s="27"/>
      <c r="CK128" s="27"/>
      <c r="CL128" s="27"/>
      <c r="CM128" s="27"/>
      <c r="CN128" s="27"/>
      <c r="CO128" s="27"/>
      <c r="CP128" s="27"/>
      <c r="CQ128" s="27"/>
      <c r="CR128" s="27"/>
      <c r="CS128" s="27"/>
      <c r="CT128" s="27"/>
      <c r="CU128" s="27"/>
      <c r="CV128" s="27"/>
      <c r="CW128" s="27"/>
      <c r="CX128" s="27"/>
      <c r="CY128" s="27"/>
      <c r="CZ128" s="27"/>
      <c r="DA128" s="27"/>
      <c r="DB128" s="27"/>
      <c r="DC128" s="27"/>
      <c r="DD128" s="27"/>
      <c r="DE128" s="27"/>
      <c r="DF128" s="27"/>
      <c r="DG128" s="27"/>
      <c r="DH128" s="27"/>
      <c r="DI128" s="27"/>
      <c r="DJ128" s="27"/>
      <c r="DK128" s="27"/>
      <c r="DL128" s="27"/>
      <c r="DM128" s="27"/>
      <c r="DN128" s="27"/>
      <c r="DO128" s="27"/>
      <c r="DP128" s="27"/>
      <c r="DQ128" s="27"/>
      <c r="DR128" s="27"/>
      <c r="DS128" s="27"/>
      <c r="DT128" s="27"/>
    </row>
    <row r="129" spans="2:124" ht="12" customHeight="1" x14ac:dyDescent="0.2">
      <c r="B129" s="27"/>
      <c r="C129" s="27"/>
      <c r="D129" s="27"/>
      <c r="E129" s="27"/>
      <c r="F129" s="27"/>
      <c r="G129" s="27"/>
      <c r="H129" s="27">
        <f t="shared" si="13"/>
        <v>0</v>
      </c>
      <c r="I129" s="27"/>
      <c r="J129" s="27"/>
      <c r="K129" s="27"/>
      <c r="L129" s="27">
        <f t="shared" si="12"/>
        <v>0</v>
      </c>
      <c r="M129" s="27">
        <f>M128*1.0375</f>
        <v>8728.9649332356439</v>
      </c>
      <c r="N129" s="27">
        <v>8728.9649332356439</v>
      </c>
      <c r="O129" s="27"/>
      <c r="P129" s="27"/>
      <c r="Q129" s="27"/>
      <c r="R129" s="27"/>
      <c r="S129" s="27"/>
      <c r="T129" s="27"/>
      <c r="U129" s="27"/>
      <c r="V129" s="27"/>
      <c r="W129" s="27"/>
      <c r="X129" s="27"/>
      <c r="Y129" s="27"/>
      <c r="Z129" s="27"/>
      <c r="AA129" s="27"/>
      <c r="AB129" s="27"/>
      <c r="AC129" s="27"/>
      <c r="AD129" s="27"/>
      <c r="AE129" s="27"/>
      <c r="AF129" s="27"/>
      <c r="AG129" s="27"/>
      <c r="AH129" s="27"/>
      <c r="AI129" s="27"/>
      <c r="AJ129" s="27"/>
      <c r="AK129" s="27"/>
      <c r="AL129" s="27"/>
      <c r="AM129" s="27"/>
      <c r="AN129" s="27"/>
      <c r="AO129" s="27"/>
      <c r="AP129" s="27"/>
      <c r="AQ129" s="27"/>
      <c r="AR129" s="27"/>
      <c r="AS129" s="27"/>
      <c r="AT129" s="27"/>
      <c r="AU129" s="27"/>
      <c r="AV129" s="27"/>
      <c r="AW129" s="27"/>
      <c r="AX129" s="27"/>
      <c r="AY129" s="27"/>
      <c r="AZ129" s="27"/>
      <c r="BA129" s="27"/>
      <c r="BB129" s="27"/>
      <c r="BC129" s="27"/>
      <c r="BD129" s="27"/>
      <c r="BE129" s="27"/>
      <c r="BF129" s="27"/>
      <c r="BG129" s="27"/>
      <c r="BH129" s="27"/>
      <c r="BI129" s="27"/>
      <c r="BJ129" s="27"/>
      <c r="BK129" s="27"/>
      <c r="BL129" s="27"/>
      <c r="BM129" s="27"/>
      <c r="BN129" s="27"/>
      <c r="BO129" s="27"/>
      <c r="BP129" s="27"/>
      <c r="BQ129" s="27"/>
      <c r="BR129" s="27"/>
      <c r="BS129" s="27"/>
      <c r="BT129" s="27"/>
      <c r="BU129" s="27"/>
      <c r="BV129" s="27"/>
      <c r="BW129" s="27"/>
      <c r="BX129" s="27"/>
      <c r="BY129" s="27"/>
      <c r="BZ129" s="27"/>
      <c r="CA129" s="27"/>
      <c r="CB129" s="27"/>
      <c r="CC129" s="27"/>
      <c r="CD129" s="27"/>
      <c r="CE129" s="27"/>
      <c r="CF129" s="27"/>
      <c r="CG129" s="27"/>
      <c r="CH129" s="27"/>
      <c r="CI129" s="27"/>
      <c r="CJ129" s="27"/>
      <c r="CK129" s="27"/>
      <c r="CL129" s="27"/>
      <c r="CM129" s="27"/>
      <c r="CN129" s="27"/>
      <c r="CO129" s="27"/>
      <c r="CP129" s="27"/>
      <c r="CQ129" s="27"/>
      <c r="CR129" s="27"/>
      <c r="CS129" s="27"/>
      <c r="CT129" s="27"/>
      <c r="CU129" s="27"/>
      <c r="CV129" s="27"/>
      <c r="CW129" s="27"/>
      <c r="CX129" s="27"/>
      <c r="CY129" s="27"/>
      <c r="CZ129" s="27"/>
      <c r="DA129" s="27"/>
      <c r="DB129" s="27"/>
      <c r="DC129" s="27"/>
      <c r="DD129" s="27"/>
      <c r="DE129" s="27"/>
      <c r="DF129" s="27"/>
      <c r="DG129" s="27"/>
      <c r="DH129" s="27"/>
      <c r="DI129" s="27"/>
      <c r="DJ129" s="27"/>
      <c r="DK129" s="27"/>
      <c r="DL129" s="27"/>
      <c r="DM129" s="27"/>
      <c r="DN129" s="27"/>
      <c r="DO129" s="27"/>
      <c r="DP129" s="27"/>
      <c r="DQ129" s="27"/>
      <c r="DR129" s="27"/>
      <c r="DS129" s="27"/>
      <c r="DT129" s="27"/>
    </row>
    <row r="130" spans="2:124" ht="12" customHeight="1" x14ac:dyDescent="0.2">
      <c r="B130" s="27"/>
      <c r="C130" s="27"/>
      <c r="D130" s="27"/>
      <c r="E130" s="27"/>
      <c r="F130" s="27"/>
      <c r="G130" s="27"/>
      <c r="H130" s="27">
        <f t="shared" si="13"/>
        <v>0</v>
      </c>
      <c r="I130" s="27"/>
      <c r="J130" s="27"/>
      <c r="K130" s="27"/>
      <c r="L130" s="27">
        <f t="shared" si="12"/>
        <v>0</v>
      </c>
      <c r="M130" s="27">
        <f>IF(OR($C$5=$CB$16,$C$5=$CC$16),N130*1.05,N130)</f>
        <v>9044.4696898586189</v>
      </c>
      <c r="N130" s="27">
        <v>9044.4696898586189</v>
      </c>
      <c r="O130" s="27"/>
      <c r="P130" s="27"/>
      <c r="Q130" s="27"/>
      <c r="R130" s="27"/>
      <c r="S130" s="27"/>
      <c r="T130" s="27"/>
      <c r="U130" s="27"/>
      <c r="V130" s="27"/>
      <c r="W130" s="27"/>
      <c r="X130" s="27"/>
      <c r="Y130" s="27"/>
      <c r="Z130" s="27"/>
      <c r="AA130" s="27"/>
      <c r="AB130" s="27"/>
      <c r="AC130" s="27"/>
      <c r="AD130" s="27"/>
      <c r="AE130" s="27"/>
      <c r="AF130" s="27"/>
      <c r="AG130" s="27"/>
      <c r="AH130" s="27"/>
      <c r="AI130" s="27"/>
      <c r="AJ130" s="27"/>
      <c r="AK130" s="27"/>
      <c r="AL130" s="27"/>
      <c r="AM130" s="27"/>
      <c r="AN130" s="27"/>
      <c r="AO130" s="27"/>
      <c r="AP130" s="27"/>
      <c r="AQ130" s="27"/>
      <c r="AR130" s="27"/>
      <c r="AS130" s="27"/>
      <c r="AT130" s="27"/>
      <c r="AU130" s="27"/>
      <c r="AV130" s="27"/>
      <c r="AW130" s="27"/>
      <c r="AX130" s="27"/>
      <c r="AY130" s="27"/>
      <c r="AZ130" s="27"/>
      <c r="BA130" s="27"/>
      <c r="BB130" s="27"/>
      <c r="BC130" s="27"/>
      <c r="BD130" s="27"/>
      <c r="BE130" s="27"/>
      <c r="BF130" s="27"/>
      <c r="BG130" s="27"/>
      <c r="BH130" s="27"/>
      <c r="BI130" s="27"/>
      <c r="BJ130" s="27"/>
      <c r="BK130" s="27"/>
      <c r="BL130" s="27"/>
      <c r="BM130" s="27"/>
      <c r="BN130" s="27"/>
      <c r="BO130" s="27"/>
      <c r="BP130" s="27"/>
      <c r="BQ130" s="27"/>
      <c r="BR130" s="27"/>
      <c r="BS130" s="27"/>
      <c r="BT130" s="27"/>
      <c r="BU130" s="27"/>
      <c r="BV130" s="27"/>
      <c r="BW130" s="27"/>
      <c r="BX130" s="27"/>
      <c r="BY130" s="27"/>
      <c r="BZ130" s="27"/>
      <c r="CA130" s="27"/>
      <c r="CB130" s="27"/>
      <c r="CC130" s="27"/>
      <c r="CD130" s="27"/>
      <c r="CE130" s="27"/>
      <c r="CF130" s="27"/>
      <c r="CG130" s="27"/>
      <c r="CH130" s="27"/>
      <c r="CI130" s="27"/>
      <c r="CJ130" s="27"/>
      <c r="CK130" s="27"/>
      <c r="CL130" s="27"/>
      <c r="CM130" s="27"/>
      <c r="CN130" s="27"/>
      <c r="CO130" s="27"/>
      <c r="CP130" s="27"/>
      <c r="CQ130" s="27"/>
      <c r="CR130" s="27"/>
      <c r="CS130" s="27"/>
      <c r="CT130" s="27"/>
      <c r="CU130" s="27"/>
      <c r="CV130" s="27"/>
      <c r="CW130" s="27"/>
      <c r="CX130" s="27"/>
      <c r="CY130" s="27"/>
      <c r="CZ130" s="27"/>
      <c r="DA130" s="27"/>
      <c r="DB130" s="27"/>
      <c r="DC130" s="27"/>
      <c r="DD130" s="27"/>
      <c r="DE130" s="27"/>
      <c r="DF130" s="27"/>
      <c r="DG130" s="27"/>
      <c r="DH130" s="27"/>
      <c r="DI130" s="27"/>
      <c r="DJ130" s="27"/>
      <c r="DK130" s="27"/>
      <c r="DL130" s="27"/>
      <c r="DM130" s="27"/>
      <c r="DN130" s="27"/>
      <c r="DO130" s="27"/>
      <c r="DP130" s="27"/>
      <c r="DQ130" s="27"/>
      <c r="DR130" s="27"/>
      <c r="DS130" s="27"/>
      <c r="DT130" s="27"/>
    </row>
    <row r="131" spans="2:124" ht="12" customHeight="1" x14ac:dyDescent="0.2">
      <c r="B131" s="27"/>
      <c r="C131" s="27"/>
      <c r="D131" s="27"/>
      <c r="E131" s="27"/>
      <c r="F131" s="27"/>
      <c r="G131" s="27"/>
      <c r="H131" s="27">
        <f t="shared" si="13"/>
        <v>0</v>
      </c>
      <c r="I131" s="27"/>
      <c r="J131" s="27"/>
      <c r="K131" s="27"/>
      <c r="L131" s="27">
        <f t="shared" si="12"/>
        <v>0</v>
      </c>
      <c r="M131" s="27">
        <f>M130*1.0375</f>
        <v>9383.6373032283173</v>
      </c>
      <c r="N131" s="27">
        <v>9428.8596516776106</v>
      </c>
      <c r="O131" s="27"/>
      <c r="P131" s="27"/>
      <c r="Q131" s="27"/>
      <c r="R131" s="27"/>
      <c r="S131" s="27"/>
      <c r="T131" s="27"/>
      <c r="U131" s="27"/>
      <c r="V131" s="27"/>
      <c r="W131" s="27"/>
      <c r="X131" s="27"/>
      <c r="Y131" s="27"/>
      <c r="Z131" s="27"/>
      <c r="AA131" s="27"/>
      <c r="AB131" s="27"/>
      <c r="AC131" s="27"/>
      <c r="AD131" s="27"/>
      <c r="AE131" s="27"/>
      <c r="AF131" s="27"/>
      <c r="AG131" s="27"/>
      <c r="AH131" s="27"/>
      <c r="AI131" s="27"/>
      <c r="AJ131" s="27"/>
      <c r="AK131" s="27"/>
      <c r="AL131" s="27"/>
      <c r="AM131" s="27"/>
      <c r="AN131" s="27"/>
      <c r="AO131" s="27"/>
      <c r="AP131" s="27"/>
      <c r="AQ131" s="27"/>
      <c r="AR131" s="27"/>
      <c r="AS131" s="27"/>
      <c r="AT131" s="27"/>
      <c r="AU131" s="27"/>
      <c r="AV131" s="27"/>
      <c r="AW131" s="27"/>
      <c r="AX131" s="27"/>
      <c r="AY131" s="27"/>
      <c r="AZ131" s="27"/>
      <c r="BA131" s="27"/>
      <c r="BB131" s="27"/>
      <c r="BC131" s="27"/>
      <c r="BD131" s="27"/>
      <c r="BE131" s="27"/>
      <c r="BF131" s="27"/>
      <c r="BG131" s="27"/>
      <c r="BH131" s="27"/>
      <c r="BI131" s="27"/>
      <c r="BJ131" s="27"/>
      <c r="BK131" s="27"/>
      <c r="BL131" s="27"/>
      <c r="BM131" s="27"/>
      <c r="BN131" s="27"/>
      <c r="BO131" s="27"/>
      <c r="BP131" s="27"/>
      <c r="BQ131" s="27"/>
      <c r="BR131" s="27"/>
      <c r="BS131" s="27"/>
      <c r="BT131" s="27"/>
      <c r="BU131" s="27"/>
      <c r="BV131" s="27"/>
      <c r="BW131" s="27"/>
      <c r="BX131" s="27"/>
      <c r="BY131" s="27"/>
      <c r="BZ131" s="27"/>
      <c r="CA131" s="27"/>
      <c r="CB131" s="27"/>
      <c r="CC131" s="27"/>
      <c r="CD131" s="27"/>
      <c r="CE131" s="27"/>
      <c r="CF131" s="27"/>
      <c r="CG131" s="27"/>
      <c r="CH131" s="27"/>
      <c r="CI131" s="27"/>
      <c r="CJ131" s="27"/>
      <c r="CK131" s="27"/>
      <c r="CL131" s="27"/>
      <c r="CM131" s="27"/>
      <c r="CN131" s="27"/>
      <c r="CO131" s="27"/>
      <c r="CP131" s="27"/>
      <c r="CQ131" s="27"/>
      <c r="CR131" s="27"/>
      <c r="CS131" s="27"/>
      <c r="CT131" s="27"/>
      <c r="CU131" s="27"/>
      <c r="CV131" s="27"/>
      <c r="CW131" s="27"/>
      <c r="CX131" s="27"/>
      <c r="CY131" s="27"/>
      <c r="CZ131" s="27"/>
      <c r="DA131" s="27"/>
      <c r="DB131" s="27"/>
      <c r="DC131" s="27"/>
      <c r="DD131" s="27"/>
      <c r="DE131" s="27"/>
      <c r="DF131" s="27"/>
      <c r="DG131" s="27"/>
      <c r="DH131" s="27"/>
      <c r="DI131" s="27"/>
      <c r="DJ131" s="27"/>
      <c r="DK131" s="27"/>
      <c r="DL131" s="27"/>
      <c r="DM131" s="27"/>
      <c r="DN131" s="27"/>
      <c r="DO131" s="27"/>
      <c r="DP131" s="27"/>
      <c r="DQ131" s="27"/>
      <c r="DR131" s="27"/>
      <c r="DS131" s="27"/>
      <c r="DT131" s="27"/>
    </row>
    <row r="132" spans="2:124" ht="12" customHeight="1" x14ac:dyDescent="0.2">
      <c r="B132" s="27"/>
      <c r="C132" s="27"/>
      <c r="D132" s="27"/>
      <c r="E132" s="27"/>
      <c r="F132" s="27"/>
      <c r="G132" s="27"/>
      <c r="H132" s="27">
        <f t="shared" si="13"/>
        <v>0</v>
      </c>
      <c r="I132" s="27"/>
      <c r="J132" s="27"/>
      <c r="K132" s="27"/>
      <c r="L132" s="27">
        <f t="shared" si="12"/>
        <v>0</v>
      </c>
      <c r="M132" s="27">
        <f>IF(OR($C$5=$CB$16,$C$5=$CC$16),N132*1.05,N132)</f>
        <v>9813.2496134966004</v>
      </c>
      <c r="N132" s="27">
        <v>9813.2496134966004</v>
      </c>
      <c r="O132" s="27"/>
      <c r="P132" s="27"/>
      <c r="Q132" s="27"/>
      <c r="R132" s="27"/>
      <c r="S132" s="27"/>
      <c r="T132" s="27"/>
      <c r="U132" s="27"/>
      <c r="V132" s="27"/>
      <c r="W132" s="27"/>
      <c r="X132" s="27"/>
      <c r="Y132" s="27"/>
      <c r="Z132" s="27"/>
      <c r="AA132" s="27"/>
      <c r="AB132" s="27"/>
      <c r="AC132" s="27"/>
      <c r="AD132" s="27"/>
      <c r="AE132" s="27"/>
      <c r="AF132" s="27"/>
      <c r="AG132" s="27"/>
      <c r="AH132" s="27"/>
      <c r="AI132" s="27"/>
      <c r="AJ132" s="27"/>
      <c r="AK132" s="27"/>
      <c r="AL132" s="27"/>
      <c r="AM132" s="27"/>
      <c r="AN132" s="27"/>
      <c r="AO132" s="27"/>
      <c r="AP132" s="27"/>
      <c r="AQ132" s="27"/>
      <c r="AR132" s="27"/>
      <c r="AS132" s="27"/>
      <c r="AT132" s="27"/>
      <c r="AU132" s="27"/>
      <c r="AV132" s="27"/>
      <c r="AW132" s="27"/>
      <c r="AX132" s="27"/>
      <c r="AY132" s="27"/>
      <c r="AZ132" s="27"/>
      <c r="BA132" s="27"/>
      <c r="BB132" s="27"/>
      <c r="BC132" s="27"/>
      <c r="BD132" s="27"/>
      <c r="BE132" s="27"/>
      <c r="BF132" s="27"/>
      <c r="BG132" s="27"/>
      <c r="BH132" s="27"/>
      <c r="BI132" s="27"/>
      <c r="BJ132" s="27"/>
      <c r="BK132" s="27"/>
      <c r="BL132" s="27"/>
      <c r="BM132" s="27"/>
      <c r="BN132" s="27"/>
      <c r="BO132" s="27"/>
      <c r="BP132" s="27"/>
      <c r="BQ132" s="27"/>
      <c r="BR132" s="27"/>
      <c r="BS132" s="27"/>
      <c r="BT132" s="27"/>
      <c r="BU132" s="27"/>
      <c r="BV132" s="27"/>
      <c r="BW132" s="27"/>
      <c r="BX132" s="27"/>
      <c r="BY132" s="27"/>
      <c r="BZ132" s="27"/>
      <c r="CA132" s="27"/>
      <c r="CB132" s="27"/>
      <c r="CC132" s="27"/>
      <c r="CD132" s="27"/>
      <c r="CE132" s="27"/>
      <c r="CF132" s="27"/>
      <c r="CG132" s="27"/>
      <c r="CH132" s="27"/>
      <c r="CI132" s="27"/>
      <c r="CJ132" s="27"/>
      <c r="CK132" s="27"/>
      <c r="CL132" s="27"/>
      <c r="CM132" s="27"/>
      <c r="CN132" s="27"/>
      <c r="CO132" s="27"/>
      <c r="CP132" s="27"/>
      <c r="CQ132" s="27"/>
      <c r="CR132" s="27"/>
      <c r="CS132" s="27"/>
      <c r="CT132" s="27"/>
      <c r="CU132" s="27"/>
      <c r="CV132" s="27"/>
      <c r="CW132" s="27"/>
      <c r="CX132" s="27"/>
      <c r="CY132" s="27"/>
      <c r="CZ132" s="27"/>
      <c r="DA132" s="27"/>
      <c r="DB132" s="27"/>
      <c r="DC132" s="27"/>
      <c r="DD132" s="27"/>
      <c r="DE132" s="27"/>
      <c r="DF132" s="27"/>
      <c r="DG132" s="27"/>
      <c r="DH132" s="27"/>
      <c r="DI132" s="27"/>
      <c r="DJ132" s="27"/>
      <c r="DK132" s="27"/>
      <c r="DL132" s="27"/>
      <c r="DM132" s="27"/>
      <c r="DN132" s="27"/>
      <c r="DO132" s="27"/>
      <c r="DP132" s="27"/>
      <c r="DQ132" s="27"/>
      <c r="DR132" s="27"/>
      <c r="DS132" s="27"/>
      <c r="DT132" s="27"/>
    </row>
    <row r="133" spans="2:124" ht="17.25" customHeight="1" x14ac:dyDescent="0.2">
      <c r="B133" s="27"/>
      <c r="C133" s="27"/>
      <c r="D133" s="27"/>
      <c r="E133" s="27"/>
      <c r="F133" s="27"/>
      <c r="G133" s="27"/>
      <c r="H133" s="27"/>
      <c r="I133" s="27"/>
      <c r="J133" s="27"/>
      <c r="K133" s="27"/>
      <c r="L133" s="27"/>
      <c r="M133" s="27">
        <f>M132*1.0375</f>
        <v>10181.246474002724</v>
      </c>
      <c r="N133" s="27">
        <v>10230.312722070206</v>
      </c>
      <c r="O133" s="27"/>
      <c r="P133" s="27"/>
      <c r="Q133" s="27"/>
      <c r="R133" s="27"/>
      <c r="S133" s="27"/>
      <c r="T133" s="27"/>
      <c r="U133" s="27"/>
      <c r="V133" s="27"/>
      <c r="W133" s="27"/>
      <c r="X133" s="27"/>
      <c r="Y133" s="27"/>
      <c r="Z133" s="27"/>
      <c r="AA133" s="27"/>
      <c r="AB133" s="27"/>
      <c r="AC133" s="27"/>
      <c r="AD133" s="27"/>
      <c r="AE133" s="27"/>
      <c r="AF133" s="27"/>
      <c r="AG133" s="27"/>
      <c r="AH133" s="27"/>
      <c r="AI133" s="27"/>
      <c r="AJ133" s="27"/>
      <c r="AK133" s="27"/>
      <c r="AL133" s="27"/>
      <c r="AM133" s="27"/>
      <c r="AN133" s="27"/>
      <c r="AO133" s="27"/>
      <c r="AP133" s="27"/>
      <c r="AQ133" s="27"/>
      <c r="AR133" s="27"/>
      <c r="AS133" s="27"/>
      <c r="AT133" s="27"/>
      <c r="AU133" s="27"/>
      <c r="AV133" s="27"/>
      <c r="AW133" s="27"/>
      <c r="AX133" s="27"/>
      <c r="AY133" s="27"/>
      <c r="AZ133" s="27"/>
      <c r="BA133" s="27"/>
      <c r="BB133" s="27"/>
      <c r="BC133" s="27"/>
      <c r="BD133" s="27"/>
      <c r="BE133" s="27"/>
      <c r="BF133" s="27"/>
      <c r="BG133" s="27"/>
      <c r="BH133" s="27"/>
      <c r="BI133" s="27"/>
      <c r="BJ133" s="27"/>
      <c r="BK133" s="27"/>
      <c r="BL133" s="27"/>
      <c r="BM133" s="27"/>
      <c r="BN133" s="27"/>
      <c r="BO133" s="27"/>
      <c r="BP133" s="27"/>
      <c r="BQ133" s="27"/>
      <c r="BR133" s="27"/>
      <c r="BS133" s="27"/>
      <c r="BT133" s="27"/>
      <c r="BU133" s="27"/>
      <c r="BV133" s="27"/>
      <c r="BW133" s="27"/>
      <c r="BX133" s="27"/>
      <c r="BY133" s="27"/>
      <c r="BZ133" s="27"/>
      <c r="CA133" s="27"/>
      <c r="CB133" s="27"/>
      <c r="CC133" s="27"/>
      <c r="CD133" s="27"/>
      <c r="CE133" s="27"/>
      <c r="CF133" s="27"/>
      <c r="CG133" s="27"/>
      <c r="CH133" s="27"/>
      <c r="CI133" s="27"/>
      <c r="CJ133" s="27"/>
      <c r="CK133" s="27"/>
      <c r="CL133" s="27"/>
      <c r="CM133" s="27"/>
      <c r="CN133" s="27"/>
      <c r="CO133" s="27"/>
      <c r="CP133" s="27"/>
      <c r="CQ133" s="27"/>
      <c r="CR133" s="27"/>
      <c r="CS133" s="27"/>
      <c r="CT133" s="27"/>
      <c r="CU133" s="27"/>
      <c r="CV133" s="27"/>
      <c r="CW133" s="27"/>
      <c r="CX133" s="27"/>
      <c r="CY133" s="27"/>
      <c r="CZ133" s="27"/>
      <c r="DA133" s="27"/>
      <c r="DB133" s="27"/>
      <c r="DC133" s="27"/>
      <c r="DD133" s="27"/>
      <c r="DE133" s="27"/>
      <c r="DF133" s="27"/>
      <c r="DG133" s="27"/>
      <c r="DH133" s="27"/>
      <c r="DI133" s="27"/>
      <c r="DJ133" s="27"/>
      <c r="DK133" s="27"/>
      <c r="DL133" s="27"/>
      <c r="DM133" s="27"/>
      <c r="DN133" s="27"/>
      <c r="DO133" s="27"/>
      <c r="DP133" s="27"/>
      <c r="DQ133" s="27"/>
      <c r="DR133" s="27"/>
      <c r="DS133" s="27"/>
      <c r="DT133" s="27"/>
    </row>
    <row r="134" spans="2:124" ht="17.25" customHeight="1" x14ac:dyDescent="0.2">
      <c r="B134" s="27" t="s">
        <v>41</v>
      </c>
      <c r="C134" s="27">
        <v>35</v>
      </c>
      <c r="D134" s="27">
        <f>IFERROR(T29,0%)</f>
        <v>0</v>
      </c>
      <c r="E134" s="27" t="s">
        <v>474</v>
      </c>
      <c r="F134" s="27"/>
      <c r="G134" s="27"/>
      <c r="H134" s="27"/>
      <c r="I134" s="27"/>
      <c r="J134" s="27"/>
      <c r="K134" s="27"/>
      <c r="L134" s="27"/>
      <c r="M134" s="27">
        <f>IF(OR($C$5=$CB$16,$C$5=$CC$16),N134*1.05,N134)</f>
        <v>10647.37583064381</v>
      </c>
      <c r="N134" s="27">
        <v>10647.37583064381</v>
      </c>
      <c r="O134" s="27"/>
      <c r="P134" s="27"/>
      <c r="Q134" s="27"/>
      <c r="R134" s="27"/>
      <c r="S134" s="27"/>
      <c r="T134" s="27"/>
      <c r="U134" s="27"/>
      <c r="V134" s="27"/>
      <c r="W134" s="27"/>
      <c r="X134" s="27"/>
      <c r="Y134" s="27"/>
      <c r="Z134" s="27"/>
      <c r="AA134" s="27"/>
      <c r="AB134" s="27"/>
      <c r="AC134" s="27"/>
      <c r="AD134" s="27"/>
      <c r="AE134" s="27"/>
      <c r="AF134" s="27"/>
      <c r="AG134" s="27"/>
      <c r="AH134" s="27"/>
      <c r="AI134" s="27"/>
      <c r="AJ134" s="27"/>
      <c r="AK134" s="27"/>
      <c r="AL134" s="27"/>
      <c r="AM134" s="27"/>
      <c r="AN134" s="27"/>
      <c r="AO134" s="27"/>
      <c r="AP134" s="27"/>
      <c r="AQ134" s="27"/>
      <c r="AR134" s="27"/>
      <c r="AS134" s="27"/>
      <c r="AT134" s="27"/>
      <c r="AU134" s="27"/>
      <c r="AV134" s="27"/>
      <c r="AW134" s="27"/>
      <c r="AX134" s="27"/>
      <c r="AY134" s="27"/>
      <c r="AZ134" s="27"/>
      <c r="BA134" s="27"/>
      <c r="BB134" s="27"/>
      <c r="BC134" s="27"/>
      <c r="BD134" s="27"/>
      <c r="BE134" s="27"/>
      <c r="BF134" s="27"/>
      <c r="BG134" s="27"/>
      <c r="BH134" s="27"/>
      <c r="BI134" s="27"/>
      <c r="BJ134" s="27"/>
      <c r="BK134" s="27"/>
      <c r="BL134" s="27"/>
      <c r="BM134" s="27"/>
      <c r="BN134" s="27"/>
      <c r="BO134" s="27"/>
      <c r="BP134" s="27"/>
      <c r="BQ134" s="27"/>
      <c r="BR134" s="27"/>
      <c r="BS134" s="27"/>
      <c r="BT134" s="27"/>
      <c r="BU134" s="27"/>
      <c r="BV134" s="27"/>
      <c r="BW134" s="27"/>
      <c r="BX134" s="27"/>
      <c r="BY134" s="27"/>
      <c r="BZ134" s="27"/>
      <c r="CA134" s="27"/>
      <c r="CB134" s="27"/>
      <c r="CC134" s="27"/>
      <c r="CD134" s="27"/>
      <c r="CE134" s="27"/>
      <c r="CF134" s="27"/>
      <c r="CG134" s="27"/>
      <c r="CH134" s="27"/>
      <c r="CI134" s="27"/>
      <c r="CJ134" s="27"/>
      <c r="CK134" s="27"/>
      <c r="CL134" s="27"/>
      <c r="CM134" s="27"/>
      <c r="CN134" s="27"/>
      <c r="CO134" s="27"/>
      <c r="CP134" s="27"/>
      <c r="CQ134" s="27"/>
      <c r="CR134" s="27"/>
      <c r="CS134" s="27"/>
      <c r="CT134" s="27"/>
      <c r="CU134" s="27"/>
      <c r="CV134" s="27"/>
      <c r="CW134" s="27"/>
      <c r="CX134" s="27"/>
      <c r="CY134" s="27"/>
      <c r="CZ134" s="27"/>
      <c r="DA134" s="27"/>
      <c r="DB134" s="27"/>
      <c r="DC134" s="27"/>
      <c r="DD134" s="27"/>
      <c r="DE134" s="27"/>
      <c r="DF134" s="27"/>
      <c r="DG134" s="27"/>
      <c r="DH134" s="27"/>
      <c r="DI134" s="27"/>
      <c r="DJ134" s="27"/>
      <c r="DK134" s="27"/>
      <c r="DL134" s="27"/>
      <c r="DM134" s="27"/>
      <c r="DN134" s="27"/>
      <c r="DO134" s="27"/>
      <c r="DP134" s="27"/>
      <c r="DQ134" s="27"/>
      <c r="DR134" s="27"/>
      <c r="DS134" s="27"/>
      <c r="DT134" s="27"/>
    </row>
    <row r="135" spans="2:124" ht="17.25" customHeight="1" x14ac:dyDescent="0.2">
      <c r="B135" s="27" t="s">
        <v>40</v>
      </c>
      <c r="C135" s="27">
        <v>0</v>
      </c>
      <c r="D135" s="27">
        <f>IFERROR(T30,0%)</f>
        <v>0</v>
      </c>
      <c r="E135" s="27" t="s">
        <v>475</v>
      </c>
      <c r="F135" s="27"/>
      <c r="G135" s="27"/>
      <c r="H135" s="27"/>
      <c r="I135" s="27"/>
      <c r="J135" s="27"/>
      <c r="K135" s="27"/>
      <c r="L135" s="27"/>
      <c r="M135" s="27">
        <f>M134*1.0375</f>
        <v>11046.652424292954</v>
      </c>
      <c r="N135" s="27">
        <v>11099.889303446173</v>
      </c>
      <c r="O135" s="27"/>
      <c r="P135" s="27"/>
      <c r="Q135" s="27"/>
      <c r="R135" s="27"/>
      <c r="S135" s="27"/>
      <c r="T135" s="27"/>
      <c r="U135" s="27"/>
      <c r="V135" s="27"/>
      <c r="W135" s="27"/>
      <c r="X135" s="27"/>
      <c r="Y135" s="27"/>
      <c r="Z135" s="27"/>
      <c r="AA135" s="27"/>
      <c r="AB135" s="27"/>
      <c r="AC135" s="27"/>
      <c r="AD135" s="27"/>
      <c r="AE135" s="27"/>
      <c r="AF135" s="27"/>
      <c r="AG135" s="27"/>
      <c r="AH135" s="27"/>
      <c r="AI135" s="27"/>
      <c r="AJ135" s="27"/>
      <c r="AK135" s="27"/>
      <c r="AL135" s="27"/>
      <c r="AM135" s="27"/>
      <c r="AN135" s="27"/>
      <c r="AO135" s="27"/>
      <c r="AP135" s="27"/>
      <c r="AQ135" s="27"/>
      <c r="AR135" s="27"/>
      <c r="AS135" s="27"/>
      <c r="AT135" s="27"/>
      <c r="AU135" s="27"/>
      <c r="AV135" s="27"/>
      <c r="AW135" s="27"/>
      <c r="AX135" s="27"/>
      <c r="AY135" s="27"/>
      <c r="AZ135" s="27"/>
      <c r="BA135" s="27"/>
      <c r="BB135" s="27"/>
      <c r="BC135" s="27"/>
      <c r="BD135" s="27"/>
      <c r="BE135" s="27"/>
      <c r="BF135" s="27"/>
      <c r="BG135" s="27"/>
      <c r="BH135" s="27"/>
      <c r="BI135" s="27"/>
      <c r="BJ135" s="27"/>
      <c r="BK135" s="27"/>
      <c r="BL135" s="27"/>
      <c r="BM135" s="27"/>
      <c r="BN135" s="27"/>
      <c r="BO135" s="27"/>
      <c r="BP135" s="27"/>
      <c r="BQ135" s="27"/>
      <c r="BR135" s="27"/>
      <c r="BS135" s="27"/>
      <c r="BT135" s="27"/>
      <c r="BU135" s="27"/>
      <c r="BV135" s="27"/>
      <c r="BW135" s="27"/>
      <c r="BX135" s="27"/>
      <c r="BY135" s="27"/>
      <c r="BZ135" s="27"/>
      <c r="CA135" s="27"/>
      <c r="CB135" s="27"/>
      <c r="CC135" s="27"/>
      <c r="CD135" s="27"/>
      <c r="CE135" s="27"/>
      <c r="CF135" s="27"/>
      <c r="CG135" s="27"/>
      <c r="CH135" s="27"/>
      <c r="CI135" s="27"/>
      <c r="CJ135" s="27"/>
      <c r="CK135" s="27"/>
      <c r="CL135" s="27"/>
      <c r="CM135" s="27"/>
      <c r="CN135" s="27"/>
      <c r="CO135" s="27"/>
      <c r="CP135" s="27"/>
      <c r="CQ135" s="27"/>
      <c r="CR135" s="27"/>
      <c r="CS135" s="27"/>
      <c r="CT135" s="27"/>
      <c r="CU135" s="27"/>
      <c r="CV135" s="27"/>
      <c r="CW135" s="27"/>
      <c r="CX135" s="27"/>
      <c r="CY135" s="27"/>
      <c r="CZ135" s="27"/>
      <c r="DA135" s="27"/>
      <c r="DB135" s="27"/>
      <c r="DC135" s="27"/>
      <c r="DD135" s="27"/>
      <c r="DE135" s="27"/>
      <c r="DF135" s="27"/>
      <c r="DG135" s="27"/>
      <c r="DH135" s="27"/>
      <c r="DI135" s="27"/>
      <c r="DJ135" s="27"/>
      <c r="DK135" s="27"/>
      <c r="DL135" s="27"/>
      <c r="DM135" s="27"/>
      <c r="DN135" s="27"/>
      <c r="DO135" s="27"/>
      <c r="DP135" s="27"/>
      <c r="DQ135" s="27"/>
      <c r="DR135" s="27"/>
      <c r="DS135" s="27"/>
      <c r="DT135" s="27"/>
    </row>
    <row r="136" spans="2:124" ht="17.25" customHeight="1" x14ac:dyDescent="0.2">
      <c r="B136" s="27"/>
      <c r="C136" s="27"/>
      <c r="D136" s="27"/>
      <c r="E136" s="27"/>
      <c r="F136" s="27"/>
      <c r="G136" s="27"/>
      <c r="H136" s="27"/>
      <c r="I136" s="27"/>
      <c r="J136" s="27"/>
      <c r="K136" s="27"/>
      <c r="L136" s="27"/>
      <c r="M136" s="27">
        <f>IF(OR($C$5=$CB$16,$C$5=$CC$16),N136*1.05,N136)</f>
        <v>11552.402776248533</v>
      </c>
      <c r="N136" s="27">
        <v>11552.402776248533</v>
      </c>
      <c r="O136" s="27"/>
      <c r="P136" s="27"/>
      <c r="Q136" s="27"/>
      <c r="R136" s="27"/>
      <c r="S136" s="27"/>
      <c r="T136" s="27"/>
      <c r="U136" s="27"/>
      <c r="V136" s="27"/>
      <c r="W136" s="27"/>
      <c r="X136" s="27"/>
      <c r="Y136" s="27"/>
      <c r="Z136" s="27"/>
      <c r="AA136" s="27"/>
      <c r="AB136" s="27"/>
      <c r="AC136" s="27"/>
      <c r="AD136" s="27"/>
      <c r="AE136" s="27"/>
      <c r="AF136" s="27"/>
      <c r="AG136" s="27"/>
      <c r="AH136" s="27"/>
      <c r="AI136" s="27"/>
      <c r="AJ136" s="27"/>
      <c r="AK136" s="27"/>
      <c r="AL136" s="27"/>
      <c r="AM136" s="27"/>
      <c r="AN136" s="27"/>
      <c r="AO136" s="27"/>
      <c r="AP136" s="27"/>
      <c r="AQ136" s="27"/>
      <c r="AR136" s="27"/>
      <c r="AS136" s="27"/>
      <c r="AT136" s="27"/>
      <c r="AU136" s="27"/>
      <c r="AV136" s="27"/>
      <c r="AW136" s="27"/>
      <c r="AX136" s="27"/>
      <c r="AY136" s="27"/>
      <c r="AZ136" s="27"/>
      <c r="BA136" s="27"/>
      <c r="BB136" s="27"/>
      <c r="BC136" s="27"/>
      <c r="BD136" s="27"/>
      <c r="BE136" s="27"/>
      <c r="BF136" s="27"/>
      <c r="BG136" s="27"/>
      <c r="BH136" s="27"/>
      <c r="BI136" s="27"/>
      <c r="BJ136" s="27"/>
      <c r="BK136" s="27"/>
      <c r="BL136" s="27"/>
      <c r="BM136" s="27"/>
      <c r="BN136" s="27"/>
      <c r="BO136" s="27"/>
      <c r="BP136" s="27"/>
      <c r="BQ136" s="27"/>
      <c r="BR136" s="27"/>
      <c r="BS136" s="27"/>
      <c r="BT136" s="27"/>
      <c r="BU136" s="27"/>
      <c r="BV136" s="27"/>
      <c r="BW136" s="27"/>
      <c r="BX136" s="27"/>
      <c r="BY136" s="27"/>
      <c r="BZ136" s="27"/>
      <c r="CA136" s="27"/>
      <c r="CB136" s="27"/>
      <c r="CC136" s="27"/>
      <c r="CD136" s="27"/>
      <c r="CE136" s="27"/>
      <c r="CF136" s="27"/>
      <c r="CG136" s="27"/>
      <c r="CH136" s="27"/>
      <c r="CI136" s="27"/>
      <c r="CJ136" s="27"/>
      <c r="CK136" s="27"/>
      <c r="CL136" s="27"/>
      <c r="CM136" s="27"/>
      <c r="CN136" s="27"/>
      <c r="CO136" s="27"/>
      <c r="CP136" s="27"/>
      <c r="CQ136" s="27"/>
      <c r="CR136" s="27"/>
      <c r="CS136" s="27"/>
      <c r="CT136" s="27"/>
      <c r="CU136" s="27"/>
      <c r="CV136" s="27"/>
      <c r="CW136" s="27"/>
      <c r="CX136" s="27"/>
      <c r="CY136" s="27"/>
      <c r="CZ136" s="27"/>
      <c r="DA136" s="27"/>
      <c r="DB136" s="27"/>
      <c r="DC136" s="27"/>
      <c r="DD136" s="27"/>
      <c r="DE136" s="27"/>
      <c r="DF136" s="27"/>
      <c r="DG136" s="27"/>
      <c r="DH136" s="27"/>
      <c r="DI136" s="27"/>
      <c r="DJ136" s="27"/>
      <c r="DK136" s="27"/>
      <c r="DL136" s="27"/>
      <c r="DM136" s="27"/>
      <c r="DN136" s="27"/>
      <c r="DO136" s="27"/>
      <c r="DP136" s="27"/>
      <c r="DQ136" s="27"/>
      <c r="DR136" s="27"/>
      <c r="DS136" s="27"/>
      <c r="DT136" s="27"/>
    </row>
    <row r="137" spans="2:124" ht="17.25" customHeight="1" x14ac:dyDescent="0.2">
      <c r="B137" s="27"/>
      <c r="C137" s="27"/>
      <c r="D137" s="27"/>
      <c r="E137" s="27"/>
      <c r="F137" s="27"/>
      <c r="G137" s="27"/>
      <c r="H137" s="27" t="s">
        <v>476</v>
      </c>
      <c r="I137" s="27"/>
      <c r="J137" s="27"/>
      <c r="K137" s="27"/>
      <c r="L137" s="27"/>
      <c r="M137" s="27"/>
      <c r="N137" s="27"/>
      <c r="O137" s="27"/>
      <c r="P137" s="27"/>
      <c r="Q137" s="27"/>
      <c r="R137" s="27"/>
      <c r="S137" s="27"/>
      <c r="T137" s="27"/>
      <c r="U137" s="27"/>
      <c r="V137" s="27"/>
      <c r="W137" s="27"/>
      <c r="X137" s="27"/>
      <c r="Y137" s="27"/>
      <c r="Z137" s="27"/>
      <c r="AA137" s="27"/>
      <c r="AB137" s="27"/>
      <c r="AC137" s="27"/>
      <c r="AD137" s="27"/>
      <c r="AE137" s="27"/>
      <c r="AF137" s="27"/>
      <c r="AG137" s="27"/>
      <c r="AH137" s="27"/>
      <c r="AI137" s="27"/>
      <c r="AJ137" s="27"/>
      <c r="AK137" s="27"/>
      <c r="AL137" s="27"/>
      <c r="AM137" s="27"/>
      <c r="AN137" s="27"/>
      <c r="AO137" s="27"/>
      <c r="AP137" s="27"/>
      <c r="AQ137" s="27"/>
      <c r="AR137" s="27"/>
      <c r="AS137" s="27"/>
      <c r="AT137" s="27"/>
      <c r="AU137" s="27"/>
      <c r="AV137" s="27"/>
      <c r="AW137" s="27"/>
      <c r="AX137" s="27"/>
      <c r="AY137" s="27"/>
      <c r="AZ137" s="27"/>
      <c r="BA137" s="27"/>
      <c r="BB137" s="27"/>
      <c r="BC137" s="27"/>
      <c r="BD137" s="27"/>
      <c r="BE137" s="27"/>
      <c r="BF137" s="27"/>
      <c r="BG137" s="27"/>
      <c r="BH137" s="27"/>
      <c r="BI137" s="27"/>
      <c r="BJ137" s="27"/>
      <c r="BK137" s="27"/>
      <c r="BL137" s="27"/>
      <c r="BM137" s="27"/>
      <c r="BN137" s="27"/>
      <c r="BO137" s="27"/>
      <c r="BP137" s="27"/>
      <c r="BQ137" s="27"/>
      <c r="BR137" s="27"/>
      <c r="BS137" s="27"/>
      <c r="BT137" s="27"/>
      <c r="BU137" s="27"/>
      <c r="BV137" s="27"/>
      <c r="BW137" s="27"/>
      <c r="BX137" s="27"/>
      <c r="BY137" s="27"/>
      <c r="BZ137" s="27"/>
      <c r="CA137" s="27"/>
      <c r="CB137" s="27"/>
      <c r="CC137" s="27"/>
      <c r="CD137" s="27"/>
      <c r="CE137" s="27"/>
      <c r="CF137" s="27"/>
      <c r="CG137" s="27"/>
      <c r="CH137" s="27"/>
      <c r="CI137" s="27"/>
      <c r="CJ137" s="27"/>
      <c r="CK137" s="27"/>
      <c r="CL137" s="27"/>
      <c r="CM137" s="27"/>
      <c r="CN137" s="27"/>
      <c r="CO137" s="27"/>
      <c r="CP137" s="27"/>
      <c r="CQ137" s="27"/>
      <c r="CR137" s="27"/>
      <c r="CS137" s="27"/>
      <c r="CT137" s="27"/>
      <c r="CU137" s="27"/>
      <c r="CV137" s="27"/>
      <c r="CW137" s="27"/>
      <c r="CX137" s="27"/>
      <c r="CY137" s="27"/>
      <c r="CZ137" s="27"/>
      <c r="DA137" s="27"/>
      <c r="DB137" s="27"/>
      <c r="DC137" s="27"/>
      <c r="DD137" s="27"/>
      <c r="DE137" s="27"/>
      <c r="DF137" s="27"/>
      <c r="DG137" s="27"/>
      <c r="DH137" s="27"/>
      <c r="DI137" s="27"/>
      <c r="DJ137" s="27"/>
      <c r="DK137" s="27"/>
      <c r="DL137" s="27"/>
      <c r="DM137" s="27"/>
      <c r="DN137" s="27"/>
      <c r="DO137" s="27"/>
      <c r="DP137" s="27"/>
      <c r="DQ137" s="27"/>
      <c r="DR137" s="27"/>
      <c r="DS137" s="27"/>
      <c r="DT137" s="27"/>
    </row>
    <row r="138" spans="2:124" ht="17.25" customHeight="1" x14ac:dyDescent="0.2">
      <c r="B138" s="27"/>
      <c r="C138" s="27"/>
      <c r="D138" s="27"/>
      <c r="E138" s="27"/>
      <c r="F138" s="27"/>
      <c r="G138" s="27"/>
      <c r="H138" s="27" t="s">
        <v>477</v>
      </c>
      <c r="I138" s="27"/>
      <c r="J138" s="27"/>
      <c r="K138" s="27"/>
      <c r="L138" s="27"/>
      <c r="M138" s="27"/>
      <c r="N138" s="27"/>
      <c r="O138" s="27"/>
      <c r="P138" s="27"/>
      <c r="Q138" s="27"/>
      <c r="R138" s="27"/>
      <c r="S138" s="27"/>
      <c r="T138" s="27"/>
      <c r="U138" s="27"/>
      <c r="V138" s="27"/>
      <c r="W138" s="27"/>
      <c r="X138" s="27"/>
      <c r="Y138" s="27"/>
      <c r="Z138" s="27"/>
      <c r="AA138" s="27"/>
      <c r="AB138" s="27"/>
      <c r="AC138" s="27"/>
      <c r="AD138" s="27"/>
      <c r="AE138" s="27"/>
      <c r="AF138" s="27"/>
      <c r="AG138" s="27"/>
      <c r="AH138" s="27"/>
      <c r="AI138" s="27"/>
      <c r="AJ138" s="27"/>
      <c r="AK138" s="27"/>
      <c r="AL138" s="27"/>
      <c r="AM138" s="27"/>
      <c r="AN138" s="27"/>
      <c r="AO138" s="27"/>
      <c r="AP138" s="27"/>
      <c r="AQ138" s="27"/>
      <c r="AR138" s="27"/>
      <c r="AS138" s="27"/>
      <c r="AT138" s="27"/>
      <c r="AU138" s="27"/>
      <c r="AV138" s="27"/>
      <c r="AW138" s="27"/>
      <c r="AX138" s="27"/>
      <c r="AY138" s="27"/>
      <c r="AZ138" s="27"/>
      <c r="BA138" s="27"/>
      <c r="BB138" s="27"/>
      <c r="BC138" s="27"/>
      <c r="BD138" s="27"/>
      <c r="BE138" s="27"/>
      <c r="BF138" s="27"/>
      <c r="BG138" s="27"/>
      <c r="BH138" s="27"/>
      <c r="BI138" s="27"/>
      <c r="BJ138" s="27"/>
      <c r="BK138" s="27"/>
      <c r="BL138" s="27"/>
      <c r="BM138" s="27"/>
      <c r="BN138" s="27"/>
      <c r="BO138" s="27"/>
      <c r="BP138" s="27"/>
      <c r="BQ138" s="27"/>
      <c r="BR138" s="27"/>
      <c r="BS138" s="27"/>
      <c r="BT138" s="27"/>
      <c r="BU138" s="27"/>
      <c r="BV138" s="27"/>
      <c r="BW138" s="27"/>
      <c r="BX138" s="27"/>
      <c r="BY138" s="27"/>
      <c r="BZ138" s="27"/>
      <c r="CA138" s="27"/>
      <c r="CB138" s="27"/>
      <c r="CC138" s="27"/>
      <c r="CD138" s="27"/>
      <c r="CE138" s="27"/>
      <c r="CF138" s="27"/>
      <c r="CG138" s="27"/>
      <c r="CH138" s="27"/>
      <c r="CI138" s="27"/>
      <c r="CJ138" s="27"/>
      <c r="CK138" s="27"/>
      <c r="CL138" s="27"/>
      <c r="CM138" s="27"/>
      <c r="CN138" s="27"/>
      <c r="CO138" s="27"/>
      <c r="CP138" s="27"/>
      <c r="CQ138" s="27"/>
      <c r="CR138" s="27"/>
      <c r="CS138" s="27"/>
      <c r="CT138" s="27"/>
      <c r="CU138" s="27"/>
      <c r="CV138" s="27"/>
      <c r="CW138" s="27"/>
      <c r="CX138" s="27"/>
      <c r="CY138" s="27"/>
      <c r="CZ138" s="27"/>
      <c r="DA138" s="27"/>
      <c r="DB138" s="27"/>
      <c r="DC138" s="27"/>
      <c r="DD138" s="27"/>
      <c r="DE138" s="27"/>
      <c r="DF138" s="27"/>
      <c r="DG138" s="27"/>
      <c r="DH138" s="27"/>
      <c r="DI138" s="27"/>
      <c r="DJ138" s="27"/>
      <c r="DK138" s="27"/>
      <c r="DL138" s="27"/>
      <c r="DM138" s="27"/>
      <c r="DN138" s="27"/>
      <c r="DO138" s="27"/>
      <c r="DP138" s="27"/>
      <c r="DQ138" s="27"/>
      <c r="DR138" s="27"/>
      <c r="DS138" s="27"/>
      <c r="DT138" s="27"/>
    </row>
    <row r="139" spans="2:124" ht="17.25" customHeight="1" x14ac:dyDescent="0.2">
      <c r="B139" s="27" t="s">
        <v>478</v>
      </c>
      <c r="C139" s="27"/>
      <c r="D139" s="27"/>
      <c r="E139" s="27"/>
      <c r="F139" s="27"/>
      <c r="G139" s="27"/>
      <c r="H139" s="27" t="s">
        <v>479</v>
      </c>
      <c r="I139" s="27"/>
      <c r="J139" s="27"/>
      <c r="K139" s="27"/>
      <c r="L139" s="27"/>
      <c r="M139" s="27"/>
      <c r="N139" s="27"/>
      <c r="O139" s="27"/>
      <c r="P139" s="27"/>
      <c r="Q139" s="27"/>
      <c r="R139" s="27"/>
      <c r="S139" s="27"/>
      <c r="T139" s="27"/>
      <c r="U139" s="27"/>
      <c r="V139" s="27"/>
      <c r="W139" s="27"/>
      <c r="X139" s="27"/>
      <c r="Y139" s="27"/>
      <c r="Z139" s="27"/>
      <c r="AA139" s="27"/>
      <c r="AB139" s="27"/>
      <c r="AC139" s="27"/>
      <c r="AD139" s="27"/>
      <c r="AE139" s="27"/>
      <c r="AF139" s="27"/>
      <c r="AG139" s="27"/>
      <c r="AH139" s="27"/>
      <c r="AI139" s="27"/>
      <c r="AJ139" s="27"/>
      <c r="AK139" s="27"/>
      <c r="AL139" s="27"/>
      <c r="AM139" s="27"/>
      <c r="AN139" s="27"/>
      <c r="AO139" s="27"/>
      <c r="AP139" s="27"/>
      <c r="AQ139" s="27"/>
      <c r="AR139" s="27"/>
      <c r="AS139" s="27"/>
      <c r="AT139" s="27"/>
      <c r="AU139" s="27"/>
      <c r="AV139" s="27"/>
      <c r="AW139" s="27"/>
      <c r="AX139" s="27"/>
      <c r="AY139" s="27"/>
      <c r="AZ139" s="27"/>
      <c r="BA139" s="27"/>
      <c r="BB139" s="27"/>
      <c r="BC139" s="27"/>
      <c r="BD139" s="27"/>
      <c r="BE139" s="27"/>
      <c r="BF139" s="27"/>
      <c r="BG139" s="27"/>
      <c r="BH139" s="27"/>
      <c r="BI139" s="27"/>
      <c r="BJ139" s="27"/>
      <c r="BK139" s="27"/>
      <c r="BL139" s="27"/>
      <c r="BM139" s="27"/>
      <c r="BN139" s="27"/>
      <c r="BO139" s="27"/>
      <c r="BP139" s="27"/>
      <c r="BQ139" s="27"/>
      <c r="BR139" s="27"/>
      <c r="BS139" s="27"/>
      <c r="BT139" s="27"/>
      <c r="BU139" s="27"/>
      <c r="BV139" s="27"/>
      <c r="BW139" s="27"/>
      <c r="BX139" s="27"/>
      <c r="BY139" s="27"/>
      <c r="BZ139" s="27"/>
      <c r="CA139" s="27"/>
      <c r="CB139" s="27"/>
      <c r="CC139" s="27"/>
      <c r="CD139" s="27"/>
      <c r="CE139" s="27"/>
      <c r="CF139" s="27"/>
      <c r="CG139" s="27"/>
      <c r="CH139" s="27"/>
      <c r="CI139" s="27"/>
      <c r="CJ139" s="27"/>
      <c r="CK139" s="27"/>
      <c r="CL139" s="27"/>
      <c r="CM139" s="27"/>
      <c r="CN139" s="27"/>
      <c r="CO139" s="27"/>
      <c r="CP139" s="27"/>
      <c r="CQ139" s="27"/>
      <c r="CR139" s="27"/>
      <c r="CS139" s="27"/>
      <c r="CT139" s="27"/>
      <c r="CU139" s="27"/>
      <c r="CV139" s="27"/>
      <c r="CW139" s="27"/>
      <c r="CX139" s="27"/>
      <c r="CY139" s="27"/>
      <c r="CZ139" s="27"/>
      <c r="DA139" s="27"/>
      <c r="DB139" s="27"/>
      <c r="DC139" s="27"/>
      <c r="DD139" s="27"/>
      <c r="DE139" s="27"/>
      <c r="DF139" s="27"/>
      <c r="DG139" s="27"/>
      <c r="DH139" s="27"/>
      <c r="DI139" s="27"/>
      <c r="DJ139" s="27"/>
      <c r="DK139" s="27"/>
      <c r="DL139" s="27"/>
      <c r="DM139" s="27"/>
      <c r="DN139" s="27"/>
      <c r="DO139" s="27"/>
      <c r="DP139" s="27"/>
      <c r="DQ139" s="27"/>
      <c r="DR139" s="27"/>
      <c r="DS139" s="27"/>
      <c r="DT139" s="27"/>
    </row>
    <row r="140" spans="2:124" ht="17.25" customHeight="1" x14ac:dyDescent="0.2">
      <c r="B140" s="27" t="s">
        <v>480</v>
      </c>
      <c r="C140" s="27" t="s">
        <v>481</v>
      </c>
      <c r="D140" s="27" t="s">
        <v>482</v>
      </c>
      <c r="E140" s="27" t="s">
        <v>483</v>
      </c>
      <c r="F140" s="27"/>
      <c r="G140" s="27"/>
      <c r="H140" s="27"/>
      <c r="I140" s="27"/>
      <c r="J140" s="27"/>
      <c r="K140" s="27"/>
      <c r="L140" s="27"/>
      <c r="M140" s="27"/>
      <c r="N140" s="27"/>
      <c r="O140" s="27"/>
      <c r="P140" s="27"/>
      <c r="Q140" s="27"/>
      <c r="R140" s="27"/>
      <c r="S140" s="27"/>
      <c r="T140" s="27"/>
      <c r="U140" s="27"/>
      <c r="V140" s="27"/>
      <c r="W140" s="27"/>
      <c r="X140" s="27"/>
      <c r="Y140" s="27"/>
      <c r="Z140" s="27"/>
      <c r="AA140" s="27"/>
      <c r="AB140" s="27"/>
      <c r="AC140" s="27"/>
      <c r="AD140" s="27"/>
      <c r="AE140" s="27"/>
      <c r="AF140" s="27"/>
      <c r="AG140" s="27"/>
      <c r="AH140" s="27"/>
      <c r="AI140" s="27"/>
      <c r="AJ140" s="27"/>
      <c r="AK140" s="27"/>
      <c r="AL140" s="27"/>
      <c r="AM140" s="27"/>
      <c r="AN140" s="27"/>
      <c r="AO140" s="27"/>
      <c r="AP140" s="27"/>
      <c r="AQ140" s="27"/>
      <c r="AR140" s="27"/>
      <c r="AS140" s="27"/>
      <c r="AT140" s="27"/>
      <c r="AU140" s="27"/>
      <c r="AV140" s="27"/>
      <c r="AW140" s="27"/>
      <c r="AX140" s="27"/>
      <c r="AY140" s="27"/>
      <c r="AZ140" s="27"/>
      <c r="BA140" s="27"/>
      <c r="BB140" s="27"/>
      <c r="BC140" s="27"/>
      <c r="BD140" s="27"/>
      <c r="BE140" s="27"/>
      <c r="BF140" s="27"/>
      <c r="BG140" s="27"/>
      <c r="BH140" s="27"/>
      <c r="BI140" s="27"/>
      <c r="BJ140" s="27"/>
      <c r="BK140" s="27"/>
      <c r="BL140" s="27"/>
      <c r="BM140" s="27"/>
      <c r="BN140" s="27"/>
      <c r="BO140" s="27"/>
      <c r="BP140" s="27"/>
      <c r="BQ140" s="27"/>
      <c r="BR140" s="27"/>
      <c r="BS140" s="27"/>
      <c r="BT140" s="27"/>
      <c r="BU140" s="27"/>
      <c r="BV140" s="27"/>
      <c r="BW140" s="27"/>
      <c r="BX140" s="27"/>
      <c r="BY140" s="27"/>
      <c r="BZ140" s="27"/>
      <c r="CA140" s="27"/>
      <c r="CB140" s="27"/>
      <c r="CC140" s="27"/>
      <c r="CD140" s="27"/>
      <c r="CE140" s="27"/>
      <c r="CF140" s="27"/>
      <c r="CG140" s="27"/>
      <c r="CH140" s="27"/>
      <c r="CI140" s="27"/>
      <c r="CJ140" s="27"/>
      <c r="CK140" s="27"/>
      <c r="CL140" s="27"/>
      <c r="CM140" s="27"/>
      <c r="CN140" s="27"/>
      <c r="CO140" s="27"/>
      <c r="CP140" s="27"/>
      <c r="CQ140" s="27"/>
      <c r="CR140" s="27"/>
      <c r="CS140" s="27"/>
      <c r="CT140" s="27"/>
      <c r="CU140" s="27"/>
      <c r="CV140" s="27"/>
      <c r="CW140" s="27"/>
      <c r="CX140" s="27"/>
      <c r="CY140" s="27"/>
      <c r="CZ140" s="27"/>
      <c r="DA140" s="27"/>
      <c r="DB140" s="27"/>
      <c r="DC140" s="27"/>
      <c r="DD140" s="27"/>
      <c r="DE140" s="27"/>
      <c r="DF140" s="27"/>
      <c r="DG140" s="27"/>
      <c r="DH140" s="27"/>
      <c r="DI140" s="27"/>
      <c r="DJ140" s="27"/>
      <c r="DK140" s="27"/>
      <c r="DL140" s="27"/>
      <c r="DM140" s="27"/>
      <c r="DN140" s="27"/>
      <c r="DO140" s="27"/>
      <c r="DP140" s="27"/>
      <c r="DQ140" s="27"/>
      <c r="DR140" s="27"/>
      <c r="DS140" s="27"/>
      <c r="DT140" s="27"/>
    </row>
    <row r="141" spans="2:124" ht="17.25" customHeight="1" x14ac:dyDescent="0.2">
      <c r="B141" s="27" t="s">
        <v>484</v>
      </c>
      <c r="C141" s="27">
        <v>0.17</v>
      </c>
      <c r="D141" s="27">
        <v>0.27</v>
      </c>
      <c r="E141" s="27">
        <f>C141+12.5%</f>
        <v>0.29500000000000004</v>
      </c>
      <c r="F141" s="27"/>
      <c r="G141" s="27"/>
      <c r="H141" s="27"/>
      <c r="I141" s="27"/>
      <c r="J141" s="27"/>
      <c r="K141" s="27"/>
      <c r="L141" s="27"/>
      <c r="M141" s="27"/>
      <c r="N141" s="27"/>
      <c r="O141" s="27"/>
      <c r="P141" s="27"/>
      <c r="Q141" s="27"/>
      <c r="R141" s="27"/>
      <c r="S141" s="27"/>
      <c r="T141" s="27"/>
      <c r="U141" s="27"/>
      <c r="V141" s="27"/>
      <c r="W141" s="27"/>
      <c r="X141" s="27"/>
      <c r="Y141" s="27"/>
      <c r="Z141" s="27"/>
      <c r="AA141" s="27"/>
      <c r="AB141" s="27"/>
      <c r="AC141" s="27"/>
      <c r="AD141" s="27"/>
      <c r="AE141" s="27"/>
      <c r="AF141" s="27"/>
      <c r="AG141" s="27"/>
      <c r="AH141" s="27"/>
      <c r="AI141" s="27"/>
      <c r="AJ141" s="27"/>
      <c r="AK141" s="27"/>
      <c r="AL141" s="27"/>
      <c r="AM141" s="27"/>
      <c r="AN141" s="27"/>
      <c r="AO141" s="27"/>
      <c r="AP141" s="27"/>
      <c r="AQ141" s="27"/>
      <c r="AR141" s="27"/>
      <c r="AS141" s="27"/>
      <c r="AT141" s="27"/>
      <c r="AU141" s="27"/>
      <c r="AV141" s="27"/>
      <c r="AW141" s="27"/>
      <c r="AX141" s="27"/>
      <c r="AY141" s="27"/>
      <c r="AZ141" s="27"/>
      <c r="BA141" s="27"/>
      <c r="BB141" s="27"/>
      <c r="BC141" s="27"/>
      <c r="BD141" s="27"/>
      <c r="BE141" s="27"/>
      <c r="BF141" s="27"/>
      <c r="BG141" s="27"/>
      <c r="BH141" s="27"/>
      <c r="BI141" s="27"/>
      <c r="BJ141" s="27"/>
      <c r="BK141" s="27"/>
      <c r="BL141" s="27"/>
      <c r="BM141" s="27"/>
      <c r="BN141" s="27"/>
      <c r="BO141" s="27"/>
      <c r="BP141" s="27"/>
      <c r="BQ141" s="27"/>
      <c r="BR141" s="27"/>
      <c r="BS141" s="27"/>
      <c r="BT141" s="27"/>
      <c r="BU141" s="27"/>
      <c r="BV141" s="27"/>
      <c r="BW141" s="27"/>
      <c r="BX141" s="27"/>
      <c r="BY141" s="27"/>
      <c r="BZ141" s="27"/>
      <c r="CA141" s="27"/>
      <c r="CB141" s="27"/>
      <c r="CC141" s="27"/>
      <c r="CD141" s="27"/>
      <c r="CE141" s="27"/>
      <c r="CF141" s="27"/>
      <c r="CG141" s="27"/>
      <c r="CH141" s="27"/>
      <c r="CI141" s="27"/>
      <c r="CJ141" s="27"/>
      <c r="CK141" s="27"/>
      <c r="CL141" s="27"/>
      <c r="CM141" s="27"/>
      <c r="CN141" s="27"/>
      <c r="CO141" s="27"/>
      <c r="CP141" s="27"/>
      <c r="CQ141" s="27"/>
      <c r="CR141" s="27"/>
      <c r="CS141" s="27"/>
      <c r="CT141" s="27"/>
      <c r="CU141" s="27"/>
      <c r="CV141" s="27"/>
      <c r="CW141" s="27"/>
      <c r="CX141" s="27"/>
      <c r="CY141" s="27"/>
      <c r="CZ141" s="27"/>
      <c r="DA141" s="27"/>
      <c r="DB141" s="27"/>
      <c r="DC141" s="27"/>
      <c r="DD141" s="27"/>
      <c r="DE141" s="27"/>
      <c r="DF141" s="27"/>
      <c r="DG141" s="27"/>
      <c r="DH141" s="27"/>
      <c r="DI141" s="27"/>
      <c r="DJ141" s="27"/>
      <c r="DK141" s="27"/>
      <c r="DL141" s="27"/>
      <c r="DM141" s="27"/>
      <c r="DN141" s="27"/>
      <c r="DO141" s="27"/>
      <c r="DP141" s="27"/>
      <c r="DQ141" s="27"/>
      <c r="DR141" s="27"/>
      <c r="DS141" s="27"/>
      <c r="DT141" s="27"/>
    </row>
    <row r="142" spans="2:124" ht="17.25" customHeight="1" x14ac:dyDescent="0.2">
      <c r="B142" s="27" t="s">
        <v>485</v>
      </c>
      <c r="C142" s="27">
        <v>0.2</v>
      </c>
      <c r="D142" s="27">
        <v>0.3</v>
      </c>
      <c r="E142" s="27">
        <f>C142+12.5%</f>
        <v>0.32500000000000001</v>
      </c>
      <c r="F142" s="27"/>
      <c r="G142" s="27" t="e">
        <f>IF(G145&lt;27.4,100/36*G145,IF(G145&lt;29,(100/36*(G145+1.5)),(100/36*(G145+2))))</f>
        <v>#REF!</v>
      </c>
      <c r="H142" s="27"/>
      <c r="I142" s="27"/>
      <c r="J142" s="27"/>
      <c r="K142" s="27"/>
      <c r="L142" s="27"/>
      <c r="M142" s="27"/>
      <c r="N142" s="27"/>
      <c r="O142" s="27"/>
      <c r="P142" s="27"/>
      <c r="Q142" s="27"/>
      <c r="R142" s="27"/>
      <c r="S142" s="27"/>
      <c r="T142" s="27"/>
      <c r="U142" s="27"/>
      <c r="V142" s="27"/>
      <c r="W142" s="27"/>
      <c r="X142" s="27"/>
      <c r="Y142" s="27"/>
      <c r="Z142" s="27"/>
      <c r="AA142" s="27"/>
      <c r="AB142" s="27"/>
      <c r="AC142" s="27"/>
      <c r="AD142" s="27"/>
      <c r="AE142" s="27"/>
      <c r="AF142" s="27"/>
      <c r="AG142" s="27"/>
      <c r="AH142" s="27"/>
      <c r="AI142" s="27"/>
      <c r="AJ142" s="27"/>
      <c r="AK142" s="27"/>
      <c r="AL142" s="27"/>
      <c r="AM142" s="27"/>
      <c r="AN142" s="27"/>
      <c r="AO142" s="27"/>
      <c r="AP142" s="27"/>
      <c r="AQ142" s="27"/>
      <c r="AR142" s="27"/>
      <c r="AS142" s="27"/>
      <c r="AT142" s="27"/>
      <c r="AU142" s="27"/>
      <c r="AV142" s="27"/>
      <c r="AW142" s="27"/>
      <c r="AX142" s="27"/>
      <c r="AY142" s="27"/>
      <c r="AZ142" s="27"/>
      <c r="BA142" s="27"/>
      <c r="BB142" s="27"/>
      <c r="BC142" s="27"/>
      <c r="BD142" s="27"/>
      <c r="BE142" s="27"/>
      <c r="BF142" s="27"/>
      <c r="BG142" s="27"/>
      <c r="BH142" s="27"/>
      <c r="BI142" s="27"/>
      <c r="BJ142" s="27"/>
      <c r="BK142" s="27"/>
      <c r="BL142" s="27"/>
      <c r="BM142" s="27"/>
      <c r="BN142" s="27"/>
      <c r="BO142" s="27"/>
      <c r="BP142" s="27"/>
      <c r="BQ142" s="27"/>
      <c r="BR142" s="27"/>
      <c r="BS142" s="27"/>
      <c r="BT142" s="27"/>
      <c r="BU142" s="27"/>
      <c r="BV142" s="27"/>
      <c r="BW142" s="27"/>
      <c r="BX142" s="27"/>
      <c r="BY142" s="27"/>
      <c r="BZ142" s="27"/>
      <c r="CA142" s="27"/>
      <c r="CB142" s="27"/>
      <c r="CC142" s="27"/>
      <c r="CD142" s="27"/>
      <c r="CE142" s="27"/>
      <c r="CF142" s="27"/>
      <c r="CG142" s="27"/>
      <c r="CH142" s="27"/>
      <c r="CI142" s="27"/>
      <c r="CJ142" s="27"/>
      <c r="CK142" s="27"/>
      <c r="CL142" s="27"/>
      <c r="CM142" s="27"/>
      <c r="CN142" s="27"/>
      <c r="CO142" s="27"/>
      <c r="CP142" s="27"/>
      <c r="CQ142" s="27"/>
      <c r="CR142" s="27"/>
      <c r="CS142" s="27"/>
      <c r="CT142" s="27"/>
      <c r="CU142" s="27"/>
      <c r="CV142" s="27"/>
      <c r="CW142" s="27"/>
      <c r="CX142" s="27"/>
      <c r="CY142" s="27"/>
      <c r="CZ142" s="27"/>
      <c r="DA142" s="27"/>
      <c r="DB142" s="27"/>
      <c r="DC142" s="27"/>
      <c r="DD142" s="27"/>
      <c r="DE142" s="27"/>
      <c r="DF142" s="27"/>
      <c r="DG142" s="27"/>
      <c r="DH142" s="27"/>
      <c r="DI142" s="27"/>
      <c r="DJ142" s="27"/>
      <c r="DK142" s="27"/>
      <c r="DL142" s="27"/>
      <c r="DM142" s="27"/>
      <c r="DN142" s="27"/>
      <c r="DO142" s="27"/>
      <c r="DP142" s="27"/>
      <c r="DQ142" s="27"/>
      <c r="DR142" s="27"/>
      <c r="DS142" s="27"/>
      <c r="DT142" s="27"/>
    </row>
    <row r="143" spans="2:124" ht="17.25" customHeight="1" x14ac:dyDescent="0.2">
      <c r="B143" s="27" t="s">
        <v>486</v>
      </c>
      <c r="C143" s="27">
        <v>0.24</v>
      </c>
      <c r="D143" s="27">
        <v>0.34</v>
      </c>
      <c r="E143" s="27">
        <f>C143+12.5%</f>
        <v>0.36499999999999999</v>
      </c>
      <c r="F143" s="27" t="e">
        <f>IF(F146&lt;27.4,100/36*F146,IF(F146&lt;29,(100/36*(F146+1.5)),(100/36*(F146+2))))</f>
        <v>#REF!</v>
      </c>
      <c r="G143" s="27"/>
      <c r="H143" s="27"/>
      <c r="I143" s="27"/>
      <c r="J143" s="27"/>
      <c r="K143" s="27"/>
      <c r="L143" s="27"/>
      <c r="M143" s="27"/>
      <c r="N143" s="27"/>
      <c r="O143" s="27"/>
      <c r="P143" s="27"/>
      <c r="Q143" s="27"/>
      <c r="R143" s="27"/>
      <c r="S143" s="27"/>
      <c r="T143" s="27"/>
      <c r="U143" s="27"/>
      <c r="V143" s="27"/>
      <c r="W143" s="27"/>
      <c r="X143" s="27"/>
      <c r="Y143" s="27"/>
      <c r="Z143" s="27"/>
      <c r="AA143" s="27"/>
      <c r="AB143" s="27"/>
      <c r="AC143" s="27"/>
      <c r="AD143" s="27"/>
      <c r="AE143" s="27"/>
      <c r="AF143" s="27"/>
      <c r="AG143" s="27"/>
      <c r="AH143" s="27"/>
      <c r="AI143" s="27"/>
      <c r="AJ143" s="27"/>
      <c r="AK143" s="27"/>
      <c r="AL143" s="27"/>
      <c r="AM143" s="27"/>
      <c r="AN143" s="27"/>
      <c r="AO143" s="27"/>
      <c r="AP143" s="27"/>
      <c r="AQ143" s="27"/>
      <c r="AR143" s="27"/>
      <c r="AS143" s="27"/>
      <c r="AT143" s="27"/>
      <c r="AU143" s="27"/>
      <c r="AV143" s="27"/>
      <c r="AW143" s="27"/>
      <c r="AX143" s="27"/>
      <c r="AY143" s="27"/>
      <c r="AZ143" s="27"/>
      <c r="BA143" s="27"/>
      <c r="BB143" s="27"/>
      <c r="BC143" s="27"/>
      <c r="BD143" s="27"/>
      <c r="BE143" s="27"/>
      <c r="BF143" s="27"/>
      <c r="BG143" s="27"/>
      <c r="BH143" s="27"/>
      <c r="BI143" s="27"/>
      <c r="BJ143" s="27"/>
      <c r="BK143" s="27"/>
      <c r="BL143" s="27"/>
      <c r="BM143" s="27"/>
      <c r="BN143" s="27"/>
      <c r="BO143" s="27"/>
      <c r="BP143" s="27"/>
      <c r="BQ143" s="27"/>
      <c r="BR143" s="27"/>
      <c r="BS143" s="27"/>
      <c r="BT143" s="27"/>
      <c r="BU143" s="27"/>
      <c r="BV143" s="27"/>
      <c r="BW143" s="27"/>
      <c r="BX143" s="27"/>
      <c r="BY143" s="27"/>
      <c r="BZ143" s="27"/>
      <c r="CA143" s="27"/>
      <c r="CB143" s="27"/>
      <c r="CC143" s="27"/>
      <c r="CD143" s="27"/>
      <c r="CE143" s="27"/>
      <c r="CF143" s="27"/>
      <c r="CG143" s="27"/>
      <c r="CH143" s="27"/>
      <c r="CI143" s="27"/>
      <c r="CJ143" s="27"/>
      <c r="CK143" s="27"/>
      <c r="CL143" s="27"/>
      <c r="CM143" s="27"/>
      <c r="CN143" s="27"/>
      <c r="CO143" s="27"/>
      <c r="CP143" s="27"/>
      <c r="CQ143" s="27"/>
      <c r="CR143" s="27"/>
      <c r="CS143" s="27"/>
      <c r="CT143" s="27"/>
      <c r="CU143" s="27"/>
      <c r="CV143" s="27"/>
      <c r="CW143" s="27"/>
      <c r="CX143" s="27"/>
      <c r="CY143" s="27"/>
      <c r="CZ143" s="27"/>
      <c r="DA143" s="27"/>
      <c r="DB143" s="27"/>
      <c r="DC143" s="27"/>
      <c r="DD143" s="27"/>
      <c r="DE143" s="27"/>
      <c r="DF143" s="27"/>
      <c r="DG143" s="27"/>
      <c r="DH143" s="27"/>
      <c r="DI143" s="27"/>
      <c r="DJ143" s="27"/>
      <c r="DK143" s="27"/>
      <c r="DL143" s="27"/>
      <c r="DM143" s="27"/>
      <c r="DN143" s="27"/>
      <c r="DO143" s="27"/>
      <c r="DP143" s="27"/>
      <c r="DQ143" s="27"/>
      <c r="DR143" s="27"/>
      <c r="DS143" s="27"/>
      <c r="DT143" s="27"/>
    </row>
    <row r="144" spans="2:124" ht="17.25" customHeight="1" x14ac:dyDescent="0.2">
      <c r="B144" s="27" t="s">
        <v>487</v>
      </c>
      <c r="C144" s="27">
        <v>0.27</v>
      </c>
      <c r="D144" s="27">
        <v>0.37</v>
      </c>
      <c r="E144" s="27">
        <f>C144+12.5%</f>
        <v>0.39500000000000002</v>
      </c>
      <c r="F144" s="27">
        <f>IF(C14&gt;0,30*C9-3,30*C9)</f>
        <v>30</v>
      </c>
      <c r="G144" s="27"/>
      <c r="H144" s="27"/>
      <c r="I144" s="27"/>
      <c r="J144" s="27"/>
      <c r="K144" s="27"/>
      <c r="L144" s="27"/>
      <c r="M144" s="27"/>
      <c r="N144" s="27"/>
      <c r="O144" s="27"/>
      <c r="P144" s="27"/>
      <c r="Q144" s="27"/>
      <c r="R144" s="27"/>
      <c r="S144" s="27"/>
      <c r="T144" s="27"/>
      <c r="U144" s="27"/>
      <c r="V144" s="27"/>
      <c r="W144" s="27"/>
      <c r="X144" s="27"/>
      <c r="Y144" s="27"/>
      <c r="Z144" s="27"/>
      <c r="AA144" s="27"/>
      <c r="AB144" s="27"/>
      <c r="AC144" s="27"/>
      <c r="AD144" s="27"/>
      <c r="AE144" s="27"/>
      <c r="AF144" s="27"/>
      <c r="AG144" s="27"/>
      <c r="AH144" s="27"/>
      <c r="AI144" s="27"/>
      <c r="AJ144" s="27"/>
      <c r="AK144" s="27"/>
      <c r="AL144" s="27"/>
      <c r="AM144" s="27"/>
      <c r="AN144" s="27"/>
      <c r="AO144" s="27"/>
      <c r="AP144" s="27"/>
      <c r="AQ144" s="27"/>
      <c r="AR144" s="27"/>
      <c r="AS144" s="27"/>
      <c r="AT144" s="27"/>
      <c r="AU144" s="27"/>
      <c r="AV144" s="27"/>
      <c r="AW144" s="27"/>
      <c r="AX144" s="27"/>
      <c r="AY144" s="27"/>
      <c r="AZ144" s="27"/>
      <c r="BA144" s="27"/>
      <c r="BB144" s="27"/>
      <c r="BC144" s="27"/>
      <c r="BD144" s="27"/>
      <c r="BE144" s="27"/>
      <c r="BF144" s="27"/>
      <c r="BG144" s="27"/>
      <c r="BH144" s="27"/>
      <c r="BI144" s="27"/>
      <c r="BJ144" s="27"/>
      <c r="BK144" s="27"/>
      <c r="BL144" s="27"/>
      <c r="BM144" s="27"/>
      <c r="BN144" s="27"/>
      <c r="BO144" s="27"/>
      <c r="BP144" s="27"/>
      <c r="BQ144" s="27"/>
      <c r="BR144" s="27"/>
      <c r="BS144" s="27"/>
      <c r="BT144" s="27"/>
      <c r="BU144" s="27"/>
      <c r="BV144" s="27"/>
      <c r="BW144" s="27"/>
      <c r="BX144" s="27"/>
      <c r="BY144" s="27"/>
      <c r="BZ144" s="27"/>
      <c r="CA144" s="27"/>
      <c r="CB144" s="27"/>
      <c r="CC144" s="27"/>
      <c r="CD144" s="27"/>
      <c r="CE144" s="27"/>
      <c r="CF144" s="27"/>
      <c r="CG144" s="27"/>
      <c r="CH144" s="27"/>
      <c r="CI144" s="27"/>
      <c r="CJ144" s="27"/>
      <c r="CK144" s="27"/>
      <c r="CL144" s="27"/>
      <c r="CM144" s="27"/>
      <c r="CN144" s="27"/>
      <c r="CO144" s="27"/>
      <c r="CP144" s="27"/>
      <c r="CQ144" s="27"/>
      <c r="CR144" s="27"/>
      <c r="CS144" s="27"/>
      <c r="CT144" s="27"/>
      <c r="CU144" s="27"/>
      <c r="CV144" s="27"/>
      <c r="CW144" s="27"/>
      <c r="CX144" s="27"/>
      <c r="CY144" s="27"/>
      <c r="CZ144" s="27"/>
      <c r="DA144" s="27"/>
      <c r="DB144" s="27"/>
      <c r="DC144" s="27"/>
      <c r="DD144" s="27"/>
      <c r="DE144" s="27"/>
      <c r="DF144" s="27"/>
      <c r="DG144" s="27"/>
      <c r="DH144" s="27"/>
      <c r="DI144" s="27"/>
      <c r="DJ144" s="27"/>
      <c r="DK144" s="27"/>
      <c r="DL144" s="27"/>
      <c r="DM144" s="27"/>
      <c r="DN144" s="27"/>
      <c r="DO144" s="27"/>
      <c r="DP144" s="27"/>
      <c r="DQ144" s="27"/>
      <c r="DR144" s="27"/>
      <c r="DS144" s="27"/>
      <c r="DT144" s="27"/>
    </row>
    <row r="145" spans="2:124" ht="17.25" customHeight="1" x14ac:dyDescent="0.2">
      <c r="B145" s="27" t="s">
        <v>488</v>
      </c>
      <c r="C145" s="27">
        <v>0.16</v>
      </c>
      <c r="D145" s="27"/>
      <c r="E145" s="27" t="s">
        <v>489</v>
      </c>
      <c r="F145" s="27" t="e">
        <f>IF(#REF!=0,0,IF(C9&gt;0.7999,3,0))</f>
        <v>#REF!</v>
      </c>
      <c r="G145" s="27" t="e">
        <f>F146+2</f>
        <v>#REF!</v>
      </c>
      <c r="H145" s="27"/>
      <c r="I145" s="27"/>
      <c r="J145" s="27"/>
      <c r="K145" s="27"/>
      <c r="L145" s="27"/>
      <c r="M145" s="27"/>
      <c r="N145" s="27"/>
      <c r="O145" s="27"/>
      <c r="P145" s="27"/>
      <c r="Q145" s="27"/>
      <c r="R145" s="27"/>
      <c r="S145" s="27"/>
      <c r="T145" s="27"/>
      <c r="U145" s="27"/>
      <c r="V145" s="27"/>
      <c r="W145" s="27"/>
      <c r="X145" s="27"/>
      <c r="Y145" s="27"/>
      <c r="Z145" s="27"/>
      <c r="AA145" s="27"/>
      <c r="AB145" s="27"/>
      <c r="AC145" s="27"/>
      <c r="AD145" s="27"/>
      <c r="AE145" s="27"/>
      <c r="AF145" s="27"/>
      <c r="AG145" s="27"/>
      <c r="AH145" s="27"/>
      <c r="AI145" s="27"/>
      <c r="AJ145" s="27"/>
      <c r="AK145" s="27"/>
      <c r="AL145" s="27"/>
      <c r="AM145" s="27"/>
      <c r="AN145" s="27"/>
      <c r="AO145" s="27"/>
      <c r="AP145" s="27"/>
      <c r="AQ145" s="27"/>
      <c r="AR145" s="27"/>
      <c r="AS145" s="27"/>
      <c r="AT145" s="27"/>
      <c r="AU145" s="27"/>
      <c r="AV145" s="27"/>
      <c r="AW145" s="27"/>
      <c r="AX145" s="27"/>
      <c r="AY145" s="27"/>
      <c r="AZ145" s="27"/>
      <c r="BA145" s="27"/>
      <c r="BB145" s="27"/>
      <c r="BC145" s="27"/>
      <c r="BD145" s="27"/>
      <c r="BE145" s="27"/>
      <c r="BF145" s="27"/>
      <c r="BG145" s="27"/>
      <c r="BH145" s="27"/>
      <c r="BI145" s="27"/>
      <c r="BJ145" s="27"/>
      <c r="BK145" s="27"/>
      <c r="BL145" s="27"/>
      <c r="BM145" s="27"/>
      <c r="BN145" s="27"/>
      <c r="BO145" s="27"/>
      <c r="BP145" s="27"/>
      <c r="BQ145" s="27"/>
      <c r="BR145" s="27"/>
      <c r="BS145" s="27"/>
      <c r="BT145" s="27"/>
      <c r="BU145" s="27"/>
      <c r="BV145" s="27"/>
      <c r="BW145" s="27"/>
      <c r="BX145" s="27"/>
      <c r="BY145" s="27"/>
      <c r="BZ145" s="27"/>
      <c r="CA145" s="27"/>
      <c r="CB145" s="27"/>
      <c r="CC145" s="27"/>
      <c r="CD145" s="27"/>
      <c r="CE145" s="27"/>
      <c r="CF145" s="27"/>
      <c r="CG145" s="27"/>
      <c r="CH145" s="27"/>
      <c r="CI145" s="27"/>
      <c r="CJ145" s="27"/>
      <c r="CK145" s="27"/>
      <c r="CL145" s="27"/>
      <c r="CM145" s="27"/>
      <c r="CN145" s="27"/>
      <c r="CO145" s="27"/>
      <c r="CP145" s="27"/>
      <c r="CQ145" s="27"/>
      <c r="CR145" s="27"/>
      <c r="CS145" s="27"/>
      <c r="CT145" s="27"/>
      <c r="CU145" s="27"/>
      <c r="CV145" s="27"/>
      <c r="CW145" s="27"/>
      <c r="CX145" s="27"/>
      <c r="CY145" s="27"/>
      <c r="CZ145" s="27"/>
      <c r="DA145" s="27"/>
      <c r="DB145" s="27"/>
      <c r="DC145" s="27"/>
      <c r="DD145" s="27"/>
      <c r="DE145" s="27"/>
      <c r="DF145" s="27"/>
      <c r="DG145" s="27"/>
      <c r="DH145" s="27"/>
      <c r="DI145" s="27"/>
      <c r="DJ145" s="27"/>
      <c r="DK145" s="27"/>
      <c r="DL145" s="27"/>
      <c r="DM145" s="27"/>
      <c r="DN145" s="27"/>
      <c r="DO145" s="27"/>
      <c r="DP145" s="27"/>
      <c r="DQ145" s="27"/>
      <c r="DR145" s="27"/>
      <c r="DS145" s="27"/>
      <c r="DT145" s="27"/>
    </row>
    <row r="146" spans="2:124" ht="17.25" customHeight="1" x14ac:dyDescent="0.2">
      <c r="B146" s="27" t="s">
        <v>8</v>
      </c>
      <c r="C146" s="27" t="s">
        <v>28</v>
      </c>
      <c r="D146" s="27"/>
      <c r="E146" s="27" t="s">
        <v>490</v>
      </c>
      <c r="F146" s="27" t="e">
        <f>F144-F145</f>
        <v>#REF!</v>
      </c>
      <c r="G146" s="27">
        <v>341</v>
      </c>
      <c r="H146" s="27"/>
      <c r="I146" s="27"/>
      <c r="J146" s="27"/>
      <c r="K146" s="27"/>
      <c r="L146" s="27"/>
      <c r="M146" s="27"/>
      <c r="N146" s="27"/>
      <c r="O146" s="27"/>
      <c r="P146" s="27"/>
      <c r="Q146" s="27"/>
      <c r="R146" s="27"/>
      <c r="S146" s="27"/>
      <c r="T146" s="27"/>
      <c r="U146" s="27"/>
      <c r="V146" s="27"/>
      <c r="W146" s="27"/>
      <c r="X146" s="27"/>
      <c r="Y146" s="27"/>
      <c r="Z146" s="27"/>
      <c r="AA146" s="27"/>
      <c r="AB146" s="27"/>
      <c r="AC146" s="27"/>
      <c r="AD146" s="27"/>
      <c r="AE146" s="27"/>
      <c r="AF146" s="27"/>
      <c r="AG146" s="27"/>
      <c r="AH146" s="27"/>
      <c r="AI146" s="27"/>
      <c r="AJ146" s="27"/>
      <c r="AK146" s="27"/>
      <c r="AL146" s="27"/>
      <c r="AM146" s="27"/>
      <c r="AN146" s="27"/>
      <c r="AO146" s="27"/>
      <c r="AP146" s="27"/>
      <c r="AQ146" s="27"/>
      <c r="AR146" s="27"/>
      <c r="AS146" s="27"/>
      <c r="AT146" s="27"/>
      <c r="AU146" s="27"/>
      <c r="AV146" s="27"/>
      <c r="AW146" s="27"/>
      <c r="AX146" s="27"/>
      <c r="AY146" s="27"/>
      <c r="AZ146" s="27"/>
      <c r="BA146" s="27"/>
      <c r="BB146" s="27"/>
      <c r="BC146" s="27"/>
      <c r="BD146" s="27"/>
      <c r="BE146" s="27"/>
      <c r="BF146" s="27"/>
      <c r="BG146" s="27"/>
      <c r="BH146" s="27"/>
      <c r="BI146" s="27"/>
      <c r="BJ146" s="27"/>
      <c r="BK146" s="27"/>
      <c r="BL146" s="27"/>
      <c r="BM146" s="27"/>
      <c r="BN146" s="27"/>
      <c r="BO146" s="27"/>
      <c r="BP146" s="27"/>
      <c r="BQ146" s="27"/>
      <c r="BR146" s="27"/>
      <c r="BS146" s="27"/>
      <c r="BT146" s="27"/>
      <c r="BU146" s="27"/>
      <c r="BV146" s="27"/>
      <c r="BW146" s="27"/>
      <c r="BX146" s="27"/>
      <c r="BY146" s="27"/>
      <c r="BZ146" s="27"/>
      <c r="CA146" s="27"/>
      <c r="CB146" s="27"/>
      <c r="CC146" s="27"/>
      <c r="CD146" s="27"/>
      <c r="CE146" s="27"/>
      <c r="CF146" s="27"/>
      <c r="CG146" s="27"/>
      <c r="CH146" s="27"/>
      <c r="CI146" s="27"/>
      <c r="CJ146" s="27"/>
      <c r="CK146" s="27"/>
      <c r="CL146" s="27"/>
      <c r="CM146" s="27"/>
      <c r="CN146" s="27"/>
      <c r="CO146" s="27"/>
      <c r="CP146" s="27"/>
      <c r="CQ146" s="27"/>
      <c r="CR146" s="27"/>
      <c r="CS146" s="27"/>
      <c r="CT146" s="27"/>
      <c r="CU146" s="27"/>
      <c r="CV146" s="27"/>
      <c r="CW146" s="27"/>
      <c r="CX146" s="27"/>
      <c r="CY146" s="27"/>
      <c r="CZ146" s="27"/>
      <c r="DA146" s="27"/>
      <c r="DB146" s="27"/>
      <c r="DC146" s="27"/>
      <c r="DD146" s="27"/>
      <c r="DE146" s="27"/>
      <c r="DF146" s="27"/>
      <c r="DG146" s="27"/>
      <c r="DH146" s="27"/>
      <c r="DI146" s="27"/>
      <c r="DJ146" s="27"/>
      <c r="DK146" s="27"/>
      <c r="DL146" s="27"/>
      <c r="DM146" s="27"/>
      <c r="DN146" s="27"/>
      <c r="DO146" s="27"/>
      <c r="DP146" s="27"/>
      <c r="DQ146" s="27"/>
      <c r="DR146" s="27"/>
      <c r="DS146" s="27"/>
      <c r="DT146" s="27"/>
    </row>
    <row r="147" spans="2:124" ht="17.25" customHeight="1" x14ac:dyDescent="0.2">
      <c r="B147" s="27"/>
      <c r="C147" s="27"/>
      <c r="D147" s="27"/>
      <c r="E147" s="27"/>
      <c r="F147" s="27" t="s">
        <v>491</v>
      </c>
      <c r="G147" s="27">
        <v>230</v>
      </c>
      <c r="H147" s="27"/>
      <c r="I147" s="27"/>
      <c r="J147" s="27"/>
      <c r="K147" s="27"/>
      <c r="L147" s="27"/>
      <c r="M147" s="27"/>
      <c r="N147" s="27"/>
      <c r="O147" s="27"/>
      <c r="P147" s="27"/>
      <c r="Q147" s="27"/>
      <c r="R147" s="27"/>
      <c r="S147" s="27"/>
      <c r="T147" s="27"/>
      <c r="U147" s="27"/>
      <c r="V147" s="27"/>
      <c r="W147" s="27"/>
      <c r="X147" s="27"/>
      <c r="Y147" s="27"/>
      <c r="Z147" s="27"/>
      <c r="AA147" s="27"/>
      <c r="AB147" s="27"/>
      <c r="AC147" s="27"/>
      <c r="AD147" s="27"/>
      <c r="AE147" s="27"/>
      <c r="AF147" s="27"/>
      <c r="AG147" s="27"/>
      <c r="AH147" s="27"/>
      <c r="AI147" s="27"/>
      <c r="AJ147" s="27"/>
      <c r="AK147" s="27"/>
      <c r="AL147" s="27"/>
      <c r="AM147" s="27"/>
      <c r="AN147" s="27"/>
      <c r="AO147" s="27"/>
      <c r="AP147" s="27"/>
      <c r="AQ147" s="27"/>
      <c r="AR147" s="27"/>
      <c r="AS147" s="27"/>
      <c r="AT147" s="27"/>
      <c r="AU147" s="27"/>
      <c r="AV147" s="27"/>
      <c r="AW147" s="27"/>
      <c r="AX147" s="27"/>
      <c r="AY147" s="27"/>
      <c r="AZ147" s="27"/>
      <c r="BA147" s="27"/>
      <c r="BB147" s="27"/>
      <c r="BC147" s="27"/>
      <c r="BD147" s="27"/>
      <c r="BE147" s="27"/>
      <c r="BF147" s="27"/>
      <c r="BG147" s="27"/>
      <c r="BH147" s="27"/>
      <c r="BI147" s="27"/>
      <c r="BJ147" s="27"/>
      <c r="BK147" s="27"/>
      <c r="BL147" s="27"/>
      <c r="BM147" s="27"/>
      <c r="BN147" s="27"/>
      <c r="BO147" s="27"/>
      <c r="BP147" s="27"/>
      <c r="BQ147" s="27"/>
      <c r="BR147" s="27"/>
      <c r="BS147" s="27"/>
      <c r="BT147" s="27"/>
      <c r="BU147" s="27"/>
      <c r="BV147" s="27"/>
      <c r="BW147" s="27"/>
      <c r="BX147" s="27"/>
      <c r="BY147" s="27"/>
      <c r="BZ147" s="27"/>
      <c r="CA147" s="27"/>
      <c r="CB147" s="27"/>
      <c r="CC147" s="27"/>
      <c r="CD147" s="27"/>
      <c r="CE147" s="27"/>
      <c r="CF147" s="27"/>
      <c r="CG147" s="27"/>
      <c r="CH147" s="27"/>
      <c r="CI147" s="27"/>
      <c r="CJ147" s="27"/>
      <c r="CK147" s="27"/>
      <c r="CL147" s="27"/>
      <c r="CM147" s="27"/>
      <c r="CN147" s="27"/>
      <c r="CO147" s="27"/>
      <c r="CP147" s="27"/>
      <c r="CQ147" s="27"/>
      <c r="CR147" s="27"/>
      <c r="CS147" s="27"/>
      <c r="CT147" s="27"/>
      <c r="CU147" s="27"/>
      <c r="CV147" s="27"/>
      <c r="CW147" s="27"/>
      <c r="CX147" s="27"/>
      <c r="CY147" s="27"/>
      <c r="CZ147" s="27"/>
      <c r="DA147" s="27"/>
      <c r="DB147" s="27"/>
      <c r="DC147" s="27"/>
      <c r="DD147" s="27"/>
      <c r="DE147" s="27"/>
      <c r="DF147" s="27"/>
      <c r="DG147" s="27"/>
      <c r="DH147" s="27"/>
      <c r="DI147" s="27"/>
      <c r="DJ147" s="27"/>
      <c r="DK147" s="27"/>
      <c r="DL147" s="27"/>
      <c r="DM147" s="27"/>
      <c r="DN147" s="27"/>
      <c r="DO147" s="27"/>
      <c r="DP147" s="27"/>
      <c r="DQ147" s="27"/>
      <c r="DR147" s="27"/>
      <c r="DS147" s="27"/>
      <c r="DT147" s="27"/>
    </row>
    <row r="148" spans="2:124" ht="17.25" customHeight="1" x14ac:dyDescent="0.2">
      <c r="B148" s="27"/>
      <c r="C148" s="27"/>
      <c r="D148" s="27"/>
      <c r="E148" s="27" t="s">
        <v>8</v>
      </c>
      <c r="F148" s="27" t="s">
        <v>492</v>
      </c>
      <c r="G148" s="27"/>
      <c r="H148" s="27"/>
      <c r="I148" s="27"/>
      <c r="J148" s="27"/>
      <c r="K148" s="27"/>
      <c r="L148" s="27"/>
      <c r="M148" s="27"/>
      <c r="N148" s="27"/>
      <c r="O148" s="27"/>
      <c r="P148" s="27"/>
      <c r="Q148" s="27"/>
      <c r="R148" s="27"/>
      <c r="S148" s="27"/>
      <c r="T148" s="27"/>
      <c r="U148" s="27"/>
      <c r="V148" s="27"/>
      <c r="W148" s="27"/>
      <c r="X148" s="27"/>
      <c r="Y148" s="27"/>
      <c r="Z148" s="27"/>
      <c r="AA148" s="27"/>
      <c r="AB148" s="27"/>
      <c r="AC148" s="27"/>
      <c r="AD148" s="27"/>
      <c r="AE148" s="27"/>
      <c r="AF148" s="27"/>
      <c r="AG148" s="27"/>
      <c r="AH148" s="27"/>
      <c r="AI148" s="27"/>
      <c r="AJ148" s="27"/>
      <c r="AK148" s="27"/>
      <c r="AL148" s="27"/>
      <c r="AM148" s="27"/>
      <c r="AN148" s="27"/>
      <c r="AO148" s="27"/>
      <c r="AP148" s="27"/>
      <c r="AQ148" s="27"/>
      <c r="AR148" s="27"/>
      <c r="AS148" s="27"/>
      <c r="AT148" s="27"/>
      <c r="AU148" s="27"/>
      <c r="AV148" s="27"/>
      <c r="AW148" s="27"/>
      <c r="AX148" s="27"/>
      <c r="AY148" s="27"/>
      <c r="AZ148" s="27"/>
      <c r="BA148" s="27"/>
      <c r="BB148" s="27"/>
      <c r="BC148" s="27"/>
      <c r="BD148" s="27"/>
      <c r="BE148" s="27"/>
      <c r="BF148" s="27"/>
      <c r="BG148" s="27"/>
      <c r="BH148" s="27"/>
      <c r="BI148" s="27"/>
      <c r="BJ148" s="27"/>
      <c r="BK148" s="27"/>
      <c r="BL148" s="27"/>
      <c r="BM148" s="27"/>
      <c r="BN148" s="27"/>
      <c r="BO148" s="27"/>
      <c r="BP148" s="27"/>
      <c r="BQ148" s="27"/>
      <c r="BR148" s="27"/>
      <c r="BS148" s="27"/>
      <c r="BT148" s="27"/>
      <c r="BU148" s="27"/>
      <c r="BV148" s="27"/>
      <c r="BW148" s="27"/>
      <c r="BX148" s="27"/>
      <c r="BY148" s="27"/>
      <c r="BZ148" s="27"/>
      <c r="CA148" s="27"/>
      <c r="CB148" s="27"/>
      <c r="CC148" s="27"/>
      <c r="CD148" s="27"/>
      <c r="CE148" s="27"/>
      <c r="CF148" s="27"/>
      <c r="CG148" s="27"/>
      <c r="CH148" s="27"/>
      <c r="CI148" s="27"/>
      <c r="CJ148" s="27"/>
      <c r="CK148" s="27"/>
      <c r="CL148" s="27"/>
      <c r="CM148" s="27"/>
      <c r="CN148" s="27"/>
      <c r="CO148" s="27"/>
      <c r="CP148" s="27"/>
      <c r="CQ148" s="27"/>
      <c r="CR148" s="27"/>
      <c r="CS148" s="27"/>
      <c r="CT148" s="27"/>
      <c r="CU148" s="27"/>
      <c r="CV148" s="27"/>
      <c r="CW148" s="27"/>
      <c r="CX148" s="27"/>
      <c r="CY148" s="27"/>
      <c r="CZ148" s="27"/>
      <c r="DA148" s="27"/>
      <c r="DB148" s="27"/>
      <c r="DC148" s="27"/>
      <c r="DD148" s="27"/>
      <c r="DE148" s="27"/>
      <c r="DF148" s="27"/>
      <c r="DG148" s="27"/>
      <c r="DH148" s="27"/>
      <c r="DI148" s="27"/>
      <c r="DJ148" s="27"/>
      <c r="DK148" s="27"/>
      <c r="DL148" s="27"/>
      <c r="DM148" s="27"/>
      <c r="DN148" s="27"/>
      <c r="DO148" s="27"/>
      <c r="DP148" s="27"/>
      <c r="DQ148" s="27"/>
      <c r="DR148" s="27"/>
      <c r="DS148" s="27"/>
      <c r="DT148" s="27"/>
    </row>
    <row r="149" spans="2:124" ht="12" customHeight="1" x14ac:dyDescent="0.2">
      <c r="B149" s="27" t="s">
        <v>8</v>
      </c>
      <c r="C149" s="27"/>
      <c r="D149" s="27"/>
      <c r="E149" s="27" t="s">
        <v>27</v>
      </c>
      <c r="F149" s="27"/>
      <c r="G149" s="27" t="s">
        <v>438</v>
      </c>
      <c r="H149" s="27" t="s">
        <v>493</v>
      </c>
      <c r="I149" s="27"/>
      <c r="J149" s="27"/>
      <c r="K149" s="27"/>
      <c r="L149" s="27"/>
      <c r="M149" s="27"/>
      <c r="N149" s="27"/>
      <c r="O149" s="27"/>
      <c r="P149" s="27"/>
      <c r="Q149" s="27"/>
      <c r="R149" s="27"/>
      <c r="S149" s="27"/>
      <c r="T149" s="27"/>
      <c r="U149" s="27"/>
      <c r="V149" s="27"/>
      <c r="W149" s="27"/>
      <c r="X149" s="27"/>
      <c r="Y149" s="27"/>
      <c r="Z149" s="27"/>
      <c r="AA149" s="27"/>
      <c r="AB149" s="27"/>
      <c r="AC149" s="27"/>
      <c r="AD149" s="27"/>
      <c r="AE149" s="27"/>
      <c r="AF149" s="27"/>
      <c r="AG149" s="27"/>
      <c r="AH149" s="27"/>
      <c r="AI149" s="27"/>
      <c r="AJ149" s="27"/>
      <c r="AK149" s="27"/>
      <c r="AL149" s="27"/>
      <c r="AM149" s="27"/>
      <c r="AN149" s="27"/>
      <c r="AO149" s="27"/>
      <c r="AP149" s="27"/>
      <c r="AQ149" s="27"/>
      <c r="AR149" s="27"/>
      <c r="AS149" s="27"/>
      <c r="AT149" s="27"/>
      <c r="AU149" s="27"/>
      <c r="AV149" s="27"/>
      <c r="AW149" s="27"/>
      <c r="AX149" s="27"/>
      <c r="AY149" s="27"/>
      <c r="AZ149" s="27"/>
      <c r="BA149" s="27"/>
      <c r="BB149" s="27"/>
      <c r="BC149" s="27"/>
      <c r="BD149" s="27"/>
      <c r="BE149" s="27"/>
      <c r="BF149" s="27"/>
      <c r="BG149" s="27"/>
      <c r="BH149" s="27"/>
      <c r="BI149" s="27"/>
      <c r="BJ149" s="27"/>
      <c r="BK149" s="27"/>
      <c r="BL149" s="27"/>
      <c r="BM149" s="27"/>
      <c r="BN149" s="27"/>
      <c r="BO149" s="27"/>
      <c r="BP149" s="27"/>
      <c r="BQ149" s="27"/>
      <c r="BR149" s="27"/>
      <c r="BS149" s="27"/>
      <c r="BT149" s="27"/>
      <c r="BU149" s="27"/>
      <c r="BV149" s="27"/>
      <c r="BW149" s="27"/>
      <c r="BX149" s="27"/>
      <c r="BY149" s="27"/>
      <c r="BZ149" s="27"/>
      <c r="CA149" s="27"/>
      <c r="CB149" s="27"/>
      <c r="CC149" s="27"/>
      <c r="CD149" s="27"/>
      <c r="CE149" s="27"/>
      <c r="CF149" s="27"/>
      <c r="CG149" s="27"/>
      <c r="CH149" s="27"/>
      <c r="CI149" s="27"/>
      <c r="CJ149" s="27"/>
      <c r="CK149" s="27"/>
      <c r="CL149" s="27"/>
      <c r="CM149" s="27"/>
      <c r="CN149" s="27"/>
      <c r="CO149" s="27"/>
      <c r="CP149" s="27"/>
      <c r="CQ149" s="27"/>
      <c r="CR149" s="27"/>
      <c r="CS149" s="27"/>
      <c r="CT149" s="27"/>
      <c r="CU149" s="27"/>
      <c r="CV149" s="27"/>
      <c r="CW149" s="27"/>
      <c r="CX149" s="27"/>
      <c r="CY149" s="27"/>
      <c r="CZ149" s="27"/>
      <c r="DA149" s="27"/>
      <c r="DB149" s="27"/>
      <c r="DC149" s="27"/>
      <c r="DD149" s="27"/>
      <c r="DE149" s="27"/>
      <c r="DF149" s="27"/>
      <c r="DG149" s="27"/>
      <c r="DH149" s="27"/>
      <c r="DI149" s="27"/>
      <c r="DJ149" s="27"/>
      <c r="DK149" s="27"/>
      <c r="DL149" s="27"/>
      <c r="DM149" s="27"/>
      <c r="DN149" s="27"/>
      <c r="DO149" s="27"/>
      <c r="DP149" s="27"/>
      <c r="DQ149" s="27"/>
      <c r="DR149" s="27"/>
      <c r="DS149" s="27"/>
      <c r="DT149" s="27"/>
    </row>
    <row r="150" spans="2:124" ht="12" customHeight="1" x14ac:dyDescent="0.2">
      <c r="B150" s="27" t="s">
        <v>71</v>
      </c>
      <c r="C150" s="27">
        <v>156.88</v>
      </c>
      <c r="D150" s="27" t="s">
        <v>74</v>
      </c>
      <c r="E150" s="27"/>
      <c r="F150" s="27"/>
      <c r="G150" s="27" t="s">
        <v>439</v>
      </c>
      <c r="H150" s="27"/>
      <c r="I150" s="27"/>
      <c r="J150" s="27"/>
      <c r="K150" s="27"/>
      <c r="L150" s="27"/>
      <c r="M150" s="27"/>
      <c r="N150" s="27"/>
      <c r="O150" s="27"/>
      <c r="P150" s="27"/>
      <c r="Q150" s="27"/>
      <c r="R150" s="27"/>
      <c r="S150" s="27"/>
      <c r="T150" s="27"/>
      <c r="U150" s="27"/>
      <c r="V150" s="27"/>
      <c r="W150" s="27"/>
      <c r="X150" s="27"/>
      <c r="Y150" s="27"/>
      <c r="Z150" s="27"/>
      <c r="AA150" s="27"/>
      <c r="AB150" s="27"/>
      <c r="AC150" s="27"/>
      <c r="AD150" s="27"/>
      <c r="AE150" s="27"/>
      <c r="AF150" s="27"/>
      <c r="AG150" s="27"/>
      <c r="AH150" s="27"/>
      <c r="AI150" s="27"/>
      <c r="AJ150" s="27"/>
      <c r="AK150" s="27"/>
      <c r="AL150" s="27"/>
      <c r="AM150" s="27"/>
      <c r="AN150" s="27"/>
      <c r="AO150" s="27"/>
      <c r="AP150" s="27"/>
      <c r="AQ150" s="27"/>
      <c r="AR150" s="27"/>
      <c r="AS150" s="27"/>
      <c r="AT150" s="27"/>
      <c r="AU150" s="27"/>
      <c r="AV150" s="27"/>
      <c r="AW150" s="27"/>
      <c r="AX150" s="27"/>
      <c r="AY150" s="27"/>
      <c r="AZ150" s="27"/>
      <c r="BA150" s="27"/>
      <c r="BB150" s="27"/>
      <c r="BC150" s="27"/>
      <c r="BD150" s="27"/>
      <c r="BE150" s="27"/>
      <c r="BF150" s="27"/>
      <c r="BG150" s="27"/>
      <c r="BH150" s="27"/>
      <c r="BI150" s="27"/>
      <c r="BJ150" s="27"/>
      <c r="BK150" s="27"/>
      <c r="BL150" s="27"/>
      <c r="BM150" s="27"/>
      <c r="BN150" s="27"/>
      <c r="BO150" s="27"/>
      <c r="BP150" s="27"/>
      <c r="BQ150" s="27"/>
      <c r="BR150" s="27"/>
      <c r="BS150" s="27"/>
      <c r="BT150" s="27"/>
      <c r="BU150" s="27"/>
      <c r="BV150" s="27"/>
      <c r="BW150" s="27"/>
      <c r="BX150" s="27"/>
      <c r="BY150" s="27"/>
      <c r="BZ150" s="27"/>
      <c r="CA150" s="27"/>
      <c r="CB150" s="27"/>
      <c r="CC150" s="27"/>
      <c r="CD150" s="27"/>
      <c r="CE150" s="27"/>
      <c r="CF150" s="27"/>
      <c r="CG150" s="27"/>
      <c r="CH150" s="27"/>
      <c r="CI150" s="27"/>
      <c r="CJ150" s="27"/>
      <c r="CK150" s="27"/>
      <c r="CL150" s="27"/>
      <c r="CM150" s="27"/>
      <c r="CN150" s="27"/>
      <c r="CO150" s="27"/>
      <c r="CP150" s="27"/>
      <c r="CQ150" s="27"/>
      <c r="CR150" s="27"/>
      <c r="CS150" s="27"/>
      <c r="CT150" s="27"/>
      <c r="CU150" s="27"/>
      <c r="CV150" s="27"/>
      <c r="CW150" s="27"/>
      <c r="CX150" s="27"/>
      <c r="CY150" s="27"/>
      <c r="CZ150" s="27"/>
      <c r="DA150" s="27"/>
      <c r="DB150" s="27"/>
      <c r="DC150" s="27"/>
      <c r="DD150" s="27"/>
      <c r="DE150" s="27"/>
      <c r="DF150" s="27"/>
      <c r="DG150" s="27"/>
      <c r="DH150" s="27"/>
      <c r="DI150" s="27"/>
      <c r="DJ150" s="27"/>
      <c r="DK150" s="27"/>
      <c r="DL150" s="27"/>
      <c r="DM150" s="27"/>
      <c r="DN150" s="27"/>
      <c r="DO150" s="27"/>
      <c r="DP150" s="27"/>
      <c r="DQ150" s="27"/>
      <c r="DR150" s="27"/>
      <c r="DS150" s="27"/>
      <c r="DT150" s="27"/>
    </row>
    <row r="151" spans="2:124" ht="12" customHeight="1" x14ac:dyDescent="0.2">
      <c r="B151" s="27" t="s">
        <v>452</v>
      </c>
      <c r="C151" s="27">
        <v>174.47</v>
      </c>
      <c r="D151" s="27" t="s">
        <v>210</v>
      </c>
      <c r="E151" s="27" t="e">
        <f>(VLOOKUP($I$32,O45:P61,2,0))</f>
        <v>#N/A</v>
      </c>
      <c r="F151" s="27"/>
      <c r="G151" s="27" t="s">
        <v>494</v>
      </c>
      <c r="H151" s="27"/>
      <c r="I151" s="27"/>
      <c r="J151" s="27"/>
      <c r="K151" s="27"/>
      <c r="L151" s="27"/>
      <c r="M151" s="27"/>
      <c r="N151" s="27"/>
      <c r="O151" s="27"/>
      <c r="P151" s="27"/>
      <c r="Q151" s="27"/>
      <c r="R151" s="27"/>
      <c r="S151" s="27"/>
      <c r="T151" s="27"/>
      <c r="U151" s="27"/>
      <c r="V151" s="27"/>
      <c r="W151" s="27"/>
      <c r="X151" s="27"/>
      <c r="Y151" s="27"/>
      <c r="Z151" s="27"/>
      <c r="AA151" s="27"/>
      <c r="AB151" s="27"/>
      <c r="AC151" s="27"/>
      <c r="AD151" s="27"/>
      <c r="AE151" s="27"/>
      <c r="AF151" s="27"/>
      <c r="AG151" s="27"/>
      <c r="AH151" s="27"/>
      <c r="AI151" s="27"/>
      <c r="AJ151" s="27"/>
      <c r="AK151" s="27"/>
      <c r="AL151" s="27"/>
      <c r="AM151" s="27"/>
      <c r="AN151" s="27"/>
      <c r="AO151" s="27"/>
      <c r="AP151" s="27"/>
      <c r="AQ151" s="27"/>
      <c r="AR151" s="27"/>
      <c r="AS151" s="27"/>
      <c r="AT151" s="27"/>
      <c r="AU151" s="27"/>
      <c r="AV151" s="27"/>
      <c r="AW151" s="27"/>
      <c r="AX151" s="27"/>
      <c r="AY151" s="27"/>
      <c r="AZ151" s="27"/>
      <c r="BA151" s="27"/>
      <c r="BB151" s="27"/>
      <c r="BC151" s="27"/>
      <c r="BD151" s="27"/>
      <c r="BE151" s="27"/>
      <c r="BF151" s="27"/>
      <c r="BG151" s="27"/>
      <c r="BH151" s="27"/>
      <c r="BI151" s="27"/>
      <c r="BJ151" s="27"/>
      <c r="BK151" s="27"/>
      <c r="BL151" s="27"/>
      <c r="BM151" s="27"/>
      <c r="BN151" s="27"/>
      <c r="BO151" s="27"/>
      <c r="BP151" s="27"/>
      <c r="BQ151" s="27"/>
      <c r="BR151" s="27"/>
      <c r="BS151" s="27"/>
      <c r="BT151" s="27"/>
      <c r="BU151" s="27"/>
      <c r="BV151" s="27"/>
      <c r="BW151" s="27"/>
      <c r="BX151" s="27"/>
      <c r="BY151" s="27"/>
      <c r="BZ151" s="27"/>
      <c r="CA151" s="27"/>
      <c r="CB151" s="27"/>
      <c r="CC151" s="27"/>
      <c r="CD151" s="27"/>
      <c r="CE151" s="27"/>
      <c r="CF151" s="27"/>
      <c r="CG151" s="27"/>
      <c r="CH151" s="27"/>
      <c r="CI151" s="27"/>
      <c r="CJ151" s="27"/>
      <c r="CK151" s="27"/>
      <c r="CL151" s="27"/>
      <c r="CM151" s="27"/>
      <c r="CN151" s="27"/>
      <c r="CO151" s="27"/>
      <c r="CP151" s="27"/>
      <c r="CQ151" s="27"/>
      <c r="CR151" s="27"/>
      <c r="CS151" s="27"/>
      <c r="CT151" s="27"/>
      <c r="CU151" s="27"/>
      <c r="CV151" s="27"/>
      <c r="CW151" s="27"/>
      <c r="CX151" s="27"/>
      <c r="CY151" s="27"/>
      <c r="CZ151" s="27"/>
      <c r="DA151" s="27"/>
      <c r="DB151" s="27"/>
      <c r="DC151" s="27"/>
      <c r="DD151" s="27"/>
      <c r="DE151" s="27"/>
      <c r="DF151" s="27"/>
      <c r="DG151" s="27"/>
      <c r="DH151" s="27"/>
      <c r="DI151" s="27"/>
      <c r="DJ151" s="27"/>
      <c r="DK151" s="27"/>
      <c r="DL151" s="27"/>
      <c r="DM151" s="27"/>
      <c r="DN151" s="27"/>
      <c r="DO151" s="27"/>
      <c r="DP151" s="27"/>
      <c r="DQ151" s="27"/>
      <c r="DR151" s="27"/>
      <c r="DS151" s="27"/>
      <c r="DT151" s="27"/>
    </row>
    <row r="152" spans="2:124" ht="12" customHeight="1" x14ac:dyDescent="0.2">
      <c r="B152" s="27">
        <v>0</v>
      </c>
      <c r="C152" s="27"/>
      <c r="D152" s="27" t="s">
        <v>250</v>
      </c>
      <c r="E152" s="27">
        <v>1</v>
      </c>
      <c r="F152" s="27"/>
      <c r="G152" s="27"/>
      <c r="H152" s="27" t="s">
        <v>495</v>
      </c>
      <c r="I152" s="27" t="str">
        <f>BG59</f>
        <v>ד"ר</v>
      </c>
      <c r="J152" s="27"/>
      <c r="K152" s="27"/>
      <c r="L152" s="27"/>
      <c r="M152" s="27"/>
      <c r="N152" s="27"/>
      <c r="O152" s="27"/>
      <c r="P152" s="27"/>
      <c r="Q152" s="27"/>
      <c r="R152" s="27"/>
      <c r="S152" s="27"/>
      <c r="T152" s="27"/>
      <c r="U152" s="27"/>
      <c r="V152" s="27"/>
      <c r="W152" s="27"/>
      <c r="X152" s="27"/>
      <c r="Y152" s="27"/>
      <c r="Z152" s="27"/>
      <c r="AA152" s="27"/>
      <c r="AB152" s="27"/>
      <c r="AC152" s="27"/>
      <c r="AD152" s="27"/>
      <c r="AE152" s="27"/>
      <c r="AF152" s="27"/>
      <c r="AG152" s="27"/>
      <c r="AH152" s="27"/>
      <c r="AI152" s="27"/>
      <c r="AJ152" s="27"/>
      <c r="AK152" s="27"/>
      <c r="AL152" s="27"/>
      <c r="AM152" s="27"/>
      <c r="AN152" s="27"/>
      <c r="AO152" s="27"/>
      <c r="AP152" s="27"/>
      <c r="AQ152" s="27"/>
      <c r="AR152" s="27"/>
      <c r="AS152" s="27"/>
      <c r="AT152" s="27"/>
      <c r="AU152" s="27"/>
      <c r="AV152" s="27"/>
      <c r="AW152" s="27"/>
      <c r="AX152" s="27"/>
      <c r="AY152" s="27"/>
      <c r="AZ152" s="27"/>
      <c r="BA152" s="27"/>
      <c r="BB152" s="27"/>
      <c r="BC152" s="27"/>
      <c r="BD152" s="27"/>
      <c r="BE152" s="27"/>
      <c r="BF152" s="27"/>
      <c r="BG152" s="27"/>
      <c r="BH152" s="27"/>
      <c r="BI152" s="27"/>
      <c r="BJ152" s="27"/>
      <c r="BK152" s="27"/>
      <c r="BL152" s="27"/>
      <c r="BM152" s="27"/>
      <c r="BN152" s="27"/>
      <c r="BO152" s="27"/>
      <c r="BP152" s="27"/>
      <c r="BQ152" s="27"/>
      <c r="BR152" s="27"/>
      <c r="BS152" s="27"/>
      <c r="BT152" s="27"/>
      <c r="BU152" s="27"/>
      <c r="BV152" s="27"/>
      <c r="BW152" s="27"/>
      <c r="BX152" s="27"/>
      <c r="BY152" s="27"/>
      <c r="BZ152" s="27"/>
      <c r="CA152" s="27"/>
      <c r="CB152" s="27"/>
      <c r="CC152" s="27"/>
      <c r="CD152" s="27"/>
      <c r="CE152" s="27"/>
      <c r="CF152" s="27"/>
      <c r="CG152" s="27"/>
      <c r="CH152" s="27"/>
      <c r="CI152" s="27"/>
      <c r="CJ152" s="27"/>
      <c r="CK152" s="27"/>
      <c r="CL152" s="27"/>
      <c r="CM152" s="27"/>
      <c r="CN152" s="27"/>
      <c r="CO152" s="27"/>
      <c r="CP152" s="27"/>
      <c r="CQ152" s="27"/>
      <c r="CR152" s="27"/>
      <c r="CS152" s="27"/>
      <c r="CT152" s="27"/>
      <c r="CU152" s="27"/>
      <c r="CV152" s="27"/>
      <c r="CW152" s="27"/>
      <c r="CX152" s="27"/>
      <c r="CY152" s="27"/>
      <c r="CZ152" s="27"/>
      <c r="DA152" s="27"/>
      <c r="DB152" s="27"/>
      <c r="DC152" s="27"/>
      <c r="DD152" s="27"/>
      <c r="DE152" s="27"/>
      <c r="DF152" s="27"/>
      <c r="DG152" s="27"/>
      <c r="DH152" s="27"/>
      <c r="DI152" s="27"/>
      <c r="DJ152" s="27"/>
      <c r="DK152" s="27"/>
      <c r="DL152" s="27"/>
      <c r="DM152" s="27"/>
      <c r="DN152" s="27"/>
      <c r="DO152" s="27"/>
      <c r="DP152" s="27"/>
      <c r="DQ152" s="27"/>
      <c r="DR152" s="27"/>
      <c r="DS152" s="27"/>
      <c r="DT152" s="27"/>
    </row>
    <row r="153" spans="2:124" ht="12" customHeight="1" x14ac:dyDescent="0.2">
      <c r="B153" s="27">
        <v>0.16</v>
      </c>
      <c r="C153" s="27"/>
      <c r="D153" s="27"/>
      <c r="E153" s="27">
        <v>2</v>
      </c>
      <c r="F153" s="27"/>
      <c r="G153" s="27" t="s">
        <v>278</v>
      </c>
      <c r="H153" s="27">
        <f>AA35/12</f>
        <v>0</v>
      </c>
      <c r="I153" s="27" t="s">
        <v>496</v>
      </c>
      <c r="J153" s="27"/>
      <c r="K153" s="27"/>
      <c r="L153" s="27"/>
      <c r="M153" s="27"/>
      <c r="N153" s="27"/>
      <c r="O153" s="27"/>
      <c r="P153" s="27"/>
      <c r="Q153" s="27"/>
      <c r="R153" s="27"/>
      <c r="S153" s="27"/>
      <c r="T153" s="27"/>
      <c r="U153" s="27"/>
      <c r="V153" s="27"/>
      <c r="W153" s="27"/>
      <c r="X153" s="27"/>
      <c r="Y153" s="27"/>
      <c r="Z153" s="27"/>
      <c r="AA153" s="27"/>
      <c r="AB153" s="27"/>
      <c r="AC153" s="27"/>
      <c r="AD153" s="27"/>
      <c r="AE153" s="27"/>
      <c r="AF153" s="27"/>
      <c r="AG153" s="27"/>
      <c r="AH153" s="27"/>
      <c r="AI153" s="27"/>
      <c r="AJ153" s="27"/>
      <c r="AK153" s="27"/>
      <c r="AL153" s="27"/>
      <c r="AM153" s="27"/>
      <c r="AN153" s="27"/>
      <c r="AO153" s="27"/>
      <c r="AP153" s="27"/>
      <c r="AQ153" s="27"/>
      <c r="AR153" s="27"/>
      <c r="AS153" s="27"/>
      <c r="AT153" s="27"/>
      <c r="AU153" s="27"/>
      <c r="AV153" s="27"/>
      <c r="AW153" s="27"/>
      <c r="AX153" s="27"/>
      <c r="AY153" s="27"/>
      <c r="AZ153" s="27"/>
      <c r="BA153" s="27"/>
      <c r="BB153" s="27"/>
      <c r="BC153" s="27"/>
      <c r="BD153" s="27"/>
      <c r="BE153" s="27"/>
      <c r="BF153" s="27"/>
      <c r="BG153" s="27"/>
      <c r="BH153" s="27"/>
      <c r="BI153" s="27"/>
      <c r="BJ153" s="27"/>
      <c r="BK153" s="27"/>
      <c r="BL153" s="27"/>
      <c r="BM153" s="27"/>
      <c r="BN153" s="27"/>
      <c r="BO153" s="27"/>
      <c r="BP153" s="27"/>
      <c r="BQ153" s="27"/>
      <c r="BR153" s="27"/>
      <c r="BS153" s="27"/>
      <c r="BT153" s="27"/>
      <c r="BU153" s="27"/>
      <c r="BV153" s="27"/>
      <c r="BW153" s="27"/>
      <c r="BX153" s="27"/>
      <c r="BY153" s="27"/>
      <c r="BZ153" s="27"/>
      <c r="CA153" s="27"/>
      <c r="CB153" s="27"/>
      <c r="CC153" s="27"/>
      <c r="CD153" s="27"/>
      <c r="CE153" s="27"/>
      <c r="CF153" s="27"/>
      <c r="CG153" s="27"/>
      <c r="CH153" s="27"/>
      <c r="CI153" s="27"/>
      <c r="CJ153" s="27"/>
      <c r="CK153" s="27"/>
      <c r="CL153" s="27"/>
      <c r="CM153" s="27"/>
      <c r="CN153" s="27"/>
      <c r="CO153" s="27"/>
      <c r="CP153" s="27"/>
      <c r="CQ153" s="27"/>
      <c r="CR153" s="27"/>
      <c r="CS153" s="27"/>
      <c r="CT153" s="27"/>
      <c r="CU153" s="27"/>
      <c r="CV153" s="27"/>
      <c r="CW153" s="27"/>
      <c r="CX153" s="27"/>
      <c r="CY153" s="27"/>
      <c r="CZ153" s="27"/>
      <c r="DA153" s="27"/>
      <c r="DB153" s="27"/>
      <c r="DC153" s="27"/>
      <c r="DD153" s="27"/>
      <c r="DE153" s="27"/>
      <c r="DF153" s="27"/>
      <c r="DG153" s="27"/>
      <c r="DH153" s="27"/>
      <c r="DI153" s="27"/>
      <c r="DJ153" s="27"/>
      <c r="DK153" s="27"/>
      <c r="DL153" s="27"/>
      <c r="DM153" s="27"/>
      <c r="DN153" s="27"/>
      <c r="DO153" s="27"/>
      <c r="DP153" s="27"/>
      <c r="DQ153" s="27"/>
      <c r="DR153" s="27"/>
      <c r="DS153" s="27"/>
      <c r="DT153" s="27"/>
    </row>
    <row r="154" spans="2:124" ht="12" customHeight="1" x14ac:dyDescent="0.2">
      <c r="B154" s="27" t="s">
        <v>497</v>
      </c>
      <c r="C154" s="27"/>
      <c r="D154" s="27">
        <v>5571</v>
      </c>
      <c r="E154" s="27"/>
      <c r="F154" s="27">
        <v>0</v>
      </c>
      <c r="G154" s="27">
        <v>1</v>
      </c>
      <c r="H154" s="27">
        <f>IF(ABS(BG61-AP31+AY29)&lt;0.26,0,BG61-AP31+AY29)</f>
        <v>112.67</v>
      </c>
      <c r="I154" s="27" t="s">
        <v>59</v>
      </c>
      <c r="J154" s="27"/>
      <c r="K154" s="27"/>
      <c r="L154" s="27"/>
      <c r="M154" s="27"/>
      <c r="N154" s="27"/>
      <c r="O154" s="27"/>
      <c r="P154" s="27"/>
      <c r="Q154" s="27"/>
      <c r="R154" s="27"/>
      <c r="S154" s="27"/>
      <c r="T154" s="27"/>
      <c r="U154" s="27"/>
      <c r="V154" s="27"/>
      <c r="W154" s="27"/>
      <c r="X154" s="27"/>
      <c r="Y154" s="27"/>
      <c r="Z154" s="27"/>
      <c r="AA154" s="27"/>
      <c r="AB154" s="27"/>
      <c r="AC154" s="27"/>
      <c r="AD154" s="27"/>
      <c r="AE154" s="27"/>
      <c r="AF154" s="27"/>
      <c r="AG154" s="27"/>
      <c r="AH154" s="27"/>
      <c r="AI154" s="27"/>
      <c r="AJ154" s="27"/>
      <c r="AK154" s="27"/>
      <c r="AL154" s="27"/>
      <c r="AM154" s="27"/>
      <c r="AN154" s="27"/>
      <c r="AO154" s="27"/>
      <c r="AP154" s="27"/>
      <c r="AQ154" s="27"/>
      <c r="AR154" s="27"/>
      <c r="AS154" s="27"/>
      <c r="AT154" s="27"/>
      <c r="AU154" s="27"/>
      <c r="AV154" s="27"/>
      <c r="AW154" s="27"/>
      <c r="AX154" s="27"/>
      <c r="AY154" s="27"/>
      <c r="AZ154" s="27"/>
      <c r="BA154" s="27"/>
      <c r="BB154" s="27"/>
      <c r="BC154" s="27"/>
      <c r="BD154" s="27"/>
      <c r="BE154" s="27"/>
      <c r="BF154" s="27"/>
      <c r="BG154" s="27"/>
      <c r="BH154" s="27"/>
      <c r="BI154" s="27"/>
      <c r="BJ154" s="27"/>
      <c r="BK154" s="27"/>
      <c r="BL154" s="27"/>
      <c r="BM154" s="27"/>
      <c r="BN154" s="27"/>
      <c r="BO154" s="27"/>
      <c r="BP154" s="27"/>
      <c r="BQ154" s="27"/>
      <c r="BR154" s="27"/>
      <c r="BS154" s="27"/>
      <c r="BT154" s="27"/>
      <c r="BU154" s="27"/>
      <c r="BV154" s="27"/>
      <c r="BW154" s="27"/>
      <c r="BX154" s="27"/>
      <c r="BY154" s="27"/>
      <c r="BZ154" s="27"/>
      <c r="CA154" s="27"/>
      <c r="CB154" s="27"/>
      <c r="CC154" s="27"/>
      <c r="CD154" s="27"/>
      <c r="CE154" s="27"/>
      <c r="CF154" s="27"/>
      <c r="CG154" s="27"/>
      <c r="CH154" s="27"/>
      <c r="CI154" s="27"/>
      <c r="CJ154" s="27"/>
      <c r="CK154" s="27"/>
      <c r="CL154" s="27"/>
      <c r="CM154" s="27"/>
      <c r="CN154" s="27"/>
      <c r="CO154" s="27"/>
      <c r="CP154" s="27"/>
      <c r="CQ154" s="27"/>
      <c r="CR154" s="27"/>
      <c r="CS154" s="27"/>
      <c r="CT154" s="27"/>
      <c r="CU154" s="27"/>
      <c r="CV154" s="27"/>
      <c r="CW154" s="27"/>
      <c r="CX154" s="27"/>
      <c r="CY154" s="27"/>
      <c r="CZ154" s="27"/>
      <c r="DA154" s="27"/>
      <c r="DB154" s="27"/>
      <c r="DC154" s="27"/>
      <c r="DD154" s="27"/>
      <c r="DE154" s="27"/>
      <c r="DF154" s="27"/>
      <c r="DG154" s="27"/>
      <c r="DH154" s="27"/>
      <c r="DI154" s="27"/>
      <c r="DJ154" s="27"/>
      <c r="DK154" s="27"/>
      <c r="DL154" s="27"/>
      <c r="DM154" s="27"/>
      <c r="DN154" s="27"/>
      <c r="DO154" s="27"/>
      <c r="DP154" s="27"/>
      <c r="DQ154" s="27"/>
      <c r="DR154" s="27"/>
      <c r="DS154" s="27"/>
      <c r="DT154" s="27"/>
    </row>
    <row r="155" spans="2:124" ht="12" customHeight="1" x14ac:dyDescent="0.2">
      <c r="B155" s="27" t="s">
        <v>498</v>
      </c>
      <c r="C155" s="27" t="s">
        <v>71</v>
      </c>
      <c r="D155" s="27" t="e">
        <f>(VLOOKUP($I$32,R45:S61,2,0))</f>
        <v>#N/A</v>
      </c>
      <c r="E155" s="27"/>
      <c r="F155" s="27">
        <v>0</v>
      </c>
      <c r="G155" s="27">
        <v>1.5</v>
      </c>
      <c r="H155" s="27">
        <f>(ROUND((ROUND((AK25-AQ22)/365.25,4))*12,2)/12)</f>
        <v>32.415833333333332</v>
      </c>
      <c r="I155" s="27" t="s">
        <v>59</v>
      </c>
      <c r="J155" s="27"/>
      <c r="K155" s="27"/>
      <c r="L155" s="27"/>
      <c r="M155" s="27"/>
      <c r="N155" s="27"/>
      <c r="O155" s="27"/>
      <c r="P155" s="27"/>
      <c r="Q155" s="27"/>
      <c r="R155" s="27"/>
      <c r="S155" s="27"/>
      <c r="T155" s="27"/>
      <c r="U155" s="27"/>
      <c r="V155" s="27"/>
      <c r="W155" s="27"/>
      <c r="X155" s="27"/>
      <c r="Y155" s="27"/>
      <c r="Z155" s="27"/>
      <c r="AA155" s="27"/>
      <c r="AB155" s="27"/>
      <c r="AC155" s="27"/>
      <c r="AD155" s="27"/>
      <c r="AE155" s="27"/>
      <c r="AF155" s="27"/>
      <c r="AG155" s="27"/>
      <c r="AH155" s="27"/>
      <c r="AI155" s="27"/>
      <c r="AJ155" s="27"/>
      <c r="AK155" s="27"/>
      <c r="AL155" s="27"/>
      <c r="AM155" s="27"/>
      <c r="AN155" s="27"/>
      <c r="AO155" s="27"/>
      <c r="AP155" s="27"/>
      <c r="AQ155" s="27"/>
      <c r="AR155" s="27"/>
      <c r="AS155" s="27"/>
      <c r="AT155" s="27"/>
      <c r="AU155" s="27"/>
      <c r="AV155" s="27"/>
      <c r="AW155" s="27"/>
      <c r="AX155" s="27"/>
      <c r="AY155" s="27"/>
      <c r="AZ155" s="27"/>
      <c r="BA155" s="27"/>
      <c r="BB155" s="27"/>
      <c r="BC155" s="27"/>
      <c r="BD155" s="27"/>
      <c r="BE155" s="27"/>
      <c r="BF155" s="27"/>
      <c r="BG155" s="27"/>
      <c r="BH155" s="27"/>
      <c r="BI155" s="27"/>
      <c r="BJ155" s="27"/>
      <c r="BK155" s="27"/>
      <c r="BL155" s="27"/>
      <c r="BM155" s="27"/>
      <c r="BN155" s="27"/>
      <c r="BO155" s="27"/>
      <c r="BP155" s="27"/>
      <c r="BQ155" s="27"/>
      <c r="BR155" s="27"/>
      <c r="BS155" s="27"/>
      <c r="BT155" s="27"/>
      <c r="BU155" s="27"/>
      <c r="BV155" s="27"/>
      <c r="BW155" s="27"/>
      <c r="BX155" s="27"/>
      <c r="BY155" s="27"/>
      <c r="BZ155" s="27"/>
      <c r="CA155" s="27"/>
      <c r="CB155" s="27"/>
      <c r="CC155" s="27"/>
      <c r="CD155" s="27"/>
      <c r="CE155" s="27"/>
      <c r="CF155" s="27"/>
      <c r="CG155" s="27"/>
      <c r="CH155" s="27"/>
      <c r="CI155" s="27"/>
      <c r="CJ155" s="27"/>
      <c r="CK155" s="27"/>
      <c r="CL155" s="27"/>
      <c r="CM155" s="27"/>
      <c r="CN155" s="27"/>
      <c r="CO155" s="27"/>
      <c r="CP155" s="27"/>
      <c r="CQ155" s="27"/>
      <c r="CR155" s="27"/>
      <c r="CS155" s="27"/>
      <c r="CT155" s="27"/>
      <c r="CU155" s="27"/>
      <c r="CV155" s="27"/>
      <c r="CW155" s="27"/>
      <c r="CX155" s="27"/>
      <c r="CY155" s="27"/>
      <c r="CZ155" s="27"/>
      <c r="DA155" s="27"/>
      <c r="DB155" s="27"/>
      <c r="DC155" s="27"/>
      <c r="DD155" s="27"/>
      <c r="DE155" s="27"/>
      <c r="DF155" s="27"/>
      <c r="DG155" s="27"/>
      <c r="DH155" s="27"/>
      <c r="DI155" s="27"/>
      <c r="DJ155" s="27"/>
      <c r="DK155" s="27"/>
      <c r="DL155" s="27"/>
      <c r="DM155" s="27"/>
      <c r="DN155" s="27"/>
      <c r="DO155" s="27"/>
      <c r="DP155" s="27"/>
      <c r="DQ155" s="27"/>
      <c r="DR155" s="27"/>
      <c r="DS155" s="27"/>
      <c r="DT155" s="27"/>
    </row>
    <row r="156" spans="2:124" ht="12" customHeight="1" x14ac:dyDescent="0.2">
      <c r="B156" s="27">
        <v>0.24</v>
      </c>
      <c r="C156" s="27"/>
      <c r="D156" s="27"/>
      <c r="E156" s="27"/>
      <c r="F156" s="27">
        <v>6</v>
      </c>
      <c r="G156" s="27">
        <v>2</v>
      </c>
      <c r="H156" s="27">
        <f>AK23/12</f>
        <v>32.416666666666664</v>
      </c>
      <c r="I156" s="27" t="s">
        <v>59</v>
      </c>
      <c r="J156" s="27"/>
      <c r="K156" s="27"/>
      <c r="L156" s="27"/>
      <c r="M156" s="27"/>
      <c r="N156" s="27"/>
      <c r="O156" s="27"/>
      <c r="P156" s="27"/>
      <c r="Q156" s="27"/>
      <c r="R156" s="27"/>
      <c r="S156" s="27"/>
      <c r="T156" s="27"/>
      <c r="U156" s="27"/>
      <c r="V156" s="27"/>
      <c r="W156" s="27"/>
      <c r="X156" s="27"/>
      <c r="Y156" s="27"/>
      <c r="Z156" s="27"/>
      <c r="AA156" s="27"/>
      <c r="AB156" s="27"/>
      <c r="AC156" s="27"/>
      <c r="AD156" s="27"/>
      <c r="AE156" s="27"/>
      <c r="AF156" s="27"/>
      <c r="AG156" s="27"/>
      <c r="AH156" s="27"/>
      <c r="AI156" s="27"/>
      <c r="AJ156" s="27"/>
      <c r="AK156" s="27"/>
      <c r="AL156" s="27"/>
      <c r="AM156" s="27"/>
      <c r="AN156" s="27"/>
      <c r="AO156" s="27"/>
      <c r="AP156" s="27"/>
      <c r="AQ156" s="27"/>
      <c r="AR156" s="27"/>
      <c r="AS156" s="27"/>
      <c r="AT156" s="27"/>
      <c r="AU156" s="27"/>
      <c r="AV156" s="27"/>
      <c r="AW156" s="27"/>
      <c r="AX156" s="27"/>
      <c r="AY156" s="27"/>
      <c r="AZ156" s="27"/>
      <c r="BA156" s="27"/>
      <c r="BB156" s="27"/>
      <c r="BC156" s="27"/>
      <c r="BD156" s="27"/>
      <c r="BE156" s="27"/>
      <c r="BF156" s="27"/>
      <c r="BG156" s="27"/>
      <c r="BH156" s="27"/>
      <c r="BI156" s="27"/>
      <c r="BJ156" s="27"/>
      <c r="BK156" s="27"/>
      <c r="BL156" s="27"/>
      <c r="BM156" s="27"/>
      <c r="BN156" s="27"/>
      <c r="BO156" s="27"/>
      <c r="BP156" s="27"/>
      <c r="BQ156" s="27"/>
      <c r="BR156" s="27"/>
      <c r="BS156" s="27"/>
      <c r="BT156" s="27"/>
      <c r="BU156" s="27"/>
      <c r="BV156" s="27"/>
      <c r="BW156" s="27"/>
      <c r="BX156" s="27"/>
      <c r="BY156" s="27"/>
      <c r="BZ156" s="27"/>
      <c r="CA156" s="27"/>
      <c r="CB156" s="27"/>
      <c r="CC156" s="27"/>
      <c r="CD156" s="27"/>
      <c r="CE156" s="27"/>
      <c r="CF156" s="27"/>
      <c r="CG156" s="27"/>
      <c r="CH156" s="27"/>
      <c r="CI156" s="27"/>
      <c r="CJ156" s="27"/>
      <c r="CK156" s="27"/>
      <c r="CL156" s="27"/>
      <c r="CM156" s="27"/>
      <c r="CN156" s="27"/>
      <c r="CO156" s="27"/>
      <c r="CP156" s="27"/>
      <c r="CQ156" s="27"/>
      <c r="CR156" s="27"/>
      <c r="CS156" s="27"/>
      <c r="CT156" s="27"/>
      <c r="CU156" s="27"/>
      <c r="CV156" s="27"/>
      <c r="CW156" s="27"/>
      <c r="CX156" s="27"/>
      <c r="CY156" s="27"/>
      <c r="CZ156" s="27"/>
      <c r="DA156" s="27"/>
      <c r="DB156" s="27"/>
      <c r="DC156" s="27"/>
      <c r="DD156" s="27"/>
      <c r="DE156" s="27"/>
      <c r="DF156" s="27"/>
      <c r="DG156" s="27"/>
      <c r="DH156" s="27"/>
      <c r="DI156" s="27"/>
      <c r="DJ156" s="27"/>
      <c r="DK156" s="27"/>
      <c r="DL156" s="27"/>
      <c r="DM156" s="27"/>
      <c r="DN156" s="27"/>
      <c r="DO156" s="27"/>
      <c r="DP156" s="27"/>
      <c r="DQ156" s="27"/>
      <c r="DR156" s="27"/>
      <c r="DS156" s="27"/>
      <c r="DT156" s="27"/>
    </row>
    <row r="157" spans="2:124" ht="7.5" customHeight="1" x14ac:dyDescent="0.2">
      <c r="B157" s="27">
        <v>0.27</v>
      </c>
      <c r="C157" s="27"/>
      <c r="D157" s="27" t="s">
        <v>28</v>
      </c>
      <c r="E157" s="27"/>
      <c r="F157" s="27"/>
      <c r="G157" s="27">
        <v>2.5</v>
      </c>
      <c r="H157" s="27">
        <f>AK24</f>
        <v>0.59709999999999996</v>
      </c>
      <c r="I157" s="27" t="s">
        <v>59</v>
      </c>
      <c r="J157" s="27"/>
      <c r="K157" s="27">
        <v>1</v>
      </c>
      <c r="L157" s="27"/>
      <c r="M157" s="27"/>
      <c r="N157" s="27"/>
      <c r="O157" s="27"/>
      <c r="P157" s="27"/>
      <c r="Q157" s="27"/>
      <c r="R157" s="27"/>
      <c r="S157" s="27"/>
      <c r="T157" s="27"/>
      <c r="U157" s="27"/>
      <c r="V157" s="27"/>
      <c r="W157" s="27"/>
      <c r="X157" s="27"/>
      <c r="Y157" s="27"/>
      <c r="Z157" s="27"/>
      <c r="AA157" s="27"/>
      <c r="AB157" s="27"/>
      <c r="AC157" s="27"/>
      <c r="AD157" s="27"/>
      <c r="AE157" s="27"/>
      <c r="AF157" s="27"/>
      <c r="AG157" s="27"/>
      <c r="AH157" s="27"/>
      <c r="AI157" s="27"/>
      <c r="AJ157" s="27"/>
      <c r="AK157" s="27"/>
      <c r="AL157" s="27"/>
      <c r="AM157" s="27"/>
      <c r="AN157" s="27"/>
      <c r="AO157" s="27"/>
      <c r="AP157" s="27"/>
      <c r="AQ157" s="27"/>
      <c r="AR157" s="27"/>
      <c r="AS157" s="27"/>
      <c r="AT157" s="27"/>
      <c r="AU157" s="27"/>
      <c r="AV157" s="27"/>
      <c r="AW157" s="27"/>
      <c r="AX157" s="27"/>
      <c r="AY157" s="27"/>
      <c r="AZ157" s="27"/>
      <c r="BA157" s="27"/>
      <c r="BB157" s="27"/>
      <c r="BC157" s="27"/>
      <c r="BD157" s="27"/>
      <c r="BE157" s="27"/>
      <c r="BF157" s="27"/>
      <c r="BG157" s="27"/>
      <c r="BH157" s="27"/>
      <c r="BI157" s="27"/>
      <c r="BJ157" s="27"/>
      <c r="BK157" s="27"/>
      <c r="BL157" s="27"/>
      <c r="BM157" s="27"/>
      <c r="BN157" s="27"/>
      <c r="BO157" s="27"/>
      <c r="BP157" s="27"/>
      <c r="BQ157" s="27"/>
      <c r="BR157" s="27"/>
      <c r="BS157" s="27"/>
      <c r="BT157" s="27"/>
      <c r="BU157" s="27"/>
      <c r="BV157" s="27"/>
      <c r="BW157" s="27"/>
      <c r="BX157" s="27"/>
      <c r="BY157" s="27"/>
      <c r="BZ157" s="27"/>
      <c r="CA157" s="27"/>
      <c r="CB157" s="27"/>
      <c r="CC157" s="27"/>
      <c r="CD157" s="27"/>
      <c r="CE157" s="27"/>
      <c r="CF157" s="27"/>
      <c r="CG157" s="27"/>
      <c r="CH157" s="27"/>
      <c r="CI157" s="27"/>
      <c r="CJ157" s="27"/>
      <c r="CK157" s="27"/>
      <c r="CL157" s="27"/>
      <c r="CM157" s="27"/>
      <c r="CN157" s="27"/>
      <c r="CO157" s="27"/>
      <c r="CP157" s="27"/>
      <c r="CQ157" s="27"/>
      <c r="CR157" s="27"/>
      <c r="CS157" s="27"/>
      <c r="CT157" s="27"/>
      <c r="CU157" s="27"/>
      <c r="CV157" s="27"/>
      <c r="CW157" s="27"/>
      <c r="CX157" s="27"/>
      <c r="CY157" s="27"/>
      <c r="CZ157" s="27"/>
      <c r="DA157" s="27"/>
      <c r="DB157" s="27"/>
      <c r="DC157" s="27"/>
      <c r="DD157" s="27"/>
      <c r="DE157" s="27"/>
      <c r="DF157" s="27"/>
      <c r="DG157" s="27"/>
      <c r="DH157" s="27"/>
      <c r="DI157" s="27"/>
      <c r="DJ157" s="27"/>
      <c r="DK157" s="27"/>
      <c r="DL157" s="27"/>
      <c r="DM157" s="27"/>
      <c r="DN157" s="27"/>
      <c r="DO157" s="27"/>
      <c r="DP157" s="27"/>
      <c r="DQ157" s="27"/>
      <c r="DR157" s="27"/>
      <c r="DS157" s="27"/>
      <c r="DT157" s="27"/>
    </row>
    <row r="158" spans="2:124" x14ac:dyDescent="0.2">
      <c r="B158" s="27">
        <v>0.3</v>
      </c>
      <c r="C158" s="27"/>
      <c r="D158" s="27" t="s">
        <v>29</v>
      </c>
      <c r="E158" s="27"/>
      <c r="F158" s="27">
        <v>0</v>
      </c>
      <c r="G158" s="27">
        <v>3</v>
      </c>
      <c r="H158" s="27">
        <f>F158</f>
        <v>0</v>
      </c>
      <c r="I158" s="27" t="s">
        <v>499</v>
      </c>
      <c r="J158" s="27"/>
      <c r="K158" s="27">
        <v>1.5</v>
      </c>
      <c r="L158" s="27"/>
      <c r="M158" s="27"/>
      <c r="N158" s="27"/>
      <c r="O158" s="27"/>
      <c r="P158" s="27"/>
      <c r="Q158" s="27"/>
      <c r="R158" s="27"/>
      <c r="S158" s="27"/>
      <c r="T158" s="27"/>
      <c r="U158" s="27"/>
      <c r="V158" s="27"/>
      <c r="W158" s="27"/>
      <c r="X158" s="27"/>
      <c r="Y158" s="27"/>
      <c r="Z158" s="27"/>
      <c r="AA158" s="27"/>
      <c r="AB158" s="27"/>
      <c r="AC158" s="27"/>
      <c r="AD158" s="27"/>
      <c r="AE158" s="27"/>
      <c r="AF158" s="27"/>
      <c r="AG158" s="27"/>
      <c r="AH158" s="27"/>
      <c r="AI158" s="27"/>
      <c r="AJ158" s="27"/>
      <c r="AK158" s="27"/>
      <c r="AL158" s="27"/>
      <c r="AM158" s="27"/>
      <c r="AN158" s="27"/>
      <c r="AO158" s="27"/>
      <c r="AP158" s="27"/>
      <c r="AQ158" s="27"/>
      <c r="AR158" s="27"/>
      <c r="AS158" s="27"/>
      <c r="AT158" s="27"/>
      <c r="AU158" s="27"/>
      <c r="AV158" s="27"/>
      <c r="AW158" s="27"/>
      <c r="AX158" s="27"/>
      <c r="AY158" s="27"/>
      <c r="AZ158" s="27"/>
      <c r="BA158" s="27"/>
      <c r="BB158" s="27"/>
      <c r="BC158" s="27"/>
      <c r="BD158" s="27"/>
      <c r="BE158" s="27"/>
      <c r="BF158" s="27"/>
      <c r="BG158" s="27"/>
      <c r="BH158" s="27"/>
      <c r="BI158" s="27"/>
      <c r="BJ158" s="27"/>
      <c r="BK158" s="27"/>
      <c r="BL158" s="27"/>
      <c r="BM158" s="27"/>
      <c r="BN158" s="27"/>
      <c r="BO158" s="27"/>
      <c r="BP158" s="27"/>
      <c r="BQ158" s="27"/>
      <c r="BR158" s="27"/>
      <c r="BS158" s="27"/>
      <c r="BT158" s="27"/>
      <c r="BU158" s="27"/>
      <c r="BV158" s="27"/>
      <c r="BW158" s="27"/>
      <c r="BX158" s="27"/>
      <c r="BY158" s="27"/>
      <c r="BZ158" s="27"/>
      <c r="CA158" s="27"/>
      <c r="CB158" s="27"/>
      <c r="CC158" s="27"/>
      <c r="CD158" s="27"/>
      <c r="CE158" s="27"/>
      <c r="CF158" s="27"/>
      <c r="CG158" s="27"/>
      <c r="CH158" s="27"/>
      <c r="CI158" s="27"/>
      <c r="CJ158" s="27"/>
      <c r="CK158" s="27"/>
      <c r="CL158" s="27"/>
      <c r="CM158" s="27"/>
      <c r="CN158" s="27"/>
      <c r="CO158" s="27"/>
      <c r="CP158" s="27"/>
      <c r="CQ158" s="27"/>
      <c r="CR158" s="27"/>
      <c r="CS158" s="27"/>
      <c r="CT158" s="27"/>
      <c r="CU158" s="27"/>
      <c r="CV158" s="27"/>
      <c r="CW158" s="27"/>
      <c r="CX158" s="27"/>
      <c r="CY158" s="27"/>
      <c r="CZ158" s="27"/>
      <c r="DA158" s="27"/>
      <c r="DB158" s="27"/>
      <c r="DC158" s="27"/>
      <c r="DD158" s="27"/>
      <c r="DE158" s="27"/>
      <c r="DF158" s="27"/>
      <c r="DG158" s="27"/>
      <c r="DH158" s="27"/>
      <c r="DI158" s="27"/>
      <c r="DJ158" s="27"/>
      <c r="DK158" s="27"/>
      <c r="DL158" s="27"/>
      <c r="DM158" s="27"/>
      <c r="DN158" s="27"/>
      <c r="DO158" s="27"/>
      <c r="DP158" s="27"/>
      <c r="DQ158" s="27"/>
      <c r="DR158" s="27"/>
      <c r="DS158" s="27"/>
      <c r="DT158" s="27"/>
    </row>
    <row r="159" spans="2:124" x14ac:dyDescent="0.2">
      <c r="B159" s="27">
        <v>0.34</v>
      </c>
      <c r="C159" s="27"/>
      <c r="D159" s="27" t="s">
        <v>500</v>
      </c>
      <c r="E159" s="27"/>
      <c r="F159" s="27">
        <v>0</v>
      </c>
      <c r="G159" s="27">
        <v>3.5</v>
      </c>
      <c r="H159" s="27">
        <f>IF((F158+H157)&gt;70%,70%,IF((F158+H157)&lt;20%,20%,F158+H157))</f>
        <v>0.59709999999999996</v>
      </c>
      <c r="I159" s="27"/>
      <c r="J159" s="27"/>
      <c r="K159" s="27">
        <v>2</v>
      </c>
      <c r="L159" s="27"/>
      <c r="M159" s="27"/>
      <c r="N159" s="27"/>
      <c r="O159" s="27"/>
      <c r="P159" s="27"/>
      <c r="Q159" s="27"/>
      <c r="R159" s="27"/>
      <c r="S159" s="27"/>
      <c r="T159" s="27"/>
      <c r="U159" s="27"/>
      <c r="V159" s="27"/>
      <c r="W159" s="27"/>
      <c r="X159" s="27"/>
      <c r="Y159" s="27"/>
      <c r="Z159" s="27"/>
      <c r="AA159" s="27"/>
      <c r="AB159" s="27"/>
      <c r="AC159" s="27"/>
      <c r="AD159" s="27"/>
      <c r="AE159" s="27"/>
      <c r="AF159" s="27"/>
      <c r="AG159" s="27"/>
      <c r="AH159" s="27"/>
      <c r="AI159" s="27"/>
      <c r="AJ159" s="27"/>
      <c r="AK159" s="27"/>
      <c r="AL159" s="27"/>
      <c r="AM159" s="27"/>
      <c r="AN159" s="27"/>
      <c r="AO159" s="27"/>
      <c r="AP159" s="27"/>
      <c r="AQ159" s="27"/>
      <c r="AR159" s="27"/>
      <c r="AS159" s="27"/>
      <c r="AT159" s="27"/>
      <c r="AU159" s="27"/>
      <c r="AV159" s="27"/>
      <c r="AW159" s="27"/>
      <c r="AX159" s="27"/>
      <c r="AY159" s="27"/>
      <c r="AZ159" s="27"/>
      <c r="BA159" s="27"/>
      <c r="BB159" s="27"/>
      <c r="BC159" s="27"/>
      <c r="BD159" s="27"/>
      <c r="BE159" s="27"/>
      <c r="BF159" s="27"/>
      <c r="BG159" s="27"/>
      <c r="BH159" s="27"/>
      <c r="BI159" s="27"/>
      <c r="BJ159" s="27"/>
      <c r="BK159" s="27"/>
      <c r="BL159" s="27"/>
      <c r="BM159" s="27"/>
      <c r="BN159" s="27"/>
      <c r="BO159" s="27"/>
      <c r="BP159" s="27"/>
      <c r="BQ159" s="27"/>
      <c r="BR159" s="27"/>
      <c r="BS159" s="27"/>
      <c r="BT159" s="27"/>
      <c r="BU159" s="27"/>
      <c r="BV159" s="27"/>
      <c r="BW159" s="27"/>
      <c r="BX159" s="27"/>
      <c r="BY159" s="27"/>
      <c r="BZ159" s="27"/>
      <c r="CA159" s="27"/>
      <c r="CB159" s="27"/>
      <c r="CC159" s="27"/>
      <c r="CD159" s="27"/>
      <c r="CE159" s="27"/>
      <c r="CF159" s="27"/>
      <c r="CG159" s="27"/>
      <c r="CH159" s="27"/>
      <c r="CI159" s="27"/>
      <c r="CJ159" s="27"/>
      <c r="CK159" s="27"/>
      <c r="CL159" s="27"/>
      <c r="CM159" s="27"/>
      <c r="CN159" s="27"/>
      <c r="CO159" s="27"/>
      <c r="CP159" s="27"/>
      <c r="CQ159" s="27"/>
      <c r="CR159" s="27"/>
      <c r="CS159" s="27"/>
      <c r="CT159" s="27"/>
      <c r="CU159" s="27"/>
      <c r="CV159" s="27"/>
      <c r="CW159" s="27"/>
      <c r="CX159" s="27"/>
      <c r="CY159" s="27"/>
      <c r="CZ159" s="27"/>
      <c r="DA159" s="27"/>
      <c r="DB159" s="27"/>
      <c r="DC159" s="27"/>
      <c r="DD159" s="27"/>
      <c r="DE159" s="27"/>
      <c r="DF159" s="27"/>
      <c r="DG159" s="27"/>
      <c r="DH159" s="27"/>
      <c r="DI159" s="27"/>
      <c r="DJ159" s="27"/>
      <c r="DK159" s="27"/>
      <c r="DL159" s="27"/>
      <c r="DM159" s="27"/>
      <c r="DN159" s="27"/>
      <c r="DO159" s="27"/>
      <c r="DP159" s="27"/>
      <c r="DQ159" s="27"/>
      <c r="DR159" s="27"/>
      <c r="DS159" s="27"/>
      <c r="DT159" s="27"/>
    </row>
    <row r="160" spans="2:124" x14ac:dyDescent="0.2">
      <c r="B160" s="27">
        <v>0.37</v>
      </c>
      <c r="C160" s="27"/>
      <c r="D160" s="27" t="s">
        <v>26</v>
      </c>
      <c r="E160" s="27"/>
      <c r="F160" s="27"/>
      <c r="G160" s="27">
        <v>4</v>
      </c>
      <c r="H160" s="27" t="e">
        <f>#REF!</f>
        <v>#REF!</v>
      </c>
      <c r="I160" s="27"/>
      <c r="J160" s="27"/>
      <c r="K160" s="27">
        <v>2.5</v>
      </c>
      <c r="L160" s="27"/>
      <c r="M160" s="27"/>
      <c r="N160" s="27"/>
      <c r="O160" s="27"/>
      <c r="P160" s="27"/>
      <c r="Q160" s="27"/>
      <c r="R160" s="27"/>
      <c r="S160" s="27"/>
      <c r="T160" s="27"/>
      <c r="U160" s="27"/>
      <c r="V160" s="27"/>
      <c r="W160" s="27"/>
      <c r="X160" s="27"/>
      <c r="Y160" s="27"/>
      <c r="Z160" s="27"/>
      <c r="AA160" s="27"/>
      <c r="AB160" s="27"/>
      <c r="AC160" s="27"/>
      <c r="AD160" s="27"/>
      <c r="AE160" s="27"/>
      <c r="AF160" s="27"/>
      <c r="AG160" s="27"/>
      <c r="AH160" s="27"/>
      <c r="AI160" s="27"/>
      <c r="AJ160" s="27"/>
      <c r="AK160" s="27"/>
      <c r="AL160" s="27"/>
      <c r="AM160" s="27"/>
      <c r="AN160" s="27"/>
      <c r="AO160" s="27"/>
      <c r="AP160" s="27"/>
      <c r="AQ160" s="27"/>
      <c r="AR160" s="27"/>
      <c r="AS160" s="27"/>
      <c r="AT160" s="27"/>
      <c r="AU160" s="27"/>
      <c r="AV160" s="27"/>
      <c r="AW160" s="27"/>
      <c r="AX160" s="27"/>
      <c r="AY160" s="27"/>
      <c r="AZ160" s="27"/>
      <c r="BA160" s="27"/>
      <c r="BB160" s="27"/>
      <c r="BC160" s="27"/>
      <c r="BD160" s="27"/>
      <c r="BE160" s="27"/>
      <c r="BF160" s="27"/>
      <c r="BG160" s="27"/>
      <c r="BH160" s="27"/>
      <c r="BI160" s="27"/>
      <c r="BJ160" s="27"/>
      <c r="BK160" s="27"/>
      <c r="BL160" s="27"/>
      <c r="BM160" s="27"/>
      <c r="BN160" s="27"/>
      <c r="BO160" s="27"/>
      <c r="BP160" s="27"/>
      <c r="BQ160" s="27"/>
      <c r="BR160" s="27"/>
      <c r="BS160" s="27"/>
      <c r="BT160" s="27"/>
      <c r="BU160" s="27"/>
      <c r="BV160" s="27"/>
      <c r="BW160" s="27"/>
      <c r="BX160" s="27"/>
      <c r="BY160" s="27"/>
      <c r="BZ160" s="27"/>
      <c r="CA160" s="27"/>
      <c r="CB160" s="27"/>
      <c r="CC160" s="27"/>
      <c r="CD160" s="27"/>
      <c r="CE160" s="27"/>
      <c r="CF160" s="27"/>
      <c r="CG160" s="27"/>
      <c r="CH160" s="27"/>
      <c r="CI160" s="27"/>
      <c r="CJ160" s="27"/>
      <c r="CK160" s="27"/>
      <c r="CL160" s="27"/>
      <c r="CM160" s="27"/>
      <c r="CN160" s="27"/>
      <c r="CO160" s="27"/>
      <c r="CP160" s="27"/>
      <c r="CQ160" s="27"/>
      <c r="CR160" s="27"/>
      <c r="CS160" s="27"/>
      <c r="CT160" s="27"/>
      <c r="CU160" s="27"/>
      <c r="CV160" s="27"/>
      <c r="CW160" s="27"/>
      <c r="CX160" s="27"/>
      <c r="CY160" s="27"/>
      <c r="CZ160" s="27"/>
      <c r="DA160" s="27"/>
      <c r="DB160" s="27"/>
      <c r="DC160" s="27"/>
      <c r="DD160" s="27"/>
      <c r="DE160" s="27"/>
      <c r="DF160" s="27"/>
      <c r="DG160" s="27"/>
      <c r="DH160" s="27"/>
      <c r="DI160" s="27"/>
      <c r="DJ160" s="27"/>
      <c r="DK160" s="27"/>
      <c r="DL160" s="27"/>
      <c r="DM160" s="27"/>
      <c r="DN160" s="27"/>
      <c r="DO160" s="27"/>
      <c r="DP160" s="27"/>
      <c r="DQ160" s="27"/>
      <c r="DR160" s="27"/>
      <c r="DS160" s="27"/>
      <c r="DT160" s="27"/>
    </row>
    <row r="161" spans="2:124" x14ac:dyDescent="0.2">
      <c r="B161" s="27">
        <v>0.29499999999999998</v>
      </c>
      <c r="C161" s="27"/>
      <c r="D161" s="27"/>
      <c r="E161" s="27"/>
      <c r="F161" s="27"/>
      <c r="G161" s="27">
        <v>4.5</v>
      </c>
      <c r="H161" s="27"/>
      <c r="I161" s="27" t="e">
        <f>#REF!</f>
        <v>#REF!</v>
      </c>
      <c r="J161" s="27"/>
      <c r="K161" s="27">
        <v>3</v>
      </c>
      <c r="L161" s="27"/>
      <c r="M161" s="27"/>
      <c r="N161" s="27"/>
      <c r="O161" s="27"/>
      <c r="P161" s="27"/>
      <c r="Q161" s="27"/>
      <c r="R161" s="27"/>
      <c r="S161" s="27"/>
      <c r="T161" s="27"/>
      <c r="U161" s="27"/>
      <c r="V161" s="27"/>
      <c r="W161" s="27"/>
      <c r="X161" s="27"/>
      <c r="Y161" s="27"/>
      <c r="Z161" s="27"/>
      <c r="AA161" s="27"/>
      <c r="AB161" s="27"/>
      <c r="AC161" s="27"/>
      <c r="AD161" s="27"/>
      <c r="AE161" s="27"/>
      <c r="AF161" s="27"/>
      <c r="AG161" s="27"/>
      <c r="AH161" s="27"/>
      <c r="AI161" s="27"/>
      <c r="AJ161" s="27"/>
      <c r="AK161" s="27"/>
      <c r="AL161" s="27"/>
      <c r="AM161" s="27"/>
      <c r="AN161" s="27"/>
      <c r="AO161" s="27"/>
      <c r="AP161" s="27"/>
      <c r="AQ161" s="27"/>
      <c r="AR161" s="27"/>
      <c r="AS161" s="27"/>
      <c r="AT161" s="27"/>
      <c r="AU161" s="27"/>
      <c r="AV161" s="27"/>
      <c r="AW161" s="27"/>
      <c r="AX161" s="27"/>
      <c r="AY161" s="27"/>
      <c r="AZ161" s="27"/>
      <c r="BA161" s="27"/>
      <c r="BB161" s="27"/>
      <c r="BC161" s="27"/>
      <c r="BD161" s="27"/>
      <c r="BE161" s="27"/>
      <c r="BF161" s="27"/>
      <c r="BG161" s="27"/>
      <c r="BH161" s="27"/>
      <c r="BI161" s="27"/>
      <c r="BJ161" s="27"/>
      <c r="BK161" s="27"/>
      <c r="BL161" s="27"/>
      <c r="BM161" s="27"/>
      <c r="BN161" s="27"/>
      <c r="BO161" s="27"/>
      <c r="BP161" s="27"/>
      <c r="BQ161" s="27"/>
      <c r="BR161" s="27"/>
      <c r="BS161" s="27"/>
      <c r="BT161" s="27"/>
      <c r="BU161" s="27"/>
      <c r="BV161" s="27"/>
      <c r="BW161" s="27"/>
      <c r="BX161" s="27"/>
      <c r="BY161" s="27"/>
      <c r="BZ161" s="27"/>
      <c r="CA161" s="27"/>
      <c r="CB161" s="27"/>
      <c r="CC161" s="27"/>
      <c r="CD161" s="27"/>
      <c r="CE161" s="27"/>
      <c r="CF161" s="27"/>
      <c r="CG161" s="27"/>
      <c r="CH161" s="27"/>
      <c r="CI161" s="27"/>
      <c r="CJ161" s="27"/>
      <c r="CK161" s="27"/>
      <c r="CL161" s="27"/>
      <c r="CM161" s="27"/>
      <c r="CN161" s="27"/>
      <c r="CO161" s="27"/>
      <c r="CP161" s="27"/>
      <c r="CQ161" s="27"/>
      <c r="CR161" s="27"/>
      <c r="CS161" s="27"/>
      <c r="CT161" s="27"/>
      <c r="CU161" s="27"/>
      <c r="CV161" s="27"/>
      <c r="CW161" s="27"/>
      <c r="CX161" s="27"/>
      <c r="CY161" s="27"/>
      <c r="CZ161" s="27"/>
      <c r="DA161" s="27"/>
      <c r="DB161" s="27"/>
      <c r="DC161" s="27"/>
      <c r="DD161" s="27"/>
      <c r="DE161" s="27"/>
      <c r="DF161" s="27"/>
      <c r="DG161" s="27"/>
      <c r="DH161" s="27"/>
      <c r="DI161" s="27"/>
      <c r="DJ161" s="27"/>
      <c r="DK161" s="27"/>
      <c r="DL161" s="27"/>
      <c r="DM161" s="27"/>
      <c r="DN161" s="27"/>
      <c r="DO161" s="27"/>
      <c r="DP161" s="27"/>
      <c r="DQ161" s="27"/>
      <c r="DR161" s="27"/>
      <c r="DS161" s="27"/>
      <c r="DT161" s="27"/>
    </row>
    <row r="162" spans="2:124" x14ac:dyDescent="0.2">
      <c r="B162" s="27">
        <v>0.32500000000000001</v>
      </c>
      <c r="C162" s="27" t="s">
        <v>501</v>
      </c>
      <c r="D162" s="27">
        <v>5</v>
      </c>
      <c r="E162" s="27"/>
      <c r="F162" s="27"/>
      <c r="G162" s="27">
        <v>5</v>
      </c>
      <c r="H162" s="27" t="s">
        <v>502</v>
      </c>
      <c r="I162" s="27" t="e">
        <f>#REF!</f>
        <v>#REF!</v>
      </c>
      <c r="J162" s="27"/>
      <c r="K162" s="27">
        <v>3.5</v>
      </c>
      <c r="L162" s="27"/>
      <c r="M162" s="27"/>
      <c r="N162" s="27"/>
      <c r="O162" s="27"/>
      <c r="P162" s="27"/>
      <c r="Q162" s="27"/>
      <c r="R162" s="27"/>
      <c r="S162" s="27"/>
      <c r="T162" s="27"/>
      <c r="U162" s="27"/>
      <c r="V162" s="27"/>
      <c r="W162" s="27"/>
      <c r="X162" s="27"/>
      <c r="Y162" s="27"/>
      <c r="Z162" s="27"/>
      <c r="AA162" s="27"/>
      <c r="AB162" s="27"/>
      <c r="AC162" s="27"/>
      <c r="AD162" s="27"/>
      <c r="AE162" s="27"/>
      <c r="AF162" s="27"/>
      <c r="AG162" s="27"/>
      <c r="AH162" s="27"/>
      <c r="AI162" s="27"/>
      <c r="AJ162" s="27"/>
      <c r="AK162" s="27"/>
      <c r="AL162" s="27"/>
      <c r="AM162" s="27"/>
      <c r="AN162" s="27"/>
      <c r="AO162" s="27"/>
      <c r="AP162" s="27"/>
      <c r="AQ162" s="27"/>
      <c r="AR162" s="27"/>
      <c r="AS162" s="27"/>
      <c r="AT162" s="27"/>
      <c r="AU162" s="27"/>
      <c r="AV162" s="27"/>
      <c r="AW162" s="27"/>
      <c r="AX162" s="27"/>
      <c r="AY162" s="27"/>
      <c r="AZ162" s="27"/>
      <c r="BA162" s="27"/>
      <c r="BB162" s="27"/>
      <c r="BC162" s="27"/>
      <c r="BD162" s="27"/>
      <c r="BE162" s="27"/>
      <c r="BF162" s="27"/>
      <c r="BG162" s="27"/>
      <c r="BH162" s="27"/>
      <c r="BI162" s="27"/>
      <c r="BJ162" s="27"/>
      <c r="BK162" s="27"/>
      <c r="BL162" s="27"/>
      <c r="BM162" s="27"/>
      <c r="BN162" s="27"/>
      <c r="BO162" s="27"/>
      <c r="BP162" s="27"/>
      <c r="BQ162" s="27"/>
      <c r="BR162" s="27"/>
      <c r="BS162" s="27"/>
      <c r="BT162" s="27"/>
      <c r="BU162" s="27"/>
      <c r="BV162" s="27"/>
      <c r="BW162" s="27"/>
      <c r="BX162" s="27"/>
      <c r="BY162" s="27"/>
      <c r="BZ162" s="27"/>
      <c r="CA162" s="27"/>
      <c r="CB162" s="27"/>
      <c r="CC162" s="27"/>
      <c r="CD162" s="27"/>
      <c r="CE162" s="27"/>
      <c r="CF162" s="27"/>
      <c r="CG162" s="27"/>
      <c r="CH162" s="27"/>
      <c r="CI162" s="27"/>
      <c r="CJ162" s="27"/>
      <c r="CK162" s="27"/>
      <c r="CL162" s="27"/>
      <c r="CM162" s="27"/>
      <c r="CN162" s="27"/>
      <c r="CO162" s="27"/>
      <c r="CP162" s="27"/>
      <c r="CQ162" s="27"/>
      <c r="CR162" s="27"/>
      <c r="CS162" s="27"/>
      <c r="CT162" s="27"/>
      <c r="CU162" s="27"/>
      <c r="CV162" s="27"/>
      <c r="CW162" s="27"/>
      <c r="CX162" s="27"/>
      <c r="CY162" s="27"/>
      <c r="CZ162" s="27"/>
      <c r="DA162" s="27"/>
      <c r="DB162" s="27"/>
      <c r="DC162" s="27"/>
      <c r="DD162" s="27"/>
      <c r="DE162" s="27"/>
      <c r="DF162" s="27"/>
      <c r="DG162" s="27"/>
      <c r="DH162" s="27"/>
      <c r="DI162" s="27"/>
      <c r="DJ162" s="27"/>
      <c r="DK162" s="27"/>
      <c r="DL162" s="27"/>
      <c r="DM162" s="27"/>
      <c r="DN162" s="27"/>
      <c r="DO162" s="27"/>
      <c r="DP162" s="27"/>
      <c r="DQ162" s="27"/>
      <c r="DR162" s="27"/>
      <c r="DS162" s="27"/>
      <c r="DT162" s="27"/>
    </row>
    <row r="163" spans="2:124" x14ac:dyDescent="0.2">
      <c r="B163" s="27">
        <v>0.36499999999999999</v>
      </c>
      <c r="C163" s="27"/>
      <c r="D163" s="27"/>
      <c r="E163" s="27"/>
      <c r="F163" s="27"/>
      <c r="G163" s="27">
        <v>5.5</v>
      </c>
      <c r="H163" s="27" t="s">
        <v>503</v>
      </c>
      <c r="I163" s="27">
        <f>AA35</f>
        <v>0</v>
      </c>
      <c r="J163" s="27"/>
      <c r="K163" s="27">
        <v>4</v>
      </c>
      <c r="L163" s="27"/>
      <c r="M163" s="27"/>
      <c r="N163" s="27"/>
      <c r="O163" s="27"/>
      <c r="P163" s="27"/>
      <c r="Q163" s="27"/>
      <c r="R163" s="27"/>
      <c r="S163" s="27"/>
      <c r="T163" s="27"/>
      <c r="U163" s="27"/>
      <c r="V163" s="27"/>
      <c r="W163" s="27"/>
      <c r="X163" s="27"/>
      <c r="Y163" s="27"/>
      <c r="Z163" s="27"/>
      <c r="AA163" s="27"/>
      <c r="AB163" s="27"/>
      <c r="AC163" s="27"/>
      <c r="AD163" s="27"/>
      <c r="AE163" s="27"/>
      <c r="AF163" s="27"/>
      <c r="AG163" s="27"/>
      <c r="AH163" s="27"/>
      <c r="AI163" s="27"/>
      <c r="AJ163" s="27"/>
      <c r="AK163" s="27"/>
      <c r="AL163" s="27"/>
      <c r="AM163" s="27"/>
      <c r="AN163" s="27"/>
      <c r="AO163" s="27"/>
      <c r="AP163" s="27"/>
      <c r="AQ163" s="27"/>
      <c r="AR163" s="27"/>
      <c r="AS163" s="27"/>
      <c r="AT163" s="27"/>
      <c r="AU163" s="27"/>
      <c r="AV163" s="27"/>
      <c r="AW163" s="27"/>
      <c r="AX163" s="27"/>
      <c r="AY163" s="27"/>
      <c r="AZ163" s="27"/>
      <c r="BA163" s="27"/>
      <c r="BB163" s="27"/>
      <c r="BC163" s="27"/>
      <c r="BD163" s="27"/>
      <c r="BE163" s="27"/>
      <c r="BF163" s="27"/>
      <c r="BG163" s="27"/>
      <c r="BH163" s="27"/>
      <c r="BI163" s="27"/>
      <c r="BJ163" s="27"/>
      <c r="BK163" s="27"/>
      <c r="BL163" s="27"/>
      <c r="BM163" s="27"/>
      <c r="BN163" s="27"/>
      <c r="BO163" s="27"/>
      <c r="BP163" s="27"/>
      <c r="BQ163" s="27"/>
      <c r="BR163" s="27"/>
      <c r="BS163" s="27"/>
      <c r="BT163" s="27"/>
      <c r="BU163" s="27"/>
      <c r="BV163" s="27"/>
      <c r="BW163" s="27"/>
      <c r="BX163" s="27"/>
      <c r="BY163" s="27"/>
      <c r="BZ163" s="27"/>
      <c r="CA163" s="27"/>
      <c r="CB163" s="27"/>
      <c r="CC163" s="27"/>
      <c r="CD163" s="27"/>
      <c r="CE163" s="27"/>
      <c r="CF163" s="27"/>
      <c r="CG163" s="27"/>
      <c r="CH163" s="27"/>
      <c r="CI163" s="27"/>
      <c r="CJ163" s="27"/>
      <c r="CK163" s="27"/>
      <c r="CL163" s="27"/>
      <c r="CM163" s="27"/>
      <c r="CN163" s="27"/>
      <c r="CO163" s="27"/>
      <c r="CP163" s="27"/>
      <c r="CQ163" s="27"/>
      <c r="CR163" s="27"/>
      <c r="CS163" s="27"/>
      <c r="CT163" s="27"/>
      <c r="CU163" s="27"/>
      <c r="CV163" s="27"/>
      <c r="CW163" s="27"/>
      <c r="CX163" s="27"/>
      <c r="CY163" s="27"/>
      <c r="CZ163" s="27"/>
      <c r="DA163" s="27"/>
      <c r="DB163" s="27"/>
      <c r="DC163" s="27"/>
      <c r="DD163" s="27"/>
      <c r="DE163" s="27"/>
      <c r="DF163" s="27"/>
      <c r="DG163" s="27"/>
      <c r="DH163" s="27"/>
      <c r="DI163" s="27"/>
      <c r="DJ163" s="27"/>
      <c r="DK163" s="27"/>
      <c r="DL163" s="27"/>
      <c r="DM163" s="27"/>
      <c r="DN163" s="27"/>
      <c r="DO163" s="27"/>
      <c r="DP163" s="27"/>
      <c r="DQ163" s="27"/>
      <c r="DR163" s="27"/>
      <c r="DS163" s="27"/>
      <c r="DT163" s="27"/>
    </row>
    <row r="164" spans="2:124" x14ac:dyDescent="0.2">
      <c r="B164" s="27">
        <v>0.39500000000000002</v>
      </c>
      <c r="C164" s="27"/>
      <c r="D164" s="27"/>
      <c r="E164" s="27"/>
      <c r="F164" s="27"/>
      <c r="G164" s="27">
        <v>6</v>
      </c>
      <c r="H164" s="27" t="s">
        <v>504</v>
      </c>
      <c r="I164" s="27">
        <f>AE14</f>
        <v>1</v>
      </c>
      <c r="J164" s="27"/>
      <c r="K164" s="27">
        <v>4.5</v>
      </c>
      <c r="L164" s="27"/>
      <c r="M164" s="27"/>
      <c r="N164" s="27"/>
      <c r="O164" s="27"/>
      <c r="P164" s="27"/>
      <c r="Q164" s="27"/>
      <c r="R164" s="27"/>
      <c r="S164" s="27"/>
      <c r="T164" s="27"/>
      <c r="U164" s="27"/>
      <c r="V164" s="27"/>
      <c r="W164" s="27"/>
      <c r="X164" s="27"/>
      <c r="Y164" s="27"/>
      <c r="Z164" s="27"/>
      <c r="AA164" s="27"/>
      <c r="AB164" s="27"/>
      <c r="AC164" s="27"/>
      <c r="AD164" s="27"/>
      <c r="AE164" s="27"/>
      <c r="AF164" s="27"/>
      <c r="AG164" s="27"/>
      <c r="AH164" s="27"/>
      <c r="AI164" s="27"/>
      <c r="AJ164" s="27"/>
      <c r="AK164" s="27"/>
      <c r="AL164" s="27"/>
      <c r="AM164" s="27"/>
      <c r="AN164" s="27"/>
      <c r="AO164" s="27"/>
      <c r="AP164" s="27"/>
      <c r="AQ164" s="27"/>
      <c r="AR164" s="27"/>
      <c r="AS164" s="27"/>
      <c r="AT164" s="27"/>
      <c r="AU164" s="27"/>
      <c r="AV164" s="27"/>
      <c r="AW164" s="27"/>
      <c r="AX164" s="27"/>
      <c r="AY164" s="27"/>
      <c r="AZ164" s="27"/>
      <c r="BA164" s="27"/>
      <c r="BB164" s="27"/>
      <c r="BC164" s="27"/>
      <c r="BD164" s="27"/>
      <c r="BE164" s="27"/>
      <c r="BF164" s="27"/>
      <c r="BG164" s="27"/>
      <c r="BH164" s="27"/>
      <c r="BI164" s="27"/>
      <c r="BJ164" s="27"/>
      <c r="BK164" s="27"/>
      <c r="BL164" s="27"/>
      <c r="BM164" s="27"/>
      <c r="BN164" s="27"/>
      <c r="BO164" s="27"/>
      <c r="BP164" s="27"/>
      <c r="BQ164" s="27"/>
      <c r="BR164" s="27"/>
      <c r="BS164" s="27"/>
      <c r="BT164" s="27"/>
      <c r="BU164" s="27"/>
      <c r="BV164" s="27"/>
      <c r="BW164" s="27"/>
      <c r="BX164" s="27"/>
      <c r="BY164" s="27"/>
      <c r="BZ164" s="27"/>
      <c r="CA164" s="27"/>
      <c r="CB164" s="27"/>
      <c r="CC164" s="27"/>
      <c r="CD164" s="27"/>
      <c r="CE164" s="27"/>
      <c r="CF164" s="27"/>
      <c r="CG164" s="27"/>
      <c r="CH164" s="27"/>
      <c r="CI164" s="27"/>
      <c r="CJ164" s="27"/>
      <c r="CK164" s="27"/>
      <c r="CL164" s="27"/>
      <c r="CM164" s="27"/>
      <c r="CN164" s="27"/>
      <c r="CO164" s="27"/>
      <c r="CP164" s="27"/>
      <c r="CQ164" s="27"/>
      <c r="CR164" s="27"/>
      <c r="CS164" s="27"/>
      <c r="CT164" s="27"/>
      <c r="CU164" s="27"/>
      <c r="CV164" s="27"/>
      <c r="CW164" s="27"/>
      <c r="CX164" s="27"/>
      <c r="CY164" s="27"/>
      <c r="CZ164" s="27"/>
      <c r="DA164" s="27"/>
      <c r="DB164" s="27"/>
      <c r="DC164" s="27"/>
      <c r="DD164" s="27"/>
      <c r="DE164" s="27"/>
      <c r="DF164" s="27"/>
      <c r="DG164" s="27"/>
      <c r="DH164" s="27"/>
      <c r="DI164" s="27"/>
      <c r="DJ164" s="27"/>
      <c r="DK164" s="27"/>
      <c r="DL164" s="27"/>
      <c r="DM164" s="27"/>
      <c r="DN164" s="27"/>
      <c r="DO164" s="27"/>
      <c r="DP164" s="27"/>
      <c r="DQ164" s="27"/>
      <c r="DR164" s="27"/>
      <c r="DS164" s="27"/>
      <c r="DT164" s="27"/>
    </row>
    <row r="165" spans="2:124" x14ac:dyDescent="0.2">
      <c r="B165" s="27"/>
      <c r="C165" s="27" t="s">
        <v>505</v>
      </c>
      <c r="D165" s="27"/>
      <c r="E165" s="27"/>
      <c r="F165" s="27"/>
      <c r="G165" s="27">
        <v>6.5</v>
      </c>
      <c r="H165" s="27"/>
      <c r="I165" s="27"/>
      <c r="J165" s="27"/>
      <c r="K165" s="27">
        <v>5</v>
      </c>
      <c r="L165" s="27"/>
      <c r="M165" s="27"/>
      <c r="N165" s="27"/>
      <c r="O165" s="27"/>
      <c r="P165" s="27"/>
      <c r="Q165" s="27"/>
      <c r="R165" s="27"/>
      <c r="S165" s="27"/>
      <c r="T165" s="27"/>
      <c r="U165" s="27"/>
      <c r="V165" s="27"/>
      <c r="W165" s="27"/>
      <c r="X165" s="27"/>
      <c r="Y165" s="27"/>
      <c r="Z165" s="27"/>
      <c r="AA165" s="27"/>
      <c r="AB165" s="27"/>
      <c r="AC165" s="27"/>
      <c r="AD165" s="27"/>
      <c r="AE165" s="27"/>
      <c r="AF165" s="27"/>
      <c r="AG165" s="27"/>
      <c r="AH165" s="27"/>
      <c r="AI165" s="27"/>
      <c r="AJ165" s="27"/>
      <c r="AK165" s="27"/>
      <c r="AL165" s="27"/>
      <c r="AM165" s="27"/>
      <c r="AN165" s="27"/>
      <c r="AO165" s="27"/>
      <c r="AP165" s="27"/>
      <c r="AQ165" s="27"/>
      <c r="AR165" s="27"/>
      <c r="AS165" s="27"/>
      <c r="AT165" s="27"/>
      <c r="AU165" s="27"/>
      <c r="AV165" s="27"/>
      <c r="AW165" s="27"/>
      <c r="AX165" s="27"/>
      <c r="AY165" s="27"/>
      <c r="AZ165" s="27"/>
      <c r="BA165" s="27"/>
      <c r="BB165" s="27"/>
      <c r="BC165" s="27"/>
      <c r="BD165" s="27"/>
      <c r="BE165" s="27"/>
      <c r="BF165" s="27"/>
      <c r="BG165" s="27"/>
      <c r="BH165" s="27"/>
      <c r="BI165" s="27"/>
      <c r="BJ165" s="27"/>
      <c r="BK165" s="27"/>
      <c r="BL165" s="27"/>
      <c r="BM165" s="27"/>
      <c r="BN165" s="27"/>
      <c r="BO165" s="27"/>
      <c r="BP165" s="27"/>
      <c r="BQ165" s="27"/>
      <c r="BR165" s="27"/>
      <c r="BS165" s="27"/>
      <c r="BT165" s="27"/>
      <c r="BU165" s="27"/>
      <c r="BV165" s="27"/>
      <c r="BW165" s="27"/>
      <c r="BX165" s="27"/>
      <c r="BY165" s="27"/>
      <c r="BZ165" s="27"/>
      <c r="CA165" s="27"/>
      <c r="CB165" s="27"/>
      <c r="CC165" s="27"/>
      <c r="CD165" s="27"/>
      <c r="CE165" s="27"/>
      <c r="CF165" s="27"/>
      <c r="CG165" s="27"/>
      <c r="CH165" s="27"/>
      <c r="CI165" s="27"/>
      <c r="CJ165" s="27"/>
      <c r="CK165" s="27"/>
      <c r="CL165" s="27"/>
      <c r="CM165" s="27"/>
      <c r="CN165" s="27"/>
      <c r="CO165" s="27"/>
      <c r="CP165" s="27"/>
      <c r="CQ165" s="27"/>
      <c r="CR165" s="27"/>
      <c r="CS165" s="27"/>
      <c r="CT165" s="27"/>
      <c r="CU165" s="27"/>
      <c r="CV165" s="27"/>
      <c r="CW165" s="27"/>
      <c r="CX165" s="27"/>
      <c r="CY165" s="27"/>
      <c r="CZ165" s="27"/>
      <c r="DA165" s="27"/>
      <c r="DB165" s="27"/>
      <c r="DC165" s="27"/>
      <c r="DD165" s="27"/>
      <c r="DE165" s="27"/>
      <c r="DF165" s="27"/>
      <c r="DG165" s="27"/>
      <c r="DH165" s="27"/>
      <c r="DI165" s="27"/>
      <c r="DJ165" s="27"/>
      <c r="DK165" s="27"/>
      <c r="DL165" s="27"/>
      <c r="DM165" s="27"/>
      <c r="DN165" s="27"/>
      <c r="DO165" s="27"/>
      <c r="DP165" s="27"/>
      <c r="DQ165" s="27"/>
      <c r="DR165" s="27"/>
      <c r="DS165" s="27"/>
      <c r="DT165" s="27"/>
    </row>
    <row r="166" spans="2:124" x14ac:dyDescent="0.2">
      <c r="B166" s="27"/>
      <c r="C166" s="27" t="s">
        <v>506</v>
      </c>
      <c r="D166" s="27"/>
      <c r="E166" s="27"/>
      <c r="F166" s="27"/>
      <c r="G166" s="27">
        <v>7</v>
      </c>
      <c r="H166" s="27"/>
      <c r="I166" s="27"/>
      <c r="J166" s="27"/>
      <c r="K166" s="27">
        <v>5.5</v>
      </c>
      <c r="L166" s="27"/>
      <c r="M166" s="27"/>
      <c r="N166" s="27"/>
      <c r="O166" s="27"/>
      <c r="P166" s="27"/>
      <c r="Q166" s="27"/>
      <c r="R166" s="27"/>
      <c r="S166" s="27"/>
      <c r="T166" s="27"/>
      <c r="U166" s="27"/>
      <c r="V166" s="27"/>
      <c r="W166" s="27"/>
      <c r="X166" s="27"/>
      <c r="Y166" s="27"/>
      <c r="Z166" s="27"/>
      <c r="AA166" s="27"/>
      <c r="AB166" s="27"/>
      <c r="AC166" s="27"/>
      <c r="AD166" s="27"/>
      <c r="AE166" s="27"/>
      <c r="AF166" s="27"/>
      <c r="AG166" s="27"/>
      <c r="AH166" s="27"/>
      <c r="AI166" s="27"/>
      <c r="AJ166" s="27"/>
      <c r="AK166" s="27"/>
      <c r="AL166" s="27"/>
      <c r="AM166" s="27"/>
      <c r="AN166" s="27"/>
      <c r="AO166" s="27"/>
      <c r="AP166" s="27"/>
      <c r="AQ166" s="27"/>
      <c r="AR166" s="27"/>
      <c r="AS166" s="27"/>
      <c r="AT166" s="27"/>
      <c r="AU166" s="27"/>
      <c r="AV166" s="27"/>
      <c r="AW166" s="27"/>
      <c r="AX166" s="27"/>
      <c r="AY166" s="27"/>
      <c r="AZ166" s="27"/>
      <c r="BA166" s="27"/>
      <c r="BB166" s="27"/>
      <c r="BC166" s="27"/>
      <c r="BD166" s="27"/>
      <c r="BE166" s="27"/>
      <c r="BF166" s="27"/>
      <c r="BG166" s="27"/>
      <c r="BH166" s="27"/>
      <c r="BI166" s="27"/>
      <c r="BJ166" s="27"/>
      <c r="BK166" s="27"/>
      <c r="BL166" s="27"/>
      <c r="BM166" s="27"/>
      <c r="BN166" s="27"/>
      <c r="BO166" s="27"/>
      <c r="BP166" s="27"/>
      <c r="BQ166" s="27"/>
      <c r="BR166" s="27"/>
      <c r="BS166" s="27"/>
      <c r="BT166" s="27"/>
      <c r="BU166" s="27"/>
      <c r="BV166" s="27"/>
      <c r="BW166" s="27"/>
      <c r="BX166" s="27"/>
      <c r="BY166" s="27"/>
      <c r="BZ166" s="27"/>
      <c r="CA166" s="27"/>
      <c r="CB166" s="27"/>
      <c r="CC166" s="27"/>
      <c r="CD166" s="27"/>
      <c r="CE166" s="27"/>
      <c r="CF166" s="27"/>
      <c r="CG166" s="27"/>
      <c r="CH166" s="27"/>
      <c r="CI166" s="27"/>
      <c r="CJ166" s="27"/>
      <c r="CK166" s="27"/>
      <c r="CL166" s="27"/>
      <c r="CM166" s="27"/>
      <c r="CN166" s="27"/>
      <c r="CO166" s="27"/>
      <c r="CP166" s="27"/>
      <c r="CQ166" s="27"/>
      <c r="CR166" s="27"/>
      <c r="CS166" s="27"/>
      <c r="CT166" s="27"/>
      <c r="CU166" s="27"/>
      <c r="CV166" s="27"/>
      <c r="CW166" s="27"/>
      <c r="CX166" s="27"/>
      <c r="CY166" s="27"/>
      <c r="CZ166" s="27"/>
      <c r="DA166" s="27"/>
      <c r="DB166" s="27"/>
      <c r="DC166" s="27"/>
      <c r="DD166" s="27"/>
      <c r="DE166" s="27"/>
      <c r="DF166" s="27"/>
      <c r="DG166" s="27"/>
      <c r="DH166" s="27"/>
      <c r="DI166" s="27"/>
      <c r="DJ166" s="27"/>
      <c r="DK166" s="27"/>
      <c r="DL166" s="27"/>
      <c r="DM166" s="27"/>
      <c r="DN166" s="27"/>
      <c r="DO166" s="27"/>
      <c r="DP166" s="27"/>
      <c r="DQ166" s="27"/>
      <c r="DR166" s="27"/>
      <c r="DS166" s="27"/>
      <c r="DT166" s="27"/>
    </row>
    <row r="167" spans="2:124" x14ac:dyDescent="0.2">
      <c r="B167" s="27">
        <v>0</v>
      </c>
      <c r="C167" s="27" t="s">
        <v>507</v>
      </c>
      <c r="D167" s="27"/>
      <c r="E167" s="27"/>
      <c r="F167" s="27"/>
      <c r="G167" s="27">
        <v>7.5</v>
      </c>
      <c r="H167" s="27">
        <f>S1</f>
        <v>-110.72</v>
      </c>
      <c r="I167" s="27">
        <f>D162</f>
        <v>5</v>
      </c>
      <c r="J167" s="27"/>
      <c r="K167" s="27">
        <v>6</v>
      </c>
      <c r="L167" s="27"/>
      <c r="M167" s="27"/>
      <c r="N167" s="27"/>
      <c r="O167" s="27"/>
      <c r="P167" s="27"/>
      <c r="Q167" s="27"/>
      <c r="R167" s="27"/>
      <c r="S167" s="27"/>
      <c r="T167" s="27"/>
      <c r="U167" s="27"/>
      <c r="V167" s="27"/>
      <c r="W167" s="27"/>
      <c r="X167" s="27"/>
      <c r="Y167" s="27"/>
      <c r="Z167" s="27"/>
      <c r="AA167" s="27"/>
      <c r="AB167" s="27"/>
      <c r="AC167" s="27"/>
      <c r="AD167" s="27"/>
      <c r="AE167" s="27"/>
      <c r="AF167" s="27"/>
      <c r="AG167" s="27"/>
      <c r="AH167" s="27"/>
      <c r="AI167" s="27"/>
      <c r="AJ167" s="27"/>
      <c r="AK167" s="27"/>
      <c r="AL167" s="27"/>
      <c r="AM167" s="27"/>
      <c r="AN167" s="27"/>
      <c r="AO167" s="27"/>
      <c r="AP167" s="27"/>
      <c r="AQ167" s="27"/>
      <c r="AR167" s="27"/>
      <c r="AS167" s="27"/>
      <c r="AT167" s="27"/>
      <c r="AU167" s="27"/>
      <c r="AV167" s="27"/>
      <c r="AW167" s="27"/>
      <c r="AX167" s="27"/>
      <c r="AY167" s="27"/>
      <c r="AZ167" s="27"/>
      <c r="BA167" s="27"/>
      <c r="BB167" s="27"/>
      <c r="BC167" s="27"/>
      <c r="BD167" s="27"/>
      <c r="BE167" s="27"/>
      <c r="BF167" s="27"/>
      <c r="BG167" s="27"/>
      <c r="BH167" s="27"/>
      <c r="BI167" s="27"/>
      <c r="BJ167" s="27"/>
      <c r="BK167" s="27"/>
      <c r="BL167" s="27"/>
      <c r="BM167" s="27"/>
      <c r="BN167" s="27"/>
      <c r="BO167" s="27"/>
      <c r="BP167" s="27"/>
      <c r="BQ167" s="27"/>
      <c r="BR167" s="27"/>
      <c r="BS167" s="27"/>
      <c r="BT167" s="27"/>
      <c r="BU167" s="27"/>
      <c r="BV167" s="27"/>
      <c r="BW167" s="27"/>
      <c r="BX167" s="27"/>
      <c r="BY167" s="27"/>
      <c r="BZ167" s="27"/>
      <c r="CA167" s="27"/>
      <c r="CB167" s="27"/>
      <c r="CC167" s="27"/>
      <c r="CD167" s="27"/>
      <c r="CE167" s="27"/>
      <c r="CF167" s="27"/>
      <c r="CG167" s="27"/>
      <c r="CH167" s="27"/>
      <c r="CI167" s="27"/>
      <c r="CJ167" s="27"/>
      <c r="CK167" s="27"/>
      <c r="CL167" s="27"/>
      <c r="CM167" s="27"/>
      <c r="CN167" s="27"/>
      <c r="CO167" s="27"/>
      <c r="CP167" s="27"/>
      <c r="CQ167" s="27"/>
      <c r="CR167" s="27"/>
      <c r="CS167" s="27"/>
      <c r="CT167" s="27"/>
      <c r="CU167" s="27"/>
      <c r="CV167" s="27"/>
      <c r="CW167" s="27"/>
      <c r="CX167" s="27"/>
      <c r="CY167" s="27"/>
      <c r="CZ167" s="27"/>
      <c r="DA167" s="27"/>
      <c r="DB167" s="27"/>
      <c r="DC167" s="27"/>
      <c r="DD167" s="27"/>
      <c r="DE167" s="27"/>
      <c r="DF167" s="27"/>
      <c r="DG167" s="27"/>
      <c r="DH167" s="27"/>
      <c r="DI167" s="27"/>
      <c r="DJ167" s="27"/>
      <c r="DK167" s="27"/>
      <c r="DL167" s="27"/>
      <c r="DM167" s="27"/>
      <c r="DN167" s="27"/>
      <c r="DO167" s="27"/>
      <c r="DP167" s="27"/>
      <c r="DQ167" s="27"/>
      <c r="DR167" s="27"/>
      <c r="DS167" s="27"/>
      <c r="DT167" s="27"/>
    </row>
    <row r="168" spans="2:124" x14ac:dyDescent="0.2">
      <c r="B168" s="27">
        <v>0</v>
      </c>
      <c r="C168" s="27" t="s">
        <v>508</v>
      </c>
      <c r="D168" s="27"/>
      <c r="E168" s="27"/>
      <c r="F168" s="27"/>
      <c r="G168" s="27">
        <v>8</v>
      </c>
      <c r="H168" s="27"/>
      <c r="I168" s="27"/>
      <c r="J168" s="27"/>
      <c r="K168" s="27">
        <v>6.5</v>
      </c>
      <c r="L168" s="27"/>
      <c r="M168" s="27">
        <f t="shared" ref="M168:M186" si="14">N80</f>
        <v>0</v>
      </c>
      <c r="N168" s="27"/>
      <c r="O168" s="27"/>
      <c r="P168" s="27"/>
      <c r="Q168" s="27"/>
      <c r="R168" s="27"/>
      <c r="S168" s="27"/>
      <c r="T168" s="27"/>
      <c r="U168" s="27"/>
      <c r="V168" s="27"/>
      <c r="W168" s="27"/>
      <c r="X168" s="27"/>
      <c r="Y168" s="27"/>
      <c r="Z168" s="27"/>
      <c r="AA168" s="27"/>
      <c r="AB168" s="27"/>
      <c r="AC168" s="27"/>
      <c r="AD168" s="27"/>
      <c r="AE168" s="27"/>
      <c r="AF168" s="27"/>
      <c r="AG168" s="27"/>
      <c r="AH168" s="27"/>
      <c r="AI168" s="27"/>
      <c r="AJ168" s="27"/>
      <c r="AK168" s="27"/>
      <c r="AL168" s="27"/>
      <c r="AM168" s="27"/>
      <c r="AN168" s="27"/>
      <c r="AO168" s="27"/>
      <c r="AP168" s="27"/>
      <c r="AQ168" s="27"/>
      <c r="AR168" s="27"/>
      <c r="AS168" s="27"/>
      <c r="AT168" s="27"/>
      <c r="AU168" s="27"/>
      <c r="AV168" s="27"/>
      <c r="AW168" s="27"/>
      <c r="AX168" s="27"/>
      <c r="AY168" s="27"/>
      <c r="AZ168" s="27"/>
      <c r="BA168" s="27"/>
      <c r="BB168" s="27"/>
      <c r="BC168" s="27"/>
      <c r="BD168" s="27"/>
      <c r="BE168" s="27"/>
      <c r="BF168" s="27"/>
      <c r="BG168" s="27"/>
      <c r="BH168" s="27"/>
      <c r="BI168" s="27"/>
      <c r="BJ168" s="27"/>
      <c r="BK168" s="27"/>
      <c r="BL168" s="27"/>
      <c r="BM168" s="27"/>
      <c r="BN168" s="27"/>
      <c r="BO168" s="27"/>
      <c r="BP168" s="27"/>
      <c r="BQ168" s="27"/>
      <c r="BR168" s="27"/>
      <c r="BS168" s="27"/>
      <c r="BT168" s="27"/>
      <c r="BU168" s="27"/>
      <c r="BV168" s="27"/>
      <c r="BW168" s="27"/>
      <c r="BX168" s="27"/>
      <c r="BY168" s="27"/>
      <c r="BZ168" s="27"/>
      <c r="CA168" s="27"/>
      <c r="CB168" s="27"/>
      <c r="CC168" s="27"/>
      <c r="CD168" s="27"/>
      <c r="CE168" s="27"/>
      <c r="CF168" s="27"/>
      <c r="CG168" s="27"/>
      <c r="CH168" s="27"/>
      <c r="CI168" s="27"/>
      <c r="CJ168" s="27"/>
      <c r="CK168" s="27"/>
      <c r="CL168" s="27"/>
      <c r="CM168" s="27"/>
      <c r="CN168" s="27"/>
      <c r="CO168" s="27"/>
      <c r="CP168" s="27"/>
      <c r="CQ168" s="27"/>
      <c r="CR168" s="27"/>
      <c r="CS168" s="27"/>
      <c r="CT168" s="27"/>
      <c r="CU168" s="27"/>
      <c r="CV168" s="27"/>
      <c r="CW168" s="27"/>
      <c r="CX168" s="27"/>
      <c r="CY168" s="27"/>
      <c r="CZ168" s="27"/>
      <c r="DA168" s="27"/>
      <c r="DB168" s="27"/>
      <c r="DC168" s="27"/>
      <c r="DD168" s="27"/>
      <c r="DE168" s="27"/>
      <c r="DF168" s="27"/>
      <c r="DG168" s="27"/>
      <c r="DH168" s="27"/>
      <c r="DI168" s="27"/>
      <c r="DJ168" s="27"/>
      <c r="DK168" s="27"/>
      <c r="DL168" s="27"/>
      <c r="DM168" s="27"/>
      <c r="DN168" s="27"/>
      <c r="DO168" s="27"/>
      <c r="DP168" s="27"/>
      <c r="DQ168" s="27"/>
      <c r="DR168" s="27"/>
      <c r="DS168" s="27"/>
      <c r="DT168" s="27"/>
    </row>
    <row r="169" spans="2:124" x14ac:dyDescent="0.2">
      <c r="B169" s="27" t="s">
        <v>71</v>
      </c>
      <c r="C169" s="27" t="s">
        <v>509</v>
      </c>
      <c r="D169" s="27"/>
      <c r="E169" s="27"/>
      <c r="F169" s="27"/>
      <c r="G169" s="27">
        <v>8.5</v>
      </c>
      <c r="H169" s="27"/>
      <c r="I169" s="27"/>
      <c r="J169" s="27"/>
      <c r="K169" s="27">
        <v>7</v>
      </c>
      <c r="L169" s="27"/>
      <c r="M169" s="27" t="str">
        <f t="shared" si="14"/>
        <v xml:space="preserve">1  שנות הוראה  </v>
      </c>
      <c r="N169" s="27"/>
      <c r="O169" s="27"/>
      <c r="P169" s="27"/>
      <c r="Q169" s="27"/>
      <c r="R169" s="27"/>
      <c r="S169" s="27"/>
      <c r="T169" s="27"/>
      <c r="U169" s="27"/>
      <c r="V169" s="27"/>
      <c r="W169" s="27"/>
      <c r="X169" s="27"/>
      <c r="Y169" s="27"/>
      <c r="Z169" s="27"/>
      <c r="AA169" s="27"/>
      <c r="AB169" s="27"/>
      <c r="AC169" s="27"/>
      <c r="AD169" s="27"/>
      <c r="AE169" s="27"/>
      <c r="AF169" s="27"/>
      <c r="AG169" s="27"/>
      <c r="AH169" s="27"/>
      <c r="AI169" s="27"/>
      <c r="AJ169" s="27"/>
      <c r="AK169" s="27"/>
      <c r="AL169" s="27"/>
      <c r="AM169" s="27"/>
      <c r="AN169" s="27"/>
      <c r="AO169" s="27"/>
      <c r="AP169" s="27"/>
      <c r="AQ169" s="27"/>
      <c r="AR169" s="27"/>
      <c r="AS169" s="27"/>
      <c r="AT169" s="27"/>
      <c r="AU169" s="27"/>
      <c r="AV169" s="27"/>
      <c r="AW169" s="27"/>
      <c r="AX169" s="27"/>
      <c r="AY169" s="27"/>
      <c r="AZ169" s="27"/>
      <c r="BA169" s="27"/>
      <c r="BB169" s="27"/>
      <c r="BC169" s="27"/>
      <c r="BD169" s="27"/>
      <c r="BE169" s="27"/>
      <c r="BF169" s="27"/>
      <c r="BG169" s="27"/>
      <c r="BH169" s="27"/>
      <c r="BI169" s="27"/>
      <c r="BJ169" s="27"/>
      <c r="BK169" s="27"/>
      <c r="BL169" s="27"/>
      <c r="BM169" s="27"/>
      <c r="BN169" s="27"/>
      <c r="BO169" s="27"/>
      <c r="BP169" s="27"/>
      <c r="BQ169" s="27"/>
      <c r="BR169" s="27"/>
      <c r="BS169" s="27"/>
      <c r="BT169" s="27"/>
      <c r="BU169" s="27"/>
      <c r="BV169" s="27"/>
      <c r="BW169" s="27"/>
      <c r="BX169" s="27"/>
      <c r="BY169" s="27"/>
      <c r="BZ169" s="27"/>
      <c r="CA169" s="27"/>
      <c r="CB169" s="27"/>
      <c r="CC169" s="27"/>
      <c r="CD169" s="27"/>
      <c r="CE169" s="27"/>
      <c r="CF169" s="27"/>
      <c r="CG169" s="27"/>
      <c r="CH169" s="27"/>
      <c r="CI169" s="27"/>
      <c r="CJ169" s="27"/>
      <c r="CK169" s="27"/>
      <c r="CL169" s="27"/>
      <c r="CM169" s="27"/>
      <c r="CN169" s="27"/>
      <c r="CO169" s="27"/>
      <c r="CP169" s="27"/>
      <c r="CQ169" s="27"/>
      <c r="CR169" s="27"/>
      <c r="CS169" s="27"/>
      <c r="CT169" s="27"/>
      <c r="CU169" s="27"/>
      <c r="CV169" s="27"/>
      <c r="CW169" s="27"/>
      <c r="CX169" s="27"/>
      <c r="CY169" s="27"/>
      <c r="CZ169" s="27"/>
      <c r="DA169" s="27"/>
      <c r="DB169" s="27"/>
      <c r="DC169" s="27"/>
      <c r="DD169" s="27"/>
      <c r="DE169" s="27"/>
      <c r="DF169" s="27"/>
      <c r="DG169" s="27"/>
      <c r="DH169" s="27"/>
      <c r="DI169" s="27"/>
      <c r="DJ169" s="27"/>
      <c r="DK169" s="27"/>
      <c r="DL169" s="27"/>
      <c r="DM169" s="27"/>
      <c r="DN169" s="27"/>
      <c r="DO169" s="27"/>
      <c r="DP169" s="27"/>
      <c r="DQ169" s="27"/>
      <c r="DR169" s="27"/>
      <c r="DS169" s="27"/>
      <c r="DT169" s="27"/>
    </row>
    <row r="170" spans="2:124" x14ac:dyDescent="0.2">
      <c r="B170" s="27"/>
      <c r="C170" s="27" t="s">
        <v>510</v>
      </c>
      <c r="D170" s="27"/>
      <c r="E170" s="27"/>
      <c r="F170" s="27"/>
      <c r="G170" s="27">
        <v>9</v>
      </c>
      <c r="H170" s="27" t="s">
        <v>59</v>
      </c>
      <c r="I170" s="27"/>
      <c r="J170" s="27"/>
      <c r="K170" s="27">
        <v>7.5</v>
      </c>
      <c r="L170" s="27"/>
      <c r="M170" s="27">
        <f t="shared" si="14"/>
        <v>6300.0034374999996</v>
      </c>
      <c r="N170" s="27"/>
      <c r="O170" s="27"/>
      <c r="P170" s="27"/>
      <c r="Q170" s="27"/>
      <c r="R170" s="27"/>
      <c r="S170" s="27"/>
      <c r="T170" s="27"/>
      <c r="U170" s="27"/>
      <c r="V170" s="27"/>
      <c r="W170" s="27"/>
      <c r="X170" s="27"/>
      <c r="Y170" s="27"/>
      <c r="Z170" s="27"/>
      <c r="AA170" s="27"/>
      <c r="AB170" s="27"/>
      <c r="AC170" s="27"/>
      <c r="AD170" s="27"/>
      <c r="AE170" s="27"/>
      <c r="AF170" s="27"/>
      <c r="AG170" s="27"/>
      <c r="AH170" s="27"/>
      <c r="AI170" s="27"/>
      <c r="AJ170" s="27"/>
      <c r="AK170" s="27"/>
      <c r="AL170" s="27"/>
      <c r="AM170" s="27"/>
      <c r="AN170" s="27"/>
      <c r="AO170" s="27"/>
      <c r="AP170" s="27"/>
      <c r="AQ170" s="27"/>
      <c r="AR170" s="27"/>
      <c r="AS170" s="27"/>
      <c r="AT170" s="27"/>
      <c r="AU170" s="27"/>
      <c r="AV170" s="27"/>
      <c r="AW170" s="27"/>
      <c r="AX170" s="27"/>
      <c r="AY170" s="27"/>
      <c r="AZ170" s="27"/>
      <c r="BA170" s="27"/>
      <c r="BB170" s="27"/>
      <c r="BC170" s="27"/>
      <c r="BD170" s="27"/>
      <c r="BE170" s="27"/>
      <c r="BF170" s="27"/>
      <c r="BG170" s="27"/>
      <c r="BH170" s="27"/>
      <c r="BI170" s="27"/>
      <c r="BJ170" s="27"/>
      <c r="BK170" s="27"/>
      <c r="BL170" s="27"/>
      <c r="BM170" s="27"/>
      <c r="BN170" s="27"/>
      <c r="BO170" s="27"/>
      <c r="BP170" s="27"/>
      <c r="BQ170" s="27"/>
      <c r="BR170" s="27"/>
      <c r="BS170" s="27"/>
      <c r="BT170" s="27"/>
      <c r="BU170" s="27"/>
      <c r="BV170" s="27"/>
      <c r="BW170" s="27"/>
      <c r="BX170" s="27"/>
      <c r="BY170" s="27"/>
      <c r="BZ170" s="27"/>
      <c r="CA170" s="27"/>
      <c r="CB170" s="27"/>
      <c r="CC170" s="27"/>
      <c r="CD170" s="27"/>
      <c r="CE170" s="27"/>
      <c r="CF170" s="27"/>
      <c r="CG170" s="27"/>
      <c r="CH170" s="27"/>
      <c r="CI170" s="27"/>
      <c r="CJ170" s="27"/>
      <c r="CK170" s="27"/>
      <c r="CL170" s="27"/>
      <c r="CM170" s="27"/>
      <c r="CN170" s="27"/>
      <c r="CO170" s="27"/>
      <c r="CP170" s="27"/>
      <c r="CQ170" s="27"/>
      <c r="CR170" s="27"/>
      <c r="CS170" s="27"/>
      <c r="CT170" s="27"/>
      <c r="CU170" s="27"/>
      <c r="CV170" s="27"/>
      <c r="CW170" s="27"/>
      <c r="CX170" s="27"/>
      <c r="CY170" s="27"/>
      <c r="CZ170" s="27"/>
      <c r="DA170" s="27"/>
      <c r="DB170" s="27"/>
      <c r="DC170" s="27"/>
      <c r="DD170" s="27"/>
      <c r="DE170" s="27"/>
      <c r="DF170" s="27"/>
      <c r="DG170" s="27"/>
      <c r="DH170" s="27"/>
      <c r="DI170" s="27"/>
      <c r="DJ170" s="27"/>
      <c r="DK170" s="27"/>
      <c r="DL170" s="27"/>
      <c r="DM170" s="27"/>
      <c r="DN170" s="27"/>
      <c r="DO170" s="27"/>
      <c r="DP170" s="27"/>
      <c r="DQ170" s="27"/>
      <c r="DR170" s="27"/>
      <c r="DS170" s="27"/>
      <c r="DT170" s="27"/>
    </row>
    <row r="171" spans="2:124" x14ac:dyDescent="0.2">
      <c r="B171" s="27"/>
      <c r="C171" s="27" t="s">
        <v>511</v>
      </c>
      <c r="D171" s="27"/>
      <c r="E171" s="27"/>
      <c r="F171" s="27"/>
      <c r="G171" s="27"/>
      <c r="H171" s="27"/>
      <c r="I171" s="27"/>
      <c r="J171" s="27"/>
      <c r="K171" s="27">
        <v>8</v>
      </c>
      <c r="L171" s="27"/>
      <c r="M171" s="27">
        <f t="shared" si="14"/>
        <v>6536.2535664062498</v>
      </c>
      <c r="N171" s="27"/>
      <c r="O171" s="27"/>
      <c r="P171" s="27"/>
      <c r="Q171" s="27"/>
      <c r="R171" s="27"/>
      <c r="S171" s="27"/>
      <c r="T171" s="27"/>
      <c r="U171" s="27"/>
      <c r="V171" s="27"/>
      <c r="W171" s="27"/>
      <c r="X171" s="27"/>
      <c r="Y171" s="27"/>
      <c r="Z171" s="27"/>
      <c r="AA171" s="27"/>
      <c r="AB171" s="27"/>
      <c r="AC171" s="27"/>
      <c r="AD171" s="27"/>
      <c r="AE171" s="27"/>
      <c r="AF171" s="27"/>
      <c r="AG171" s="27"/>
      <c r="AH171" s="27"/>
      <c r="AI171" s="27"/>
      <c r="AJ171" s="27"/>
      <c r="AK171" s="27"/>
      <c r="AL171" s="27"/>
      <c r="AM171" s="27"/>
      <c r="AN171" s="27"/>
      <c r="AO171" s="27"/>
      <c r="AP171" s="27"/>
      <c r="AQ171" s="27"/>
      <c r="AR171" s="27"/>
      <c r="AS171" s="27"/>
      <c r="AT171" s="27"/>
      <c r="AU171" s="27"/>
      <c r="AV171" s="27"/>
      <c r="AW171" s="27"/>
      <c r="AX171" s="27"/>
      <c r="AY171" s="27"/>
      <c r="AZ171" s="27"/>
      <c r="BA171" s="27"/>
      <c r="BB171" s="27"/>
      <c r="BC171" s="27"/>
      <c r="BD171" s="27"/>
      <c r="BE171" s="27"/>
      <c r="BF171" s="27"/>
      <c r="BG171" s="27"/>
      <c r="BH171" s="27"/>
      <c r="BI171" s="27"/>
      <c r="BJ171" s="27"/>
      <c r="BK171" s="27"/>
      <c r="BL171" s="27"/>
      <c r="BM171" s="27"/>
      <c r="BN171" s="27"/>
      <c r="BO171" s="27"/>
      <c r="BP171" s="27"/>
      <c r="BQ171" s="27"/>
      <c r="BR171" s="27"/>
      <c r="BS171" s="27"/>
      <c r="BT171" s="27"/>
      <c r="BU171" s="27"/>
      <c r="BV171" s="27"/>
      <c r="BW171" s="27"/>
      <c r="BX171" s="27"/>
      <c r="BY171" s="27"/>
      <c r="BZ171" s="27"/>
      <c r="CA171" s="27"/>
      <c r="CB171" s="27"/>
      <c r="CC171" s="27"/>
      <c r="CD171" s="27"/>
      <c r="CE171" s="27"/>
      <c r="CF171" s="27"/>
      <c r="CG171" s="27"/>
      <c r="CH171" s="27"/>
      <c r="CI171" s="27"/>
      <c r="CJ171" s="27"/>
      <c r="CK171" s="27"/>
      <c r="CL171" s="27"/>
      <c r="CM171" s="27"/>
      <c r="CN171" s="27"/>
      <c r="CO171" s="27"/>
      <c r="CP171" s="27"/>
      <c r="CQ171" s="27"/>
      <c r="CR171" s="27"/>
      <c r="CS171" s="27"/>
      <c r="CT171" s="27"/>
      <c r="CU171" s="27"/>
      <c r="CV171" s="27"/>
      <c r="CW171" s="27"/>
      <c r="CX171" s="27"/>
      <c r="CY171" s="27"/>
      <c r="CZ171" s="27"/>
      <c r="DA171" s="27"/>
      <c r="DB171" s="27"/>
      <c r="DC171" s="27"/>
      <c r="DD171" s="27"/>
      <c r="DE171" s="27"/>
      <c r="DF171" s="27"/>
      <c r="DG171" s="27"/>
      <c r="DH171" s="27"/>
      <c r="DI171" s="27"/>
      <c r="DJ171" s="27"/>
      <c r="DK171" s="27"/>
      <c r="DL171" s="27"/>
      <c r="DM171" s="27"/>
      <c r="DN171" s="27"/>
      <c r="DO171" s="27"/>
      <c r="DP171" s="27"/>
      <c r="DQ171" s="27"/>
      <c r="DR171" s="27"/>
      <c r="DS171" s="27"/>
      <c r="DT171" s="27"/>
    </row>
    <row r="172" spans="2:124" x14ac:dyDescent="0.2">
      <c r="B172" s="27" t="s">
        <v>512</v>
      </c>
      <c r="C172" s="27">
        <v>0</v>
      </c>
      <c r="D172" s="27"/>
      <c r="E172" s="27"/>
      <c r="F172" s="27"/>
      <c r="G172" s="27"/>
      <c r="H172" s="27"/>
      <c r="I172" s="27"/>
      <c r="J172" s="27"/>
      <c r="K172" s="27">
        <v>8.5</v>
      </c>
      <c r="L172" s="27"/>
      <c r="M172" s="27">
        <f t="shared" si="14"/>
        <v>6772.5036953124991</v>
      </c>
      <c r="N172" s="27"/>
      <c r="O172" s="27"/>
      <c r="P172" s="27"/>
      <c r="Q172" s="27"/>
      <c r="R172" s="27"/>
      <c r="S172" s="27"/>
      <c r="T172" s="27"/>
      <c r="U172" s="27"/>
      <c r="V172" s="27"/>
      <c r="W172" s="27"/>
      <c r="X172" s="27"/>
      <c r="Y172" s="27"/>
      <c r="Z172" s="27"/>
      <c r="AA172" s="27"/>
      <c r="AB172" s="27"/>
      <c r="AC172" s="27"/>
      <c r="AD172" s="27"/>
      <c r="AE172" s="27"/>
      <c r="AF172" s="27"/>
      <c r="AG172" s="27"/>
      <c r="AH172" s="27"/>
      <c r="AI172" s="27"/>
      <c r="AJ172" s="27"/>
      <c r="AK172" s="27"/>
      <c r="AL172" s="27"/>
      <c r="AM172" s="27"/>
      <c r="AN172" s="27"/>
      <c r="AO172" s="27"/>
      <c r="AP172" s="27"/>
      <c r="AQ172" s="27"/>
      <c r="AR172" s="27"/>
      <c r="AS172" s="27"/>
      <c r="AT172" s="27"/>
      <c r="AU172" s="27"/>
      <c r="AV172" s="27"/>
      <c r="AW172" s="27"/>
      <c r="AX172" s="27"/>
      <c r="AY172" s="27"/>
      <c r="AZ172" s="27"/>
      <c r="BA172" s="27"/>
      <c r="BB172" s="27"/>
      <c r="BC172" s="27"/>
      <c r="BD172" s="27"/>
      <c r="BE172" s="27"/>
      <c r="BF172" s="27"/>
      <c r="BG172" s="27"/>
      <c r="BH172" s="27"/>
      <c r="BI172" s="27"/>
      <c r="BJ172" s="27"/>
      <c r="BK172" s="27"/>
      <c r="BL172" s="27"/>
      <c r="BM172" s="27"/>
      <c r="BN172" s="27"/>
      <c r="BO172" s="27"/>
      <c r="BP172" s="27"/>
      <c r="BQ172" s="27"/>
      <c r="BR172" s="27"/>
      <c r="BS172" s="27"/>
      <c r="BT172" s="27"/>
      <c r="BU172" s="27"/>
      <c r="BV172" s="27"/>
      <c r="BW172" s="27"/>
      <c r="BX172" s="27"/>
      <c r="BY172" s="27"/>
      <c r="BZ172" s="27"/>
      <c r="CA172" s="27"/>
      <c r="CB172" s="27"/>
      <c r="CC172" s="27"/>
      <c r="CD172" s="27"/>
      <c r="CE172" s="27"/>
      <c r="CF172" s="27"/>
      <c r="CG172" s="27"/>
      <c r="CH172" s="27"/>
      <c r="CI172" s="27"/>
      <c r="CJ172" s="27"/>
      <c r="CK172" s="27"/>
      <c r="CL172" s="27"/>
      <c r="CM172" s="27"/>
      <c r="CN172" s="27"/>
      <c r="CO172" s="27"/>
      <c r="CP172" s="27"/>
      <c r="CQ172" s="27"/>
      <c r="CR172" s="27"/>
      <c r="CS172" s="27"/>
      <c r="CT172" s="27"/>
      <c r="CU172" s="27"/>
      <c r="CV172" s="27"/>
      <c r="CW172" s="27"/>
      <c r="CX172" s="27"/>
      <c r="CY172" s="27"/>
      <c r="CZ172" s="27"/>
      <c r="DA172" s="27"/>
      <c r="DB172" s="27"/>
      <c r="DC172" s="27"/>
      <c r="DD172" s="27"/>
      <c r="DE172" s="27"/>
      <c r="DF172" s="27"/>
      <c r="DG172" s="27"/>
      <c r="DH172" s="27"/>
      <c r="DI172" s="27"/>
      <c r="DJ172" s="27"/>
      <c r="DK172" s="27"/>
      <c r="DL172" s="27"/>
      <c r="DM172" s="27"/>
      <c r="DN172" s="27"/>
      <c r="DO172" s="27"/>
      <c r="DP172" s="27"/>
      <c r="DQ172" s="27"/>
      <c r="DR172" s="27"/>
      <c r="DS172" s="27"/>
      <c r="DT172" s="27"/>
    </row>
    <row r="173" spans="2:124" x14ac:dyDescent="0.2">
      <c r="B173" s="27" t="s">
        <v>59</v>
      </c>
      <c r="C173" s="27"/>
      <c r="D173" s="27"/>
      <c r="E173" s="27"/>
      <c r="F173" s="27" t="s">
        <v>198</v>
      </c>
      <c r="G173" s="27"/>
      <c r="H173" s="27" t="s">
        <v>513</v>
      </c>
      <c r="I173" s="27">
        <f>DATE(YEAR(J4),MONTH(J4)-MONTH(J4)+1,DAY(J4)-DAY(J4)+1)</f>
        <v>1</v>
      </c>
      <c r="J173" s="27"/>
      <c r="K173" s="27">
        <v>9</v>
      </c>
      <c r="L173" s="27"/>
      <c r="M173" s="27">
        <f t="shared" si="14"/>
        <v>7026.472583886718</v>
      </c>
      <c r="N173" s="27"/>
      <c r="O173" s="27"/>
      <c r="P173" s="27"/>
      <c r="Q173" s="27"/>
      <c r="R173" s="27"/>
      <c r="S173" s="27"/>
      <c r="T173" s="27"/>
      <c r="U173" s="27"/>
      <c r="V173" s="27"/>
      <c r="W173" s="27"/>
      <c r="X173" s="27"/>
      <c r="Y173" s="27"/>
      <c r="Z173" s="27"/>
      <c r="AA173" s="27"/>
      <c r="AB173" s="27"/>
      <c r="AC173" s="27"/>
      <c r="AD173" s="27"/>
      <c r="AE173" s="27"/>
      <c r="AF173" s="27"/>
      <c r="AG173" s="27"/>
      <c r="AH173" s="27"/>
      <c r="AI173" s="27"/>
      <c r="AJ173" s="27"/>
      <c r="AK173" s="27"/>
      <c r="AL173" s="27"/>
      <c r="AM173" s="27"/>
      <c r="AN173" s="27"/>
      <c r="AO173" s="27"/>
      <c r="AP173" s="27"/>
      <c r="AQ173" s="27"/>
      <c r="AR173" s="27"/>
      <c r="AS173" s="27"/>
      <c r="AT173" s="27"/>
      <c r="AU173" s="27"/>
      <c r="AV173" s="27"/>
      <c r="AW173" s="27"/>
      <c r="AX173" s="27"/>
      <c r="AY173" s="27"/>
      <c r="AZ173" s="27"/>
      <c r="BA173" s="27"/>
      <c r="BB173" s="27"/>
      <c r="BC173" s="27"/>
      <c r="BD173" s="27"/>
      <c r="BE173" s="27"/>
      <c r="BF173" s="27"/>
      <c r="BG173" s="27"/>
      <c r="BH173" s="27"/>
      <c r="BI173" s="27"/>
      <c r="BJ173" s="27"/>
      <c r="BK173" s="27"/>
      <c r="BL173" s="27"/>
      <c r="BM173" s="27"/>
      <c r="BN173" s="27"/>
      <c r="BO173" s="27"/>
      <c r="BP173" s="27"/>
      <c r="BQ173" s="27"/>
      <c r="BR173" s="27"/>
      <c r="BS173" s="27"/>
      <c r="BT173" s="27"/>
      <c r="BU173" s="27"/>
      <c r="BV173" s="27"/>
      <c r="BW173" s="27"/>
      <c r="BX173" s="27"/>
      <c r="BY173" s="27"/>
      <c r="BZ173" s="27"/>
      <c r="CA173" s="27"/>
      <c r="CB173" s="27"/>
      <c r="CC173" s="27"/>
      <c r="CD173" s="27"/>
      <c r="CE173" s="27"/>
      <c r="CF173" s="27"/>
      <c r="CG173" s="27"/>
      <c r="CH173" s="27"/>
      <c r="CI173" s="27"/>
      <c r="CJ173" s="27"/>
      <c r="CK173" s="27"/>
      <c r="CL173" s="27"/>
      <c r="CM173" s="27"/>
      <c r="CN173" s="27"/>
      <c r="CO173" s="27"/>
      <c r="CP173" s="27"/>
      <c r="CQ173" s="27"/>
      <c r="CR173" s="27"/>
      <c r="CS173" s="27"/>
      <c r="CT173" s="27"/>
      <c r="CU173" s="27"/>
      <c r="CV173" s="27"/>
      <c r="CW173" s="27"/>
      <c r="CX173" s="27"/>
      <c r="CY173" s="27"/>
      <c r="CZ173" s="27"/>
      <c r="DA173" s="27"/>
      <c r="DB173" s="27"/>
      <c r="DC173" s="27"/>
      <c r="DD173" s="27"/>
      <c r="DE173" s="27"/>
      <c r="DF173" s="27"/>
      <c r="DG173" s="27"/>
      <c r="DH173" s="27"/>
      <c r="DI173" s="27"/>
      <c r="DJ173" s="27"/>
      <c r="DK173" s="27"/>
      <c r="DL173" s="27"/>
      <c r="DM173" s="27"/>
      <c r="DN173" s="27"/>
      <c r="DO173" s="27"/>
      <c r="DP173" s="27"/>
      <c r="DQ173" s="27"/>
      <c r="DR173" s="27"/>
      <c r="DS173" s="27"/>
      <c r="DT173" s="27"/>
    </row>
    <row r="174" spans="2:124" x14ac:dyDescent="0.2">
      <c r="B174" s="27"/>
      <c r="C174" s="27"/>
      <c r="D174" s="27"/>
      <c r="E174" s="27"/>
      <c r="F174" s="27"/>
      <c r="G174" s="27"/>
      <c r="H174" s="27"/>
      <c r="I174" s="27"/>
      <c r="J174" s="27"/>
      <c r="K174" s="27"/>
      <c r="L174" s="27"/>
      <c r="M174" s="27">
        <f t="shared" si="14"/>
        <v>7280.441472460936</v>
      </c>
      <c r="N174" s="27"/>
      <c r="O174" s="27"/>
      <c r="P174" s="27"/>
      <c r="Q174" s="27"/>
      <c r="R174" s="27"/>
      <c r="S174" s="27"/>
      <c r="T174" s="27"/>
      <c r="U174" s="27"/>
      <c r="V174" s="27"/>
      <c r="W174" s="27"/>
      <c r="X174" s="27"/>
      <c r="Y174" s="27"/>
      <c r="Z174" s="27"/>
      <c r="AA174" s="27"/>
      <c r="AB174" s="27"/>
      <c r="AC174" s="27"/>
      <c r="AD174" s="27"/>
      <c r="AE174" s="27"/>
      <c r="AF174" s="27"/>
      <c r="AG174" s="27"/>
      <c r="AH174" s="27"/>
      <c r="AI174" s="27"/>
      <c r="AJ174" s="27"/>
      <c r="AK174" s="27"/>
      <c r="AL174" s="27"/>
      <c r="AM174" s="27"/>
      <c r="AN174" s="27"/>
      <c r="AO174" s="27"/>
      <c r="AP174" s="27"/>
      <c r="AQ174" s="27"/>
      <c r="AR174" s="27"/>
      <c r="AS174" s="27"/>
      <c r="AT174" s="27"/>
      <c r="AU174" s="27"/>
      <c r="AV174" s="27"/>
      <c r="AW174" s="27"/>
      <c r="AX174" s="27"/>
      <c r="AY174" s="27"/>
      <c r="AZ174" s="27"/>
      <c r="BA174" s="27"/>
      <c r="BB174" s="27"/>
      <c r="BC174" s="27"/>
      <c r="BD174" s="27"/>
      <c r="BE174" s="27"/>
      <c r="BF174" s="27"/>
      <c r="BG174" s="27"/>
      <c r="BH174" s="27"/>
      <c r="BI174" s="27"/>
      <c r="BJ174" s="27"/>
      <c r="BK174" s="27"/>
      <c r="BL174" s="27"/>
      <c r="BM174" s="27"/>
      <c r="BN174" s="27"/>
      <c r="BO174" s="27"/>
      <c r="BP174" s="27"/>
      <c r="BQ174" s="27"/>
      <c r="BR174" s="27"/>
      <c r="BS174" s="27"/>
      <c r="BT174" s="27"/>
      <c r="BU174" s="27"/>
      <c r="BV174" s="27"/>
      <c r="BW174" s="27"/>
      <c r="BX174" s="27"/>
      <c r="BY174" s="27"/>
      <c r="BZ174" s="27"/>
      <c r="CA174" s="27"/>
      <c r="CB174" s="27"/>
      <c r="CC174" s="27"/>
      <c r="CD174" s="27"/>
      <c r="CE174" s="27"/>
      <c r="CF174" s="27"/>
      <c r="CG174" s="27"/>
      <c r="CH174" s="27"/>
      <c r="CI174" s="27"/>
      <c r="CJ174" s="27"/>
      <c r="CK174" s="27"/>
      <c r="CL174" s="27"/>
      <c r="CM174" s="27"/>
      <c r="CN174" s="27"/>
      <c r="CO174" s="27"/>
      <c r="CP174" s="27"/>
      <c r="CQ174" s="27"/>
      <c r="CR174" s="27"/>
      <c r="CS174" s="27"/>
      <c r="CT174" s="27"/>
      <c r="CU174" s="27"/>
      <c r="CV174" s="27"/>
      <c r="CW174" s="27"/>
      <c r="CX174" s="27"/>
      <c r="CY174" s="27"/>
      <c r="CZ174" s="27"/>
      <c r="DA174" s="27"/>
      <c r="DB174" s="27"/>
      <c r="DC174" s="27"/>
      <c r="DD174" s="27"/>
      <c r="DE174" s="27"/>
      <c r="DF174" s="27"/>
      <c r="DG174" s="27"/>
      <c r="DH174" s="27"/>
      <c r="DI174" s="27"/>
      <c r="DJ174" s="27"/>
      <c r="DK174" s="27"/>
      <c r="DL174" s="27"/>
      <c r="DM174" s="27"/>
      <c r="DN174" s="27"/>
      <c r="DO174" s="27"/>
      <c r="DP174" s="27"/>
      <c r="DQ174" s="27"/>
      <c r="DR174" s="27"/>
      <c r="DS174" s="27"/>
      <c r="DT174" s="27"/>
    </row>
    <row r="175" spans="2:124" x14ac:dyDescent="0.2">
      <c r="B175" s="27"/>
      <c r="C175" s="27"/>
      <c r="D175" s="27"/>
      <c r="E175" s="27"/>
      <c r="F175" s="27" t="s">
        <v>514</v>
      </c>
      <c r="G175" s="27"/>
      <c r="H175" s="27"/>
      <c r="I175" s="27"/>
      <c r="J175" s="27">
        <f>IF(H192-AE13&lt;3,0,IF(H192-AE13&lt;6,1,IF(H192-AE13&lt;9,2,IF(H192-AE13&lt;12,I167+3,IF(H192-AE13&lt;13,I167+4,IF(H192-AE13&lt;16,I167+5,IF(H192-AE13&lt;19,I167+6,IF(H192-AE13&lt;22,I167+7))))))))</f>
        <v>0</v>
      </c>
      <c r="K175" s="27"/>
      <c r="L175" s="27"/>
      <c r="M175" s="27">
        <f t="shared" si="14"/>
        <v>7553.4580276782217</v>
      </c>
      <c r="N175" s="27"/>
      <c r="O175" s="27"/>
      <c r="P175" s="27"/>
      <c r="Q175" s="27"/>
      <c r="R175" s="27"/>
      <c r="S175" s="27"/>
      <c r="T175" s="27"/>
      <c r="U175" s="27"/>
      <c r="V175" s="27"/>
      <c r="W175" s="27"/>
      <c r="X175" s="27"/>
      <c r="Y175" s="27"/>
      <c r="Z175" s="27"/>
      <c r="AA175" s="27"/>
      <c r="AB175" s="27"/>
      <c r="AC175" s="27"/>
      <c r="AD175" s="27"/>
      <c r="AE175" s="27"/>
      <c r="AF175" s="27"/>
      <c r="AG175" s="27"/>
      <c r="AH175" s="27"/>
      <c r="AI175" s="27"/>
      <c r="AJ175" s="27"/>
      <c r="AK175" s="27"/>
      <c r="AL175" s="27"/>
      <c r="AM175" s="27"/>
      <c r="AN175" s="27"/>
      <c r="AO175" s="27"/>
      <c r="AP175" s="27"/>
      <c r="AQ175" s="27"/>
      <c r="AR175" s="27"/>
      <c r="AS175" s="27"/>
      <c r="AT175" s="27"/>
      <c r="AU175" s="27"/>
      <c r="AV175" s="27"/>
      <c r="AW175" s="27"/>
      <c r="AX175" s="27"/>
      <c r="AY175" s="27"/>
      <c r="AZ175" s="27"/>
      <c r="BA175" s="27"/>
      <c r="BB175" s="27"/>
      <c r="BC175" s="27"/>
      <c r="BD175" s="27"/>
      <c r="BE175" s="27"/>
      <c r="BF175" s="27"/>
      <c r="BG175" s="27"/>
      <c r="BH175" s="27"/>
      <c r="BI175" s="27"/>
      <c r="BJ175" s="27"/>
      <c r="BK175" s="27"/>
      <c r="BL175" s="27"/>
      <c r="BM175" s="27"/>
      <c r="BN175" s="27"/>
      <c r="BO175" s="27"/>
      <c r="BP175" s="27"/>
      <c r="BQ175" s="27"/>
      <c r="BR175" s="27"/>
      <c r="BS175" s="27"/>
      <c r="BT175" s="27"/>
      <c r="BU175" s="27"/>
      <c r="BV175" s="27"/>
      <c r="BW175" s="27"/>
      <c r="BX175" s="27"/>
      <c r="BY175" s="27"/>
      <c r="BZ175" s="27"/>
      <c r="CA175" s="27"/>
      <c r="CB175" s="27"/>
      <c r="CC175" s="27"/>
      <c r="CD175" s="27"/>
      <c r="CE175" s="27"/>
      <c r="CF175" s="27"/>
      <c r="CG175" s="27"/>
      <c r="CH175" s="27"/>
      <c r="CI175" s="27"/>
      <c r="CJ175" s="27"/>
      <c r="CK175" s="27"/>
      <c r="CL175" s="27"/>
      <c r="CM175" s="27"/>
      <c r="CN175" s="27"/>
      <c r="CO175" s="27"/>
      <c r="CP175" s="27"/>
      <c r="CQ175" s="27"/>
      <c r="CR175" s="27"/>
      <c r="CS175" s="27"/>
      <c r="CT175" s="27"/>
      <c r="CU175" s="27"/>
      <c r="CV175" s="27"/>
      <c r="CW175" s="27"/>
      <c r="CX175" s="27"/>
      <c r="CY175" s="27"/>
      <c r="CZ175" s="27"/>
      <c r="DA175" s="27"/>
      <c r="DB175" s="27"/>
      <c r="DC175" s="27"/>
      <c r="DD175" s="27"/>
      <c r="DE175" s="27"/>
      <c r="DF175" s="27"/>
      <c r="DG175" s="27"/>
      <c r="DH175" s="27"/>
      <c r="DI175" s="27"/>
      <c r="DJ175" s="27"/>
      <c r="DK175" s="27"/>
      <c r="DL175" s="27"/>
      <c r="DM175" s="27"/>
      <c r="DN175" s="27"/>
      <c r="DO175" s="27"/>
      <c r="DP175" s="27"/>
      <c r="DQ175" s="27"/>
      <c r="DR175" s="27"/>
      <c r="DS175" s="27"/>
      <c r="DT175" s="27"/>
    </row>
    <row r="176" spans="2:124" x14ac:dyDescent="0.2">
      <c r="B176" s="27"/>
      <c r="C176" s="27" t="s">
        <v>515</v>
      </c>
      <c r="D176" s="27"/>
      <c r="E176" s="27"/>
      <c r="F176" s="27"/>
      <c r="G176" s="27"/>
      <c r="H176" s="27"/>
      <c r="I176" s="27"/>
      <c r="J176" s="27"/>
      <c r="K176" s="27"/>
      <c r="L176" s="27"/>
      <c r="M176" s="27">
        <f t="shared" si="14"/>
        <v>7826.4745828955056</v>
      </c>
      <c r="N176" s="27"/>
      <c r="O176" s="27"/>
      <c r="P176" s="27"/>
      <c r="Q176" s="27"/>
      <c r="R176" s="27"/>
      <c r="S176" s="27"/>
      <c r="T176" s="27"/>
      <c r="U176" s="27"/>
      <c r="V176" s="27"/>
      <c r="W176" s="27"/>
      <c r="X176" s="27"/>
      <c r="Y176" s="27"/>
      <c r="Z176" s="27"/>
      <c r="AA176" s="27"/>
      <c r="AB176" s="27"/>
      <c r="AC176" s="27"/>
      <c r="AD176" s="27"/>
      <c r="AE176" s="27"/>
      <c r="AF176" s="27"/>
      <c r="AG176" s="27"/>
      <c r="AH176" s="27"/>
      <c r="AI176" s="27"/>
      <c r="AJ176" s="27"/>
      <c r="AK176" s="27"/>
      <c r="AL176" s="27"/>
      <c r="AM176" s="27"/>
      <c r="AN176" s="27"/>
      <c r="AO176" s="27"/>
      <c r="AP176" s="27"/>
      <c r="AQ176" s="27"/>
      <c r="AR176" s="27"/>
      <c r="AS176" s="27"/>
      <c r="AT176" s="27"/>
      <c r="AU176" s="27"/>
      <c r="AV176" s="27"/>
      <c r="AW176" s="27"/>
      <c r="AX176" s="27"/>
      <c r="AY176" s="27"/>
      <c r="AZ176" s="27"/>
      <c r="BA176" s="27"/>
      <c r="BB176" s="27"/>
      <c r="BC176" s="27"/>
      <c r="BD176" s="27"/>
      <c r="BE176" s="27"/>
      <c r="BF176" s="27"/>
      <c r="BG176" s="27"/>
      <c r="BH176" s="27"/>
      <c r="BI176" s="27"/>
      <c r="BJ176" s="27"/>
      <c r="BK176" s="27"/>
      <c r="BL176" s="27"/>
      <c r="BM176" s="27"/>
      <c r="BN176" s="27"/>
      <c r="BO176" s="27"/>
      <c r="BP176" s="27"/>
      <c r="BQ176" s="27"/>
      <c r="BR176" s="27"/>
      <c r="BS176" s="27"/>
      <c r="BT176" s="27"/>
      <c r="BU176" s="27"/>
      <c r="BV176" s="27"/>
      <c r="BW176" s="27"/>
      <c r="BX176" s="27"/>
      <c r="BY176" s="27"/>
      <c r="BZ176" s="27"/>
      <c r="CA176" s="27"/>
      <c r="CB176" s="27"/>
      <c r="CC176" s="27"/>
      <c r="CD176" s="27"/>
      <c r="CE176" s="27"/>
      <c r="CF176" s="27"/>
      <c r="CG176" s="27"/>
      <c r="CH176" s="27"/>
      <c r="CI176" s="27"/>
      <c r="CJ176" s="27"/>
      <c r="CK176" s="27"/>
      <c r="CL176" s="27"/>
      <c r="CM176" s="27"/>
      <c r="CN176" s="27"/>
      <c r="CO176" s="27"/>
      <c r="CP176" s="27"/>
      <c r="CQ176" s="27"/>
      <c r="CR176" s="27"/>
      <c r="CS176" s="27"/>
      <c r="CT176" s="27"/>
      <c r="CU176" s="27"/>
      <c r="CV176" s="27"/>
      <c r="CW176" s="27"/>
      <c r="CX176" s="27"/>
      <c r="CY176" s="27"/>
      <c r="CZ176" s="27"/>
      <c r="DA176" s="27"/>
      <c r="DB176" s="27"/>
      <c r="DC176" s="27"/>
      <c r="DD176" s="27"/>
      <c r="DE176" s="27"/>
      <c r="DF176" s="27"/>
      <c r="DG176" s="27"/>
      <c r="DH176" s="27"/>
      <c r="DI176" s="27"/>
      <c r="DJ176" s="27"/>
      <c r="DK176" s="27"/>
      <c r="DL176" s="27"/>
      <c r="DM176" s="27"/>
      <c r="DN176" s="27"/>
      <c r="DO176" s="27"/>
      <c r="DP176" s="27"/>
      <c r="DQ176" s="27"/>
      <c r="DR176" s="27"/>
      <c r="DS176" s="27"/>
      <c r="DT176" s="27"/>
    </row>
    <row r="177" spans="2:124" x14ac:dyDescent="0.2">
      <c r="B177" s="27"/>
      <c r="C177" s="27" t="s">
        <v>516</v>
      </c>
      <c r="D177" s="27" t="s">
        <v>59</v>
      </c>
      <c r="E177" s="27"/>
      <c r="F177" s="27"/>
      <c r="G177" s="27" t="str">
        <f>AB32</f>
        <v>תקציבית</v>
      </c>
      <c r="H177" s="27"/>
      <c r="I177" s="27" t="e">
        <f>F205</f>
        <v>#REF!</v>
      </c>
      <c r="J177" s="27"/>
      <c r="K177" s="27"/>
      <c r="L177" s="27"/>
      <c r="M177" s="27">
        <f t="shared" si="14"/>
        <v>8119.9673797540881</v>
      </c>
      <c r="N177" s="27"/>
      <c r="O177" s="27"/>
      <c r="P177" s="27"/>
      <c r="Q177" s="27"/>
      <c r="R177" s="27"/>
      <c r="S177" s="27"/>
      <c r="T177" s="27"/>
      <c r="U177" s="27"/>
      <c r="V177" s="27"/>
      <c r="W177" s="27"/>
      <c r="X177" s="27"/>
      <c r="Y177" s="27"/>
      <c r="Z177" s="27"/>
      <c r="AA177" s="27"/>
      <c r="AB177" s="27"/>
      <c r="AC177" s="27"/>
      <c r="AD177" s="27"/>
      <c r="AE177" s="27"/>
      <c r="AF177" s="27"/>
      <c r="AG177" s="27"/>
      <c r="AH177" s="27"/>
      <c r="AI177" s="27"/>
      <c r="AJ177" s="27"/>
      <c r="AK177" s="27"/>
      <c r="AL177" s="27"/>
      <c r="AM177" s="27"/>
      <c r="AN177" s="27"/>
      <c r="AO177" s="27"/>
      <c r="AP177" s="27"/>
      <c r="AQ177" s="27"/>
      <c r="AR177" s="27"/>
      <c r="AS177" s="27"/>
      <c r="AT177" s="27"/>
      <c r="AU177" s="27"/>
      <c r="AV177" s="27"/>
      <c r="AW177" s="27"/>
      <c r="AX177" s="27"/>
      <c r="AY177" s="27"/>
      <c r="AZ177" s="27"/>
      <c r="BA177" s="27"/>
      <c r="BB177" s="27"/>
      <c r="BC177" s="27"/>
      <c r="BD177" s="27"/>
      <c r="BE177" s="27"/>
      <c r="BF177" s="27"/>
      <c r="BG177" s="27"/>
      <c r="BH177" s="27"/>
      <c r="BI177" s="27"/>
      <c r="BJ177" s="27"/>
      <c r="BK177" s="27"/>
      <c r="BL177" s="27"/>
      <c r="BM177" s="27"/>
      <c r="BN177" s="27"/>
      <c r="BO177" s="27"/>
      <c r="BP177" s="27"/>
      <c r="BQ177" s="27"/>
      <c r="BR177" s="27"/>
      <c r="BS177" s="27"/>
      <c r="BT177" s="27"/>
      <c r="BU177" s="27"/>
      <c r="BV177" s="27"/>
      <c r="BW177" s="27"/>
      <c r="BX177" s="27"/>
      <c r="BY177" s="27"/>
      <c r="BZ177" s="27"/>
      <c r="CA177" s="27"/>
      <c r="CB177" s="27"/>
      <c r="CC177" s="27"/>
      <c r="CD177" s="27"/>
      <c r="CE177" s="27"/>
      <c r="CF177" s="27"/>
      <c r="CG177" s="27"/>
      <c r="CH177" s="27"/>
      <c r="CI177" s="27"/>
      <c r="CJ177" s="27"/>
      <c r="CK177" s="27"/>
      <c r="CL177" s="27"/>
      <c r="CM177" s="27"/>
      <c r="CN177" s="27"/>
      <c r="CO177" s="27"/>
      <c r="CP177" s="27"/>
      <c r="CQ177" s="27"/>
      <c r="CR177" s="27"/>
      <c r="CS177" s="27"/>
      <c r="CT177" s="27"/>
      <c r="CU177" s="27"/>
      <c r="CV177" s="27"/>
      <c r="CW177" s="27"/>
      <c r="CX177" s="27"/>
      <c r="CY177" s="27"/>
      <c r="CZ177" s="27"/>
      <c r="DA177" s="27"/>
      <c r="DB177" s="27"/>
      <c r="DC177" s="27"/>
      <c r="DD177" s="27"/>
      <c r="DE177" s="27"/>
      <c r="DF177" s="27"/>
      <c r="DG177" s="27"/>
      <c r="DH177" s="27"/>
      <c r="DI177" s="27"/>
      <c r="DJ177" s="27"/>
      <c r="DK177" s="27"/>
      <c r="DL177" s="27"/>
      <c r="DM177" s="27"/>
      <c r="DN177" s="27"/>
      <c r="DO177" s="27"/>
      <c r="DP177" s="27"/>
      <c r="DQ177" s="27"/>
      <c r="DR177" s="27"/>
      <c r="DS177" s="27"/>
      <c r="DT177" s="27"/>
    </row>
    <row r="178" spans="2:124" x14ac:dyDescent="0.2">
      <c r="B178" s="27"/>
      <c r="C178" s="27" t="s">
        <v>517</v>
      </c>
      <c r="D178" s="27" t="s">
        <v>518</v>
      </c>
      <c r="E178" s="27"/>
      <c r="F178" s="27" t="s">
        <v>519</v>
      </c>
      <c r="G178" s="27">
        <f>67</f>
        <v>67</v>
      </c>
      <c r="H178" s="27"/>
      <c r="I178" s="27"/>
      <c r="J178" s="27"/>
      <c r="K178" s="27"/>
      <c r="L178" s="27"/>
      <c r="M178" s="27">
        <f t="shared" si="14"/>
        <v>8413.4601766126689</v>
      </c>
      <c r="N178" s="27"/>
      <c r="O178" s="27"/>
      <c r="P178" s="27"/>
      <c r="Q178" s="27"/>
      <c r="R178" s="27"/>
      <c r="S178" s="27"/>
      <c r="T178" s="27"/>
      <c r="U178" s="27"/>
      <c r="V178" s="27"/>
      <c r="W178" s="27"/>
      <c r="X178" s="27"/>
      <c r="Y178" s="27"/>
      <c r="Z178" s="27"/>
      <c r="AA178" s="27"/>
      <c r="AB178" s="27"/>
      <c r="AC178" s="27"/>
      <c r="AD178" s="27"/>
      <c r="AE178" s="27"/>
      <c r="AF178" s="27"/>
      <c r="AG178" s="27"/>
      <c r="AH178" s="27"/>
      <c r="AI178" s="27"/>
      <c r="AJ178" s="27"/>
      <c r="AK178" s="27"/>
      <c r="AL178" s="27"/>
      <c r="AM178" s="27"/>
      <c r="AN178" s="27"/>
      <c r="AO178" s="27"/>
      <c r="AP178" s="27"/>
      <c r="AQ178" s="27"/>
      <c r="AR178" s="27"/>
      <c r="AS178" s="27"/>
      <c r="AT178" s="27"/>
      <c r="AU178" s="27"/>
      <c r="AV178" s="27"/>
      <c r="AW178" s="27"/>
      <c r="AX178" s="27"/>
      <c r="AY178" s="27"/>
      <c r="AZ178" s="27"/>
      <c r="BA178" s="27"/>
      <c r="BB178" s="27"/>
      <c r="BC178" s="27"/>
      <c r="BD178" s="27"/>
      <c r="BE178" s="27"/>
      <c r="BF178" s="27"/>
      <c r="BG178" s="27"/>
      <c r="BH178" s="27"/>
      <c r="BI178" s="27"/>
      <c r="BJ178" s="27"/>
      <c r="BK178" s="27"/>
      <c r="BL178" s="27"/>
      <c r="BM178" s="27"/>
      <c r="BN178" s="27"/>
      <c r="BO178" s="27"/>
      <c r="BP178" s="27"/>
      <c r="BQ178" s="27"/>
      <c r="BR178" s="27"/>
      <c r="BS178" s="27"/>
      <c r="BT178" s="27"/>
      <c r="BU178" s="27"/>
      <c r="BV178" s="27"/>
      <c r="BW178" s="27"/>
      <c r="BX178" s="27"/>
      <c r="BY178" s="27"/>
      <c r="BZ178" s="27"/>
      <c r="CA178" s="27"/>
      <c r="CB178" s="27"/>
      <c r="CC178" s="27"/>
      <c r="CD178" s="27"/>
      <c r="CE178" s="27"/>
      <c r="CF178" s="27"/>
      <c r="CG178" s="27"/>
      <c r="CH178" s="27"/>
      <c r="CI178" s="27"/>
      <c r="CJ178" s="27"/>
      <c r="CK178" s="27"/>
      <c r="CL178" s="27"/>
      <c r="CM178" s="27"/>
      <c r="CN178" s="27"/>
      <c r="CO178" s="27"/>
      <c r="CP178" s="27"/>
      <c r="CQ178" s="27"/>
      <c r="CR178" s="27"/>
      <c r="CS178" s="27"/>
      <c r="CT178" s="27"/>
      <c r="CU178" s="27"/>
      <c r="CV178" s="27"/>
      <c r="CW178" s="27"/>
      <c r="CX178" s="27"/>
      <c r="CY178" s="27"/>
      <c r="CZ178" s="27"/>
      <c r="DA178" s="27"/>
      <c r="DB178" s="27"/>
      <c r="DC178" s="27"/>
      <c r="DD178" s="27"/>
      <c r="DE178" s="27"/>
      <c r="DF178" s="27"/>
      <c r="DG178" s="27"/>
      <c r="DH178" s="27"/>
      <c r="DI178" s="27"/>
      <c r="DJ178" s="27"/>
      <c r="DK178" s="27"/>
      <c r="DL178" s="27"/>
      <c r="DM178" s="27"/>
      <c r="DN178" s="27"/>
      <c r="DO178" s="27"/>
      <c r="DP178" s="27"/>
      <c r="DQ178" s="27"/>
      <c r="DR178" s="27"/>
      <c r="DS178" s="27"/>
      <c r="DT178" s="27"/>
    </row>
    <row r="179" spans="2:124" x14ac:dyDescent="0.2">
      <c r="B179" s="27"/>
      <c r="C179" s="27" t="s">
        <v>477</v>
      </c>
      <c r="D179" s="27" t="s">
        <v>520</v>
      </c>
      <c r="E179" s="27"/>
      <c r="F179" s="27" t="s">
        <v>521</v>
      </c>
      <c r="G179" s="27" t="e">
        <f>#REF!</f>
        <v>#REF!</v>
      </c>
      <c r="H179" s="27"/>
      <c r="I179" s="27" t="s">
        <v>59</v>
      </c>
      <c r="J179" s="27"/>
      <c r="K179" s="27"/>
      <c r="L179" s="27"/>
      <c r="M179" s="27">
        <f t="shared" si="14"/>
        <v>8728.9649332356439</v>
      </c>
      <c r="N179" s="27"/>
      <c r="O179" s="27"/>
      <c r="P179" s="27"/>
      <c r="Q179" s="27"/>
      <c r="R179" s="27"/>
      <c r="S179" s="27"/>
      <c r="T179" s="27"/>
      <c r="U179" s="27"/>
      <c r="V179" s="27"/>
      <c r="W179" s="27"/>
      <c r="X179" s="27"/>
      <c r="Y179" s="27"/>
      <c r="Z179" s="27"/>
      <c r="AA179" s="27"/>
      <c r="AB179" s="27"/>
      <c r="AC179" s="27"/>
      <c r="AD179" s="27"/>
      <c r="AE179" s="27"/>
      <c r="AF179" s="27"/>
      <c r="AG179" s="27"/>
      <c r="AH179" s="27"/>
      <c r="AI179" s="27"/>
      <c r="AJ179" s="27"/>
      <c r="AK179" s="27"/>
      <c r="AL179" s="27"/>
      <c r="AM179" s="27"/>
      <c r="AN179" s="27"/>
      <c r="AO179" s="27"/>
      <c r="AP179" s="27"/>
      <c r="AQ179" s="27"/>
      <c r="AR179" s="27"/>
      <c r="AS179" s="27"/>
      <c r="AT179" s="27"/>
      <c r="AU179" s="27"/>
      <c r="AV179" s="27"/>
      <c r="AW179" s="27"/>
      <c r="AX179" s="27"/>
      <c r="AY179" s="27"/>
      <c r="AZ179" s="27"/>
      <c r="BA179" s="27"/>
      <c r="BB179" s="27"/>
      <c r="BC179" s="27"/>
      <c r="BD179" s="27"/>
      <c r="BE179" s="27"/>
      <c r="BF179" s="27"/>
      <c r="BG179" s="27"/>
      <c r="BH179" s="27"/>
      <c r="BI179" s="27"/>
      <c r="BJ179" s="27"/>
      <c r="BK179" s="27"/>
      <c r="BL179" s="27"/>
      <c r="BM179" s="27"/>
      <c r="BN179" s="27"/>
      <c r="BO179" s="27"/>
      <c r="BP179" s="27"/>
      <c r="BQ179" s="27"/>
      <c r="BR179" s="27"/>
      <c r="BS179" s="27"/>
      <c r="BT179" s="27"/>
      <c r="BU179" s="27"/>
      <c r="BV179" s="27"/>
      <c r="BW179" s="27"/>
      <c r="BX179" s="27"/>
      <c r="BY179" s="27"/>
      <c r="BZ179" s="27"/>
      <c r="CA179" s="27"/>
      <c r="CB179" s="27"/>
      <c r="CC179" s="27"/>
      <c r="CD179" s="27"/>
      <c r="CE179" s="27"/>
      <c r="CF179" s="27"/>
      <c r="CG179" s="27"/>
      <c r="CH179" s="27"/>
      <c r="CI179" s="27"/>
      <c r="CJ179" s="27"/>
      <c r="CK179" s="27"/>
      <c r="CL179" s="27"/>
      <c r="CM179" s="27"/>
      <c r="CN179" s="27"/>
      <c r="CO179" s="27"/>
      <c r="CP179" s="27"/>
      <c r="CQ179" s="27"/>
      <c r="CR179" s="27"/>
      <c r="CS179" s="27"/>
      <c r="CT179" s="27"/>
      <c r="CU179" s="27"/>
      <c r="CV179" s="27"/>
      <c r="CW179" s="27"/>
      <c r="CX179" s="27"/>
      <c r="CY179" s="27"/>
      <c r="CZ179" s="27"/>
      <c r="DA179" s="27"/>
      <c r="DB179" s="27"/>
      <c r="DC179" s="27"/>
      <c r="DD179" s="27"/>
      <c r="DE179" s="27"/>
      <c r="DF179" s="27"/>
      <c r="DG179" s="27"/>
      <c r="DH179" s="27"/>
      <c r="DI179" s="27"/>
      <c r="DJ179" s="27"/>
      <c r="DK179" s="27"/>
      <c r="DL179" s="27"/>
      <c r="DM179" s="27"/>
      <c r="DN179" s="27"/>
      <c r="DO179" s="27"/>
      <c r="DP179" s="27"/>
      <c r="DQ179" s="27"/>
      <c r="DR179" s="27"/>
      <c r="DS179" s="27"/>
      <c r="DT179" s="27"/>
    </row>
    <row r="180" spans="2:124" x14ac:dyDescent="0.2">
      <c r="B180" s="27"/>
      <c r="C180" s="27" t="s">
        <v>522</v>
      </c>
      <c r="D180" s="27" t="s">
        <v>476</v>
      </c>
      <c r="E180" s="27"/>
      <c r="F180" s="27" t="s">
        <v>523</v>
      </c>
      <c r="G180" s="27">
        <f>G202</f>
        <v>52.87</v>
      </c>
      <c r="H180" s="27"/>
      <c r="I180" s="27" t="s">
        <v>59</v>
      </c>
      <c r="J180" s="27"/>
      <c r="K180" s="27"/>
      <c r="L180" s="27"/>
      <c r="M180" s="27">
        <f t="shared" si="14"/>
        <v>9044.4696898586189</v>
      </c>
      <c r="N180" s="27"/>
      <c r="O180" s="27"/>
      <c r="P180" s="27"/>
      <c r="Q180" s="27"/>
      <c r="R180" s="27"/>
      <c r="S180" s="27"/>
      <c r="T180" s="27"/>
      <c r="U180" s="27"/>
      <c r="V180" s="27"/>
      <c r="W180" s="27"/>
      <c r="X180" s="27"/>
      <c r="Y180" s="27"/>
      <c r="Z180" s="27"/>
      <c r="AA180" s="27"/>
      <c r="AB180" s="27"/>
      <c r="AC180" s="27"/>
      <c r="AD180" s="27"/>
      <c r="AE180" s="27"/>
      <c r="AF180" s="27"/>
      <c r="AG180" s="27"/>
      <c r="AH180" s="27"/>
      <c r="AI180" s="27"/>
      <c r="AJ180" s="27"/>
      <c r="AK180" s="27"/>
      <c r="AL180" s="27"/>
      <c r="AM180" s="27"/>
      <c r="AN180" s="27"/>
      <c r="AO180" s="27"/>
      <c r="AP180" s="27"/>
      <c r="AQ180" s="27"/>
      <c r="AR180" s="27"/>
      <c r="AS180" s="27"/>
      <c r="AT180" s="27"/>
      <c r="AU180" s="27"/>
      <c r="AV180" s="27"/>
      <c r="AW180" s="27"/>
      <c r="AX180" s="27"/>
      <c r="AY180" s="27"/>
      <c r="AZ180" s="27"/>
      <c r="BA180" s="27"/>
      <c r="BB180" s="27"/>
      <c r="BC180" s="27"/>
      <c r="BD180" s="27"/>
      <c r="BE180" s="27"/>
      <c r="BF180" s="27"/>
      <c r="BG180" s="27"/>
      <c r="BH180" s="27"/>
      <c r="BI180" s="27"/>
      <c r="BJ180" s="27"/>
      <c r="BK180" s="27"/>
      <c r="BL180" s="27"/>
      <c r="BM180" s="27"/>
      <c r="BN180" s="27"/>
      <c r="BO180" s="27"/>
      <c r="BP180" s="27"/>
      <c r="BQ180" s="27"/>
      <c r="BR180" s="27"/>
      <c r="BS180" s="27"/>
      <c r="BT180" s="27"/>
      <c r="BU180" s="27"/>
      <c r="BV180" s="27"/>
      <c r="BW180" s="27"/>
      <c r="BX180" s="27"/>
      <c r="BY180" s="27"/>
      <c r="BZ180" s="27"/>
      <c r="CA180" s="27"/>
      <c r="CB180" s="27"/>
      <c r="CC180" s="27"/>
      <c r="CD180" s="27"/>
      <c r="CE180" s="27"/>
      <c r="CF180" s="27"/>
      <c r="CG180" s="27"/>
      <c r="CH180" s="27"/>
      <c r="CI180" s="27"/>
      <c r="CJ180" s="27"/>
      <c r="CK180" s="27"/>
      <c r="CL180" s="27"/>
      <c r="CM180" s="27"/>
      <c r="CN180" s="27"/>
      <c r="CO180" s="27"/>
      <c r="CP180" s="27"/>
      <c r="CQ180" s="27"/>
      <c r="CR180" s="27"/>
      <c r="CS180" s="27"/>
      <c r="CT180" s="27"/>
      <c r="CU180" s="27"/>
      <c r="CV180" s="27"/>
      <c r="CW180" s="27"/>
      <c r="CX180" s="27"/>
      <c r="CY180" s="27"/>
      <c r="CZ180" s="27"/>
      <c r="DA180" s="27"/>
      <c r="DB180" s="27"/>
      <c r="DC180" s="27"/>
      <c r="DD180" s="27"/>
      <c r="DE180" s="27"/>
      <c r="DF180" s="27"/>
      <c r="DG180" s="27"/>
      <c r="DH180" s="27"/>
      <c r="DI180" s="27"/>
      <c r="DJ180" s="27"/>
      <c r="DK180" s="27"/>
      <c r="DL180" s="27"/>
      <c r="DM180" s="27"/>
      <c r="DN180" s="27"/>
      <c r="DO180" s="27"/>
      <c r="DP180" s="27"/>
      <c r="DQ180" s="27"/>
      <c r="DR180" s="27"/>
      <c r="DS180" s="27"/>
      <c r="DT180" s="27"/>
    </row>
    <row r="181" spans="2:124" x14ac:dyDescent="0.2">
      <c r="B181" s="27"/>
      <c r="C181" s="27" t="s">
        <v>524</v>
      </c>
      <c r="D181" s="27" t="s">
        <v>525</v>
      </c>
      <c r="E181" s="27"/>
      <c r="F181" s="27"/>
      <c r="G181" s="27" t="s">
        <v>526</v>
      </c>
      <c r="H181" s="27"/>
      <c r="I181" s="27"/>
      <c r="J181" s="27"/>
      <c r="K181" s="27"/>
      <c r="L181" s="27"/>
      <c r="M181" s="27">
        <f t="shared" si="14"/>
        <v>9428.8596516776106</v>
      </c>
      <c r="N181" s="27"/>
      <c r="O181" s="27"/>
      <c r="P181" s="27"/>
      <c r="Q181" s="27"/>
      <c r="R181" s="27"/>
      <c r="S181" s="27"/>
      <c r="T181" s="27"/>
      <c r="U181" s="27"/>
      <c r="V181" s="27"/>
      <c r="W181" s="27"/>
      <c r="X181" s="27"/>
      <c r="Y181" s="27"/>
      <c r="Z181" s="27"/>
      <c r="AA181" s="27"/>
      <c r="AB181" s="27"/>
      <c r="AC181" s="27"/>
      <c r="AD181" s="27"/>
      <c r="AE181" s="27"/>
      <c r="AF181" s="27"/>
      <c r="AG181" s="27"/>
      <c r="AH181" s="27"/>
      <c r="AI181" s="27"/>
      <c r="AJ181" s="27"/>
      <c r="AK181" s="27"/>
      <c r="AL181" s="27"/>
      <c r="AM181" s="27"/>
      <c r="AN181" s="27"/>
      <c r="AO181" s="27"/>
      <c r="AP181" s="27"/>
      <c r="AQ181" s="27"/>
      <c r="AR181" s="27"/>
      <c r="AS181" s="27"/>
      <c r="AT181" s="27"/>
      <c r="AU181" s="27"/>
      <c r="AV181" s="27"/>
      <c r="AW181" s="27"/>
      <c r="AX181" s="27"/>
      <c r="AY181" s="27"/>
      <c r="AZ181" s="27"/>
      <c r="BA181" s="27"/>
      <c r="BB181" s="27"/>
      <c r="BC181" s="27"/>
      <c r="BD181" s="27"/>
      <c r="BE181" s="27"/>
      <c r="BF181" s="27"/>
      <c r="BG181" s="27"/>
      <c r="BH181" s="27"/>
      <c r="BI181" s="27"/>
      <c r="BJ181" s="27"/>
      <c r="BK181" s="27"/>
      <c r="BL181" s="27"/>
      <c r="BM181" s="27"/>
      <c r="BN181" s="27"/>
      <c r="BO181" s="27"/>
      <c r="BP181" s="27"/>
      <c r="BQ181" s="27"/>
      <c r="BR181" s="27"/>
      <c r="BS181" s="27"/>
      <c r="BT181" s="27"/>
      <c r="BU181" s="27"/>
      <c r="BV181" s="27"/>
      <c r="BW181" s="27"/>
      <c r="BX181" s="27"/>
      <c r="BY181" s="27"/>
      <c r="BZ181" s="27"/>
      <c r="CA181" s="27"/>
      <c r="CB181" s="27"/>
      <c r="CC181" s="27"/>
      <c r="CD181" s="27"/>
      <c r="CE181" s="27"/>
      <c r="CF181" s="27"/>
      <c r="CG181" s="27"/>
      <c r="CH181" s="27"/>
      <c r="CI181" s="27"/>
      <c r="CJ181" s="27"/>
      <c r="CK181" s="27"/>
      <c r="CL181" s="27"/>
      <c r="CM181" s="27"/>
      <c r="CN181" s="27"/>
      <c r="CO181" s="27"/>
      <c r="CP181" s="27"/>
      <c r="CQ181" s="27"/>
      <c r="CR181" s="27"/>
      <c r="CS181" s="27"/>
      <c r="CT181" s="27"/>
      <c r="CU181" s="27"/>
      <c r="CV181" s="27"/>
      <c r="CW181" s="27"/>
      <c r="CX181" s="27"/>
      <c r="CY181" s="27"/>
      <c r="CZ181" s="27"/>
      <c r="DA181" s="27"/>
      <c r="DB181" s="27"/>
      <c r="DC181" s="27"/>
      <c r="DD181" s="27"/>
      <c r="DE181" s="27"/>
      <c r="DF181" s="27"/>
      <c r="DG181" s="27"/>
      <c r="DH181" s="27"/>
      <c r="DI181" s="27"/>
      <c r="DJ181" s="27"/>
      <c r="DK181" s="27"/>
      <c r="DL181" s="27"/>
      <c r="DM181" s="27"/>
      <c r="DN181" s="27"/>
      <c r="DO181" s="27"/>
      <c r="DP181" s="27"/>
      <c r="DQ181" s="27"/>
      <c r="DR181" s="27"/>
      <c r="DS181" s="27"/>
      <c r="DT181" s="27"/>
    </row>
    <row r="182" spans="2:124" x14ac:dyDescent="0.2">
      <c r="B182" s="27"/>
      <c r="C182" s="27" t="s">
        <v>527</v>
      </c>
      <c r="D182" s="27" t="s">
        <v>528</v>
      </c>
      <c r="E182" s="27"/>
      <c r="F182" s="27" t="e">
        <f>#REF!/#REF!*F187</f>
        <v>#REF!</v>
      </c>
      <c r="G182" s="27" t="str">
        <f>IF(H154&gt;0.26,"שנות ותק נגרר",IF(H154&lt;0.26,"תקופת חלת"))</f>
        <v>שנות ותק נגרר</v>
      </c>
      <c r="H182" s="27"/>
      <c r="I182" s="27"/>
      <c r="J182" s="27"/>
      <c r="K182" s="27"/>
      <c r="L182" s="27"/>
      <c r="M182" s="27">
        <f t="shared" si="14"/>
        <v>9813.2496134966004</v>
      </c>
      <c r="N182" s="27"/>
      <c r="O182" s="27"/>
      <c r="P182" s="27"/>
      <c r="Q182" s="27"/>
      <c r="R182" s="27"/>
      <c r="S182" s="27"/>
      <c r="T182" s="27"/>
      <c r="U182" s="27"/>
      <c r="V182" s="27"/>
      <c r="W182" s="27"/>
      <c r="X182" s="27"/>
      <c r="Y182" s="27"/>
      <c r="Z182" s="27"/>
      <c r="AA182" s="27"/>
      <c r="AB182" s="27"/>
      <c r="AC182" s="27"/>
      <c r="AD182" s="27"/>
      <c r="AE182" s="27"/>
      <c r="AF182" s="27"/>
      <c r="AG182" s="27"/>
      <c r="AH182" s="27"/>
      <c r="AI182" s="27"/>
      <c r="AJ182" s="27"/>
      <c r="AK182" s="27"/>
      <c r="AL182" s="27"/>
      <c r="AM182" s="27"/>
      <c r="AN182" s="27"/>
      <c r="AO182" s="27"/>
      <c r="AP182" s="27"/>
      <c r="AQ182" s="27"/>
      <c r="AR182" s="27"/>
      <c r="AS182" s="27"/>
      <c r="AT182" s="27"/>
      <c r="AU182" s="27"/>
      <c r="AV182" s="27"/>
      <c r="AW182" s="27"/>
      <c r="AX182" s="27"/>
      <c r="AY182" s="27"/>
      <c r="AZ182" s="27"/>
      <c r="BA182" s="27"/>
      <c r="BB182" s="27"/>
      <c r="BC182" s="27"/>
      <c r="BD182" s="27"/>
      <c r="BE182" s="27"/>
      <c r="BF182" s="27"/>
      <c r="BG182" s="27"/>
      <c r="BH182" s="27"/>
      <c r="BI182" s="27"/>
      <c r="BJ182" s="27"/>
      <c r="BK182" s="27"/>
      <c r="BL182" s="27"/>
      <c r="BM182" s="27"/>
      <c r="BN182" s="27"/>
      <c r="BO182" s="27"/>
      <c r="BP182" s="27"/>
      <c r="BQ182" s="27"/>
      <c r="BR182" s="27"/>
      <c r="BS182" s="27"/>
      <c r="BT182" s="27"/>
      <c r="BU182" s="27"/>
      <c r="BV182" s="27"/>
      <c r="BW182" s="27"/>
      <c r="BX182" s="27"/>
      <c r="BY182" s="27"/>
      <c r="BZ182" s="27"/>
      <c r="CA182" s="27"/>
      <c r="CB182" s="27"/>
      <c r="CC182" s="27"/>
      <c r="CD182" s="27"/>
      <c r="CE182" s="27"/>
      <c r="CF182" s="27"/>
      <c r="CG182" s="27"/>
      <c r="CH182" s="27"/>
      <c r="CI182" s="27"/>
      <c r="CJ182" s="27"/>
      <c r="CK182" s="27"/>
      <c r="CL182" s="27"/>
      <c r="CM182" s="27"/>
      <c r="CN182" s="27"/>
      <c r="CO182" s="27"/>
      <c r="CP182" s="27"/>
      <c r="CQ182" s="27"/>
      <c r="CR182" s="27"/>
      <c r="CS182" s="27"/>
      <c r="CT182" s="27"/>
      <c r="CU182" s="27"/>
      <c r="CV182" s="27"/>
      <c r="CW182" s="27"/>
      <c r="CX182" s="27"/>
      <c r="CY182" s="27"/>
      <c r="CZ182" s="27"/>
      <c r="DA182" s="27"/>
      <c r="DB182" s="27"/>
      <c r="DC182" s="27"/>
      <c r="DD182" s="27"/>
      <c r="DE182" s="27"/>
      <c r="DF182" s="27"/>
      <c r="DG182" s="27"/>
      <c r="DH182" s="27"/>
      <c r="DI182" s="27"/>
      <c r="DJ182" s="27"/>
      <c r="DK182" s="27"/>
      <c r="DL182" s="27"/>
      <c r="DM182" s="27"/>
      <c r="DN182" s="27"/>
      <c r="DO182" s="27"/>
      <c r="DP182" s="27"/>
      <c r="DQ182" s="27"/>
      <c r="DR182" s="27"/>
      <c r="DS182" s="27"/>
      <c r="DT182" s="27"/>
    </row>
    <row r="183" spans="2:124" x14ac:dyDescent="0.2">
      <c r="B183" s="27"/>
      <c r="C183" s="27" t="s">
        <v>529</v>
      </c>
      <c r="D183" s="27" t="s">
        <v>479</v>
      </c>
      <c r="E183" s="27"/>
      <c r="F183" s="27" t="e">
        <f>#REF!/#REF!*F187</f>
        <v>#REF!</v>
      </c>
      <c r="G183" s="27" t="s">
        <v>530</v>
      </c>
      <c r="H183" s="27"/>
      <c r="I183" s="27"/>
      <c r="J183" s="27" t="s">
        <v>59</v>
      </c>
      <c r="K183" s="27"/>
      <c r="L183" s="27"/>
      <c r="M183" s="27">
        <f t="shared" si="14"/>
        <v>10230.312722070206</v>
      </c>
      <c r="N183" s="27"/>
      <c r="O183" s="27"/>
      <c r="P183" s="27"/>
      <c r="Q183" s="27"/>
      <c r="R183" s="27"/>
      <c r="S183" s="27"/>
      <c r="T183" s="27"/>
      <c r="U183" s="27"/>
      <c r="V183" s="27"/>
      <c r="W183" s="27"/>
      <c r="X183" s="27"/>
      <c r="Y183" s="27"/>
      <c r="Z183" s="27"/>
      <c r="AA183" s="27"/>
      <c r="AB183" s="27"/>
      <c r="AC183" s="27"/>
      <c r="AD183" s="27"/>
      <c r="AE183" s="27"/>
      <c r="AF183" s="27"/>
      <c r="AG183" s="27"/>
      <c r="AH183" s="27"/>
      <c r="AI183" s="27"/>
      <c r="AJ183" s="27"/>
      <c r="AK183" s="27"/>
      <c r="AL183" s="27"/>
      <c r="AM183" s="27"/>
      <c r="AN183" s="27"/>
      <c r="AO183" s="27"/>
      <c r="AP183" s="27"/>
      <c r="AQ183" s="27"/>
      <c r="AR183" s="27"/>
      <c r="AS183" s="27"/>
      <c r="AT183" s="27"/>
      <c r="AU183" s="27"/>
      <c r="AV183" s="27"/>
      <c r="AW183" s="27"/>
      <c r="AX183" s="27"/>
      <c r="AY183" s="27"/>
      <c r="AZ183" s="27"/>
      <c r="BA183" s="27"/>
      <c r="BB183" s="27"/>
      <c r="BC183" s="27"/>
      <c r="BD183" s="27"/>
      <c r="BE183" s="27"/>
      <c r="BF183" s="27"/>
      <c r="BG183" s="27"/>
      <c r="BH183" s="27"/>
      <c r="BI183" s="27"/>
      <c r="BJ183" s="27"/>
      <c r="BK183" s="27"/>
      <c r="BL183" s="27"/>
      <c r="BM183" s="27"/>
      <c r="BN183" s="27"/>
      <c r="BO183" s="27"/>
      <c r="BP183" s="27"/>
      <c r="BQ183" s="27"/>
      <c r="BR183" s="27"/>
      <c r="BS183" s="27"/>
      <c r="BT183" s="27"/>
      <c r="BU183" s="27"/>
      <c r="BV183" s="27"/>
      <c r="BW183" s="27"/>
      <c r="BX183" s="27"/>
      <c r="BY183" s="27"/>
      <c r="BZ183" s="27"/>
      <c r="CA183" s="27"/>
      <c r="CB183" s="27"/>
      <c r="CC183" s="27"/>
      <c r="CD183" s="27"/>
      <c r="CE183" s="27"/>
      <c r="CF183" s="27"/>
      <c r="CG183" s="27"/>
      <c r="CH183" s="27"/>
      <c r="CI183" s="27"/>
      <c r="CJ183" s="27"/>
      <c r="CK183" s="27"/>
      <c r="CL183" s="27"/>
      <c r="CM183" s="27"/>
      <c r="CN183" s="27"/>
      <c r="CO183" s="27"/>
      <c r="CP183" s="27"/>
      <c r="CQ183" s="27"/>
      <c r="CR183" s="27"/>
      <c r="CS183" s="27"/>
      <c r="CT183" s="27"/>
      <c r="CU183" s="27"/>
      <c r="CV183" s="27"/>
      <c r="CW183" s="27"/>
      <c r="CX183" s="27"/>
      <c r="CY183" s="27"/>
      <c r="CZ183" s="27"/>
      <c r="DA183" s="27"/>
      <c r="DB183" s="27"/>
      <c r="DC183" s="27"/>
      <c r="DD183" s="27"/>
      <c r="DE183" s="27"/>
      <c r="DF183" s="27"/>
      <c r="DG183" s="27"/>
      <c r="DH183" s="27"/>
      <c r="DI183" s="27"/>
      <c r="DJ183" s="27"/>
      <c r="DK183" s="27"/>
      <c r="DL183" s="27"/>
      <c r="DM183" s="27"/>
      <c r="DN183" s="27"/>
      <c r="DO183" s="27"/>
      <c r="DP183" s="27"/>
      <c r="DQ183" s="27"/>
      <c r="DR183" s="27"/>
      <c r="DS183" s="27"/>
      <c r="DT183" s="27"/>
    </row>
    <row r="184" spans="2:124" x14ac:dyDescent="0.2">
      <c r="B184" s="27"/>
      <c r="C184" s="27" t="s">
        <v>531</v>
      </c>
      <c r="D184" s="27"/>
      <c r="E184" s="27"/>
      <c r="F184" s="27" t="e">
        <f>#REF!/#REF!*F187</f>
        <v>#REF!</v>
      </c>
      <c r="G184" s="27" t="s">
        <v>532</v>
      </c>
      <c r="H184" s="27"/>
      <c r="I184" s="27"/>
      <c r="J184" s="27"/>
      <c r="K184" s="27"/>
      <c r="L184" s="27"/>
      <c r="M184" s="27">
        <f t="shared" si="14"/>
        <v>10647.37583064381</v>
      </c>
      <c r="N184" s="27"/>
      <c r="O184" s="27"/>
      <c r="P184" s="27"/>
      <c r="Q184" s="27"/>
      <c r="R184" s="27"/>
      <c r="S184" s="27"/>
      <c r="T184" s="27"/>
      <c r="U184" s="27"/>
      <c r="V184" s="27"/>
      <c r="W184" s="27"/>
      <c r="X184" s="27"/>
      <c r="Y184" s="27"/>
      <c r="Z184" s="27"/>
      <c r="AA184" s="27"/>
      <c r="AB184" s="27"/>
      <c r="AC184" s="27"/>
      <c r="AD184" s="27"/>
      <c r="AE184" s="27"/>
      <c r="AF184" s="27"/>
      <c r="AG184" s="27"/>
      <c r="AH184" s="27"/>
      <c r="AI184" s="27"/>
      <c r="AJ184" s="27"/>
      <c r="AK184" s="27"/>
      <c r="AL184" s="27"/>
      <c r="AM184" s="27"/>
      <c r="AN184" s="27"/>
      <c r="AO184" s="27"/>
      <c r="AP184" s="27"/>
      <c r="AQ184" s="27"/>
      <c r="AR184" s="27"/>
      <c r="AS184" s="27"/>
      <c r="AT184" s="27"/>
      <c r="AU184" s="27"/>
      <c r="AV184" s="27"/>
      <c r="AW184" s="27"/>
      <c r="AX184" s="27"/>
      <c r="AY184" s="27"/>
      <c r="AZ184" s="27"/>
      <c r="BA184" s="27"/>
      <c r="BB184" s="27"/>
      <c r="BC184" s="27"/>
      <c r="BD184" s="27"/>
      <c r="BE184" s="27"/>
      <c r="BF184" s="27"/>
      <c r="BG184" s="27"/>
      <c r="BH184" s="27"/>
      <c r="BI184" s="27"/>
      <c r="BJ184" s="27"/>
      <c r="BK184" s="27"/>
      <c r="BL184" s="27"/>
      <c r="BM184" s="27"/>
      <c r="BN184" s="27"/>
      <c r="BO184" s="27"/>
      <c r="BP184" s="27"/>
      <c r="BQ184" s="27"/>
      <c r="BR184" s="27"/>
      <c r="BS184" s="27"/>
      <c r="BT184" s="27"/>
      <c r="BU184" s="27"/>
      <c r="BV184" s="27"/>
      <c r="BW184" s="27"/>
      <c r="BX184" s="27"/>
      <c r="BY184" s="27"/>
      <c r="BZ184" s="27"/>
      <c r="CA184" s="27"/>
      <c r="CB184" s="27"/>
      <c r="CC184" s="27"/>
      <c r="CD184" s="27"/>
      <c r="CE184" s="27"/>
      <c r="CF184" s="27"/>
      <c r="CG184" s="27"/>
      <c r="CH184" s="27"/>
      <c r="CI184" s="27"/>
      <c r="CJ184" s="27"/>
      <c r="CK184" s="27"/>
      <c r="CL184" s="27"/>
      <c r="CM184" s="27"/>
      <c r="CN184" s="27"/>
      <c r="CO184" s="27"/>
      <c r="CP184" s="27"/>
      <c r="CQ184" s="27"/>
      <c r="CR184" s="27"/>
      <c r="CS184" s="27"/>
      <c r="CT184" s="27"/>
      <c r="CU184" s="27"/>
      <c r="CV184" s="27"/>
      <c r="CW184" s="27"/>
      <c r="CX184" s="27"/>
      <c r="CY184" s="27"/>
      <c r="CZ184" s="27"/>
      <c r="DA184" s="27"/>
      <c r="DB184" s="27"/>
      <c r="DC184" s="27"/>
      <c r="DD184" s="27"/>
      <c r="DE184" s="27"/>
      <c r="DF184" s="27"/>
      <c r="DG184" s="27"/>
      <c r="DH184" s="27"/>
      <c r="DI184" s="27"/>
      <c r="DJ184" s="27"/>
      <c r="DK184" s="27"/>
      <c r="DL184" s="27"/>
      <c r="DM184" s="27"/>
      <c r="DN184" s="27"/>
      <c r="DO184" s="27"/>
      <c r="DP184" s="27"/>
      <c r="DQ184" s="27"/>
      <c r="DR184" s="27"/>
      <c r="DS184" s="27"/>
      <c r="DT184" s="27"/>
    </row>
    <row r="185" spans="2:124" x14ac:dyDescent="0.2">
      <c r="B185" s="27"/>
      <c r="C185" s="27"/>
      <c r="D185" s="27" t="s">
        <v>533</v>
      </c>
      <c r="E185" s="27"/>
      <c r="F185" s="27" t="e">
        <f>#REF!/#REF!*F187</f>
        <v>#REF!</v>
      </c>
      <c r="G185" s="27" t="s">
        <v>534</v>
      </c>
      <c r="H185" s="27"/>
      <c r="I185" s="27"/>
      <c r="J185" s="27"/>
      <c r="K185" s="27"/>
      <c r="L185" s="27"/>
      <c r="M185" s="27">
        <f t="shared" si="14"/>
        <v>11099.889303446173</v>
      </c>
      <c r="N185" s="27"/>
      <c r="O185" s="27"/>
      <c r="P185" s="27"/>
      <c r="Q185" s="27"/>
      <c r="R185" s="27"/>
      <c r="S185" s="27"/>
      <c r="T185" s="27"/>
      <c r="U185" s="27"/>
      <c r="V185" s="27"/>
      <c r="W185" s="27"/>
      <c r="X185" s="27"/>
      <c r="Y185" s="27"/>
      <c r="Z185" s="27"/>
      <c r="AA185" s="27"/>
      <c r="AB185" s="27"/>
      <c r="AC185" s="27"/>
      <c r="AD185" s="27"/>
      <c r="AE185" s="27"/>
      <c r="AF185" s="27"/>
      <c r="AG185" s="27"/>
      <c r="AH185" s="27"/>
      <c r="AI185" s="27"/>
      <c r="AJ185" s="27"/>
      <c r="AK185" s="27"/>
      <c r="AL185" s="27"/>
      <c r="AM185" s="27"/>
      <c r="AN185" s="27"/>
      <c r="AO185" s="27"/>
      <c r="AP185" s="27"/>
      <c r="AQ185" s="27"/>
      <c r="AR185" s="27"/>
      <c r="AS185" s="27"/>
      <c r="AT185" s="27"/>
      <c r="AU185" s="27"/>
      <c r="AV185" s="27"/>
      <c r="AW185" s="27"/>
      <c r="AX185" s="27"/>
      <c r="AY185" s="27"/>
      <c r="AZ185" s="27"/>
      <c r="BA185" s="27"/>
      <c r="BB185" s="27"/>
      <c r="BC185" s="27"/>
      <c r="BD185" s="27"/>
      <c r="BE185" s="27"/>
      <c r="BF185" s="27"/>
      <c r="BG185" s="27"/>
      <c r="BH185" s="27"/>
      <c r="BI185" s="27"/>
      <c r="BJ185" s="27"/>
      <c r="BK185" s="27"/>
      <c r="BL185" s="27"/>
      <c r="BM185" s="27"/>
      <c r="BN185" s="27"/>
      <c r="BO185" s="27"/>
      <c r="BP185" s="27"/>
      <c r="BQ185" s="27"/>
      <c r="BR185" s="27"/>
      <c r="BS185" s="27"/>
      <c r="BT185" s="27"/>
      <c r="BU185" s="27"/>
      <c r="BV185" s="27"/>
      <c r="BW185" s="27"/>
      <c r="BX185" s="27"/>
      <c r="BY185" s="27"/>
      <c r="BZ185" s="27"/>
      <c r="CA185" s="27"/>
      <c r="CB185" s="27"/>
      <c r="CC185" s="27"/>
      <c r="CD185" s="27"/>
      <c r="CE185" s="27"/>
      <c r="CF185" s="27"/>
      <c r="CG185" s="27"/>
      <c r="CH185" s="27"/>
      <c r="CI185" s="27"/>
      <c r="CJ185" s="27"/>
      <c r="CK185" s="27"/>
      <c r="CL185" s="27"/>
      <c r="CM185" s="27"/>
      <c r="CN185" s="27"/>
      <c r="CO185" s="27"/>
      <c r="CP185" s="27"/>
      <c r="CQ185" s="27"/>
      <c r="CR185" s="27"/>
      <c r="CS185" s="27"/>
      <c r="CT185" s="27"/>
      <c r="CU185" s="27"/>
      <c r="CV185" s="27"/>
      <c r="CW185" s="27"/>
      <c r="CX185" s="27"/>
      <c r="CY185" s="27"/>
      <c r="CZ185" s="27"/>
      <c r="DA185" s="27"/>
      <c r="DB185" s="27"/>
      <c r="DC185" s="27"/>
      <c r="DD185" s="27"/>
      <c r="DE185" s="27"/>
      <c r="DF185" s="27"/>
      <c r="DG185" s="27"/>
      <c r="DH185" s="27"/>
      <c r="DI185" s="27"/>
      <c r="DJ185" s="27"/>
      <c r="DK185" s="27"/>
      <c r="DL185" s="27"/>
      <c r="DM185" s="27"/>
      <c r="DN185" s="27"/>
      <c r="DO185" s="27"/>
      <c r="DP185" s="27"/>
      <c r="DQ185" s="27"/>
      <c r="DR185" s="27"/>
      <c r="DS185" s="27"/>
      <c r="DT185" s="27"/>
    </row>
    <row r="186" spans="2:124" x14ac:dyDescent="0.2">
      <c r="B186" s="27" t="s">
        <v>535</v>
      </c>
      <c r="C186" s="27" t="str">
        <f>C5</f>
        <v>ב"א</v>
      </c>
      <c r="D186" s="27"/>
      <c r="E186" s="27"/>
      <c r="F186" s="27" t="e">
        <f>#REF!/#REF!*F187</f>
        <v>#REF!</v>
      </c>
      <c r="G186" s="27" t="s">
        <v>536</v>
      </c>
      <c r="H186" s="27"/>
      <c r="I186" s="27"/>
      <c r="J186" s="27"/>
      <c r="K186" s="27"/>
      <c r="L186" s="27"/>
      <c r="M186" s="27">
        <f t="shared" si="14"/>
        <v>11552.402776248533</v>
      </c>
      <c r="N186" s="27"/>
      <c r="O186" s="27"/>
      <c r="P186" s="27"/>
      <c r="Q186" s="27"/>
      <c r="R186" s="27"/>
      <c r="S186" s="27"/>
      <c r="T186" s="27"/>
      <c r="U186" s="27"/>
      <c r="V186" s="27"/>
      <c r="W186" s="27"/>
      <c r="X186" s="27"/>
      <c r="Y186" s="27"/>
      <c r="Z186" s="27"/>
      <c r="AA186" s="27"/>
      <c r="AB186" s="27"/>
      <c r="AC186" s="27"/>
      <c r="AD186" s="27"/>
      <c r="AE186" s="27"/>
      <c r="AF186" s="27"/>
      <c r="AG186" s="27"/>
      <c r="AH186" s="27"/>
      <c r="AI186" s="27"/>
      <c r="AJ186" s="27"/>
      <c r="AK186" s="27"/>
      <c r="AL186" s="27"/>
      <c r="AM186" s="27"/>
      <c r="AN186" s="27"/>
      <c r="AO186" s="27"/>
      <c r="AP186" s="27"/>
      <c r="AQ186" s="27"/>
      <c r="AR186" s="27"/>
      <c r="AS186" s="27"/>
      <c r="AT186" s="27"/>
      <c r="AU186" s="27"/>
      <c r="AV186" s="27"/>
      <c r="AW186" s="27"/>
      <c r="AX186" s="27"/>
      <c r="AY186" s="27"/>
      <c r="AZ186" s="27"/>
      <c r="BA186" s="27"/>
      <c r="BB186" s="27"/>
      <c r="BC186" s="27"/>
      <c r="BD186" s="27"/>
      <c r="BE186" s="27"/>
      <c r="BF186" s="27"/>
      <c r="BG186" s="27"/>
      <c r="BH186" s="27"/>
      <c r="BI186" s="27"/>
      <c r="BJ186" s="27"/>
      <c r="BK186" s="27"/>
      <c r="BL186" s="27"/>
      <c r="BM186" s="27"/>
      <c r="BN186" s="27"/>
      <c r="BO186" s="27"/>
      <c r="BP186" s="27"/>
      <c r="BQ186" s="27"/>
      <c r="BR186" s="27"/>
      <c r="BS186" s="27"/>
      <c r="BT186" s="27"/>
      <c r="BU186" s="27"/>
      <c r="BV186" s="27"/>
      <c r="BW186" s="27"/>
      <c r="BX186" s="27"/>
      <c r="BY186" s="27"/>
      <c r="BZ186" s="27"/>
      <c r="CA186" s="27"/>
      <c r="CB186" s="27"/>
      <c r="CC186" s="27"/>
      <c r="CD186" s="27"/>
      <c r="CE186" s="27"/>
      <c r="CF186" s="27"/>
      <c r="CG186" s="27"/>
      <c r="CH186" s="27"/>
      <c r="CI186" s="27"/>
      <c r="CJ186" s="27"/>
      <c r="CK186" s="27"/>
      <c r="CL186" s="27"/>
      <c r="CM186" s="27"/>
      <c r="CN186" s="27"/>
      <c r="CO186" s="27"/>
      <c r="CP186" s="27"/>
      <c r="CQ186" s="27"/>
      <c r="CR186" s="27"/>
      <c r="CS186" s="27"/>
      <c r="CT186" s="27"/>
      <c r="CU186" s="27"/>
      <c r="CV186" s="27"/>
      <c r="CW186" s="27"/>
      <c r="CX186" s="27"/>
      <c r="CY186" s="27"/>
      <c r="CZ186" s="27"/>
      <c r="DA186" s="27"/>
      <c r="DB186" s="27"/>
      <c r="DC186" s="27"/>
      <c r="DD186" s="27"/>
      <c r="DE186" s="27"/>
      <c r="DF186" s="27"/>
      <c r="DG186" s="27"/>
      <c r="DH186" s="27"/>
      <c r="DI186" s="27"/>
      <c r="DJ186" s="27"/>
      <c r="DK186" s="27"/>
      <c r="DL186" s="27"/>
      <c r="DM186" s="27"/>
      <c r="DN186" s="27"/>
      <c r="DO186" s="27"/>
      <c r="DP186" s="27"/>
      <c r="DQ186" s="27"/>
      <c r="DR186" s="27"/>
      <c r="DS186" s="27"/>
      <c r="DT186" s="27"/>
    </row>
    <row r="187" spans="2:124" x14ac:dyDescent="0.2">
      <c r="B187" s="27"/>
      <c r="C187" s="27"/>
      <c r="D187" s="27"/>
      <c r="E187" s="27"/>
      <c r="F187" s="27" t="e">
        <f>#REF!</f>
        <v>#REF!</v>
      </c>
      <c r="G187" s="27" t="s">
        <v>537</v>
      </c>
      <c r="H187" s="27"/>
      <c r="I187" s="27"/>
      <c r="J187" s="27">
        <f>IF(BB19=0,0,IF((BB19+P106)&gt;36%,36%,BB19+P106))</f>
        <v>0</v>
      </c>
      <c r="K187" s="27"/>
      <c r="L187" s="27"/>
      <c r="M187" s="27"/>
      <c r="N187" s="27"/>
      <c r="O187" s="27"/>
      <c r="P187" s="27"/>
      <c r="Q187" s="27"/>
      <c r="R187" s="27"/>
      <c r="S187" s="27"/>
      <c r="T187" s="27"/>
      <c r="U187" s="27"/>
      <c r="V187" s="27"/>
      <c r="W187" s="27"/>
      <c r="X187" s="27"/>
      <c r="Y187" s="27"/>
      <c r="Z187" s="27"/>
      <c r="AA187" s="27"/>
      <c r="AB187" s="27"/>
      <c r="AC187" s="27"/>
      <c r="AD187" s="27"/>
      <c r="AE187" s="27"/>
      <c r="AF187" s="27"/>
      <c r="AG187" s="27"/>
      <c r="AH187" s="27"/>
      <c r="AI187" s="27"/>
      <c r="AJ187" s="27"/>
      <c r="AK187" s="27"/>
      <c r="AL187" s="27"/>
      <c r="AM187" s="27"/>
      <c r="AN187" s="27"/>
      <c r="AO187" s="27"/>
      <c r="AP187" s="27"/>
      <c r="AQ187" s="27"/>
      <c r="AR187" s="27"/>
      <c r="AS187" s="27"/>
      <c r="AT187" s="27"/>
      <c r="AU187" s="27"/>
      <c r="AV187" s="27"/>
      <c r="AW187" s="27"/>
      <c r="AX187" s="27"/>
      <c r="AY187" s="27"/>
      <c r="AZ187" s="27"/>
      <c r="BA187" s="27"/>
      <c r="BB187" s="27"/>
      <c r="BC187" s="27"/>
      <c r="BD187" s="27"/>
      <c r="BE187" s="27"/>
      <c r="BF187" s="27"/>
      <c r="BG187" s="27"/>
      <c r="BH187" s="27"/>
      <c r="BI187" s="27"/>
      <c r="BJ187" s="27"/>
      <c r="BK187" s="27"/>
      <c r="BL187" s="27"/>
      <c r="BM187" s="27"/>
      <c r="BN187" s="27"/>
      <c r="BO187" s="27"/>
      <c r="BP187" s="27"/>
      <c r="BQ187" s="27"/>
      <c r="BR187" s="27"/>
      <c r="BS187" s="27"/>
      <c r="BT187" s="27"/>
      <c r="BU187" s="27"/>
      <c r="BV187" s="27"/>
      <c r="BW187" s="27"/>
      <c r="BX187" s="27"/>
      <c r="BY187" s="27"/>
      <c r="BZ187" s="27"/>
      <c r="CA187" s="27"/>
      <c r="CB187" s="27"/>
      <c r="CC187" s="27"/>
      <c r="CD187" s="27"/>
      <c r="CE187" s="27"/>
      <c r="CF187" s="27"/>
      <c r="CG187" s="27"/>
      <c r="CH187" s="27"/>
      <c r="CI187" s="27"/>
      <c r="CJ187" s="27"/>
      <c r="CK187" s="27"/>
      <c r="CL187" s="27"/>
      <c r="CM187" s="27"/>
      <c r="CN187" s="27"/>
      <c r="CO187" s="27"/>
      <c r="CP187" s="27"/>
      <c r="CQ187" s="27"/>
      <c r="CR187" s="27"/>
      <c r="CS187" s="27"/>
      <c r="CT187" s="27"/>
      <c r="CU187" s="27"/>
      <c r="CV187" s="27"/>
      <c r="CW187" s="27"/>
      <c r="CX187" s="27"/>
      <c r="CY187" s="27"/>
      <c r="CZ187" s="27"/>
      <c r="DA187" s="27"/>
      <c r="DB187" s="27"/>
      <c r="DC187" s="27"/>
      <c r="DD187" s="27"/>
      <c r="DE187" s="27"/>
      <c r="DF187" s="27"/>
      <c r="DG187" s="27"/>
      <c r="DH187" s="27"/>
      <c r="DI187" s="27"/>
      <c r="DJ187" s="27"/>
      <c r="DK187" s="27"/>
      <c r="DL187" s="27"/>
      <c r="DM187" s="27"/>
      <c r="DN187" s="27"/>
      <c r="DO187" s="27"/>
      <c r="DP187" s="27"/>
      <c r="DQ187" s="27"/>
      <c r="DR187" s="27"/>
      <c r="DS187" s="27"/>
      <c r="DT187" s="27"/>
    </row>
    <row r="188" spans="2:124" x14ac:dyDescent="0.2">
      <c r="B188" s="27"/>
      <c r="C188" s="27"/>
      <c r="D188" s="27"/>
      <c r="E188" s="27"/>
      <c r="F188" s="27" t="e">
        <f>F187-#REF!</f>
        <v>#REF!</v>
      </c>
      <c r="G188" s="27" t="s">
        <v>538</v>
      </c>
      <c r="H188" s="27"/>
      <c r="I188" s="27"/>
      <c r="J188" s="27">
        <f>VLOOKUP(INT(P107),ghad1,2,FALSE)</f>
        <v>0</v>
      </c>
      <c r="K188" s="27"/>
      <c r="L188" s="27"/>
      <c r="M188" s="27"/>
      <c r="N188" s="27"/>
      <c r="O188" s="27"/>
      <c r="P188" s="27"/>
      <c r="Q188" s="27"/>
      <c r="R188" s="27"/>
      <c r="S188" s="27"/>
      <c r="T188" s="27"/>
      <c r="U188" s="27"/>
      <c r="V188" s="27"/>
      <c r="W188" s="27"/>
      <c r="X188" s="27"/>
      <c r="Y188" s="27"/>
      <c r="Z188" s="27"/>
      <c r="AA188" s="27"/>
      <c r="AB188" s="27"/>
      <c r="AC188" s="27"/>
      <c r="AD188" s="27"/>
      <c r="AE188" s="27"/>
      <c r="AF188" s="27"/>
      <c r="AG188" s="27"/>
      <c r="AH188" s="27"/>
      <c r="AI188" s="27"/>
      <c r="AJ188" s="27"/>
      <c r="AK188" s="27"/>
      <c r="AL188" s="27"/>
      <c r="AM188" s="27"/>
      <c r="AN188" s="27"/>
      <c r="AO188" s="27"/>
      <c r="AP188" s="27"/>
      <c r="AQ188" s="27"/>
      <c r="AR188" s="27"/>
      <c r="AS188" s="27"/>
      <c r="AT188" s="27"/>
      <c r="AU188" s="27"/>
      <c r="AV188" s="27"/>
      <c r="AW188" s="27"/>
      <c r="AX188" s="27"/>
      <c r="AY188" s="27"/>
      <c r="AZ188" s="27"/>
      <c r="BA188" s="27"/>
      <c r="BB188" s="27"/>
      <c r="BC188" s="27"/>
      <c r="BD188" s="27"/>
      <c r="BE188" s="27"/>
      <c r="BF188" s="27"/>
      <c r="BG188" s="27"/>
      <c r="BH188" s="27"/>
      <c r="BI188" s="27"/>
      <c r="BJ188" s="27"/>
      <c r="BK188" s="27"/>
      <c r="BL188" s="27"/>
      <c r="BM188" s="27"/>
      <c r="BN188" s="27"/>
      <c r="BO188" s="27"/>
      <c r="BP188" s="27"/>
      <c r="BQ188" s="27"/>
      <c r="BR188" s="27"/>
      <c r="BS188" s="27"/>
      <c r="BT188" s="27"/>
      <c r="BU188" s="27"/>
      <c r="BV188" s="27"/>
      <c r="BW188" s="27"/>
      <c r="BX188" s="27"/>
      <c r="BY188" s="27"/>
      <c r="BZ188" s="27"/>
      <c r="CA188" s="27"/>
      <c r="CB188" s="27"/>
      <c r="CC188" s="27"/>
      <c r="CD188" s="27"/>
      <c r="CE188" s="27"/>
      <c r="CF188" s="27"/>
      <c r="CG188" s="27"/>
      <c r="CH188" s="27"/>
      <c r="CI188" s="27"/>
      <c r="CJ188" s="27"/>
      <c r="CK188" s="27"/>
      <c r="CL188" s="27"/>
      <c r="CM188" s="27"/>
      <c r="CN188" s="27"/>
      <c r="CO188" s="27"/>
      <c r="CP188" s="27"/>
      <c r="CQ188" s="27"/>
      <c r="CR188" s="27"/>
      <c r="CS188" s="27"/>
      <c r="CT188" s="27"/>
      <c r="CU188" s="27"/>
      <c r="CV188" s="27"/>
      <c r="CW188" s="27"/>
      <c r="CX188" s="27"/>
      <c r="CY188" s="27"/>
      <c r="CZ188" s="27"/>
      <c r="DA188" s="27"/>
      <c r="DB188" s="27"/>
      <c r="DC188" s="27"/>
      <c r="DD188" s="27"/>
      <c r="DE188" s="27"/>
      <c r="DF188" s="27"/>
      <c r="DG188" s="27"/>
      <c r="DH188" s="27"/>
      <c r="DI188" s="27"/>
      <c r="DJ188" s="27"/>
      <c r="DK188" s="27"/>
      <c r="DL188" s="27"/>
      <c r="DM188" s="27"/>
      <c r="DN188" s="27"/>
      <c r="DO188" s="27"/>
      <c r="DP188" s="27"/>
      <c r="DQ188" s="27"/>
      <c r="DR188" s="27"/>
      <c r="DS188" s="27"/>
      <c r="DT188" s="27"/>
    </row>
    <row r="189" spans="2:124" x14ac:dyDescent="0.2">
      <c r="B189" s="27"/>
      <c r="C189" s="27"/>
      <c r="D189" s="27"/>
      <c r="E189" s="27"/>
      <c r="F189" s="27" t="e">
        <f>#REF!</f>
        <v>#REF!</v>
      </c>
      <c r="G189" s="27" t="s">
        <v>539</v>
      </c>
      <c r="H189" s="27"/>
      <c r="I189" s="27"/>
      <c r="J189" s="27"/>
      <c r="K189" s="27"/>
      <c r="L189" s="27"/>
      <c r="M189" s="27"/>
      <c r="N189" s="27"/>
      <c r="O189" s="27"/>
      <c r="P189" s="27"/>
      <c r="Q189" s="27"/>
      <c r="R189" s="27"/>
      <c r="S189" s="27"/>
      <c r="T189" s="27"/>
      <c r="U189" s="27"/>
      <c r="V189" s="27"/>
      <c r="W189" s="27"/>
      <c r="X189" s="27"/>
      <c r="Y189" s="27"/>
      <c r="Z189" s="27"/>
      <c r="AA189" s="27"/>
      <c r="AB189" s="27"/>
      <c r="AC189" s="27"/>
      <c r="AD189" s="27"/>
      <c r="AE189" s="27"/>
      <c r="AF189" s="27"/>
      <c r="AG189" s="27"/>
      <c r="AH189" s="27"/>
      <c r="AI189" s="27"/>
      <c r="AJ189" s="27"/>
      <c r="AK189" s="27"/>
      <c r="AL189" s="27"/>
      <c r="AM189" s="27"/>
      <c r="AN189" s="27"/>
      <c r="AO189" s="27"/>
      <c r="AP189" s="27"/>
      <c r="AQ189" s="27"/>
      <c r="AR189" s="27"/>
      <c r="AS189" s="27"/>
      <c r="AT189" s="27"/>
      <c r="AU189" s="27"/>
      <c r="AV189" s="27"/>
      <c r="AW189" s="27"/>
      <c r="AX189" s="27"/>
      <c r="AY189" s="27"/>
      <c r="AZ189" s="27"/>
      <c r="BA189" s="27"/>
      <c r="BB189" s="27"/>
      <c r="BC189" s="27"/>
      <c r="BD189" s="27"/>
      <c r="BE189" s="27"/>
      <c r="BF189" s="27"/>
      <c r="BG189" s="27"/>
      <c r="BH189" s="27"/>
      <c r="BI189" s="27"/>
      <c r="BJ189" s="27"/>
      <c r="BK189" s="27"/>
      <c r="BL189" s="27"/>
      <c r="BM189" s="27"/>
      <c r="BN189" s="27"/>
      <c r="BO189" s="27"/>
      <c r="BP189" s="27"/>
      <c r="BQ189" s="27"/>
      <c r="BR189" s="27"/>
      <c r="BS189" s="27"/>
      <c r="BT189" s="27"/>
      <c r="BU189" s="27"/>
      <c r="BV189" s="27"/>
      <c r="BW189" s="27"/>
      <c r="BX189" s="27"/>
      <c r="BY189" s="27"/>
      <c r="BZ189" s="27"/>
      <c r="CA189" s="27"/>
      <c r="CB189" s="27"/>
      <c r="CC189" s="27"/>
      <c r="CD189" s="27"/>
      <c r="CE189" s="27"/>
      <c r="CF189" s="27"/>
      <c r="CG189" s="27"/>
      <c r="CH189" s="27"/>
      <c r="CI189" s="27"/>
      <c r="CJ189" s="27"/>
      <c r="CK189" s="27"/>
      <c r="CL189" s="27"/>
      <c r="CM189" s="27"/>
      <c r="CN189" s="27"/>
      <c r="CO189" s="27"/>
      <c r="CP189" s="27"/>
      <c r="CQ189" s="27"/>
      <c r="CR189" s="27"/>
      <c r="CS189" s="27"/>
      <c r="CT189" s="27"/>
      <c r="CU189" s="27"/>
      <c r="CV189" s="27"/>
      <c r="CW189" s="27"/>
      <c r="CX189" s="27"/>
      <c r="CY189" s="27"/>
      <c r="CZ189" s="27"/>
      <c r="DA189" s="27"/>
      <c r="DB189" s="27"/>
      <c r="DC189" s="27"/>
      <c r="DD189" s="27"/>
      <c r="DE189" s="27"/>
      <c r="DF189" s="27"/>
      <c r="DG189" s="27"/>
      <c r="DH189" s="27"/>
      <c r="DI189" s="27"/>
      <c r="DJ189" s="27"/>
      <c r="DK189" s="27"/>
      <c r="DL189" s="27"/>
      <c r="DM189" s="27"/>
      <c r="DN189" s="27"/>
      <c r="DO189" s="27"/>
      <c r="DP189" s="27"/>
      <c r="DQ189" s="27"/>
      <c r="DR189" s="27"/>
      <c r="DS189" s="27"/>
      <c r="DT189" s="27"/>
    </row>
    <row r="190" spans="2:124" x14ac:dyDescent="0.2">
      <c r="B190" s="27"/>
      <c r="C190" s="27"/>
      <c r="D190" s="27"/>
      <c r="E190" s="27"/>
      <c r="F190" s="27" t="e">
        <f>#REF!-BK30</f>
        <v>#REF!</v>
      </c>
      <c r="G190" s="27" t="e">
        <f>IF(#REF!=0,0,#REF!-#REF!)</f>
        <v>#REF!</v>
      </c>
      <c r="H190" s="27"/>
      <c r="I190" s="27"/>
      <c r="J190" s="27"/>
      <c r="K190" s="27"/>
      <c r="L190" s="27"/>
      <c r="M190" s="27"/>
      <c r="N190" s="27"/>
      <c r="O190" s="27"/>
      <c r="P190" s="27"/>
      <c r="Q190" s="27"/>
      <c r="R190" s="27"/>
      <c r="S190" s="27"/>
      <c r="T190" s="27"/>
      <c r="U190" s="27"/>
      <c r="V190" s="27"/>
      <c r="W190" s="27"/>
      <c r="X190" s="27"/>
      <c r="Y190" s="27"/>
      <c r="Z190" s="27"/>
      <c r="AA190" s="27"/>
      <c r="AB190" s="27"/>
      <c r="AC190" s="27"/>
      <c r="AD190" s="27"/>
      <c r="AE190" s="27"/>
      <c r="AF190" s="27"/>
      <c r="AG190" s="27"/>
      <c r="AH190" s="27"/>
      <c r="AI190" s="27"/>
      <c r="AJ190" s="27"/>
      <c r="AK190" s="27"/>
      <c r="AL190" s="27"/>
      <c r="AM190" s="27"/>
      <c r="AN190" s="27"/>
      <c r="AO190" s="27"/>
      <c r="AP190" s="27"/>
      <c r="AQ190" s="27"/>
      <c r="AR190" s="27"/>
      <c r="AS190" s="27"/>
      <c r="AT190" s="27"/>
      <c r="AU190" s="27"/>
      <c r="AV190" s="27"/>
      <c r="AW190" s="27"/>
      <c r="AX190" s="27"/>
      <c r="AY190" s="27"/>
      <c r="AZ190" s="27"/>
      <c r="BA190" s="27"/>
      <c r="BB190" s="27"/>
      <c r="BC190" s="27"/>
      <c r="BD190" s="27"/>
      <c r="BE190" s="27"/>
      <c r="BF190" s="27"/>
      <c r="BG190" s="27"/>
      <c r="BH190" s="27"/>
      <c r="BI190" s="27"/>
      <c r="BJ190" s="27"/>
      <c r="BK190" s="27"/>
      <c r="BL190" s="27"/>
      <c r="BM190" s="27"/>
      <c r="BN190" s="27"/>
      <c r="BO190" s="27"/>
      <c r="BP190" s="27"/>
      <c r="BQ190" s="27"/>
      <c r="BR190" s="27"/>
      <c r="BS190" s="27"/>
      <c r="BT190" s="27"/>
      <c r="BU190" s="27"/>
      <c r="BV190" s="27"/>
      <c r="BW190" s="27"/>
      <c r="BX190" s="27"/>
      <c r="BY190" s="27"/>
      <c r="BZ190" s="27"/>
      <c r="CA190" s="27"/>
      <c r="CB190" s="27"/>
      <c r="CC190" s="27"/>
      <c r="CD190" s="27"/>
      <c r="CE190" s="27"/>
      <c r="CF190" s="27"/>
      <c r="CG190" s="27"/>
      <c r="CH190" s="27"/>
      <c r="CI190" s="27"/>
      <c r="CJ190" s="27"/>
      <c r="CK190" s="27"/>
      <c r="CL190" s="27"/>
      <c r="CM190" s="27"/>
      <c r="CN190" s="27"/>
      <c r="CO190" s="27"/>
      <c r="CP190" s="27"/>
      <c r="CQ190" s="27"/>
      <c r="CR190" s="27"/>
      <c r="CS190" s="27"/>
      <c r="CT190" s="27"/>
      <c r="CU190" s="27"/>
      <c r="CV190" s="27"/>
      <c r="CW190" s="27"/>
      <c r="CX190" s="27"/>
      <c r="CY190" s="27"/>
      <c r="CZ190" s="27"/>
      <c r="DA190" s="27"/>
      <c r="DB190" s="27"/>
      <c r="DC190" s="27"/>
      <c r="DD190" s="27"/>
      <c r="DE190" s="27"/>
      <c r="DF190" s="27"/>
      <c r="DG190" s="27"/>
      <c r="DH190" s="27"/>
      <c r="DI190" s="27"/>
      <c r="DJ190" s="27"/>
      <c r="DK190" s="27"/>
      <c r="DL190" s="27"/>
      <c r="DM190" s="27"/>
      <c r="DN190" s="27"/>
      <c r="DO190" s="27"/>
      <c r="DP190" s="27"/>
      <c r="DQ190" s="27"/>
      <c r="DR190" s="27"/>
      <c r="DS190" s="27"/>
      <c r="DT190" s="27"/>
    </row>
    <row r="191" spans="2:124" x14ac:dyDescent="0.2">
      <c r="B191" s="27"/>
      <c r="C191" s="27"/>
      <c r="D191" s="27"/>
      <c r="E191" s="27"/>
      <c r="F191" s="27"/>
      <c r="G191" s="27"/>
      <c r="H191" s="27"/>
      <c r="I191" s="27"/>
      <c r="J191" s="27"/>
      <c r="K191" s="27"/>
      <c r="L191" s="27"/>
      <c r="M191" s="27"/>
      <c r="N191" s="27"/>
      <c r="O191" s="27"/>
      <c r="P191" s="27"/>
      <c r="Q191" s="27"/>
      <c r="R191" s="27"/>
      <c r="S191" s="27"/>
      <c r="T191" s="27"/>
      <c r="U191" s="27"/>
      <c r="V191" s="27"/>
      <c r="W191" s="27"/>
      <c r="X191" s="27"/>
      <c r="Y191" s="27"/>
      <c r="Z191" s="27"/>
      <c r="AA191" s="27"/>
      <c r="AB191" s="27"/>
      <c r="AC191" s="27"/>
      <c r="AD191" s="27"/>
      <c r="AE191" s="27"/>
      <c r="AF191" s="27"/>
      <c r="AG191" s="27"/>
      <c r="AH191" s="27"/>
      <c r="AI191" s="27"/>
      <c r="AJ191" s="27"/>
      <c r="AK191" s="27"/>
      <c r="AL191" s="27"/>
      <c r="AM191" s="27"/>
      <c r="AN191" s="27"/>
      <c r="AO191" s="27"/>
      <c r="AP191" s="27"/>
      <c r="AQ191" s="27"/>
      <c r="AR191" s="27"/>
      <c r="AS191" s="27"/>
      <c r="AT191" s="27"/>
      <c r="AU191" s="27"/>
      <c r="AV191" s="27"/>
      <c r="AW191" s="27"/>
      <c r="AX191" s="27"/>
      <c r="AY191" s="27"/>
      <c r="AZ191" s="27"/>
      <c r="BA191" s="27"/>
      <c r="BB191" s="27"/>
      <c r="BC191" s="27"/>
      <c r="BD191" s="27"/>
      <c r="BE191" s="27"/>
      <c r="BF191" s="27"/>
      <c r="BG191" s="27"/>
      <c r="BH191" s="27"/>
      <c r="BI191" s="27"/>
      <c r="BJ191" s="27"/>
      <c r="BK191" s="27"/>
      <c r="BL191" s="27"/>
      <c r="BM191" s="27"/>
      <c r="BN191" s="27"/>
      <c r="BO191" s="27"/>
      <c r="BP191" s="27"/>
      <c r="BQ191" s="27"/>
      <c r="BR191" s="27"/>
      <c r="BS191" s="27"/>
      <c r="BT191" s="27"/>
      <c r="BU191" s="27"/>
      <c r="BV191" s="27"/>
      <c r="BW191" s="27"/>
      <c r="BX191" s="27"/>
      <c r="BY191" s="27"/>
      <c r="BZ191" s="27"/>
      <c r="CA191" s="27"/>
      <c r="CB191" s="27"/>
      <c r="CC191" s="27"/>
      <c r="CD191" s="27"/>
      <c r="CE191" s="27"/>
      <c r="CF191" s="27"/>
      <c r="CG191" s="27"/>
      <c r="CH191" s="27"/>
      <c r="CI191" s="27"/>
      <c r="CJ191" s="27"/>
      <c r="CK191" s="27"/>
      <c r="CL191" s="27"/>
      <c r="CM191" s="27"/>
      <c r="CN191" s="27"/>
      <c r="CO191" s="27"/>
      <c r="CP191" s="27"/>
      <c r="CQ191" s="27"/>
      <c r="CR191" s="27"/>
      <c r="CS191" s="27"/>
      <c r="CT191" s="27"/>
      <c r="CU191" s="27"/>
      <c r="CV191" s="27"/>
      <c r="CW191" s="27"/>
      <c r="CX191" s="27"/>
      <c r="CY191" s="27"/>
      <c r="CZ191" s="27"/>
      <c r="DA191" s="27"/>
      <c r="DB191" s="27"/>
      <c r="DC191" s="27"/>
      <c r="DD191" s="27"/>
      <c r="DE191" s="27"/>
      <c r="DF191" s="27"/>
      <c r="DG191" s="27"/>
      <c r="DH191" s="27"/>
      <c r="DI191" s="27"/>
      <c r="DJ191" s="27"/>
      <c r="DK191" s="27"/>
      <c r="DL191" s="27"/>
      <c r="DM191" s="27"/>
      <c r="DN191" s="27"/>
      <c r="DO191" s="27"/>
      <c r="DP191" s="27"/>
      <c r="DQ191" s="27"/>
      <c r="DR191" s="27"/>
      <c r="DS191" s="27"/>
      <c r="DT191" s="27"/>
    </row>
    <row r="192" spans="2:124" x14ac:dyDescent="0.2">
      <c r="B192" s="27"/>
      <c r="C192" s="27"/>
      <c r="D192" s="27"/>
      <c r="E192" s="27"/>
      <c r="F192" s="27"/>
      <c r="G192" s="27" t="s">
        <v>540</v>
      </c>
      <c r="H192" s="27">
        <f>ROUND((AK25-AQ17)/365.25,2)</f>
        <v>0.36</v>
      </c>
      <c r="I192" s="27"/>
      <c r="J192" s="27"/>
      <c r="K192" s="27"/>
      <c r="L192" s="27"/>
      <c r="M192" s="27"/>
      <c r="N192" s="27"/>
      <c r="O192" s="27"/>
      <c r="P192" s="27"/>
      <c r="Q192" s="27"/>
      <c r="R192" s="27"/>
      <c r="S192" s="27"/>
      <c r="T192" s="27"/>
      <c r="U192" s="27"/>
      <c r="V192" s="27"/>
      <c r="W192" s="27"/>
      <c r="X192" s="27"/>
      <c r="Y192" s="27"/>
      <c r="Z192" s="27"/>
      <c r="AA192" s="27"/>
      <c r="AB192" s="27"/>
      <c r="AC192" s="27"/>
      <c r="AD192" s="27"/>
      <c r="AE192" s="27"/>
      <c r="AF192" s="27"/>
      <c r="AG192" s="27"/>
      <c r="AH192" s="27"/>
      <c r="AI192" s="27"/>
      <c r="AJ192" s="27"/>
      <c r="AK192" s="27"/>
      <c r="AL192" s="27"/>
      <c r="AM192" s="27"/>
      <c r="AN192" s="27"/>
      <c r="AO192" s="27"/>
      <c r="AP192" s="27"/>
      <c r="AQ192" s="27"/>
      <c r="AR192" s="27"/>
      <c r="AS192" s="27"/>
      <c r="AT192" s="27"/>
      <c r="AU192" s="27"/>
      <c r="AV192" s="27"/>
      <c r="AW192" s="27"/>
      <c r="AX192" s="27"/>
      <c r="AY192" s="27"/>
      <c r="AZ192" s="27"/>
      <c r="BA192" s="27"/>
      <c r="BB192" s="27"/>
      <c r="BC192" s="27"/>
      <c r="BD192" s="27"/>
      <c r="BE192" s="27"/>
      <c r="BF192" s="27"/>
      <c r="BG192" s="27"/>
      <c r="BH192" s="27"/>
      <c r="BI192" s="27"/>
      <c r="BJ192" s="27"/>
      <c r="BK192" s="27"/>
      <c r="BL192" s="27"/>
      <c r="BM192" s="27"/>
      <c r="BN192" s="27"/>
      <c r="BO192" s="27"/>
      <c r="BP192" s="27"/>
      <c r="BQ192" s="27"/>
      <c r="BR192" s="27"/>
      <c r="BS192" s="27"/>
      <c r="BT192" s="27"/>
      <c r="BU192" s="27"/>
      <c r="BV192" s="27"/>
      <c r="BW192" s="27"/>
      <c r="BX192" s="27"/>
      <c r="BY192" s="27"/>
      <c r="BZ192" s="27"/>
      <c r="CA192" s="27"/>
      <c r="CB192" s="27"/>
      <c r="CC192" s="27"/>
      <c r="CD192" s="27"/>
      <c r="CE192" s="27"/>
      <c r="CF192" s="27"/>
      <c r="CG192" s="27"/>
      <c r="CH192" s="27"/>
      <c r="CI192" s="27"/>
      <c r="CJ192" s="27"/>
      <c r="CK192" s="27"/>
      <c r="CL192" s="27"/>
      <c r="CM192" s="27"/>
      <c r="CN192" s="27"/>
      <c r="CO192" s="27"/>
      <c r="CP192" s="27"/>
      <c r="CQ192" s="27"/>
      <c r="CR192" s="27"/>
      <c r="CS192" s="27"/>
      <c r="CT192" s="27"/>
      <c r="CU192" s="27"/>
      <c r="CV192" s="27"/>
      <c r="CW192" s="27"/>
      <c r="CX192" s="27"/>
      <c r="CY192" s="27"/>
      <c r="CZ192" s="27"/>
      <c r="DA192" s="27"/>
      <c r="DB192" s="27"/>
      <c r="DC192" s="27"/>
      <c r="DD192" s="27"/>
      <c r="DE192" s="27"/>
      <c r="DF192" s="27"/>
      <c r="DG192" s="27"/>
      <c r="DH192" s="27"/>
      <c r="DI192" s="27"/>
      <c r="DJ192" s="27"/>
      <c r="DK192" s="27"/>
      <c r="DL192" s="27"/>
      <c r="DM192" s="27"/>
      <c r="DN192" s="27"/>
      <c r="DO192" s="27"/>
      <c r="DP192" s="27"/>
      <c r="DQ192" s="27"/>
      <c r="DR192" s="27"/>
      <c r="DS192" s="27"/>
      <c r="DT192" s="27"/>
    </row>
    <row r="193" spans="2:124" x14ac:dyDescent="0.2">
      <c r="B193" s="27" t="s">
        <v>541</v>
      </c>
      <c r="C193" s="27" t="s">
        <v>542</v>
      </c>
      <c r="D193" s="27"/>
      <c r="E193" s="27"/>
      <c r="F193" s="27" t="e">
        <f>#REF!</f>
        <v>#REF!</v>
      </c>
      <c r="G193" s="27"/>
      <c r="H193" s="27">
        <f>H156-H192</f>
        <v>32.056666666666665</v>
      </c>
      <c r="I193" s="27"/>
      <c r="J193" s="27"/>
      <c r="K193" s="27"/>
      <c r="L193" s="27"/>
      <c r="M193" s="27"/>
      <c r="N193" s="27"/>
      <c r="O193" s="27"/>
      <c r="P193" s="27"/>
      <c r="Q193" s="27"/>
      <c r="R193" s="27"/>
      <c r="S193" s="27"/>
      <c r="T193" s="27"/>
      <c r="U193" s="27"/>
      <c r="V193" s="27"/>
      <c r="W193" s="27"/>
      <c r="X193" s="27"/>
      <c r="Y193" s="27"/>
      <c r="Z193" s="27"/>
      <c r="AA193" s="27"/>
      <c r="AB193" s="27"/>
      <c r="AC193" s="27"/>
      <c r="AD193" s="27"/>
      <c r="AE193" s="27"/>
      <c r="AF193" s="27"/>
      <c r="AG193" s="27"/>
      <c r="AH193" s="27"/>
      <c r="AI193" s="27"/>
      <c r="AJ193" s="27"/>
      <c r="AK193" s="27"/>
      <c r="AL193" s="27"/>
      <c r="AM193" s="27"/>
      <c r="AN193" s="27"/>
      <c r="AO193" s="27"/>
      <c r="AP193" s="27"/>
      <c r="AQ193" s="27"/>
      <c r="AR193" s="27"/>
      <c r="AS193" s="27"/>
      <c r="AT193" s="27"/>
      <c r="AU193" s="27"/>
      <c r="AV193" s="27"/>
      <c r="AW193" s="27"/>
      <c r="AX193" s="27"/>
      <c r="AY193" s="27"/>
      <c r="AZ193" s="27"/>
      <c r="BA193" s="27"/>
      <c r="BB193" s="27"/>
      <c r="BC193" s="27"/>
      <c r="BD193" s="27"/>
      <c r="BE193" s="27"/>
      <c r="BF193" s="27"/>
      <c r="BG193" s="27"/>
      <c r="BH193" s="27"/>
      <c r="BI193" s="27"/>
      <c r="BJ193" s="27"/>
      <c r="BK193" s="27"/>
      <c r="BL193" s="27"/>
      <c r="BM193" s="27"/>
      <c r="BN193" s="27"/>
      <c r="BO193" s="27"/>
      <c r="BP193" s="27"/>
      <c r="BQ193" s="27"/>
      <c r="BR193" s="27"/>
      <c r="BS193" s="27"/>
      <c r="BT193" s="27"/>
      <c r="BU193" s="27"/>
      <c r="BV193" s="27"/>
      <c r="BW193" s="27"/>
      <c r="BX193" s="27"/>
      <c r="BY193" s="27"/>
      <c r="BZ193" s="27"/>
      <c r="CA193" s="27"/>
      <c r="CB193" s="27"/>
      <c r="CC193" s="27"/>
      <c r="CD193" s="27"/>
      <c r="CE193" s="27"/>
      <c r="CF193" s="27"/>
      <c r="CG193" s="27"/>
      <c r="CH193" s="27"/>
      <c r="CI193" s="27"/>
      <c r="CJ193" s="27"/>
      <c r="CK193" s="27"/>
      <c r="CL193" s="27"/>
      <c r="CM193" s="27"/>
      <c r="CN193" s="27"/>
      <c r="CO193" s="27"/>
      <c r="CP193" s="27"/>
      <c r="CQ193" s="27"/>
      <c r="CR193" s="27"/>
      <c r="CS193" s="27"/>
      <c r="CT193" s="27"/>
      <c r="CU193" s="27"/>
      <c r="CV193" s="27"/>
      <c r="CW193" s="27"/>
      <c r="CX193" s="27"/>
      <c r="CY193" s="27"/>
      <c r="CZ193" s="27"/>
      <c r="DA193" s="27"/>
      <c r="DB193" s="27"/>
      <c r="DC193" s="27"/>
      <c r="DD193" s="27"/>
      <c r="DE193" s="27"/>
      <c r="DF193" s="27"/>
      <c r="DG193" s="27"/>
      <c r="DH193" s="27"/>
      <c r="DI193" s="27"/>
      <c r="DJ193" s="27"/>
      <c r="DK193" s="27"/>
      <c r="DL193" s="27"/>
      <c r="DM193" s="27"/>
      <c r="DN193" s="27"/>
      <c r="DO193" s="27"/>
      <c r="DP193" s="27"/>
      <c r="DQ193" s="27"/>
      <c r="DR193" s="27"/>
      <c r="DS193" s="27"/>
      <c r="DT193" s="27"/>
    </row>
    <row r="194" spans="2:124" x14ac:dyDescent="0.2">
      <c r="B194" s="27" t="e">
        <f>#REF!</f>
        <v>#REF!</v>
      </c>
      <c r="C194" s="27" t="s">
        <v>543</v>
      </c>
      <c r="D194" s="27" t="s">
        <v>59</v>
      </c>
      <c r="E194" s="27"/>
      <c r="F194" s="27"/>
      <c r="G194" s="27"/>
      <c r="H194" s="27"/>
      <c r="I194" s="27"/>
      <c r="J194" s="27"/>
      <c r="K194" s="27"/>
      <c r="L194" s="27"/>
      <c r="M194" s="27"/>
      <c r="N194" s="27"/>
      <c r="O194" s="27"/>
      <c r="P194" s="27"/>
      <c r="Q194" s="27"/>
      <c r="R194" s="27"/>
      <c r="S194" s="27"/>
      <c r="T194" s="27"/>
      <c r="U194" s="27"/>
      <c r="V194" s="27"/>
      <c r="W194" s="27"/>
      <c r="X194" s="27"/>
      <c r="Y194" s="27"/>
      <c r="Z194" s="27"/>
      <c r="AA194" s="27"/>
      <c r="AB194" s="27"/>
      <c r="AC194" s="27"/>
      <c r="AD194" s="27"/>
      <c r="AE194" s="27"/>
      <c r="AF194" s="27"/>
      <c r="AG194" s="27"/>
      <c r="AH194" s="27"/>
      <c r="AI194" s="27"/>
      <c r="AJ194" s="27"/>
      <c r="AK194" s="27"/>
      <c r="AL194" s="27"/>
      <c r="AM194" s="27"/>
      <c r="AN194" s="27"/>
      <c r="AO194" s="27"/>
      <c r="AP194" s="27"/>
      <c r="AQ194" s="27"/>
      <c r="AR194" s="27"/>
      <c r="AS194" s="27"/>
      <c r="AT194" s="27"/>
      <c r="AU194" s="27"/>
      <c r="AV194" s="27"/>
      <c r="AW194" s="27"/>
      <c r="AX194" s="27"/>
      <c r="AY194" s="27"/>
      <c r="AZ194" s="27"/>
      <c r="BA194" s="27"/>
      <c r="BB194" s="27"/>
      <c r="BC194" s="27"/>
      <c r="BD194" s="27"/>
      <c r="BE194" s="27"/>
      <c r="BF194" s="27"/>
      <c r="BG194" s="27"/>
      <c r="BH194" s="27"/>
      <c r="BI194" s="27"/>
      <c r="BJ194" s="27"/>
      <c r="BK194" s="27"/>
      <c r="BL194" s="27"/>
      <c r="BM194" s="27"/>
      <c r="BN194" s="27"/>
      <c r="BO194" s="27"/>
      <c r="BP194" s="27"/>
      <c r="BQ194" s="27"/>
      <c r="BR194" s="27"/>
      <c r="BS194" s="27"/>
      <c r="BT194" s="27"/>
      <c r="BU194" s="27"/>
      <c r="BV194" s="27"/>
      <c r="BW194" s="27"/>
      <c r="BX194" s="27"/>
      <c r="BY194" s="27"/>
      <c r="BZ194" s="27"/>
      <c r="CA194" s="27"/>
      <c r="CB194" s="27"/>
      <c r="CC194" s="27"/>
      <c r="CD194" s="27"/>
      <c r="CE194" s="27"/>
      <c r="CF194" s="27"/>
      <c r="CG194" s="27"/>
      <c r="CH194" s="27"/>
      <c r="CI194" s="27"/>
      <c r="CJ194" s="27"/>
      <c r="CK194" s="27"/>
      <c r="CL194" s="27"/>
      <c r="CM194" s="27"/>
      <c r="CN194" s="27"/>
      <c r="CO194" s="27"/>
      <c r="CP194" s="27"/>
      <c r="CQ194" s="27"/>
      <c r="CR194" s="27"/>
      <c r="CS194" s="27"/>
      <c r="CT194" s="27"/>
      <c r="CU194" s="27"/>
      <c r="CV194" s="27"/>
      <c r="CW194" s="27"/>
      <c r="CX194" s="27"/>
      <c r="CY194" s="27"/>
      <c r="CZ194" s="27"/>
      <c r="DA194" s="27"/>
      <c r="DB194" s="27"/>
      <c r="DC194" s="27"/>
      <c r="DD194" s="27"/>
      <c r="DE194" s="27"/>
      <c r="DF194" s="27"/>
      <c r="DG194" s="27"/>
      <c r="DH194" s="27"/>
      <c r="DI194" s="27"/>
      <c r="DJ194" s="27"/>
      <c r="DK194" s="27"/>
      <c r="DL194" s="27"/>
      <c r="DM194" s="27"/>
      <c r="DN194" s="27"/>
      <c r="DO194" s="27"/>
      <c r="DP194" s="27"/>
      <c r="DQ194" s="27"/>
      <c r="DR194" s="27"/>
      <c r="DS194" s="27"/>
      <c r="DT194" s="27"/>
    </row>
    <row r="195" spans="2:124" x14ac:dyDescent="0.2">
      <c r="B195" s="27" t="e">
        <f>#REF!</f>
        <v>#REF!</v>
      </c>
      <c r="C195" s="27" t="s">
        <v>544</v>
      </c>
      <c r="D195" s="27" t="s">
        <v>59</v>
      </c>
      <c r="E195" s="27"/>
      <c r="F195" s="27"/>
      <c r="G195" s="27" t="s">
        <v>545</v>
      </c>
      <c r="H195" s="27"/>
      <c r="I195" s="27"/>
      <c r="J195" s="27"/>
      <c r="K195" s="27"/>
      <c r="L195" s="27"/>
      <c r="M195" s="27"/>
      <c r="N195" s="27"/>
      <c r="O195" s="27"/>
      <c r="P195" s="27"/>
      <c r="Q195" s="27"/>
      <c r="R195" s="27"/>
      <c r="S195" s="27"/>
      <c r="T195" s="27"/>
      <c r="U195" s="27"/>
      <c r="V195" s="27"/>
      <c r="W195" s="27"/>
      <c r="X195" s="27"/>
      <c r="Y195" s="27"/>
      <c r="Z195" s="27"/>
      <c r="AA195" s="27"/>
      <c r="AB195" s="27"/>
      <c r="AC195" s="27"/>
      <c r="AD195" s="27"/>
      <c r="AE195" s="27"/>
      <c r="AF195" s="27"/>
      <c r="AG195" s="27"/>
      <c r="AH195" s="27"/>
      <c r="AI195" s="27"/>
      <c r="AJ195" s="27"/>
      <c r="AK195" s="27"/>
      <c r="AL195" s="27"/>
      <c r="AM195" s="27"/>
      <c r="AN195" s="27"/>
      <c r="AO195" s="27"/>
      <c r="AP195" s="27"/>
      <c r="AQ195" s="27"/>
      <c r="AR195" s="27"/>
      <c r="AS195" s="27"/>
      <c r="AT195" s="27"/>
      <c r="AU195" s="27"/>
      <c r="AV195" s="27"/>
      <c r="AW195" s="27"/>
      <c r="AX195" s="27"/>
      <c r="AY195" s="27"/>
      <c r="AZ195" s="27"/>
      <c r="BA195" s="27"/>
      <c r="BB195" s="27"/>
      <c r="BC195" s="27"/>
      <c r="BD195" s="27"/>
      <c r="BE195" s="27"/>
      <c r="BF195" s="27"/>
      <c r="BG195" s="27"/>
      <c r="BH195" s="27"/>
      <c r="BI195" s="27"/>
      <c r="BJ195" s="27"/>
      <c r="BK195" s="27"/>
      <c r="BL195" s="27"/>
      <c r="BM195" s="27"/>
      <c r="BN195" s="27"/>
      <c r="BO195" s="27"/>
      <c r="BP195" s="27"/>
      <c r="BQ195" s="27"/>
      <c r="BR195" s="27"/>
      <c r="BS195" s="27"/>
      <c r="BT195" s="27"/>
      <c r="BU195" s="27"/>
      <c r="BV195" s="27"/>
      <c r="BW195" s="27"/>
      <c r="BX195" s="27"/>
      <c r="BY195" s="27"/>
      <c r="BZ195" s="27"/>
      <c r="CA195" s="27"/>
      <c r="CB195" s="27"/>
      <c r="CC195" s="27"/>
      <c r="CD195" s="27"/>
      <c r="CE195" s="27"/>
      <c r="CF195" s="27"/>
      <c r="CG195" s="27"/>
      <c r="CH195" s="27"/>
      <c r="CI195" s="27"/>
      <c r="CJ195" s="27"/>
      <c r="CK195" s="27"/>
      <c r="CL195" s="27"/>
      <c r="CM195" s="27"/>
      <c r="CN195" s="27"/>
      <c r="CO195" s="27"/>
      <c r="CP195" s="27"/>
      <c r="CQ195" s="27"/>
      <c r="CR195" s="27"/>
      <c r="CS195" s="27"/>
      <c r="CT195" s="27"/>
      <c r="CU195" s="27"/>
      <c r="CV195" s="27"/>
      <c r="CW195" s="27"/>
      <c r="CX195" s="27"/>
      <c r="CY195" s="27"/>
      <c r="CZ195" s="27"/>
      <c r="DA195" s="27"/>
      <c r="DB195" s="27"/>
      <c r="DC195" s="27"/>
      <c r="DD195" s="27"/>
      <c r="DE195" s="27"/>
      <c r="DF195" s="27"/>
      <c r="DG195" s="27"/>
      <c r="DH195" s="27"/>
      <c r="DI195" s="27"/>
      <c r="DJ195" s="27"/>
      <c r="DK195" s="27"/>
      <c r="DL195" s="27"/>
      <c r="DM195" s="27"/>
      <c r="DN195" s="27"/>
      <c r="DO195" s="27"/>
      <c r="DP195" s="27"/>
      <c r="DQ195" s="27"/>
      <c r="DR195" s="27"/>
      <c r="DS195" s="27"/>
      <c r="DT195" s="27"/>
    </row>
    <row r="196" spans="2:124" x14ac:dyDescent="0.2">
      <c r="B196" s="27" t="e">
        <f>#REF!</f>
        <v>#REF!</v>
      </c>
      <c r="C196" s="27" t="s">
        <v>546</v>
      </c>
      <c r="D196" s="27" t="str">
        <f>F155&amp;"   :   מספר חודשים"</f>
        <v>0   :   מספר חודשים</v>
      </c>
      <c r="E196" s="27"/>
      <c r="F196" s="27"/>
      <c r="G196" s="27"/>
      <c r="H196" s="27"/>
      <c r="I196" s="27"/>
      <c r="J196" s="27"/>
      <c r="K196" s="27"/>
      <c r="L196" s="27"/>
      <c r="M196" s="27"/>
      <c r="N196" s="27"/>
      <c r="O196" s="27"/>
      <c r="P196" s="27"/>
      <c r="Q196" s="27"/>
      <c r="R196" s="27"/>
      <c r="S196" s="27"/>
      <c r="T196" s="27"/>
      <c r="U196" s="27"/>
      <c r="V196" s="27"/>
      <c r="W196" s="27"/>
      <c r="X196" s="27"/>
      <c r="Y196" s="27"/>
      <c r="Z196" s="27"/>
      <c r="AA196" s="27"/>
      <c r="AB196" s="27"/>
      <c r="AC196" s="27"/>
      <c r="AD196" s="27"/>
      <c r="AE196" s="27"/>
      <c r="AF196" s="27"/>
      <c r="AG196" s="27"/>
      <c r="AH196" s="27"/>
      <c r="AI196" s="27"/>
      <c r="AJ196" s="27"/>
      <c r="AK196" s="27"/>
      <c r="AL196" s="27"/>
      <c r="AM196" s="27"/>
      <c r="AN196" s="27"/>
      <c r="AO196" s="27"/>
      <c r="AP196" s="27"/>
      <c r="AQ196" s="27"/>
      <c r="AR196" s="27"/>
      <c r="AS196" s="27"/>
      <c r="AT196" s="27"/>
      <c r="AU196" s="27"/>
      <c r="AV196" s="27"/>
      <c r="AW196" s="27"/>
      <c r="AX196" s="27"/>
      <c r="AY196" s="27"/>
      <c r="AZ196" s="27"/>
      <c r="BA196" s="27"/>
      <c r="BB196" s="27"/>
      <c r="BC196" s="27"/>
      <c r="BD196" s="27"/>
      <c r="BE196" s="27"/>
      <c r="BF196" s="27"/>
      <c r="BG196" s="27"/>
      <c r="BH196" s="27"/>
      <c r="BI196" s="27"/>
      <c r="BJ196" s="27"/>
      <c r="BK196" s="27"/>
      <c r="BL196" s="27"/>
      <c r="BM196" s="27"/>
      <c r="BN196" s="27"/>
      <c r="BO196" s="27"/>
      <c r="BP196" s="27"/>
      <c r="BQ196" s="27"/>
      <c r="BR196" s="27"/>
      <c r="BS196" s="27"/>
      <c r="BT196" s="27"/>
      <c r="BU196" s="27"/>
      <c r="BV196" s="27"/>
      <c r="BW196" s="27"/>
      <c r="BX196" s="27"/>
      <c r="BY196" s="27"/>
      <c r="BZ196" s="27"/>
      <c r="CA196" s="27"/>
      <c r="CB196" s="27"/>
      <c r="CC196" s="27"/>
      <c r="CD196" s="27"/>
      <c r="CE196" s="27"/>
      <c r="CF196" s="27"/>
      <c r="CG196" s="27"/>
      <c r="CH196" s="27"/>
      <c r="CI196" s="27"/>
      <c r="CJ196" s="27"/>
      <c r="CK196" s="27"/>
      <c r="CL196" s="27"/>
      <c r="CM196" s="27"/>
      <c r="CN196" s="27"/>
      <c r="CO196" s="27"/>
      <c r="CP196" s="27"/>
      <c r="CQ196" s="27"/>
      <c r="CR196" s="27"/>
      <c r="CS196" s="27"/>
      <c r="CT196" s="27"/>
      <c r="CU196" s="27"/>
      <c r="CV196" s="27"/>
      <c r="CW196" s="27"/>
      <c r="CX196" s="27"/>
      <c r="CY196" s="27"/>
      <c r="CZ196" s="27"/>
      <c r="DA196" s="27"/>
      <c r="DB196" s="27"/>
      <c r="DC196" s="27"/>
      <c r="DD196" s="27"/>
      <c r="DE196" s="27"/>
      <c r="DF196" s="27"/>
      <c r="DG196" s="27"/>
      <c r="DH196" s="27"/>
      <c r="DI196" s="27"/>
      <c r="DJ196" s="27"/>
      <c r="DK196" s="27"/>
      <c r="DL196" s="27"/>
      <c r="DM196" s="27"/>
      <c r="DN196" s="27"/>
      <c r="DO196" s="27"/>
      <c r="DP196" s="27"/>
      <c r="DQ196" s="27"/>
      <c r="DR196" s="27"/>
      <c r="DS196" s="27"/>
      <c r="DT196" s="27"/>
    </row>
    <row r="197" spans="2:124" x14ac:dyDescent="0.2">
      <c r="B197" s="27" t="e">
        <f>#REF!</f>
        <v>#REF!</v>
      </c>
      <c r="C197" s="27" t="s">
        <v>547</v>
      </c>
      <c r="D197" s="27" t="e">
        <f>IF(#REF!=0,#REF!,INT(#REF!)&amp;" : ימי מחלה  לפדיון")</f>
        <v>#REF!</v>
      </c>
      <c r="E197" s="27"/>
      <c r="F197" s="27"/>
      <c r="G197" s="27"/>
      <c r="H197" s="27"/>
      <c r="I197" s="27"/>
      <c r="J197" s="27"/>
      <c r="K197" s="27"/>
      <c r="L197" s="27"/>
      <c r="M197" s="27"/>
      <c r="N197" s="27"/>
      <c r="O197" s="27"/>
      <c r="P197" s="27"/>
      <c r="Q197" s="27"/>
      <c r="R197" s="27"/>
      <c r="S197" s="27"/>
      <c r="T197" s="27"/>
      <c r="U197" s="27"/>
      <c r="V197" s="27"/>
      <c r="W197" s="27"/>
      <c r="X197" s="27"/>
      <c r="Y197" s="27"/>
      <c r="Z197" s="27"/>
      <c r="AA197" s="27"/>
      <c r="AB197" s="27"/>
      <c r="AC197" s="27"/>
      <c r="AD197" s="27"/>
      <c r="AE197" s="27"/>
      <c r="AF197" s="27"/>
      <c r="AG197" s="27"/>
      <c r="AH197" s="27"/>
      <c r="AI197" s="27"/>
      <c r="AJ197" s="27"/>
      <c r="AK197" s="27"/>
      <c r="AL197" s="27"/>
      <c r="AM197" s="27"/>
      <c r="AN197" s="27"/>
      <c r="AO197" s="27"/>
      <c r="AP197" s="27"/>
      <c r="AQ197" s="27"/>
      <c r="AR197" s="27"/>
      <c r="AS197" s="27"/>
      <c r="AT197" s="27"/>
      <c r="AU197" s="27"/>
      <c r="AV197" s="27"/>
      <c r="AW197" s="27"/>
      <c r="AX197" s="27"/>
      <c r="AY197" s="27"/>
      <c r="AZ197" s="27"/>
      <c r="BA197" s="27"/>
      <c r="BB197" s="27"/>
      <c r="BC197" s="27"/>
      <c r="BD197" s="27"/>
      <c r="BE197" s="27"/>
      <c r="BF197" s="27"/>
      <c r="BG197" s="27"/>
      <c r="BH197" s="27"/>
      <c r="BI197" s="27"/>
      <c r="BJ197" s="27"/>
      <c r="BK197" s="27"/>
      <c r="BL197" s="27"/>
      <c r="BM197" s="27"/>
      <c r="BN197" s="27"/>
      <c r="BO197" s="27"/>
      <c r="BP197" s="27"/>
      <c r="BQ197" s="27"/>
      <c r="BR197" s="27"/>
      <c r="BS197" s="27"/>
      <c r="BT197" s="27"/>
      <c r="BU197" s="27"/>
      <c r="BV197" s="27"/>
      <c r="BW197" s="27"/>
      <c r="BX197" s="27"/>
      <c r="BY197" s="27"/>
      <c r="BZ197" s="27"/>
      <c r="CA197" s="27"/>
      <c r="CB197" s="27"/>
      <c r="CC197" s="27"/>
      <c r="CD197" s="27"/>
      <c r="CE197" s="27"/>
      <c r="CF197" s="27"/>
      <c r="CG197" s="27"/>
      <c r="CH197" s="27"/>
      <c r="CI197" s="27"/>
      <c r="CJ197" s="27"/>
      <c r="CK197" s="27"/>
      <c r="CL197" s="27"/>
      <c r="CM197" s="27"/>
      <c r="CN197" s="27"/>
      <c r="CO197" s="27"/>
      <c r="CP197" s="27"/>
      <c r="CQ197" s="27"/>
      <c r="CR197" s="27"/>
      <c r="CS197" s="27"/>
      <c r="CT197" s="27"/>
      <c r="CU197" s="27"/>
      <c r="CV197" s="27"/>
      <c r="CW197" s="27"/>
      <c r="CX197" s="27"/>
      <c r="CY197" s="27"/>
      <c r="CZ197" s="27"/>
      <c r="DA197" s="27"/>
      <c r="DB197" s="27"/>
      <c r="DC197" s="27"/>
      <c r="DD197" s="27"/>
      <c r="DE197" s="27"/>
      <c r="DF197" s="27"/>
      <c r="DG197" s="27"/>
      <c r="DH197" s="27"/>
      <c r="DI197" s="27"/>
      <c r="DJ197" s="27"/>
      <c r="DK197" s="27"/>
      <c r="DL197" s="27"/>
      <c r="DM197" s="27"/>
      <c r="DN197" s="27"/>
      <c r="DO197" s="27"/>
      <c r="DP197" s="27"/>
      <c r="DQ197" s="27"/>
      <c r="DR197" s="27"/>
      <c r="DS197" s="27"/>
      <c r="DT197" s="27"/>
    </row>
    <row r="198" spans="2:124" x14ac:dyDescent="0.2">
      <c r="B198" s="27" t="e">
        <f>#REF!</f>
        <v>#REF!</v>
      </c>
      <c r="C198" s="27" t="s">
        <v>548</v>
      </c>
      <c r="D198" s="27" t="e">
        <f>IF(#REF!=0,#REF!,TRUNC(#REF!,2)&amp; "  :מספר משכורות")</f>
        <v>#REF!</v>
      </c>
      <c r="E198" s="27"/>
      <c r="F198" s="27" t="s">
        <v>59</v>
      </c>
      <c r="G198" s="27"/>
      <c r="H198" s="27"/>
      <c r="I198" s="27"/>
      <c r="J198" s="27"/>
      <c r="K198" s="27"/>
      <c r="L198" s="27"/>
      <c r="M198" s="27"/>
      <c r="N198" s="27"/>
      <c r="O198" s="27"/>
      <c r="P198" s="27"/>
      <c r="Q198" s="27"/>
      <c r="R198" s="27"/>
      <c r="S198" s="27"/>
      <c r="T198" s="27"/>
      <c r="U198" s="27"/>
      <c r="V198" s="27"/>
      <c r="W198" s="27"/>
      <c r="X198" s="27"/>
      <c r="Y198" s="27"/>
      <c r="Z198" s="27"/>
      <c r="AA198" s="27"/>
      <c r="AB198" s="27"/>
      <c r="AC198" s="27"/>
      <c r="AD198" s="27"/>
      <c r="AE198" s="27"/>
      <c r="AF198" s="27"/>
      <c r="AG198" s="27"/>
      <c r="AH198" s="27"/>
      <c r="AI198" s="27"/>
      <c r="AJ198" s="27"/>
      <c r="AK198" s="27"/>
      <c r="AL198" s="27"/>
      <c r="AM198" s="27"/>
      <c r="AN198" s="27"/>
      <c r="AO198" s="27"/>
      <c r="AP198" s="27"/>
      <c r="AQ198" s="27"/>
      <c r="AR198" s="27"/>
      <c r="AS198" s="27"/>
      <c r="AT198" s="27"/>
      <c r="AU198" s="27"/>
      <c r="AV198" s="27"/>
      <c r="AW198" s="27"/>
      <c r="AX198" s="27"/>
      <c r="AY198" s="27"/>
      <c r="AZ198" s="27"/>
      <c r="BA198" s="27"/>
      <c r="BB198" s="27"/>
      <c r="BC198" s="27"/>
      <c r="BD198" s="27"/>
      <c r="BE198" s="27"/>
      <c r="BF198" s="27"/>
      <c r="BG198" s="27"/>
      <c r="BH198" s="27"/>
      <c r="BI198" s="27"/>
      <c r="BJ198" s="27"/>
      <c r="BK198" s="27"/>
      <c r="BL198" s="27"/>
      <c r="BM198" s="27"/>
      <c r="BN198" s="27"/>
      <c r="BO198" s="27"/>
      <c r="BP198" s="27"/>
      <c r="BQ198" s="27"/>
      <c r="BR198" s="27"/>
      <c r="BS198" s="27"/>
      <c r="BT198" s="27"/>
      <c r="BU198" s="27"/>
      <c r="BV198" s="27"/>
      <c r="BW198" s="27"/>
      <c r="BX198" s="27"/>
      <c r="BY198" s="27"/>
      <c r="BZ198" s="27"/>
      <c r="CA198" s="27"/>
      <c r="CB198" s="27"/>
      <c r="CC198" s="27"/>
      <c r="CD198" s="27"/>
      <c r="CE198" s="27"/>
      <c r="CF198" s="27"/>
      <c r="CG198" s="27"/>
      <c r="CH198" s="27"/>
      <c r="CI198" s="27"/>
      <c r="CJ198" s="27"/>
      <c r="CK198" s="27"/>
      <c r="CL198" s="27"/>
      <c r="CM198" s="27"/>
      <c r="CN198" s="27"/>
      <c r="CO198" s="27"/>
      <c r="CP198" s="27"/>
      <c r="CQ198" s="27"/>
      <c r="CR198" s="27"/>
      <c r="CS198" s="27"/>
      <c r="CT198" s="27"/>
      <c r="CU198" s="27"/>
      <c r="CV198" s="27"/>
      <c r="CW198" s="27"/>
      <c r="CX198" s="27"/>
      <c r="CY198" s="27"/>
      <c r="CZ198" s="27"/>
      <c r="DA198" s="27"/>
      <c r="DB198" s="27"/>
      <c r="DC198" s="27"/>
      <c r="DD198" s="27"/>
      <c r="DE198" s="27"/>
      <c r="DF198" s="27"/>
      <c r="DG198" s="27"/>
      <c r="DH198" s="27"/>
      <c r="DI198" s="27"/>
      <c r="DJ198" s="27"/>
      <c r="DK198" s="27"/>
      <c r="DL198" s="27"/>
      <c r="DM198" s="27"/>
      <c r="DN198" s="27"/>
      <c r="DO198" s="27"/>
      <c r="DP198" s="27"/>
      <c r="DQ198" s="27"/>
      <c r="DR198" s="27"/>
      <c r="DS198" s="27"/>
      <c r="DT198" s="27"/>
    </row>
    <row r="199" spans="2:124" x14ac:dyDescent="0.2">
      <c r="B199" s="27" t="e">
        <f>SUM(B194:B198)</f>
        <v>#REF!</v>
      </c>
      <c r="C199" s="27" t="s">
        <v>549</v>
      </c>
      <c r="D199" s="27" t="s">
        <v>550</v>
      </c>
      <c r="E199" s="27"/>
      <c r="F199" s="27"/>
      <c r="G199" s="27"/>
      <c r="H199" s="27"/>
      <c r="I199" s="27"/>
      <c r="J199" s="27"/>
      <c r="K199" s="27"/>
      <c r="L199" s="27"/>
      <c r="M199" s="27"/>
      <c r="N199" s="27"/>
      <c r="O199" s="27"/>
      <c r="P199" s="27"/>
      <c r="Q199" s="27"/>
      <c r="R199" s="27"/>
      <c r="S199" s="27"/>
      <c r="T199" s="27"/>
      <c r="U199" s="27"/>
      <c r="V199" s="27"/>
      <c r="W199" s="27"/>
      <c r="X199" s="27"/>
      <c r="Y199" s="27"/>
      <c r="Z199" s="27"/>
      <c r="AA199" s="27"/>
      <c r="AB199" s="27"/>
      <c r="AC199" s="27"/>
      <c r="AD199" s="27"/>
      <c r="AE199" s="27"/>
      <c r="AF199" s="27"/>
      <c r="AG199" s="27"/>
      <c r="AH199" s="27"/>
      <c r="AI199" s="27"/>
      <c r="AJ199" s="27"/>
      <c r="AK199" s="27"/>
      <c r="AL199" s="27"/>
      <c r="AM199" s="27"/>
      <c r="AN199" s="27"/>
      <c r="AO199" s="27"/>
      <c r="AP199" s="27"/>
      <c r="AQ199" s="27"/>
      <c r="AR199" s="27"/>
      <c r="AS199" s="27"/>
      <c r="AT199" s="27"/>
      <c r="AU199" s="27"/>
      <c r="AV199" s="27"/>
      <c r="AW199" s="27"/>
      <c r="AX199" s="27"/>
      <c r="AY199" s="27"/>
      <c r="AZ199" s="27"/>
      <c r="BA199" s="27"/>
      <c r="BB199" s="27"/>
      <c r="BC199" s="27"/>
      <c r="BD199" s="27"/>
      <c r="BE199" s="27"/>
      <c r="BF199" s="27"/>
      <c r="BG199" s="27"/>
      <c r="BH199" s="27"/>
      <c r="BI199" s="27"/>
      <c r="BJ199" s="27"/>
      <c r="BK199" s="27"/>
      <c r="BL199" s="27"/>
      <c r="BM199" s="27"/>
      <c r="BN199" s="27"/>
      <c r="BO199" s="27"/>
      <c r="BP199" s="27"/>
      <c r="BQ199" s="27"/>
      <c r="BR199" s="27"/>
      <c r="BS199" s="27"/>
      <c r="BT199" s="27"/>
      <c r="BU199" s="27"/>
      <c r="BV199" s="27"/>
      <c r="BW199" s="27"/>
      <c r="BX199" s="27"/>
      <c r="BY199" s="27"/>
      <c r="BZ199" s="27"/>
      <c r="CA199" s="27"/>
      <c r="CB199" s="27"/>
      <c r="CC199" s="27"/>
      <c r="CD199" s="27"/>
      <c r="CE199" s="27"/>
      <c r="CF199" s="27"/>
      <c r="CG199" s="27"/>
      <c r="CH199" s="27"/>
      <c r="CI199" s="27"/>
      <c r="CJ199" s="27"/>
      <c r="CK199" s="27"/>
      <c r="CL199" s="27"/>
      <c r="CM199" s="27"/>
      <c r="CN199" s="27"/>
      <c r="CO199" s="27"/>
      <c r="CP199" s="27"/>
      <c r="CQ199" s="27"/>
      <c r="CR199" s="27"/>
      <c r="CS199" s="27"/>
      <c r="CT199" s="27"/>
      <c r="CU199" s="27"/>
      <c r="CV199" s="27"/>
      <c r="CW199" s="27"/>
      <c r="CX199" s="27"/>
      <c r="CY199" s="27"/>
      <c r="CZ199" s="27"/>
      <c r="DA199" s="27"/>
      <c r="DB199" s="27"/>
      <c r="DC199" s="27"/>
      <c r="DD199" s="27"/>
      <c r="DE199" s="27"/>
      <c r="DF199" s="27"/>
      <c r="DG199" s="27"/>
      <c r="DH199" s="27"/>
      <c r="DI199" s="27"/>
      <c r="DJ199" s="27"/>
      <c r="DK199" s="27"/>
      <c r="DL199" s="27"/>
      <c r="DM199" s="27"/>
      <c r="DN199" s="27"/>
      <c r="DO199" s="27"/>
      <c r="DP199" s="27"/>
      <c r="DQ199" s="27"/>
      <c r="DR199" s="27"/>
      <c r="DS199" s="27"/>
      <c r="DT199" s="27"/>
    </row>
    <row r="200" spans="2:124" x14ac:dyDescent="0.2">
      <c r="B200" s="27"/>
      <c r="C200" s="27" t="s">
        <v>551</v>
      </c>
      <c r="D200" s="27"/>
      <c r="E200" s="27"/>
      <c r="F200" s="27"/>
      <c r="G200" s="27"/>
      <c r="H200" s="27"/>
      <c r="I200" s="27"/>
      <c r="J200" s="27"/>
      <c r="K200" s="27"/>
      <c r="L200" s="27"/>
      <c r="M200" s="27"/>
      <c r="N200" s="27"/>
      <c r="O200" s="27"/>
      <c r="P200" s="27"/>
      <c r="Q200" s="27"/>
      <c r="R200" s="27"/>
      <c r="S200" s="27"/>
      <c r="T200" s="27"/>
      <c r="U200" s="27"/>
      <c r="V200" s="27"/>
      <c r="W200" s="27"/>
      <c r="X200" s="27"/>
      <c r="Y200" s="27"/>
      <c r="Z200" s="27"/>
      <c r="AA200" s="27"/>
      <c r="AB200" s="27"/>
      <c r="AC200" s="27"/>
      <c r="AD200" s="27"/>
      <c r="AE200" s="27"/>
      <c r="AF200" s="27"/>
      <c r="AG200" s="27"/>
      <c r="AH200" s="27"/>
      <c r="AI200" s="27"/>
      <c r="AJ200" s="27"/>
      <c r="AK200" s="27"/>
      <c r="AL200" s="27"/>
      <c r="AM200" s="27"/>
      <c r="AN200" s="27"/>
      <c r="AO200" s="27"/>
      <c r="AP200" s="27"/>
      <c r="AQ200" s="27"/>
      <c r="AR200" s="27"/>
      <c r="AS200" s="27"/>
      <c r="AT200" s="27"/>
      <c r="AU200" s="27"/>
      <c r="AV200" s="27"/>
      <c r="AW200" s="27"/>
      <c r="AX200" s="27"/>
      <c r="AY200" s="27"/>
      <c r="AZ200" s="27"/>
      <c r="BA200" s="27"/>
      <c r="BB200" s="27"/>
      <c r="BC200" s="27"/>
      <c r="BD200" s="27"/>
      <c r="BE200" s="27"/>
      <c r="BF200" s="27"/>
      <c r="BG200" s="27"/>
      <c r="BH200" s="27"/>
      <c r="BI200" s="27"/>
      <c r="BJ200" s="27"/>
      <c r="BK200" s="27"/>
      <c r="BL200" s="27"/>
      <c r="BM200" s="27"/>
      <c r="BN200" s="27"/>
      <c r="BO200" s="27"/>
      <c r="BP200" s="27"/>
      <c r="BQ200" s="27"/>
      <c r="BR200" s="27"/>
      <c r="BS200" s="27"/>
      <c r="BT200" s="27"/>
      <c r="BU200" s="27"/>
      <c r="BV200" s="27"/>
      <c r="BW200" s="27"/>
      <c r="BX200" s="27"/>
      <c r="BY200" s="27"/>
      <c r="BZ200" s="27"/>
      <c r="CA200" s="27"/>
      <c r="CB200" s="27"/>
      <c r="CC200" s="27"/>
      <c r="CD200" s="27"/>
      <c r="CE200" s="27"/>
      <c r="CF200" s="27"/>
      <c r="CG200" s="27"/>
      <c r="CH200" s="27"/>
      <c r="CI200" s="27"/>
      <c r="CJ200" s="27"/>
      <c r="CK200" s="27"/>
      <c r="CL200" s="27"/>
      <c r="CM200" s="27"/>
      <c r="CN200" s="27"/>
      <c r="CO200" s="27"/>
      <c r="CP200" s="27"/>
      <c r="CQ200" s="27"/>
      <c r="CR200" s="27"/>
      <c r="CS200" s="27"/>
      <c r="CT200" s="27"/>
      <c r="CU200" s="27"/>
      <c r="CV200" s="27"/>
      <c r="CW200" s="27"/>
      <c r="CX200" s="27"/>
      <c r="CY200" s="27"/>
      <c r="CZ200" s="27"/>
      <c r="DA200" s="27"/>
      <c r="DB200" s="27"/>
      <c r="DC200" s="27"/>
      <c r="DD200" s="27"/>
      <c r="DE200" s="27"/>
      <c r="DF200" s="27"/>
      <c r="DG200" s="27"/>
      <c r="DH200" s="27"/>
      <c r="DI200" s="27"/>
      <c r="DJ200" s="27"/>
      <c r="DK200" s="27"/>
      <c r="DL200" s="27"/>
      <c r="DM200" s="27"/>
      <c r="DN200" s="27"/>
      <c r="DO200" s="27"/>
      <c r="DP200" s="27"/>
      <c r="DQ200" s="27"/>
      <c r="DR200" s="27"/>
      <c r="DS200" s="27"/>
      <c r="DT200" s="27"/>
    </row>
    <row r="201" spans="2:124" x14ac:dyDescent="0.2">
      <c r="B201" s="27"/>
      <c r="C201" s="27" t="e">
        <f>"   החזרי מס במהלך   " &amp;#REF!&amp;" שנות פריסת המס  "</f>
        <v>#REF!</v>
      </c>
      <c r="D201" s="27"/>
      <c r="E201" s="27"/>
      <c r="F201" s="27"/>
      <c r="G201" s="27" t="e">
        <f>VLOOKUP(INT(#REF!),ofek4,INT(BG60)+2,FALSE)*(1+AG36/100)*BC27*Y16*Y2</f>
        <v>#REF!</v>
      </c>
      <c r="H201" s="27"/>
      <c r="I201" s="27"/>
      <c r="J201" s="27"/>
      <c r="K201" s="27"/>
      <c r="L201" s="27"/>
      <c r="M201" s="27"/>
      <c r="N201" s="27"/>
      <c r="O201" s="27"/>
      <c r="P201" s="27"/>
      <c r="Q201" s="27"/>
      <c r="R201" s="27"/>
      <c r="S201" s="27"/>
      <c r="T201" s="27"/>
      <c r="U201" s="27"/>
      <c r="V201" s="27"/>
      <c r="W201" s="27"/>
      <c r="X201" s="27"/>
      <c r="Y201" s="27"/>
      <c r="Z201" s="27"/>
      <c r="AA201" s="27"/>
      <c r="AB201" s="27"/>
      <c r="AC201" s="27"/>
      <c r="AD201" s="27"/>
      <c r="AE201" s="27"/>
      <c r="AF201" s="27"/>
      <c r="AG201" s="27"/>
      <c r="AH201" s="27"/>
      <c r="AI201" s="27"/>
      <c r="AJ201" s="27"/>
      <c r="AK201" s="27"/>
      <c r="AL201" s="27"/>
      <c r="AM201" s="27"/>
      <c r="AN201" s="27"/>
      <c r="AO201" s="27"/>
      <c r="AP201" s="27"/>
      <c r="AQ201" s="27"/>
      <c r="AR201" s="27"/>
      <c r="AS201" s="27"/>
      <c r="AT201" s="27"/>
      <c r="AU201" s="27"/>
      <c r="AV201" s="27"/>
      <c r="AW201" s="27"/>
      <c r="AX201" s="27"/>
      <c r="AY201" s="27"/>
      <c r="AZ201" s="27"/>
      <c r="BA201" s="27"/>
      <c r="BB201" s="27"/>
      <c r="BC201" s="27"/>
      <c r="BD201" s="27"/>
      <c r="BE201" s="27"/>
      <c r="BF201" s="27"/>
      <c r="BG201" s="27"/>
      <c r="BH201" s="27"/>
      <c r="BI201" s="27"/>
      <c r="BJ201" s="27"/>
      <c r="BK201" s="27"/>
      <c r="BL201" s="27"/>
      <c r="BM201" s="27"/>
      <c r="BN201" s="27"/>
      <c r="BO201" s="27"/>
      <c r="BP201" s="27"/>
      <c r="BQ201" s="27"/>
      <c r="BR201" s="27"/>
      <c r="BS201" s="27"/>
      <c r="BT201" s="27"/>
      <c r="BU201" s="27"/>
      <c r="BV201" s="27"/>
      <c r="BW201" s="27"/>
      <c r="BX201" s="27"/>
      <c r="BY201" s="27"/>
      <c r="BZ201" s="27"/>
      <c r="CA201" s="27"/>
      <c r="CB201" s="27"/>
      <c r="CC201" s="27"/>
      <c r="CD201" s="27"/>
      <c r="CE201" s="27"/>
      <c r="CF201" s="27"/>
      <c r="CG201" s="27"/>
      <c r="CH201" s="27"/>
      <c r="CI201" s="27"/>
      <c r="CJ201" s="27"/>
      <c r="CK201" s="27"/>
      <c r="CL201" s="27"/>
      <c r="CM201" s="27"/>
      <c r="CN201" s="27"/>
      <c r="CO201" s="27"/>
      <c r="CP201" s="27"/>
      <c r="CQ201" s="27"/>
      <c r="CR201" s="27"/>
      <c r="CS201" s="27"/>
      <c r="CT201" s="27"/>
      <c r="CU201" s="27"/>
      <c r="CV201" s="27"/>
      <c r="CW201" s="27"/>
      <c r="CX201" s="27"/>
      <c r="CY201" s="27"/>
      <c r="CZ201" s="27"/>
      <c r="DA201" s="27"/>
      <c r="DB201" s="27"/>
      <c r="DC201" s="27"/>
      <c r="DD201" s="27"/>
      <c r="DE201" s="27"/>
      <c r="DF201" s="27"/>
      <c r="DG201" s="27"/>
      <c r="DH201" s="27"/>
      <c r="DI201" s="27"/>
      <c r="DJ201" s="27"/>
      <c r="DK201" s="27"/>
      <c r="DL201" s="27"/>
      <c r="DM201" s="27"/>
      <c r="DN201" s="27"/>
      <c r="DO201" s="27"/>
      <c r="DP201" s="27"/>
      <c r="DQ201" s="27"/>
      <c r="DR201" s="27"/>
      <c r="DS201" s="27"/>
      <c r="DT201" s="27"/>
    </row>
    <row r="202" spans="2:124" x14ac:dyDescent="0.2">
      <c r="B202" s="27" t="e">
        <f>#REF!</f>
        <v>#REF!</v>
      </c>
      <c r="C202" s="27" t="s">
        <v>552</v>
      </c>
      <c r="D202" s="27" t="e">
        <f>#REF!&amp;" : ימי חופש  לפדיון"</f>
        <v>#REF!</v>
      </c>
      <c r="E202" s="27"/>
      <c r="F202" s="27"/>
      <c r="G202" s="27">
        <f>ROUND((AK25-AQ20)/365.25,2)</f>
        <v>52.87</v>
      </c>
      <c r="H202" s="27"/>
      <c r="I202" s="27"/>
      <c r="J202" s="27"/>
      <c r="K202" s="27"/>
      <c r="L202" s="27"/>
      <c r="M202" s="27"/>
      <c r="N202" s="27"/>
      <c r="O202" s="27"/>
      <c r="P202" s="27"/>
      <c r="Q202" s="27"/>
      <c r="R202" s="27"/>
      <c r="S202" s="27"/>
      <c r="T202" s="27"/>
      <c r="U202" s="27"/>
      <c r="V202" s="27"/>
      <c r="W202" s="27"/>
      <c r="X202" s="27"/>
      <c r="Y202" s="27"/>
      <c r="Z202" s="27"/>
      <c r="AA202" s="27"/>
      <c r="AB202" s="27"/>
      <c r="AC202" s="27"/>
      <c r="AD202" s="27"/>
      <c r="AE202" s="27"/>
      <c r="AF202" s="27"/>
      <c r="AG202" s="27"/>
      <c r="AH202" s="27"/>
      <c r="AI202" s="27"/>
      <c r="AJ202" s="27"/>
      <c r="AK202" s="27"/>
      <c r="AL202" s="27"/>
      <c r="AM202" s="27"/>
      <c r="AN202" s="27"/>
      <c r="AO202" s="27"/>
      <c r="AP202" s="27"/>
      <c r="AQ202" s="27"/>
      <c r="AR202" s="27"/>
      <c r="AS202" s="27"/>
      <c r="AT202" s="27"/>
      <c r="AU202" s="27"/>
      <c r="AV202" s="27"/>
      <c r="AW202" s="27"/>
      <c r="AX202" s="27"/>
      <c r="AY202" s="27"/>
      <c r="AZ202" s="27"/>
      <c r="BA202" s="27"/>
      <c r="BB202" s="27"/>
      <c r="BC202" s="27"/>
      <c r="BD202" s="27"/>
      <c r="BE202" s="27"/>
      <c r="BF202" s="27"/>
      <c r="BG202" s="27"/>
      <c r="BH202" s="27"/>
      <c r="BI202" s="27"/>
      <c r="BJ202" s="27"/>
      <c r="BK202" s="27"/>
      <c r="BL202" s="27"/>
      <c r="BM202" s="27"/>
      <c r="BN202" s="27"/>
      <c r="BO202" s="27"/>
      <c r="BP202" s="27"/>
      <c r="BQ202" s="27"/>
      <c r="BR202" s="27"/>
      <c r="BS202" s="27"/>
      <c r="BT202" s="27"/>
      <c r="BU202" s="27"/>
      <c r="BV202" s="27"/>
      <c r="BW202" s="27"/>
      <c r="BX202" s="27"/>
      <c r="BY202" s="27"/>
      <c r="BZ202" s="27"/>
      <c r="CA202" s="27"/>
      <c r="CB202" s="27"/>
      <c r="CC202" s="27"/>
      <c r="CD202" s="27"/>
      <c r="CE202" s="27"/>
      <c r="CF202" s="27"/>
      <c r="CG202" s="27"/>
      <c r="CH202" s="27"/>
      <c r="CI202" s="27"/>
      <c r="CJ202" s="27"/>
      <c r="CK202" s="27"/>
      <c r="CL202" s="27"/>
      <c r="CM202" s="27"/>
      <c r="CN202" s="27"/>
      <c r="CO202" s="27"/>
      <c r="CP202" s="27"/>
      <c r="CQ202" s="27"/>
      <c r="CR202" s="27"/>
      <c r="CS202" s="27"/>
      <c r="CT202" s="27"/>
      <c r="CU202" s="27"/>
      <c r="CV202" s="27"/>
      <c r="CW202" s="27"/>
      <c r="CX202" s="27"/>
      <c r="CY202" s="27"/>
      <c r="CZ202" s="27"/>
      <c r="DA202" s="27"/>
      <c r="DB202" s="27"/>
      <c r="DC202" s="27"/>
      <c r="DD202" s="27"/>
      <c r="DE202" s="27"/>
      <c r="DF202" s="27"/>
      <c r="DG202" s="27"/>
      <c r="DH202" s="27"/>
      <c r="DI202" s="27"/>
      <c r="DJ202" s="27"/>
      <c r="DK202" s="27"/>
      <c r="DL202" s="27"/>
      <c r="DM202" s="27"/>
      <c r="DN202" s="27"/>
      <c r="DO202" s="27"/>
      <c r="DP202" s="27"/>
      <c r="DQ202" s="27"/>
      <c r="DR202" s="27"/>
      <c r="DS202" s="27"/>
      <c r="DT202" s="27"/>
    </row>
    <row r="203" spans="2:124" x14ac:dyDescent="0.2">
      <c r="B203" s="27"/>
      <c r="C203" s="27" t="s">
        <v>553</v>
      </c>
      <c r="D203" s="27"/>
      <c r="E203" s="27"/>
      <c r="F203" s="27" t="s">
        <v>554</v>
      </c>
      <c r="G203" s="27">
        <f>AK25</f>
        <v>40574</v>
      </c>
      <c r="H203" s="27"/>
      <c r="I203" s="27"/>
      <c r="J203" s="27"/>
      <c r="K203" s="27"/>
      <c r="L203" s="27"/>
      <c r="M203" s="27"/>
      <c r="N203" s="27"/>
      <c r="O203" s="27"/>
      <c r="P203" s="27"/>
      <c r="Q203" s="27"/>
      <c r="R203" s="27"/>
      <c r="S203" s="27"/>
      <c r="T203" s="27"/>
      <c r="U203" s="27"/>
      <c r="V203" s="27"/>
      <c r="W203" s="27"/>
      <c r="X203" s="27"/>
      <c r="Y203" s="27"/>
      <c r="Z203" s="27"/>
      <c r="AA203" s="27"/>
      <c r="AB203" s="27"/>
      <c r="AC203" s="27"/>
      <c r="AD203" s="27"/>
      <c r="AE203" s="27"/>
      <c r="AF203" s="27"/>
      <c r="AG203" s="27"/>
      <c r="AH203" s="27"/>
      <c r="AI203" s="27"/>
      <c r="AJ203" s="27"/>
      <c r="AK203" s="27"/>
      <c r="AL203" s="27"/>
      <c r="AM203" s="27"/>
      <c r="AN203" s="27"/>
      <c r="AO203" s="27"/>
      <c r="AP203" s="27"/>
      <c r="AQ203" s="27"/>
      <c r="AR203" s="27"/>
      <c r="AS203" s="27"/>
      <c r="AT203" s="27"/>
      <c r="AU203" s="27"/>
      <c r="AV203" s="27"/>
      <c r="AW203" s="27"/>
      <c r="AX203" s="27"/>
      <c r="AY203" s="27"/>
      <c r="AZ203" s="27"/>
      <c r="BA203" s="27"/>
      <c r="BB203" s="27"/>
      <c r="BC203" s="27"/>
      <c r="BD203" s="27"/>
      <c r="BE203" s="27"/>
      <c r="BF203" s="27"/>
      <c r="BG203" s="27"/>
      <c r="BH203" s="27"/>
      <c r="BI203" s="27"/>
      <c r="BJ203" s="27"/>
      <c r="BK203" s="27"/>
      <c r="BL203" s="27"/>
      <c r="BM203" s="27"/>
      <c r="BN203" s="27"/>
      <c r="BO203" s="27"/>
      <c r="BP203" s="27"/>
      <c r="BQ203" s="27"/>
      <c r="BR203" s="27"/>
      <c r="BS203" s="27"/>
      <c r="BT203" s="27"/>
      <c r="BU203" s="27"/>
      <c r="BV203" s="27"/>
      <c r="BW203" s="27"/>
      <c r="BX203" s="27"/>
      <c r="BY203" s="27"/>
      <c r="BZ203" s="27"/>
      <c r="CA203" s="27"/>
      <c r="CB203" s="27"/>
      <c r="CC203" s="27"/>
      <c r="CD203" s="27"/>
      <c r="CE203" s="27"/>
      <c r="CF203" s="27"/>
      <c r="CG203" s="27"/>
      <c r="CH203" s="27"/>
      <c r="CI203" s="27"/>
      <c r="CJ203" s="27"/>
      <c r="CK203" s="27"/>
      <c r="CL203" s="27"/>
      <c r="CM203" s="27"/>
      <c r="CN203" s="27"/>
      <c r="CO203" s="27"/>
      <c r="CP203" s="27"/>
      <c r="CQ203" s="27"/>
      <c r="CR203" s="27"/>
      <c r="CS203" s="27"/>
      <c r="CT203" s="27"/>
      <c r="CU203" s="27"/>
      <c r="CV203" s="27"/>
      <c r="CW203" s="27"/>
      <c r="CX203" s="27"/>
      <c r="CY203" s="27"/>
      <c r="CZ203" s="27"/>
      <c r="DA203" s="27"/>
      <c r="DB203" s="27"/>
      <c r="DC203" s="27"/>
      <c r="DD203" s="27"/>
      <c r="DE203" s="27"/>
      <c r="DF203" s="27"/>
      <c r="DG203" s="27"/>
      <c r="DH203" s="27"/>
      <c r="DI203" s="27"/>
      <c r="DJ203" s="27"/>
      <c r="DK203" s="27"/>
      <c r="DL203" s="27"/>
      <c r="DM203" s="27"/>
      <c r="DN203" s="27"/>
      <c r="DO203" s="27"/>
      <c r="DP203" s="27"/>
      <c r="DQ203" s="27"/>
      <c r="DR203" s="27"/>
      <c r="DS203" s="27"/>
      <c r="DT203" s="27"/>
    </row>
    <row r="204" spans="2:124" x14ac:dyDescent="0.2">
      <c r="B204" s="27"/>
      <c r="C204" s="27" t="s">
        <v>555</v>
      </c>
      <c r="D204" s="27"/>
      <c r="E204" s="27"/>
      <c r="F204" s="27">
        <f>IF(F156=AN2,IF(BG60+J175&gt;9,9,IF(BG60=D162+J175,BG60,IF(INT(BG60+J175)=BG60+J175,BG60+J175,BG60+J175+0.5))),F156)</f>
        <v>6</v>
      </c>
      <c r="G204" s="27" t="str">
        <f>BG59</f>
        <v>ד"ר</v>
      </c>
      <c r="H204" s="27"/>
      <c r="I204" s="27"/>
      <c r="J204" s="27"/>
      <c r="K204" s="27"/>
      <c r="L204" s="27"/>
      <c r="M204" s="27"/>
      <c r="N204" s="27"/>
      <c r="O204" s="27"/>
      <c r="P204" s="27"/>
      <c r="Q204" s="27"/>
      <c r="R204" s="27"/>
      <c r="S204" s="27"/>
      <c r="T204" s="27"/>
      <c r="U204" s="27"/>
      <c r="V204" s="27"/>
      <c r="W204" s="27"/>
      <c r="X204" s="27"/>
      <c r="Y204" s="27"/>
      <c r="Z204" s="27"/>
      <c r="AA204" s="27"/>
      <c r="AB204" s="27"/>
      <c r="AC204" s="27"/>
      <c r="AD204" s="27"/>
      <c r="AE204" s="27"/>
      <c r="AF204" s="27"/>
      <c r="AG204" s="27"/>
      <c r="AH204" s="27"/>
      <c r="AI204" s="27"/>
      <c r="AJ204" s="27"/>
      <c r="AK204" s="27"/>
      <c r="AL204" s="27"/>
      <c r="AM204" s="27"/>
      <c r="AN204" s="27"/>
      <c r="AO204" s="27"/>
      <c r="AP204" s="27"/>
      <c r="AQ204" s="27"/>
      <c r="AR204" s="27"/>
      <c r="AS204" s="27"/>
      <c r="AT204" s="27"/>
      <c r="AU204" s="27"/>
      <c r="AV204" s="27"/>
      <c r="AW204" s="27"/>
      <c r="AX204" s="27"/>
      <c r="AY204" s="27"/>
      <c r="AZ204" s="27"/>
      <c r="BA204" s="27"/>
      <c r="BB204" s="27"/>
      <c r="BC204" s="27"/>
      <c r="BD204" s="27"/>
      <c r="BE204" s="27"/>
      <c r="BF204" s="27"/>
      <c r="BG204" s="27"/>
      <c r="BH204" s="27"/>
      <c r="BI204" s="27"/>
      <c r="BJ204" s="27"/>
      <c r="BK204" s="27"/>
      <c r="BL204" s="27"/>
      <c r="BM204" s="27"/>
      <c r="BN204" s="27"/>
      <c r="BO204" s="27"/>
      <c r="BP204" s="27"/>
      <c r="BQ204" s="27"/>
      <c r="BR204" s="27"/>
      <c r="BS204" s="27"/>
      <c r="BT204" s="27"/>
      <c r="BU204" s="27"/>
      <c r="BV204" s="27"/>
      <c r="BW204" s="27"/>
      <c r="BX204" s="27"/>
      <c r="BY204" s="27"/>
      <c r="BZ204" s="27"/>
      <c r="CA204" s="27"/>
      <c r="CB204" s="27"/>
      <c r="CC204" s="27"/>
      <c r="CD204" s="27"/>
      <c r="CE204" s="27"/>
      <c r="CF204" s="27"/>
      <c r="CG204" s="27"/>
      <c r="CH204" s="27"/>
      <c r="CI204" s="27"/>
      <c r="CJ204" s="27"/>
      <c r="CK204" s="27"/>
      <c r="CL204" s="27"/>
      <c r="CM204" s="27"/>
      <c r="CN204" s="27"/>
      <c r="CO204" s="27"/>
      <c r="CP204" s="27"/>
      <c r="CQ204" s="27"/>
      <c r="CR204" s="27"/>
      <c r="CS204" s="27"/>
      <c r="CT204" s="27"/>
      <c r="CU204" s="27"/>
      <c r="CV204" s="27"/>
      <c r="CW204" s="27"/>
      <c r="CX204" s="27"/>
      <c r="CY204" s="27"/>
      <c r="CZ204" s="27"/>
      <c r="DA204" s="27"/>
      <c r="DB204" s="27"/>
      <c r="DC204" s="27"/>
      <c r="DD204" s="27"/>
      <c r="DE204" s="27"/>
      <c r="DF204" s="27"/>
      <c r="DG204" s="27"/>
      <c r="DH204" s="27"/>
      <c r="DI204" s="27"/>
      <c r="DJ204" s="27"/>
      <c r="DK204" s="27"/>
      <c r="DL204" s="27"/>
      <c r="DM204" s="27"/>
      <c r="DN204" s="27"/>
      <c r="DO204" s="27"/>
      <c r="DP204" s="27"/>
      <c r="DQ204" s="27"/>
      <c r="DR204" s="27"/>
      <c r="DS204" s="27"/>
      <c r="DT204" s="27"/>
    </row>
    <row r="205" spans="2:124" x14ac:dyDescent="0.2">
      <c r="B205" s="27" t="s">
        <v>556</v>
      </c>
      <c r="C205" s="27"/>
      <c r="D205" s="27"/>
      <c r="E205" s="27"/>
      <c r="F205" s="27" t="e">
        <f>VLOOKUP(INT(#REF!),ofek4,F204+2,FALSE)*((1+AJ28/100)^(AG36+AI36))*BC27*Y16*Y2</f>
        <v>#REF!</v>
      </c>
      <c r="G205" s="27"/>
      <c r="H205" s="27"/>
      <c r="I205" s="27"/>
      <c r="J205" s="27"/>
      <c r="K205" s="27"/>
      <c r="L205" s="27" t="str">
        <f t="shared" ref="L205:L223" si="15">M80</f>
        <v xml:space="preserve">                  תוצאה  מטבלת ההמרה</v>
      </c>
      <c r="M205" s="27"/>
      <c r="N205" s="27"/>
      <c r="O205" s="27"/>
      <c r="P205" s="27"/>
      <c r="Q205" s="27"/>
      <c r="R205" s="27"/>
      <c r="S205" s="27"/>
      <c r="T205" s="27"/>
      <c r="U205" s="27"/>
      <c r="V205" s="27"/>
      <c r="W205" s="27"/>
      <c r="X205" s="27"/>
      <c r="Y205" s="27"/>
      <c r="Z205" s="27"/>
      <c r="AA205" s="27"/>
      <c r="AB205" s="27"/>
      <c r="AC205" s="27"/>
      <c r="AD205" s="27"/>
      <c r="AE205" s="27"/>
      <c r="AF205" s="27"/>
      <c r="AG205" s="27"/>
      <c r="AH205" s="27"/>
      <c r="AI205" s="27"/>
      <c r="AJ205" s="27"/>
      <c r="AK205" s="27"/>
      <c r="AL205" s="27"/>
      <c r="AM205" s="27"/>
      <c r="AN205" s="27"/>
      <c r="AO205" s="27"/>
      <c r="AP205" s="27"/>
      <c r="AQ205" s="27"/>
      <c r="AR205" s="27"/>
      <c r="AS205" s="27"/>
      <c r="AT205" s="27"/>
      <c r="AU205" s="27"/>
      <c r="AV205" s="27"/>
      <c r="AW205" s="27"/>
      <c r="AX205" s="27"/>
      <c r="AY205" s="27"/>
      <c r="AZ205" s="27"/>
      <c r="BA205" s="27"/>
      <c r="BB205" s="27"/>
      <c r="BC205" s="27"/>
      <c r="BD205" s="27"/>
      <c r="BE205" s="27"/>
      <c r="BF205" s="27"/>
      <c r="BG205" s="27"/>
      <c r="BH205" s="27"/>
      <c r="BI205" s="27"/>
      <c r="BJ205" s="27"/>
      <c r="BK205" s="27"/>
      <c r="BL205" s="27"/>
      <c r="BM205" s="27"/>
      <c r="BN205" s="27"/>
      <c r="BO205" s="27"/>
      <c r="BP205" s="27"/>
      <c r="BQ205" s="27"/>
      <c r="BR205" s="27"/>
      <c r="BS205" s="27"/>
      <c r="BT205" s="27"/>
      <c r="BU205" s="27"/>
      <c r="BV205" s="27"/>
      <c r="BW205" s="27"/>
      <c r="BX205" s="27"/>
      <c r="BY205" s="27"/>
      <c r="BZ205" s="27"/>
      <c r="CA205" s="27"/>
      <c r="CB205" s="27"/>
      <c r="CC205" s="27"/>
      <c r="CD205" s="27"/>
      <c r="CE205" s="27"/>
      <c r="CF205" s="27"/>
      <c r="CG205" s="27"/>
      <c r="CH205" s="27"/>
      <c r="CI205" s="27"/>
      <c r="CJ205" s="27"/>
      <c r="CK205" s="27"/>
      <c r="CL205" s="27"/>
      <c r="CM205" s="27"/>
      <c r="CN205" s="27"/>
      <c r="CO205" s="27"/>
      <c r="CP205" s="27"/>
      <c r="CQ205" s="27"/>
      <c r="CR205" s="27"/>
      <c r="CS205" s="27"/>
      <c r="CT205" s="27"/>
      <c r="CU205" s="27"/>
      <c r="CV205" s="27"/>
      <c r="CW205" s="27"/>
      <c r="CX205" s="27"/>
      <c r="CY205" s="27"/>
      <c r="CZ205" s="27"/>
      <c r="DA205" s="27"/>
      <c r="DB205" s="27"/>
      <c r="DC205" s="27"/>
      <c r="DD205" s="27"/>
      <c r="DE205" s="27"/>
      <c r="DF205" s="27"/>
      <c r="DG205" s="27"/>
      <c r="DH205" s="27"/>
      <c r="DI205" s="27"/>
      <c r="DJ205" s="27"/>
      <c r="DK205" s="27"/>
      <c r="DL205" s="27"/>
      <c r="DM205" s="27"/>
      <c r="DN205" s="27"/>
      <c r="DO205" s="27"/>
      <c r="DP205" s="27"/>
      <c r="DQ205" s="27"/>
      <c r="DR205" s="27"/>
      <c r="DS205" s="27"/>
      <c r="DT205" s="27"/>
    </row>
    <row r="206" spans="2:124" x14ac:dyDescent="0.2">
      <c r="B206" s="27" t="s">
        <v>557</v>
      </c>
      <c r="C206" s="27"/>
      <c r="D206" s="27"/>
      <c r="E206" s="27"/>
      <c r="F206" s="27">
        <v>0</v>
      </c>
      <c r="G206" s="27"/>
      <c r="H206" s="27"/>
      <c r="I206" s="27" t="s">
        <v>62</v>
      </c>
      <c r="J206" s="27" t="s">
        <v>558</v>
      </c>
      <c r="K206" s="27"/>
      <c r="L206" s="27" t="str">
        <f t="shared" si="15"/>
        <v xml:space="preserve">דרגה </v>
      </c>
      <c r="M206" s="27"/>
      <c r="N206" s="27"/>
      <c r="O206" s="27"/>
      <c r="P206" s="27"/>
      <c r="Q206" s="27"/>
      <c r="R206" s="27"/>
      <c r="S206" s="27"/>
      <c r="T206" s="27"/>
      <c r="U206" s="27"/>
      <c r="V206" s="27"/>
      <c r="W206" s="27"/>
      <c r="X206" s="27"/>
      <c r="Y206" s="27"/>
      <c r="Z206" s="27"/>
      <c r="AA206" s="27"/>
      <c r="AB206" s="27"/>
      <c r="AC206" s="27"/>
      <c r="AD206" s="27"/>
      <c r="AE206" s="27"/>
      <c r="AF206" s="27"/>
      <c r="AG206" s="27"/>
      <c r="AH206" s="27"/>
      <c r="AI206" s="27"/>
      <c r="AJ206" s="27"/>
      <c r="AK206" s="27"/>
      <c r="AL206" s="27"/>
      <c r="AM206" s="27"/>
      <c r="AN206" s="27"/>
      <c r="AO206" s="27"/>
      <c r="AP206" s="27"/>
      <c r="AQ206" s="27"/>
      <c r="AR206" s="27"/>
      <c r="AS206" s="27"/>
      <c r="AT206" s="27"/>
      <c r="AU206" s="27"/>
      <c r="AV206" s="27"/>
      <c r="AW206" s="27"/>
      <c r="AX206" s="27"/>
      <c r="AY206" s="27"/>
      <c r="AZ206" s="27"/>
      <c r="BA206" s="27"/>
      <c r="BB206" s="27"/>
      <c r="BC206" s="27"/>
      <c r="BD206" s="27"/>
      <c r="BE206" s="27"/>
      <c r="BF206" s="27"/>
      <c r="BG206" s="27"/>
      <c r="BH206" s="27"/>
      <c r="BI206" s="27"/>
      <c r="BJ206" s="27"/>
      <c r="BK206" s="27"/>
      <c r="BL206" s="27"/>
      <c r="BM206" s="27"/>
      <c r="BN206" s="27"/>
      <c r="BO206" s="27"/>
      <c r="BP206" s="27"/>
      <c r="BQ206" s="27"/>
      <c r="BR206" s="27"/>
      <c r="BS206" s="27"/>
      <c r="BT206" s="27"/>
      <c r="BU206" s="27"/>
      <c r="BV206" s="27"/>
      <c r="BW206" s="27"/>
      <c r="BX206" s="27"/>
      <c r="BY206" s="27"/>
      <c r="BZ206" s="27"/>
      <c r="CA206" s="27"/>
      <c r="CB206" s="27"/>
      <c r="CC206" s="27"/>
      <c r="CD206" s="27"/>
      <c r="CE206" s="27"/>
      <c r="CF206" s="27"/>
      <c r="CG206" s="27"/>
      <c r="CH206" s="27"/>
      <c r="CI206" s="27"/>
      <c r="CJ206" s="27"/>
      <c r="CK206" s="27"/>
      <c r="CL206" s="27"/>
      <c r="CM206" s="27"/>
      <c r="CN206" s="27"/>
      <c r="CO206" s="27"/>
      <c r="CP206" s="27"/>
      <c r="CQ206" s="27"/>
      <c r="CR206" s="27"/>
      <c r="CS206" s="27"/>
      <c r="CT206" s="27"/>
      <c r="CU206" s="27"/>
      <c r="CV206" s="27"/>
      <c r="CW206" s="27"/>
      <c r="CX206" s="27"/>
      <c r="CY206" s="27"/>
      <c r="CZ206" s="27"/>
      <c r="DA206" s="27"/>
      <c r="DB206" s="27"/>
      <c r="DC206" s="27"/>
      <c r="DD206" s="27"/>
      <c r="DE206" s="27"/>
      <c r="DF206" s="27"/>
      <c r="DG206" s="27"/>
      <c r="DH206" s="27"/>
      <c r="DI206" s="27"/>
      <c r="DJ206" s="27"/>
      <c r="DK206" s="27"/>
      <c r="DL206" s="27"/>
      <c r="DM206" s="27"/>
      <c r="DN206" s="27"/>
      <c r="DO206" s="27"/>
      <c r="DP206" s="27"/>
      <c r="DQ206" s="27"/>
      <c r="DR206" s="27"/>
      <c r="DS206" s="27"/>
      <c r="DT206" s="27"/>
    </row>
    <row r="207" spans="2:124" x14ac:dyDescent="0.2">
      <c r="B207" s="27"/>
      <c r="C207" s="27" t="s">
        <v>559</v>
      </c>
      <c r="D207" s="27"/>
      <c r="E207" s="27"/>
      <c r="F207" s="27">
        <v>0</v>
      </c>
      <c r="G207" s="27"/>
      <c r="H207" s="27"/>
      <c r="I207" s="27">
        <f t="shared" ref="I207:I223" si="16">L207</f>
        <v>1</v>
      </c>
      <c r="J207" s="27">
        <f>M170*0.95</f>
        <v>5985.0032656249996</v>
      </c>
      <c r="K207" s="27"/>
      <c r="L207" s="27">
        <f t="shared" si="15"/>
        <v>1</v>
      </c>
      <c r="M207" s="27"/>
      <c r="N207" s="27"/>
      <c r="O207" s="27"/>
      <c r="P207" s="27"/>
      <c r="Q207" s="27"/>
      <c r="R207" s="27"/>
      <c r="S207" s="27"/>
      <c r="T207" s="27"/>
      <c r="U207" s="27"/>
      <c r="V207" s="27"/>
      <c r="W207" s="27"/>
      <c r="X207" s="27"/>
      <c r="Y207" s="27"/>
      <c r="Z207" s="27"/>
      <c r="AA207" s="27"/>
      <c r="AB207" s="27"/>
      <c r="AC207" s="27"/>
      <c r="AD207" s="27"/>
      <c r="AE207" s="27"/>
      <c r="AF207" s="27"/>
      <c r="AG207" s="27"/>
      <c r="AH207" s="27"/>
      <c r="AI207" s="27"/>
      <c r="AJ207" s="27"/>
      <c r="AK207" s="27"/>
      <c r="AL207" s="27"/>
      <c r="AM207" s="27"/>
      <c r="AN207" s="27"/>
      <c r="AO207" s="27"/>
      <c r="AP207" s="27"/>
      <c r="AQ207" s="27"/>
      <c r="AR207" s="27"/>
      <c r="AS207" s="27"/>
      <c r="AT207" s="27"/>
      <c r="AU207" s="27"/>
      <c r="AV207" s="27"/>
      <c r="AW207" s="27"/>
      <c r="AX207" s="27"/>
      <c r="AY207" s="27"/>
      <c r="AZ207" s="27"/>
      <c r="BA207" s="27"/>
      <c r="BB207" s="27"/>
      <c r="BC207" s="27"/>
      <c r="BD207" s="27"/>
      <c r="BE207" s="27"/>
      <c r="BF207" s="27"/>
      <c r="BG207" s="27"/>
      <c r="BH207" s="27"/>
      <c r="BI207" s="27"/>
      <c r="BJ207" s="27"/>
      <c r="BK207" s="27"/>
      <c r="BL207" s="27"/>
      <c r="BM207" s="27"/>
      <c r="BN207" s="27"/>
      <c r="BO207" s="27"/>
      <c r="BP207" s="27"/>
      <c r="BQ207" s="27"/>
      <c r="BR207" s="27"/>
      <c r="BS207" s="27"/>
      <c r="BT207" s="27"/>
      <c r="BU207" s="27"/>
      <c r="BV207" s="27"/>
      <c r="BW207" s="27"/>
      <c r="BX207" s="27"/>
      <c r="BY207" s="27"/>
      <c r="BZ207" s="27"/>
      <c r="CA207" s="27"/>
      <c r="CB207" s="27"/>
      <c r="CC207" s="27"/>
      <c r="CD207" s="27"/>
      <c r="CE207" s="27"/>
      <c r="CF207" s="27"/>
      <c r="CG207" s="27"/>
      <c r="CH207" s="27"/>
      <c r="CI207" s="27"/>
      <c r="CJ207" s="27"/>
      <c r="CK207" s="27"/>
      <c r="CL207" s="27"/>
      <c r="CM207" s="27"/>
      <c r="CN207" s="27"/>
      <c r="CO207" s="27"/>
      <c r="CP207" s="27"/>
      <c r="CQ207" s="27"/>
      <c r="CR207" s="27"/>
      <c r="CS207" s="27"/>
      <c r="CT207" s="27"/>
      <c r="CU207" s="27"/>
      <c r="CV207" s="27"/>
      <c r="CW207" s="27"/>
      <c r="CX207" s="27"/>
      <c r="CY207" s="27"/>
      <c r="CZ207" s="27"/>
      <c r="DA207" s="27"/>
      <c r="DB207" s="27"/>
      <c r="DC207" s="27"/>
      <c r="DD207" s="27"/>
      <c r="DE207" s="27"/>
      <c r="DF207" s="27"/>
      <c r="DG207" s="27"/>
      <c r="DH207" s="27"/>
      <c r="DI207" s="27"/>
      <c r="DJ207" s="27"/>
      <c r="DK207" s="27"/>
      <c r="DL207" s="27"/>
      <c r="DM207" s="27"/>
      <c r="DN207" s="27"/>
      <c r="DO207" s="27"/>
      <c r="DP207" s="27"/>
      <c r="DQ207" s="27"/>
      <c r="DR207" s="27"/>
      <c r="DS207" s="27"/>
      <c r="DT207" s="27"/>
    </row>
    <row r="208" spans="2:124" x14ac:dyDescent="0.2">
      <c r="B208" s="27" t="s">
        <v>59</v>
      </c>
      <c r="C208" s="27" t="s">
        <v>560</v>
      </c>
      <c r="D208" s="27"/>
      <c r="E208" s="27"/>
      <c r="F208" s="27">
        <v>0</v>
      </c>
      <c r="G208" s="27"/>
      <c r="H208" s="27"/>
      <c r="I208" s="27">
        <f t="shared" si="16"/>
        <v>1.5</v>
      </c>
      <c r="J208" s="27">
        <f t="shared" ref="J208:J223" si="17">M171*0.95</f>
        <v>6209.4408880859373</v>
      </c>
      <c r="K208" s="27"/>
      <c r="L208" s="27">
        <f t="shared" si="15"/>
        <v>1.5</v>
      </c>
      <c r="M208" s="27"/>
      <c r="N208" s="27"/>
      <c r="O208" s="27"/>
      <c r="P208" s="27"/>
      <c r="Q208" s="27"/>
      <c r="R208" s="27"/>
      <c r="S208" s="27"/>
      <c r="T208" s="27"/>
      <c r="U208" s="27"/>
      <c r="V208" s="27"/>
      <c r="W208" s="27"/>
      <c r="X208" s="27"/>
      <c r="Y208" s="27"/>
      <c r="Z208" s="27"/>
      <c r="AA208" s="27"/>
      <c r="AB208" s="27"/>
      <c r="AC208" s="27"/>
      <c r="AD208" s="27"/>
      <c r="AE208" s="27"/>
      <c r="AF208" s="27"/>
      <c r="AG208" s="27"/>
      <c r="AH208" s="27"/>
      <c r="AI208" s="27"/>
      <c r="AJ208" s="27"/>
      <c r="AK208" s="27"/>
      <c r="AL208" s="27"/>
      <c r="AM208" s="27"/>
      <c r="AN208" s="27"/>
      <c r="AO208" s="27"/>
      <c r="AP208" s="27"/>
      <c r="AQ208" s="27"/>
      <c r="AR208" s="27"/>
      <c r="AS208" s="27"/>
      <c r="AT208" s="27"/>
      <c r="AU208" s="27"/>
      <c r="AV208" s="27"/>
      <c r="AW208" s="27"/>
      <c r="AX208" s="27"/>
      <c r="AY208" s="27"/>
      <c r="AZ208" s="27"/>
      <c r="BA208" s="27"/>
      <c r="BB208" s="27"/>
      <c r="BC208" s="27"/>
      <c r="BD208" s="27"/>
      <c r="BE208" s="27"/>
      <c r="BF208" s="27"/>
      <c r="BG208" s="27"/>
      <c r="BH208" s="27"/>
      <c r="BI208" s="27"/>
      <c r="BJ208" s="27"/>
      <c r="BK208" s="27"/>
      <c r="BL208" s="27"/>
      <c r="BM208" s="27"/>
      <c r="BN208" s="27"/>
      <c r="BO208" s="27"/>
      <c r="BP208" s="27"/>
      <c r="BQ208" s="27"/>
      <c r="BR208" s="27"/>
      <c r="BS208" s="27"/>
      <c r="BT208" s="27"/>
      <c r="BU208" s="27"/>
      <c r="BV208" s="27"/>
      <c r="BW208" s="27"/>
      <c r="BX208" s="27"/>
      <c r="BY208" s="27"/>
      <c r="BZ208" s="27"/>
      <c r="CA208" s="27"/>
      <c r="CB208" s="27"/>
      <c r="CC208" s="27"/>
      <c r="CD208" s="27"/>
      <c r="CE208" s="27"/>
      <c r="CF208" s="27"/>
      <c r="CG208" s="27"/>
      <c r="CH208" s="27"/>
      <c r="CI208" s="27"/>
      <c r="CJ208" s="27"/>
      <c r="CK208" s="27"/>
      <c r="CL208" s="27"/>
      <c r="CM208" s="27"/>
      <c r="CN208" s="27"/>
      <c r="CO208" s="27"/>
      <c r="CP208" s="27"/>
      <c r="CQ208" s="27"/>
      <c r="CR208" s="27"/>
      <c r="CS208" s="27"/>
      <c r="CT208" s="27"/>
      <c r="CU208" s="27"/>
      <c r="CV208" s="27"/>
      <c r="CW208" s="27"/>
      <c r="CX208" s="27"/>
      <c r="CY208" s="27"/>
      <c r="CZ208" s="27"/>
      <c r="DA208" s="27"/>
      <c r="DB208" s="27"/>
      <c r="DC208" s="27"/>
      <c r="DD208" s="27"/>
      <c r="DE208" s="27"/>
      <c r="DF208" s="27"/>
      <c r="DG208" s="27"/>
      <c r="DH208" s="27"/>
      <c r="DI208" s="27"/>
      <c r="DJ208" s="27"/>
      <c r="DK208" s="27"/>
      <c r="DL208" s="27"/>
      <c r="DM208" s="27"/>
      <c r="DN208" s="27"/>
      <c r="DO208" s="27"/>
      <c r="DP208" s="27"/>
      <c r="DQ208" s="27"/>
      <c r="DR208" s="27"/>
      <c r="DS208" s="27"/>
      <c r="DT208" s="27"/>
    </row>
    <row r="209" spans="2:124" x14ac:dyDescent="0.2">
      <c r="B209" s="27"/>
      <c r="C209" s="27"/>
      <c r="D209" s="27"/>
      <c r="E209" s="27"/>
      <c r="F209" s="27">
        <v>0</v>
      </c>
      <c r="G209" s="27"/>
      <c r="H209" s="27"/>
      <c r="I209" s="27">
        <f t="shared" si="16"/>
        <v>2</v>
      </c>
      <c r="J209" s="27">
        <f t="shared" si="17"/>
        <v>6433.8785105468742</v>
      </c>
      <c r="K209" s="27"/>
      <c r="L209" s="27">
        <f t="shared" si="15"/>
        <v>2</v>
      </c>
      <c r="M209" s="27"/>
      <c r="N209" s="27"/>
      <c r="O209" s="27"/>
      <c r="P209" s="27"/>
      <c r="Q209" s="27"/>
      <c r="R209" s="27"/>
      <c r="S209" s="27"/>
      <c r="T209" s="27"/>
      <c r="U209" s="27"/>
      <c r="V209" s="27"/>
      <c r="W209" s="27"/>
      <c r="X209" s="27"/>
      <c r="Y209" s="27"/>
      <c r="Z209" s="27"/>
      <c r="AA209" s="27"/>
      <c r="AB209" s="27"/>
      <c r="AC209" s="27"/>
      <c r="AD209" s="27"/>
      <c r="AE209" s="27"/>
      <c r="AF209" s="27"/>
      <c r="AG209" s="27"/>
      <c r="AH209" s="27"/>
      <c r="AI209" s="27"/>
      <c r="AJ209" s="27"/>
      <c r="AK209" s="27"/>
      <c r="AL209" s="27"/>
      <c r="AM209" s="27"/>
      <c r="AN209" s="27"/>
      <c r="AO209" s="27"/>
      <c r="AP209" s="27"/>
      <c r="AQ209" s="27"/>
      <c r="AR209" s="27"/>
      <c r="AS209" s="27"/>
      <c r="AT209" s="27"/>
      <c r="AU209" s="27"/>
      <c r="AV209" s="27"/>
      <c r="AW209" s="27"/>
      <c r="AX209" s="27"/>
      <c r="AY209" s="27"/>
      <c r="AZ209" s="27"/>
      <c r="BA209" s="27"/>
      <c r="BB209" s="27"/>
      <c r="BC209" s="27"/>
      <c r="BD209" s="27"/>
      <c r="BE209" s="27"/>
      <c r="BF209" s="27"/>
      <c r="BG209" s="27"/>
      <c r="BH209" s="27"/>
      <c r="BI209" s="27"/>
      <c r="BJ209" s="27"/>
      <c r="BK209" s="27"/>
      <c r="BL209" s="27"/>
      <c r="BM209" s="27"/>
      <c r="BN209" s="27"/>
      <c r="BO209" s="27"/>
      <c r="BP209" s="27"/>
      <c r="BQ209" s="27"/>
      <c r="BR209" s="27"/>
      <c r="BS209" s="27"/>
      <c r="BT209" s="27"/>
      <c r="BU209" s="27"/>
      <c r="BV209" s="27"/>
      <c r="BW209" s="27"/>
      <c r="BX209" s="27"/>
      <c r="BY209" s="27"/>
      <c r="BZ209" s="27"/>
      <c r="CA209" s="27"/>
      <c r="CB209" s="27"/>
      <c r="CC209" s="27"/>
      <c r="CD209" s="27"/>
      <c r="CE209" s="27"/>
      <c r="CF209" s="27"/>
      <c r="CG209" s="27"/>
      <c r="CH209" s="27"/>
      <c r="CI209" s="27"/>
      <c r="CJ209" s="27"/>
      <c r="CK209" s="27"/>
      <c r="CL209" s="27"/>
      <c r="CM209" s="27"/>
      <c r="CN209" s="27"/>
      <c r="CO209" s="27"/>
      <c r="CP209" s="27"/>
      <c r="CQ209" s="27"/>
      <c r="CR209" s="27"/>
      <c r="CS209" s="27"/>
      <c r="CT209" s="27"/>
      <c r="CU209" s="27"/>
      <c r="CV209" s="27"/>
      <c r="CW209" s="27"/>
      <c r="CX209" s="27"/>
      <c r="CY209" s="27"/>
      <c r="CZ209" s="27"/>
      <c r="DA209" s="27"/>
      <c r="DB209" s="27"/>
      <c r="DC209" s="27"/>
      <c r="DD209" s="27"/>
      <c r="DE209" s="27"/>
      <c r="DF209" s="27"/>
      <c r="DG209" s="27"/>
      <c r="DH209" s="27"/>
      <c r="DI209" s="27"/>
      <c r="DJ209" s="27"/>
      <c r="DK209" s="27"/>
      <c r="DL209" s="27"/>
      <c r="DM209" s="27"/>
      <c r="DN209" s="27"/>
      <c r="DO209" s="27"/>
      <c r="DP209" s="27"/>
      <c r="DQ209" s="27"/>
      <c r="DR209" s="27"/>
      <c r="DS209" s="27"/>
      <c r="DT209" s="27"/>
    </row>
    <row r="210" spans="2:124" x14ac:dyDescent="0.2">
      <c r="B210" s="27"/>
      <c r="C210" s="27"/>
      <c r="D210" s="27"/>
      <c r="E210" s="27"/>
      <c r="F210" s="27">
        <f>BG73</f>
        <v>0</v>
      </c>
      <c r="G210" s="27"/>
      <c r="H210" s="27"/>
      <c r="I210" s="27">
        <f t="shared" si="16"/>
        <v>2.5</v>
      </c>
      <c r="J210" s="27">
        <f t="shared" si="17"/>
        <v>6675.1489546923822</v>
      </c>
      <c r="K210" s="27"/>
      <c r="L210" s="27">
        <f t="shared" si="15"/>
        <v>2.5</v>
      </c>
      <c r="M210" s="27"/>
      <c r="N210" s="27"/>
      <c r="O210" s="27"/>
      <c r="P210" s="27"/>
      <c r="Q210" s="27"/>
      <c r="R210" s="27"/>
      <c r="S210" s="27"/>
      <c r="T210" s="27"/>
      <c r="U210" s="27"/>
      <c r="V210" s="27"/>
      <c r="W210" s="27"/>
      <c r="X210" s="27"/>
      <c r="Y210" s="27"/>
      <c r="Z210" s="27"/>
      <c r="AA210" s="27"/>
      <c r="AB210" s="27"/>
      <c r="AC210" s="27"/>
      <c r="AD210" s="27"/>
      <c r="AE210" s="27"/>
      <c r="AF210" s="27"/>
      <c r="AG210" s="27"/>
      <c r="AH210" s="27"/>
      <c r="AI210" s="27"/>
      <c r="AJ210" s="27"/>
      <c r="AK210" s="27"/>
      <c r="AL210" s="27"/>
      <c r="AM210" s="27"/>
      <c r="AN210" s="27"/>
      <c r="AO210" s="27"/>
      <c r="AP210" s="27"/>
      <c r="AQ210" s="27"/>
      <c r="AR210" s="27"/>
      <c r="AS210" s="27"/>
      <c r="AT210" s="27"/>
      <c r="AU210" s="27"/>
      <c r="AV210" s="27"/>
      <c r="AW210" s="27"/>
      <c r="AX210" s="27"/>
      <c r="AY210" s="27"/>
      <c r="AZ210" s="27"/>
      <c r="BA210" s="27"/>
      <c r="BB210" s="27"/>
      <c r="BC210" s="27"/>
      <c r="BD210" s="27"/>
      <c r="BE210" s="27"/>
      <c r="BF210" s="27"/>
      <c r="BG210" s="27"/>
      <c r="BH210" s="27"/>
      <c r="BI210" s="27"/>
      <c r="BJ210" s="27"/>
      <c r="BK210" s="27"/>
      <c r="BL210" s="27"/>
      <c r="BM210" s="27"/>
      <c r="BN210" s="27"/>
      <c r="BO210" s="27"/>
      <c r="BP210" s="27"/>
      <c r="BQ210" s="27"/>
      <c r="BR210" s="27"/>
      <c r="BS210" s="27"/>
      <c r="BT210" s="27"/>
      <c r="BU210" s="27"/>
      <c r="BV210" s="27"/>
      <c r="BW210" s="27"/>
      <c r="BX210" s="27"/>
      <c r="BY210" s="27"/>
      <c r="BZ210" s="27"/>
      <c r="CA210" s="27"/>
      <c r="CB210" s="27"/>
      <c r="CC210" s="27"/>
      <c r="CD210" s="27"/>
      <c r="CE210" s="27"/>
      <c r="CF210" s="27"/>
      <c r="CG210" s="27"/>
      <c r="CH210" s="27"/>
      <c r="CI210" s="27"/>
      <c r="CJ210" s="27"/>
      <c r="CK210" s="27"/>
      <c r="CL210" s="27"/>
      <c r="CM210" s="27"/>
      <c r="CN210" s="27"/>
      <c r="CO210" s="27"/>
      <c r="CP210" s="27"/>
      <c r="CQ210" s="27"/>
      <c r="CR210" s="27"/>
      <c r="CS210" s="27"/>
      <c r="CT210" s="27"/>
      <c r="CU210" s="27"/>
      <c r="CV210" s="27"/>
      <c r="CW210" s="27"/>
      <c r="CX210" s="27"/>
      <c r="CY210" s="27"/>
      <c r="CZ210" s="27"/>
      <c r="DA210" s="27"/>
      <c r="DB210" s="27"/>
      <c r="DC210" s="27"/>
      <c r="DD210" s="27"/>
      <c r="DE210" s="27"/>
      <c r="DF210" s="27"/>
      <c r="DG210" s="27"/>
      <c r="DH210" s="27"/>
      <c r="DI210" s="27"/>
      <c r="DJ210" s="27"/>
      <c r="DK210" s="27"/>
      <c r="DL210" s="27"/>
      <c r="DM210" s="27"/>
      <c r="DN210" s="27"/>
      <c r="DO210" s="27"/>
      <c r="DP210" s="27"/>
      <c r="DQ210" s="27"/>
      <c r="DR210" s="27"/>
      <c r="DS210" s="27"/>
      <c r="DT210" s="27"/>
    </row>
    <row r="211" spans="2:124" x14ac:dyDescent="0.2">
      <c r="B211" s="27"/>
      <c r="C211" s="27"/>
      <c r="D211" s="27"/>
      <c r="E211" s="27"/>
      <c r="F211" s="27">
        <f>IF(BG65=X6,0,IF(BG65=X7,10%*P96,IF(BG65=X8,20%*P96,IF(BG65=X9,11.5%*P96,6%*P96))))</f>
        <v>0</v>
      </c>
      <c r="G211" s="27" t="s">
        <v>59</v>
      </c>
      <c r="H211" s="27"/>
      <c r="I211" s="27">
        <f t="shared" si="16"/>
        <v>3</v>
      </c>
      <c r="J211" s="27">
        <f t="shared" si="17"/>
        <v>6916.4193988378893</v>
      </c>
      <c r="K211" s="27"/>
      <c r="L211" s="27">
        <f t="shared" si="15"/>
        <v>3</v>
      </c>
      <c r="M211" s="27"/>
      <c r="N211" s="27"/>
      <c r="O211" s="27"/>
      <c r="P211" s="27"/>
      <c r="Q211" s="27"/>
      <c r="R211" s="27"/>
      <c r="S211" s="27"/>
      <c r="T211" s="27"/>
      <c r="U211" s="27"/>
      <c r="V211" s="27"/>
      <c r="W211" s="27"/>
      <c r="X211" s="27"/>
      <c r="Y211" s="27"/>
      <c r="Z211" s="27"/>
      <c r="AA211" s="27"/>
      <c r="AB211" s="27"/>
      <c r="AC211" s="27"/>
      <c r="AD211" s="27"/>
      <c r="AE211" s="27"/>
      <c r="AF211" s="27"/>
      <c r="AG211" s="27"/>
      <c r="AH211" s="27"/>
      <c r="AI211" s="27"/>
      <c r="AJ211" s="27"/>
      <c r="AK211" s="27"/>
      <c r="AL211" s="27"/>
      <c r="AM211" s="27"/>
      <c r="AN211" s="27"/>
      <c r="AO211" s="27"/>
      <c r="AP211" s="27"/>
      <c r="AQ211" s="27"/>
      <c r="AR211" s="27"/>
      <c r="AS211" s="27"/>
      <c r="AT211" s="27"/>
      <c r="AU211" s="27"/>
      <c r="AV211" s="27"/>
      <c r="AW211" s="27"/>
      <c r="AX211" s="27"/>
      <c r="AY211" s="27"/>
      <c r="AZ211" s="27"/>
      <c r="BA211" s="27"/>
      <c r="BB211" s="27"/>
      <c r="BC211" s="27"/>
      <c r="BD211" s="27"/>
      <c r="BE211" s="27"/>
      <c r="BF211" s="27"/>
      <c r="BG211" s="27"/>
      <c r="BH211" s="27"/>
      <c r="BI211" s="27"/>
      <c r="BJ211" s="27"/>
      <c r="BK211" s="27"/>
      <c r="BL211" s="27"/>
      <c r="BM211" s="27"/>
      <c r="BN211" s="27"/>
      <c r="BO211" s="27"/>
      <c r="BP211" s="27"/>
      <c r="BQ211" s="27"/>
      <c r="BR211" s="27"/>
      <c r="BS211" s="27"/>
      <c r="BT211" s="27"/>
      <c r="BU211" s="27"/>
      <c r="BV211" s="27"/>
      <c r="BW211" s="27"/>
      <c r="BX211" s="27"/>
      <c r="BY211" s="27"/>
      <c r="BZ211" s="27"/>
      <c r="CA211" s="27"/>
      <c r="CB211" s="27"/>
      <c r="CC211" s="27"/>
      <c r="CD211" s="27"/>
      <c r="CE211" s="27"/>
      <c r="CF211" s="27"/>
      <c r="CG211" s="27"/>
      <c r="CH211" s="27"/>
      <c r="CI211" s="27"/>
      <c r="CJ211" s="27"/>
      <c r="CK211" s="27"/>
      <c r="CL211" s="27"/>
      <c r="CM211" s="27"/>
      <c r="CN211" s="27"/>
      <c r="CO211" s="27"/>
      <c r="CP211" s="27"/>
      <c r="CQ211" s="27"/>
      <c r="CR211" s="27"/>
      <c r="CS211" s="27"/>
      <c r="CT211" s="27"/>
      <c r="CU211" s="27"/>
      <c r="CV211" s="27"/>
      <c r="CW211" s="27"/>
      <c r="CX211" s="27"/>
      <c r="CY211" s="27"/>
      <c r="CZ211" s="27"/>
      <c r="DA211" s="27"/>
      <c r="DB211" s="27"/>
      <c r="DC211" s="27"/>
      <c r="DD211" s="27"/>
      <c r="DE211" s="27"/>
      <c r="DF211" s="27"/>
      <c r="DG211" s="27"/>
      <c r="DH211" s="27"/>
      <c r="DI211" s="27"/>
      <c r="DJ211" s="27"/>
      <c r="DK211" s="27"/>
      <c r="DL211" s="27"/>
      <c r="DM211" s="27"/>
      <c r="DN211" s="27"/>
      <c r="DO211" s="27"/>
      <c r="DP211" s="27"/>
      <c r="DQ211" s="27"/>
      <c r="DR211" s="27"/>
      <c r="DS211" s="27"/>
      <c r="DT211" s="27"/>
    </row>
    <row r="212" spans="2:124" x14ac:dyDescent="0.2">
      <c r="B212" s="27"/>
      <c r="C212" s="27"/>
      <c r="D212" s="27"/>
      <c r="E212" s="27"/>
      <c r="F212" s="27">
        <f>BG66</f>
        <v>0</v>
      </c>
      <c r="G212" s="27"/>
      <c r="H212" s="27"/>
      <c r="I212" s="27">
        <f t="shared" si="16"/>
        <v>3.5</v>
      </c>
      <c r="J212" s="27">
        <f t="shared" si="17"/>
        <v>7175.7851262943104</v>
      </c>
      <c r="K212" s="27"/>
      <c r="L212" s="27">
        <f t="shared" si="15"/>
        <v>3.5</v>
      </c>
      <c r="M212" s="27"/>
      <c r="N212" s="27"/>
      <c r="O212" s="27"/>
      <c r="P212" s="27"/>
      <c r="Q212" s="27"/>
      <c r="R212" s="27"/>
      <c r="S212" s="27"/>
      <c r="T212" s="27"/>
      <c r="U212" s="27"/>
      <c r="V212" s="27"/>
      <c r="W212" s="27"/>
      <c r="X212" s="27"/>
      <c r="Y212" s="27"/>
      <c r="Z212" s="27"/>
      <c r="AA212" s="27"/>
      <c r="AB212" s="27"/>
      <c r="AC212" s="27"/>
      <c r="AD212" s="27"/>
      <c r="AE212" s="27"/>
      <c r="AF212" s="27"/>
      <c r="AG212" s="27"/>
      <c r="AH212" s="27"/>
      <c r="AI212" s="27"/>
      <c r="AJ212" s="27"/>
      <c r="AK212" s="27"/>
      <c r="AL212" s="27"/>
      <c r="AM212" s="27"/>
      <c r="AN212" s="27"/>
      <c r="AO212" s="27"/>
      <c r="AP212" s="27"/>
      <c r="AQ212" s="27"/>
      <c r="AR212" s="27"/>
      <c r="AS212" s="27"/>
      <c r="AT212" s="27"/>
      <c r="AU212" s="27"/>
      <c r="AV212" s="27"/>
      <c r="AW212" s="27"/>
      <c r="AX212" s="27"/>
      <c r="AY212" s="27"/>
      <c r="AZ212" s="27"/>
      <c r="BA212" s="27"/>
      <c r="BB212" s="27"/>
      <c r="BC212" s="27"/>
      <c r="BD212" s="27"/>
      <c r="BE212" s="27"/>
      <c r="BF212" s="27"/>
      <c r="BG212" s="27"/>
      <c r="BH212" s="27"/>
      <c r="BI212" s="27"/>
      <c r="BJ212" s="27"/>
      <c r="BK212" s="27"/>
      <c r="BL212" s="27"/>
      <c r="BM212" s="27"/>
      <c r="BN212" s="27"/>
      <c r="BO212" s="27"/>
      <c r="BP212" s="27"/>
      <c r="BQ212" s="27"/>
      <c r="BR212" s="27"/>
      <c r="BS212" s="27"/>
      <c r="BT212" s="27"/>
      <c r="BU212" s="27"/>
      <c r="BV212" s="27"/>
      <c r="BW212" s="27"/>
      <c r="BX212" s="27"/>
      <c r="BY212" s="27"/>
      <c r="BZ212" s="27"/>
      <c r="CA212" s="27"/>
      <c r="CB212" s="27"/>
      <c r="CC212" s="27"/>
      <c r="CD212" s="27"/>
      <c r="CE212" s="27"/>
      <c r="CF212" s="27"/>
      <c r="CG212" s="27"/>
      <c r="CH212" s="27"/>
      <c r="CI212" s="27"/>
      <c r="CJ212" s="27"/>
      <c r="CK212" s="27"/>
      <c r="CL212" s="27"/>
      <c r="CM212" s="27"/>
      <c r="CN212" s="27"/>
      <c r="CO212" s="27"/>
      <c r="CP212" s="27"/>
      <c r="CQ212" s="27"/>
      <c r="CR212" s="27"/>
      <c r="CS212" s="27"/>
      <c r="CT212" s="27"/>
      <c r="CU212" s="27"/>
      <c r="CV212" s="27"/>
      <c r="CW212" s="27"/>
      <c r="CX212" s="27"/>
      <c r="CY212" s="27"/>
      <c r="CZ212" s="27"/>
      <c r="DA212" s="27"/>
      <c r="DB212" s="27"/>
      <c r="DC212" s="27"/>
      <c r="DD212" s="27"/>
      <c r="DE212" s="27"/>
      <c r="DF212" s="27"/>
      <c r="DG212" s="27"/>
      <c r="DH212" s="27"/>
      <c r="DI212" s="27"/>
      <c r="DJ212" s="27"/>
      <c r="DK212" s="27"/>
      <c r="DL212" s="27"/>
      <c r="DM212" s="27"/>
      <c r="DN212" s="27"/>
      <c r="DO212" s="27"/>
      <c r="DP212" s="27"/>
      <c r="DQ212" s="27"/>
      <c r="DR212" s="27"/>
      <c r="DS212" s="27"/>
      <c r="DT212" s="27"/>
    </row>
    <row r="213" spans="2:124" x14ac:dyDescent="0.2">
      <c r="B213" s="27"/>
      <c r="C213" s="27"/>
      <c r="D213" s="27"/>
      <c r="E213" s="27"/>
      <c r="F213" s="27">
        <f>AD11*P96</f>
        <v>0</v>
      </c>
      <c r="G213" s="27"/>
      <c r="H213" s="27"/>
      <c r="I213" s="27">
        <f t="shared" si="16"/>
        <v>4</v>
      </c>
      <c r="J213" s="27">
        <f t="shared" si="17"/>
        <v>7435.1508537507298</v>
      </c>
      <c r="K213" s="27"/>
      <c r="L213" s="27">
        <f t="shared" si="15"/>
        <v>4</v>
      </c>
      <c r="M213" s="27"/>
      <c r="N213" s="27"/>
      <c r="O213" s="27"/>
      <c r="P213" s="27"/>
      <c r="Q213" s="27"/>
      <c r="R213" s="27"/>
      <c r="S213" s="27"/>
      <c r="T213" s="27"/>
      <c r="U213" s="27"/>
      <c r="V213" s="27"/>
      <c r="W213" s="27"/>
      <c r="X213" s="27"/>
      <c r="Y213" s="27"/>
      <c r="Z213" s="27"/>
      <c r="AA213" s="27"/>
      <c r="AB213" s="27"/>
      <c r="AC213" s="27"/>
      <c r="AD213" s="27"/>
      <c r="AE213" s="27"/>
      <c r="AF213" s="27"/>
      <c r="AG213" s="27"/>
      <c r="AH213" s="27"/>
      <c r="AI213" s="27"/>
      <c r="AJ213" s="27"/>
      <c r="AK213" s="27"/>
      <c r="AL213" s="27"/>
      <c r="AM213" s="27"/>
      <c r="AN213" s="27"/>
      <c r="AO213" s="27"/>
      <c r="AP213" s="27"/>
      <c r="AQ213" s="27"/>
      <c r="AR213" s="27"/>
      <c r="AS213" s="27"/>
      <c r="AT213" s="27"/>
      <c r="AU213" s="27"/>
      <c r="AV213" s="27"/>
      <c r="AW213" s="27"/>
      <c r="AX213" s="27"/>
      <c r="AY213" s="27"/>
      <c r="AZ213" s="27"/>
      <c r="BA213" s="27"/>
      <c r="BB213" s="27"/>
      <c r="BC213" s="27"/>
      <c r="BD213" s="27"/>
      <c r="BE213" s="27"/>
      <c r="BF213" s="27"/>
      <c r="BG213" s="27"/>
      <c r="BH213" s="27"/>
      <c r="BI213" s="27"/>
      <c r="BJ213" s="27"/>
      <c r="BK213" s="27"/>
      <c r="BL213" s="27"/>
      <c r="BM213" s="27"/>
      <c r="BN213" s="27"/>
      <c r="BO213" s="27"/>
      <c r="BP213" s="27"/>
      <c r="BQ213" s="27"/>
      <c r="BR213" s="27"/>
      <c r="BS213" s="27"/>
      <c r="BT213" s="27"/>
      <c r="BU213" s="27"/>
      <c r="BV213" s="27"/>
      <c r="BW213" s="27"/>
      <c r="BX213" s="27"/>
      <c r="BY213" s="27"/>
      <c r="BZ213" s="27"/>
      <c r="CA213" s="27"/>
      <c r="CB213" s="27"/>
      <c r="CC213" s="27"/>
      <c r="CD213" s="27"/>
      <c r="CE213" s="27"/>
      <c r="CF213" s="27"/>
      <c r="CG213" s="27"/>
      <c r="CH213" s="27"/>
      <c r="CI213" s="27"/>
      <c r="CJ213" s="27"/>
      <c r="CK213" s="27"/>
      <c r="CL213" s="27"/>
      <c r="CM213" s="27"/>
      <c r="CN213" s="27"/>
      <c r="CO213" s="27"/>
      <c r="CP213" s="27"/>
      <c r="CQ213" s="27"/>
      <c r="CR213" s="27"/>
      <c r="CS213" s="27"/>
      <c r="CT213" s="27"/>
      <c r="CU213" s="27"/>
      <c r="CV213" s="27"/>
      <c r="CW213" s="27"/>
      <c r="CX213" s="27"/>
      <c r="CY213" s="27"/>
      <c r="CZ213" s="27"/>
      <c r="DA213" s="27"/>
      <c r="DB213" s="27"/>
      <c r="DC213" s="27"/>
      <c r="DD213" s="27"/>
      <c r="DE213" s="27"/>
      <c r="DF213" s="27"/>
      <c r="DG213" s="27"/>
      <c r="DH213" s="27"/>
      <c r="DI213" s="27"/>
      <c r="DJ213" s="27"/>
      <c r="DK213" s="27"/>
      <c r="DL213" s="27"/>
      <c r="DM213" s="27"/>
      <c r="DN213" s="27"/>
      <c r="DO213" s="27"/>
      <c r="DP213" s="27"/>
      <c r="DQ213" s="27"/>
      <c r="DR213" s="27"/>
      <c r="DS213" s="27"/>
      <c r="DT213" s="27"/>
    </row>
    <row r="214" spans="2:124" x14ac:dyDescent="0.2">
      <c r="B214" s="27" t="s">
        <v>545</v>
      </c>
      <c r="C214" s="27"/>
      <c r="D214" s="27"/>
      <c r="E214" s="27"/>
      <c r="F214" s="27" t="e">
        <f>SUM(F205:F208)*BG68</f>
        <v>#REF!</v>
      </c>
      <c r="G214" s="27"/>
      <c r="H214" s="27"/>
      <c r="I214" s="27">
        <f t="shared" si="16"/>
        <v>4.5</v>
      </c>
      <c r="J214" s="27">
        <f t="shared" si="17"/>
        <v>7713.9690107663837</v>
      </c>
      <c r="K214" s="27"/>
      <c r="L214" s="27">
        <f t="shared" si="15"/>
        <v>4.5</v>
      </c>
      <c r="M214" s="27"/>
      <c r="N214" s="27"/>
      <c r="O214" s="27"/>
      <c r="P214" s="27"/>
      <c r="Q214" s="27"/>
      <c r="R214" s="27"/>
      <c r="S214" s="27"/>
      <c r="T214" s="27"/>
      <c r="U214" s="27"/>
      <c r="V214" s="27"/>
      <c r="W214" s="27"/>
      <c r="X214" s="27"/>
      <c r="Y214" s="27"/>
      <c r="Z214" s="27"/>
      <c r="AA214" s="27"/>
      <c r="AB214" s="27"/>
      <c r="AC214" s="27"/>
      <c r="AD214" s="27"/>
      <c r="AE214" s="27"/>
      <c r="AF214" s="27"/>
      <c r="AG214" s="27"/>
      <c r="AH214" s="27"/>
      <c r="AI214" s="27"/>
      <c r="AJ214" s="27"/>
      <c r="AK214" s="27"/>
      <c r="AL214" s="27"/>
      <c r="AM214" s="27"/>
      <c r="AN214" s="27"/>
      <c r="AO214" s="27"/>
      <c r="AP214" s="27"/>
      <c r="AQ214" s="27"/>
      <c r="AR214" s="27"/>
      <c r="AS214" s="27"/>
      <c r="AT214" s="27"/>
      <c r="AU214" s="27"/>
      <c r="AV214" s="27"/>
      <c r="AW214" s="27"/>
      <c r="AX214" s="27"/>
      <c r="AY214" s="27"/>
      <c r="AZ214" s="27"/>
      <c r="BA214" s="27"/>
      <c r="BB214" s="27"/>
      <c r="BC214" s="27"/>
      <c r="BD214" s="27"/>
      <c r="BE214" s="27"/>
      <c r="BF214" s="27"/>
      <c r="BG214" s="27"/>
      <c r="BH214" s="27"/>
      <c r="BI214" s="27"/>
      <c r="BJ214" s="27"/>
      <c r="BK214" s="27"/>
      <c r="BL214" s="27"/>
      <c r="BM214" s="27"/>
      <c r="BN214" s="27"/>
      <c r="BO214" s="27"/>
      <c r="BP214" s="27"/>
      <c r="BQ214" s="27"/>
      <c r="BR214" s="27"/>
      <c r="BS214" s="27"/>
      <c r="BT214" s="27"/>
      <c r="BU214" s="27"/>
      <c r="BV214" s="27"/>
      <c r="BW214" s="27"/>
      <c r="BX214" s="27"/>
      <c r="BY214" s="27"/>
      <c r="BZ214" s="27"/>
      <c r="CA214" s="27"/>
      <c r="CB214" s="27"/>
      <c r="CC214" s="27"/>
      <c r="CD214" s="27"/>
      <c r="CE214" s="27"/>
      <c r="CF214" s="27"/>
      <c r="CG214" s="27"/>
      <c r="CH214" s="27"/>
      <c r="CI214" s="27"/>
      <c r="CJ214" s="27"/>
      <c r="CK214" s="27"/>
      <c r="CL214" s="27"/>
      <c r="CM214" s="27"/>
      <c r="CN214" s="27"/>
      <c r="CO214" s="27"/>
      <c r="CP214" s="27"/>
      <c r="CQ214" s="27"/>
      <c r="CR214" s="27"/>
      <c r="CS214" s="27"/>
      <c r="CT214" s="27"/>
      <c r="CU214" s="27"/>
      <c r="CV214" s="27"/>
      <c r="CW214" s="27"/>
      <c r="CX214" s="27"/>
      <c r="CY214" s="27"/>
      <c r="CZ214" s="27"/>
      <c r="DA214" s="27"/>
      <c r="DB214" s="27"/>
      <c r="DC214" s="27"/>
      <c r="DD214" s="27"/>
      <c r="DE214" s="27"/>
      <c r="DF214" s="27"/>
      <c r="DG214" s="27"/>
      <c r="DH214" s="27"/>
      <c r="DI214" s="27"/>
      <c r="DJ214" s="27"/>
      <c r="DK214" s="27"/>
      <c r="DL214" s="27"/>
      <c r="DM214" s="27"/>
      <c r="DN214" s="27"/>
      <c r="DO214" s="27"/>
      <c r="DP214" s="27"/>
      <c r="DQ214" s="27"/>
      <c r="DR214" s="27"/>
      <c r="DS214" s="27"/>
      <c r="DT214" s="27"/>
    </row>
    <row r="215" spans="2:124" x14ac:dyDescent="0.2">
      <c r="B215" s="27"/>
      <c r="C215" s="27"/>
      <c r="D215" s="27"/>
      <c r="E215" s="27"/>
      <c r="F215" s="27" t="e">
        <f>J187*F214</f>
        <v>#REF!</v>
      </c>
      <c r="G215" s="27" t="s">
        <v>59</v>
      </c>
      <c r="H215" s="27"/>
      <c r="I215" s="27">
        <f t="shared" si="16"/>
        <v>5</v>
      </c>
      <c r="J215" s="27">
        <f t="shared" si="17"/>
        <v>7992.7871677820349</v>
      </c>
      <c r="K215" s="27"/>
      <c r="L215" s="27">
        <f t="shared" si="15"/>
        <v>5</v>
      </c>
      <c r="M215" s="27"/>
      <c r="N215" s="27"/>
      <c r="O215" s="27"/>
      <c r="P215" s="27"/>
      <c r="Q215" s="27"/>
      <c r="R215" s="27"/>
      <c r="S215" s="27"/>
      <c r="T215" s="27"/>
      <c r="U215" s="27"/>
      <c r="V215" s="27"/>
      <c r="W215" s="27"/>
      <c r="X215" s="27"/>
      <c r="Y215" s="27"/>
      <c r="Z215" s="27"/>
      <c r="AA215" s="27"/>
      <c r="AB215" s="27"/>
      <c r="AC215" s="27"/>
      <c r="AD215" s="27"/>
      <c r="AE215" s="27"/>
      <c r="AF215" s="27"/>
      <c r="AG215" s="27"/>
      <c r="AH215" s="27"/>
      <c r="AI215" s="27"/>
      <c r="AJ215" s="27"/>
      <c r="AK215" s="27"/>
      <c r="AL215" s="27"/>
      <c r="AM215" s="27"/>
      <c r="AN215" s="27"/>
      <c r="AO215" s="27"/>
      <c r="AP215" s="27"/>
      <c r="AQ215" s="27"/>
      <c r="AR215" s="27"/>
      <c r="AS215" s="27"/>
      <c r="AT215" s="27"/>
      <c r="AU215" s="27"/>
      <c r="AV215" s="27"/>
      <c r="AW215" s="27"/>
      <c r="AX215" s="27"/>
      <c r="AY215" s="27"/>
      <c r="AZ215" s="27"/>
      <c r="BA215" s="27"/>
      <c r="BB215" s="27"/>
      <c r="BC215" s="27"/>
      <c r="BD215" s="27"/>
      <c r="BE215" s="27"/>
      <c r="BF215" s="27"/>
      <c r="BG215" s="27"/>
      <c r="BH215" s="27"/>
      <c r="BI215" s="27"/>
      <c r="BJ215" s="27"/>
      <c r="BK215" s="27"/>
      <c r="BL215" s="27"/>
      <c r="BM215" s="27"/>
      <c r="BN215" s="27"/>
      <c r="BO215" s="27"/>
      <c r="BP215" s="27"/>
      <c r="BQ215" s="27"/>
      <c r="BR215" s="27"/>
      <c r="BS215" s="27"/>
      <c r="BT215" s="27"/>
      <c r="BU215" s="27"/>
      <c r="BV215" s="27"/>
      <c r="BW215" s="27"/>
      <c r="BX215" s="27"/>
      <c r="BY215" s="27"/>
      <c r="BZ215" s="27"/>
      <c r="CA215" s="27"/>
      <c r="CB215" s="27"/>
      <c r="CC215" s="27"/>
      <c r="CD215" s="27"/>
      <c r="CE215" s="27"/>
      <c r="CF215" s="27"/>
      <c r="CG215" s="27"/>
      <c r="CH215" s="27"/>
      <c r="CI215" s="27"/>
      <c r="CJ215" s="27"/>
      <c r="CK215" s="27"/>
      <c r="CL215" s="27"/>
      <c r="CM215" s="27"/>
      <c r="CN215" s="27"/>
      <c r="CO215" s="27"/>
      <c r="CP215" s="27"/>
      <c r="CQ215" s="27"/>
      <c r="CR215" s="27"/>
      <c r="CS215" s="27"/>
      <c r="CT215" s="27"/>
      <c r="CU215" s="27"/>
      <c r="CV215" s="27"/>
      <c r="CW215" s="27"/>
      <c r="CX215" s="27"/>
      <c r="CY215" s="27"/>
      <c r="CZ215" s="27"/>
      <c r="DA215" s="27"/>
      <c r="DB215" s="27"/>
      <c r="DC215" s="27"/>
      <c r="DD215" s="27"/>
      <c r="DE215" s="27"/>
      <c r="DF215" s="27"/>
      <c r="DG215" s="27"/>
      <c r="DH215" s="27"/>
      <c r="DI215" s="27"/>
      <c r="DJ215" s="27"/>
      <c r="DK215" s="27"/>
      <c r="DL215" s="27"/>
      <c r="DM215" s="27"/>
      <c r="DN215" s="27"/>
      <c r="DO215" s="27"/>
      <c r="DP215" s="27"/>
      <c r="DQ215" s="27"/>
      <c r="DR215" s="27"/>
      <c r="DS215" s="27"/>
      <c r="DT215" s="27"/>
    </row>
    <row r="216" spans="2:124" x14ac:dyDescent="0.2">
      <c r="B216" s="27"/>
      <c r="C216" s="27"/>
      <c r="D216" s="27"/>
      <c r="E216" s="27"/>
      <c r="F216" s="27" t="e">
        <f>J188*F205</f>
        <v>#REF!</v>
      </c>
      <c r="G216" s="27"/>
      <c r="H216" s="27"/>
      <c r="I216" s="27">
        <f t="shared" si="16"/>
        <v>5.5</v>
      </c>
      <c r="J216" s="27">
        <f t="shared" si="17"/>
        <v>8292.5166865738611</v>
      </c>
      <c r="K216" s="27"/>
      <c r="L216" s="27">
        <f t="shared" si="15"/>
        <v>5.5</v>
      </c>
      <c r="M216" s="27"/>
      <c r="N216" s="27"/>
      <c r="O216" s="27"/>
      <c r="P216" s="27"/>
      <c r="Q216" s="27"/>
      <c r="R216" s="27"/>
      <c r="S216" s="27"/>
      <c r="T216" s="27"/>
      <c r="U216" s="27"/>
      <c r="V216" s="27"/>
      <c r="W216" s="27"/>
      <c r="X216" s="27"/>
      <c r="Y216" s="27"/>
      <c r="Z216" s="27"/>
      <c r="AA216" s="27"/>
      <c r="AB216" s="27"/>
      <c r="AC216" s="27"/>
      <c r="AD216" s="27"/>
      <c r="AE216" s="27"/>
      <c r="AF216" s="27"/>
      <c r="AG216" s="27"/>
      <c r="AH216" s="27"/>
      <c r="AI216" s="27"/>
      <c r="AJ216" s="27"/>
      <c r="AK216" s="27"/>
      <c r="AL216" s="27"/>
      <c r="AM216" s="27"/>
      <c r="AN216" s="27"/>
      <c r="AO216" s="27"/>
      <c r="AP216" s="27"/>
      <c r="AQ216" s="27"/>
      <c r="AR216" s="27"/>
      <c r="AS216" s="27"/>
      <c r="AT216" s="27"/>
      <c r="AU216" s="27"/>
      <c r="AV216" s="27"/>
      <c r="AW216" s="27"/>
      <c r="AX216" s="27"/>
      <c r="AY216" s="27"/>
      <c r="AZ216" s="27"/>
      <c r="BA216" s="27"/>
      <c r="BB216" s="27"/>
      <c r="BC216" s="27"/>
      <c r="BD216" s="27"/>
      <c r="BE216" s="27"/>
      <c r="BF216" s="27"/>
      <c r="BG216" s="27"/>
      <c r="BH216" s="27"/>
      <c r="BI216" s="27"/>
      <c r="BJ216" s="27"/>
      <c r="BK216" s="27"/>
      <c r="BL216" s="27"/>
      <c r="BM216" s="27"/>
      <c r="BN216" s="27"/>
      <c r="BO216" s="27"/>
      <c r="BP216" s="27"/>
      <c r="BQ216" s="27"/>
      <c r="BR216" s="27"/>
      <c r="BS216" s="27"/>
      <c r="BT216" s="27"/>
      <c r="BU216" s="27"/>
      <c r="BV216" s="27"/>
      <c r="BW216" s="27"/>
      <c r="BX216" s="27"/>
      <c r="BY216" s="27"/>
      <c r="BZ216" s="27"/>
      <c r="CA216" s="27"/>
      <c r="CB216" s="27"/>
      <c r="CC216" s="27"/>
      <c r="CD216" s="27"/>
      <c r="CE216" s="27"/>
      <c r="CF216" s="27"/>
      <c r="CG216" s="27"/>
      <c r="CH216" s="27"/>
      <c r="CI216" s="27"/>
      <c r="CJ216" s="27"/>
      <c r="CK216" s="27"/>
      <c r="CL216" s="27"/>
      <c r="CM216" s="27"/>
      <c r="CN216" s="27"/>
      <c r="CO216" s="27"/>
      <c r="CP216" s="27"/>
      <c r="CQ216" s="27"/>
      <c r="CR216" s="27"/>
      <c r="CS216" s="27"/>
      <c r="CT216" s="27"/>
      <c r="CU216" s="27"/>
      <c r="CV216" s="27"/>
      <c r="CW216" s="27"/>
      <c r="CX216" s="27"/>
      <c r="CY216" s="27"/>
      <c r="CZ216" s="27"/>
      <c r="DA216" s="27"/>
      <c r="DB216" s="27"/>
      <c r="DC216" s="27"/>
      <c r="DD216" s="27"/>
      <c r="DE216" s="27"/>
      <c r="DF216" s="27"/>
      <c r="DG216" s="27"/>
      <c r="DH216" s="27"/>
      <c r="DI216" s="27"/>
      <c r="DJ216" s="27"/>
      <c r="DK216" s="27"/>
      <c r="DL216" s="27"/>
      <c r="DM216" s="27"/>
      <c r="DN216" s="27"/>
      <c r="DO216" s="27"/>
      <c r="DP216" s="27"/>
      <c r="DQ216" s="27"/>
      <c r="DR216" s="27"/>
      <c r="DS216" s="27"/>
      <c r="DT216" s="27"/>
    </row>
    <row r="217" spans="2:124" x14ac:dyDescent="0.2">
      <c r="B217" s="27"/>
      <c r="C217" s="27"/>
      <c r="D217" s="27"/>
      <c r="E217" s="27"/>
      <c r="F217" s="27" t="e">
        <f>SUM(F205:F208)*AB29</f>
        <v>#REF!</v>
      </c>
      <c r="G217" s="27"/>
      <c r="H217" s="27"/>
      <c r="I217" s="27">
        <f t="shared" si="16"/>
        <v>6</v>
      </c>
      <c r="J217" s="27">
        <f t="shared" si="17"/>
        <v>8592.2462053656873</v>
      </c>
      <c r="K217" s="27"/>
      <c r="L217" s="27">
        <f t="shared" si="15"/>
        <v>6</v>
      </c>
      <c r="M217" s="27"/>
      <c r="N217" s="27"/>
      <c r="O217" s="27"/>
      <c r="P217" s="27"/>
      <c r="Q217" s="27"/>
      <c r="R217" s="27"/>
      <c r="S217" s="27"/>
      <c r="T217" s="27"/>
      <c r="U217" s="27"/>
      <c r="V217" s="27"/>
      <c r="W217" s="27"/>
      <c r="X217" s="27"/>
      <c r="Y217" s="27"/>
      <c r="Z217" s="27"/>
      <c r="AA217" s="27"/>
      <c r="AB217" s="27"/>
      <c r="AC217" s="27"/>
      <c r="AD217" s="27"/>
      <c r="AE217" s="27"/>
      <c r="AF217" s="27"/>
      <c r="AG217" s="27"/>
      <c r="AH217" s="27"/>
      <c r="AI217" s="27"/>
      <c r="AJ217" s="27"/>
      <c r="AK217" s="27"/>
      <c r="AL217" s="27"/>
      <c r="AM217" s="27"/>
      <c r="AN217" s="27"/>
      <c r="AO217" s="27"/>
      <c r="AP217" s="27"/>
      <c r="AQ217" s="27"/>
      <c r="AR217" s="27"/>
      <c r="AS217" s="27"/>
      <c r="AT217" s="27"/>
      <c r="AU217" s="27"/>
      <c r="AV217" s="27"/>
      <c r="AW217" s="27"/>
      <c r="AX217" s="27"/>
      <c r="AY217" s="27"/>
      <c r="AZ217" s="27"/>
      <c r="BA217" s="27"/>
      <c r="BB217" s="27"/>
      <c r="BC217" s="27"/>
      <c r="BD217" s="27"/>
      <c r="BE217" s="27"/>
      <c r="BF217" s="27"/>
      <c r="BG217" s="27"/>
      <c r="BH217" s="27"/>
      <c r="BI217" s="27"/>
      <c r="BJ217" s="27"/>
      <c r="BK217" s="27"/>
      <c r="BL217" s="27"/>
      <c r="BM217" s="27"/>
      <c r="BN217" s="27"/>
      <c r="BO217" s="27"/>
      <c r="BP217" s="27"/>
      <c r="BQ217" s="27"/>
      <c r="BR217" s="27"/>
      <c r="BS217" s="27"/>
      <c r="BT217" s="27"/>
      <c r="BU217" s="27"/>
      <c r="BV217" s="27"/>
      <c r="BW217" s="27"/>
      <c r="BX217" s="27"/>
      <c r="BY217" s="27"/>
      <c r="BZ217" s="27"/>
      <c r="CA217" s="27"/>
      <c r="CB217" s="27"/>
      <c r="CC217" s="27"/>
      <c r="CD217" s="27"/>
      <c r="CE217" s="27"/>
      <c r="CF217" s="27"/>
      <c r="CG217" s="27"/>
      <c r="CH217" s="27"/>
      <c r="CI217" s="27"/>
      <c r="CJ217" s="27"/>
      <c r="CK217" s="27"/>
      <c r="CL217" s="27"/>
      <c r="CM217" s="27"/>
      <c r="CN217" s="27"/>
      <c r="CO217" s="27"/>
      <c r="CP217" s="27"/>
      <c r="CQ217" s="27"/>
      <c r="CR217" s="27"/>
      <c r="CS217" s="27"/>
      <c r="CT217" s="27"/>
      <c r="CU217" s="27"/>
      <c r="CV217" s="27"/>
      <c r="CW217" s="27"/>
      <c r="CX217" s="27"/>
      <c r="CY217" s="27"/>
      <c r="CZ217" s="27"/>
      <c r="DA217" s="27"/>
      <c r="DB217" s="27"/>
      <c r="DC217" s="27"/>
      <c r="DD217" s="27"/>
      <c r="DE217" s="27"/>
      <c r="DF217" s="27"/>
      <c r="DG217" s="27"/>
      <c r="DH217" s="27"/>
      <c r="DI217" s="27"/>
      <c r="DJ217" s="27"/>
      <c r="DK217" s="27"/>
      <c r="DL217" s="27"/>
      <c r="DM217" s="27"/>
      <c r="DN217" s="27"/>
      <c r="DO217" s="27"/>
      <c r="DP217" s="27"/>
      <c r="DQ217" s="27"/>
      <c r="DR217" s="27"/>
      <c r="DS217" s="27"/>
      <c r="DT217" s="27"/>
    </row>
    <row r="218" spans="2:124" x14ac:dyDescent="0.2">
      <c r="B218" s="27"/>
      <c r="C218" s="27"/>
      <c r="D218" s="27"/>
      <c r="E218" s="27"/>
      <c r="F218" s="27" t="e">
        <f>F205*BG72</f>
        <v>#REF!</v>
      </c>
      <c r="G218" s="27"/>
      <c r="H218" s="27"/>
      <c r="I218" s="27">
        <f t="shared" si="16"/>
        <v>6.5</v>
      </c>
      <c r="J218" s="27">
        <f t="shared" si="17"/>
        <v>8957.4166690937291</v>
      </c>
      <c r="K218" s="27"/>
      <c r="L218" s="27">
        <f t="shared" si="15"/>
        <v>6.5</v>
      </c>
      <c r="M218" s="27"/>
      <c r="N218" s="27"/>
      <c r="O218" s="27"/>
      <c r="P218" s="27"/>
      <c r="Q218" s="27"/>
      <c r="R218" s="27"/>
      <c r="S218" s="27"/>
      <c r="T218" s="27"/>
      <c r="U218" s="27"/>
      <c r="V218" s="27"/>
      <c r="W218" s="27"/>
      <c r="X218" s="27"/>
      <c r="Y218" s="27"/>
      <c r="Z218" s="27"/>
      <c r="AA218" s="27"/>
      <c r="AB218" s="27"/>
      <c r="AC218" s="27"/>
      <c r="AD218" s="27"/>
      <c r="AE218" s="27"/>
      <c r="AF218" s="27"/>
      <c r="AG218" s="27"/>
      <c r="AH218" s="27"/>
      <c r="AI218" s="27"/>
      <c r="AJ218" s="27"/>
      <c r="AK218" s="27"/>
      <c r="AL218" s="27"/>
      <c r="AM218" s="27"/>
      <c r="AN218" s="27"/>
      <c r="AO218" s="27"/>
      <c r="AP218" s="27"/>
      <c r="AQ218" s="27"/>
      <c r="AR218" s="27"/>
      <c r="AS218" s="27"/>
      <c r="AT218" s="27"/>
      <c r="AU218" s="27"/>
      <c r="AV218" s="27"/>
      <c r="AW218" s="27"/>
      <c r="AX218" s="27"/>
      <c r="AY218" s="27"/>
      <c r="AZ218" s="27"/>
      <c r="BA218" s="27"/>
      <c r="BB218" s="27"/>
      <c r="BC218" s="27"/>
      <c r="BD218" s="27"/>
      <c r="BE218" s="27"/>
      <c r="BF218" s="27"/>
      <c r="BG218" s="27"/>
      <c r="BH218" s="27"/>
      <c r="BI218" s="27"/>
      <c r="BJ218" s="27"/>
      <c r="BK218" s="27"/>
      <c r="BL218" s="27"/>
      <c r="BM218" s="27"/>
      <c r="BN218" s="27"/>
      <c r="BO218" s="27"/>
      <c r="BP218" s="27"/>
      <c r="BQ218" s="27"/>
      <c r="BR218" s="27"/>
      <c r="BS218" s="27"/>
      <c r="BT218" s="27"/>
      <c r="BU218" s="27"/>
      <c r="BV218" s="27"/>
      <c r="BW218" s="27"/>
      <c r="BX218" s="27"/>
      <c r="BY218" s="27"/>
      <c r="BZ218" s="27"/>
      <c r="CA218" s="27"/>
      <c r="CB218" s="27"/>
      <c r="CC218" s="27"/>
      <c r="CD218" s="27"/>
      <c r="CE218" s="27"/>
      <c r="CF218" s="27"/>
      <c r="CG218" s="27"/>
      <c r="CH218" s="27"/>
      <c r="CI218" s="27"/>
      <c r="CJ218" s="27"/>
      <c r="CK218" s="27"/>
      <c r="CL218" s="27"/>
      <c r="CM218" s="27"/>
      <c r="CN218" s="27"/>
      <c r="CO218" s="27"/>
      <c r="CP218" s="27"/>
      <c r="CQ218" s="27"/>
      <c r="CR218" s="27"/>
      <c r="CS218" s="27"/>
      <c r="CT218" s="27"/>
      <c r="CU218" s="27"/>
      <c r="CV218" s="27"/>
      <c r="CW218" s="27"/>
      <c r="CX218" s="27"/>
      <c r="CY218" s="27"/>
      <c r="CZ218" s="27"/>
      <c r="DA218" s="27"/>
      <c r="DB218" s="27"/>
      <c r="DC218" s="27"/>
      <c r="DD218" s="27"/>
      <c r="DE218" s="27"/>
      <c r="DF218" s="27"/>
      <c r="DG218" s="27"/>
      <c r="DH218" s="27"/>
      <c r="DI218" s="27"/>
      <c r="DJ218" s="27"/>
      <c r="DK218" s="27"/>
      <c r="DL218" s="27"/>
      <c r="DM218" s="27"/>
      <c r="DN218" s="27"/>
      <c r="DO218" s="27"/>
      <c r="DP218" s="27"/>
      <c r="DQ218" s="27"/>
      <c r="DR218" s="27"/>
      <c r="DS218" s="27"/>
      <c r="DT218" s="27"/>
    </row>
    <row r="219" spans="2:124" x14ac:dyDescent="0.2">
      <c r="B219" s="27"/>
      <c r="C219" s="27"/>
      <c r="D219" s="27"/>
      <c r="E219" s="27"/>
      <c r="F219" s="27" t="e">
        <f>SUM(F205:F208)*BG64</f>
        <v>#REF!</v>
      </c>
      <c r="G219" s="27"/>
      <c r="H219" s="27"/>
      <c r="I219" s="27">
        <f t="shared" si="16"/>
        <v>7</v>
      </c>
      <c r="J219" s="27">
        <f t="shared" si="17"/>
        <v>9322.5871328217709</v>
      </c>
      <c r="K219" s="27"/>
      <c r="L219" s="27">
        <f t="shared" si="15"/>
        <v>7</v>
      </c>
      <c r="M219" s="27"/>
      <c r="N219" s="27"/>
      <c r="O219" s="27"/>
      <c r="P219" s="27"/>
      <c r="Q219" s="27"/>
      <c r="R219" s="27"/>
      <c r="S219" s="27"/>
      <c r="T219" s="27"/>
      <c r="U219" s="27"/>
      <c r="V219" s="27"/>
      <c r="W219" s="27"/>
      <c r="X219" s="27"/>
      <c r="Y219" s="27"/>
      <c r="Z219" s="27"/>
      <c r="AA219" s="27"/>
      <c r="AB219" s="27"/>
      <c r="AC219" s="27"/>
      <c r="AD219" s="27"/>
      <c r="AE219" s="27"/>
      <c r="AF219" s="27"/>
      <c r="AG219" s="27"/>
      <c r="AH219" s="27"/>
      <c r="AI219" s="27"/>
      <c r="AJ219" s="27"/>
      <c r="AK219" s="27"/>
      <c r="AL219" s="27"/>
      <c r="AM219" s="27"/>
      <c r="AN219" s="27"/>
      <c r="AO219" s="27"/>
      <c r="AP219" s="27"/>
      <c r="AQ219" s="27"/>
      <c r="AR219" s="27"/>
      <c r="AS219" s="27"/>
      <c r="AT219" s="27"/>
      <c r="AU219" s="27"/>
      <c r="AV219" s="27"/>
      <c r="AW219" s="27"/>
      <c r="AX219" s="27"/>
      <c r="AY219" s="27"/>
      <c r="AZ219" s="27"/>
      <c r="BA219" s="27"/>
      <c r="BB219" s="27"/>
      <c r="BC219" s="27"/>
      <c r="BD219" s="27"/>
      <c r="BE219" s="27"/>
      <c r="BF219" s="27"/>
      <c r="BG219" s="27"/>
      <c r="BH219" s="27"/>
      <c r="BI219" s="27"/>
      <c r="BJ219" s="27"/>
      <c r="BK219" s="27"/>
      <c r="BL219" s="27"/>
      <c r="BM219" s="27"/>
      <c r="BN219" s="27"/>
      <c r="BO219" s="27"/>
      <c r="BP219" s="27"/>
      <c r="BQ219" s="27"/>
      <c r="BR219" s="27"/>
      <c r="BS219" s="27"/>
      <c r="BT219" s="27"/>
      <c r="BU219" s="27"/>
      <c r="BV219" s="27"/>
      <c r="BW219" s="27"/>
      <c r="BX219" s="27"/>
      <c r="BY219" s="27"/>
      <c r="BZ219" s="27"/>
      <c r="CA219" s="27"/>
      <c r="CB219" s="27"/>
      <c r="CC219" s="27"/>
      <c r="CD219" s="27"/>
      <c r="CE219" s="27"/>
      <c r="CF219" s="27"/>
      <c r="CG219" s="27"/>
      <c r="CH219" s="27"/>
      <c r="CI219" s="27"/>
      <c r="CJ219" s="27"/>
      <c r="CK219" s="27"/>
      <c r="CL219" s="27"/>
      <c r="CM219" s="27"/>
      <c r="CN219" s="27"/>
      <c r="CO219" s="27"/>
      <c r="CP219" s="27"/>
      <c r="CQ219" s="27"/>
      <c r="CR219" s="27"/>
      <c r="CS219" s="27"/>
      <c r="CT219" s="27"/>
      <c r="CU219" s="27"/>
      <c r="CV219" s="27"/>
      <c r="CW219" s="27"/>
      <c r="CX219" s="27"/>
      <c r="CY219" s="27"/>
      <c r="CZ219" s="27"/>
      <c r="DA219" s="27"/>
      <c r="DB219" s="27"/>
      <c r="DC219" s="27"/>
      <c r="DD219" s="27"/>
      <c r="DE219" s="27"/>
      <c r="DF219" s="27"/>
      <c r="DG219" s="27"/>
      <c r="DH219" s="27"/>
      <c r="DI219" s="27"/>
      <c r="DJ219" s="27"/>
      <c r="DK219" s="27"/>
      <c r="DL219" s="27"/>
      <c r="DM219" s="27"/>
      <c r="DN219" s="27"/>
      <c r="DO219" s="27"/>
      <c r="DP219" s="27"/>
      <c r="DQ219" s="27"/>
      <c r="DR219" s="27"/>
      <c r="DS219" s="27"/>
      <c r="DT219" s="27"/>
    </row>
    <row r="220" spans="2:124" x14ac:dyDescent="0.2">
      <c r="B220" s="27"/>
      <c r="C220" s="27"/>
      <c r="D220" s="27"/>
      <c r="E220" s="27"/>
      <c r="F220" s="27">
        <v>0</v>
      </c>
      <c r="G220" s="27" t="s">
        <v>561</v>
      </c>
      <c r="H220" s="27"/>
      <c r="I220" s="27">
        <f t="shared" si="16"/>
        <v>7.5</v>
      </c>
      <c r="J220" s="27">
        <f t="shared" si="17"/>
        <v>9718.7970859666948</v>
      </c>
      <c r="K220" s="27"/>
      <c r="L220" s="27">
        <f t="shared" si="15"/>
        <v>7.5</v>
      </c>
      <c r="M220" s="27"/>
      <c r="N220" s="27"/>
      <c r="O220" s="27"/>
      <c r="P220" s="27"/>
      <c r="Q220" s="27"/>
      <c r="R220" s="27"/>
      <c r="S220" s="27"/>
      <c r="T220" s="27"/>
      <c r="U220" s="27"/>
      <c r="V220" s="27"/>
      <c r="W220" s="27"/>
      <c r="X220" s="27"/>
      <c r="Y220" s="27"/>
      <c r="Z220" s="27"/>
      <c r="AA220" s="27"/>
      <c r="AB220" s="27"/>
      <c r="AC220" s="27"/>
      <c r="AD220" s="27"/>
      <c r="AE220" s="27"/>
      <c r="AF220" s="27"/>
      <c r="AG220" s="27"/>
      <c r="AH220" s="27"/>
      <c r="AI220" s="27"/>
      <c r="AJ220" s="27"/>
      <c r="AK220" s="27"/>
      <c r="AL220" s="27"/>
      <c r="AM220" s="27"/>
      <c r="AN220" s="27"/>
      <c r="AO220" s="27"/>
      <c r="AP220" s="27"/>
      <c r="AQ220" s="27"/>
      <c r="AR220" s="27"/>
      <c r="AS220" s="27"/>
      <c r="AT220" s="27"/>
      <c r="AU220" s="27"/>
      <c r="AV220" s="27"/>
      <c r="AW220" s="27"/>
      <c r="AX220" s="27"/>
      <c r="AY220" s="27"/>
      <c r="AZ220" s="27"/>
      <c r="BA220" s="27"/>
      <c r="BB220" s="27"/>
      <c r="BC220" s="27"/>
      <c r="BD220" s="27"/>
      <c r="BE220" s="27"/>
      <c r="BF220" s="27"/>
      <c r="BG220" s="27"/>
      <c r="BH220" s="27"/>
      <c r="BI220" s="27"/>
      <c r="BJ220" s="27"/>
      <c r="BK220" s="27"/>
      <c r="BL220" s="27"/>
      <c r="BM220" s="27"/>
      <c r="BN220" s="27"/>
      <c r="BO220" s="27"/>
      <c r="BP220" s="27"/>
      <c r="BQ220" s="27"/>
      <c r="BR220" s="27"/>
      <c r="BS220" s="27"/>
      <c r="BT220" s="27"/>
      <c r="BU220" s="27"/>
      <c r="BV220" s="27"/>
      <c r="BW220" s="27"/>
      <c r="BX220" s="27"/>
      <c r="BY220" s="27"/>
      <c r="BZ220" s="27"/>
      <c r="CA220" s="27"/>
      <c r="CB220" s="27"/>
      <c r="CC220" s="27"/>
      <c r="CD220" s="27"/>
      <c r="CE220" s="27"/>
      <c r="CF220" s="27"/>
      <c r="CG220" s="27"/>
      <c r="CH220" s="27"/>
      <c r="CI220" s="27"/>
      <c r="CJ220" s="27"/>
      <c r="CK220" s="27"/>
      <c r="CL220" s="27"/>
      <c r="CM220" s="27"/>
      <c r="CN220" s="27"/>
      <c r="CO220" s="27"/>
      <c r="CP220" s="27"/>
      <c r="CQ220" s="27"/>
      <c r="CR220" s="27"/>
      <c r="CS220" s="27"/>
      <c r="CT220" s="27"/>
      <c r="CU220" s="27"/>
      <c r="CV220" s="27"/>
      <c r="CW220" s="27"/>
      <c r="CX220" s="27"/>
      <c r="CY220" s="27"/>
      <c r="CZ220" s="27"/>
      <c r="DA220" s="27"/>
      <c r="DB220" s="27"/>
      <c r="DC220" s="27"/>
      <c r="DD220" s="27"/>
      <c r="DE220" s="27"/>
      <c r="DF220" s="27"/>
      <c r="DG220" s="27"/>
      <c r="DH220" s="27"/>
      <c r="DI220" s="27"/>
      <c r="DJ220" s="27"/>
      <c r="DK220" s="27"/>
      <c r="DL220" s="27"/>
      <c r="DM220" s="27"/>
      <c r="DN220" s="27"/>
      <c r="DO220" s="27"/>
      <c r="DP220" s="27"/>
      <c r="DQ220" s="27"/>
      <c r="DR220" s="27"/>
      <c r="DS220" s="27"/>
      <c r="DT220" s="27"/>
    </row>
    <row r="221" spans="2:124" x14ac:dyDescent="0.2">
      <c r="B221" s="27"/>
      <c r="C221" s="27"/>
      <c r="D221" s="27"/>
      <c r="E221" s="27"/>
      <c r="F221" s="27">
        <v>0</v>
      </c>
      <c r="G221" s="27" t="s">
        <v>562</v>
      </c>
      <c r="H221" s="27"/>
      <c r="I221" s="27">
        <f t="shared" si="16"/>
        <v>8</v>
      </c>
      <c r="J221" s="27">
        <f t="shared" si="17"/>
        <v>10115.007039111619</v>
      </c>
      <c r="K221" s="27"/>
      <c r="L221" s="27">
        <f t="shared" si="15"/>
        <v>8</v>
      </c>
      <c r="M221" s="27"/>
      <c r="N221" s="27"/>
      <c r="O221" s="27"/>
      <c r="P221" s="27"/>
      <c r="Q221" s="27"/>
      <c r="R221" s="27"/>
      <c r="S221" s="27"/>
      <c r="T221" s="27"/>
      <c r="U221" s="27"/>
      <c r="V221" s="27"/>
      <c r="W221" s="27"/>
      <c r="X221" s="27"/>
      <c r="Y221" s="27"/>
      <c r="Z221" s="27"/>
      <c r="AA221" s="27"/>
      <c r="AB221" s="27"/>
      <c r="AC221" s="27"/>
      <c r="AD221" s="27"/>
      <c r="AE221" s="27"/>
      <c r="AF221" s="27"/>
      <c r="AG221" s="27"/>
      <c r="AH221" s="27"/>
      <c r="AI221" s="27"/>
      <c r="AJ221" s="27"/>
      <c r="AK221" s="27"/>
      <c r="AL221" s="27"/>
      <c r="AM221" s="27"/>
      <c r="AN221" s="27"/>
      <c r="AO221" s="27"/>
      <c r="AP221" s="27"/>
      <c r="AQ221" s="27"/>
      <c r="AR221" s="27"/>
      <c r="AS221" s="27"/>
      <c r="AT221" s="27"/>
      <c r="AU221" s="27"/>
      <c r="AV221" s="27"/>
      <c r="AW221" s="27"/>
      <c r="AX221" s="27"/>
      <c r="AY221" s="27"/>
      <c r="AZ221" s="27"/>
      <c r="BA221" s="27"/>
      <c r="BB221" s="27"/>
      <c r="BC221" s="27"/>
      <c r="BD221" s="27"/>
      <c r="BE221" s="27"/>
      <c r="BF221" s="27"/>
      <c r="BG221" s="27"/>
      <c r="BH221" s="27"/>
      <c r="BI221" s="27"/>
      <c r="BJ221" s="27"/>
      <c r="BK221" s="27"/>
      <c r="BL221" s="27"/>
      <c r="BM221" s="27"/>
      <c r="BN221" s="27"/>
      <c r="BO221" s="27"/>
      <c r="BP221" s="27"/>
      <c r="BQ221" s="27"/>
      <c r="BR221" s="27"/>
      <c r="BS221" s="27"/>
      <c r="BT221" s="27"/>
      <c r="BU221" s="27"/>
      <c r="BV221" s="27"/>
      <c r="BW221" s="27"/>
      <c r="BX221" s="27"/>
      <c r="BY221" s="27"/>
      <c r="BZ221" s="27"/>
      <c r="CA221" s="27"/>
      <c r="CB221" s="27"/>
      <c r="CC221" s="27"/>
      <c r="CD221" s="27"/>
      <c r="CE221" s="27"/>
      <c r="CF221" s="27"/>
      <c r="CG221" s="27"/>
      <c r="CH221" s="27"/>
      <c r="CI221" s="27"/>
      <c r="CJ221" s="27"/>
      <c r="CK221" s="27"/>
      <c r="CL221" s="27"/>
      <c r="CM221" s="27"/>
      <c r="CN221" s="27"/>
      <c r="CO221" s="27"/>
      <c r="CP221" s="27"/>
      <c r="CQ221" s="27"/>
      <c r="CR221" s="27"/>
      <c r="CS221" s="27"/>
      <c r="CT221" s="27"/>
      <c r="CU221" s="27"/>
      <c r="CV221" s="27"/>
      <c r="CW221" s="27"/>
      <c r="CX221" s="27"/>
      <c r="CY221" s="27"/>
      <c r="CZ221" s="27"/>
      <c r="DA221" s="27"/>
      <c r="DB221" s="27"/>
      <c r="DC221" s="27"/>
      <c r="DD221" s="27"/>
      <c r="DE221" s="27"/>
      <c r="DF221" s="27"/>
      <c r="DG221" s="27"/>
      <c r="DH221" s="27"/>
      <c r="DI221" s="27"/>
      <c r="DJ221" s="27"/>
      <c r="DK221" s="27"/>
      <c r="DL221" s="27"/>
      <c r="DM221" s="27"/>
      <c r="DN221" s="27"/>
      <c r="DO221" s="27"/>
      <c r="DP221" s="27"/>
      <c r="DQ221" s="27"/>
      <c r="DR221" s="27"/>
      <c r="DS221" s="27"/>
      <c r="DT221" s="27"/>
    </row>
    <row r="222" spans="2:124" x14ac:dyDescent="0.2">
      <c r="B222" s="27"/>
      <c r="C222" s="27" t="str">
        <f>BF73</f>
        <v>תוספת ערבה</v>
      </c>
      <c r="D222" s="27">
        <f>AB39</f>
        <v>0</v>
      </c>
      <c r="E222" s="27"/>
      <c r="F222" s="27" t="e">
        <f>SUM(F205:F221)</f>
        <v>#REF!</v>
      </c>
      <c r="G222" s="27"/>
      <c r="H222" s="27"/>
      <c r="I222" s="27">
        <f t="shared" si="16"/>
        <v>8.5</v>
      </c>
      <c r="J222" s="27">
        <f t="shared" si="17"/>
        <v>10544.894838273864</v>
      </c>
      <c r="K222" s="27"/>
      <c r="L222" s="27">
        <f t="shared" si="15"/>
        <v>8.5</v>
      </c>
      <c r="M222" s="27"/>
      <c r="N222" s="27"/>
      <c r="O222" s="27"/>
      <c r="P222" s="27"/>
      <c r="Q222" s="27"/>
      <c r="R222" s="27"/>
      <c r="S222" s="27"/>
      <c r="T222" s="27"/>
      <c r="U222" s="27"/>
      <c r="V222" s="27"/>
      <c r="W222" s="27"/>
      <c r="X222" s="27"/>
      <c r="Y222" s="27"/>
      <c r="Z222" s="27"/>
      <c r="AA222" s="27"/>
      <c r="AB222" s="27"/>
      <c r="AC222" s="27"/>
      <c r="AD222" s="27"/>
      <c r="AE222" s="27"/>
      <c r="AF222" s="27"/>
      <c r="AG222" s="27"/>
      <c r="AH222" s="27"/>
      <c r="AI222" s="27"/>
      <c r="AJ222" s="27"/>
      <c r="AK222" s="27"/>
      <c r="AL222" s="27"/>
      <c r="AM222" s="27"/>
      <c r="AN222" s="27"/>
      <c r="AO222" s="27"/>
      <c r="AP222" s="27"/>
      <c r="AQ222" s="27"/>
      <c r="AR222" s="27"/>
      <c r="AS222" s="27"/>
      <c r="AT222" s="27"/>
      <c r="AU222" s="27"/>
      <c r="AV222" s="27"/>
      <c r="AW222" s="27"/>
      <c r="AX222" s="27"/>
      <c r="AY222" s="27"/>
      <c r="AZ222" s="27"/>
      <c r="BA222" s="27"/>
      <c r="BB222" s="27"/>
      <c r="BC222" s="27"/>
      <c r="BD222" s="27"/>
      <c r="BE222" s="27"/>
      <c r="BF222" s="27"/>
      <c r="BG222" s="27"/>
      <c r="BH222" s="27"/>
      <c r="BI222" s="27"/>
      <c r="BJ222" s="27"/>
      <c r="BK222" s="27"/>
      <c r="BL222" s="27"/>
      <c r="BM222" s="27"/>
      <c r="BN222" s="27"/>
      <c r="BO222" s="27"/>
      <c r="BP222" s="27"/>
      <c r="BQ222" s="27"/>
      <c r="BR222" s="27"/>
      <c r="BS222" s="27"/>
      <c r="BT222" s="27"/>
      <c r="BU222" s="27"/>
      <c r="BV222" s="27"/>
      <c r="BW222" s="27"/>
      <c r="BX222" s="27"/>
      <c r="BY222" s="27"/>
      <c r="BZ222" s="27"/>
      <c r="CA222" s="27"/>
      <c r="CB222" s="27"/>
      <c r="CC222" s="27"/>
      <c r="CD222" s="27"/>
      <c r="CE222" s="27"/>
      <c r="CF222" s="27"/>
      <c r="CG222" s="27"/>
      <c r="CH222" s="27"/>
      <c r="CI222" s="27"/>
      <c r="CJ222" s="27"/>
      <c r="CK222" s="27"/>
      <c r="CL222" s="27"/>
      <c r="CM222" s="27"/>
      <c r="CN222" s="27"/>
      <c r="CO222" s="27"/>
      <c r="CP222" s="27"/>
      <c r="CQ222" s="27"/>
      <c r="CR222" s="27"/>
      <c r="CS222" s="27"/>
      <c r="CT222" s="27"/>
      <c r="CU222" s="27"/>
      <c r="CV222" s="27"/>
      <c r="CW222" s="27"/>
      <c r="CX222" s="27"/>
      <c r="CY222" s="27"/>
      <c r="CZ222" s="27"/>
      <c r="DA222" s="27"/>
      <c r="DB222" s="27"/>
      <c r="DC222" s="27"/>
      <c r="DD222" s="27"/>
      <c r="DE222" s="27"/>
      <c r="DF222" s="27"/>
      <c r="DG222" s="27"/>
      <c r="DH222" s="27"/>
      <c r="DI222" s="27"/>
      <c r="DJ222" s="27"/>
      <c r="DK222" s="27"/>
      <c r="DL222" s="27"/>
      <c r="DM222" s="27"/>
      <c r="DN222" s="27"/>
      <c r="DO222" s="27"/>
      <c r="DP222" s="27"/>
      <c r="DQ222" s="27"/>
      <c r="DR222" s="27"/>
      <c r="DS222" s="27"/>
      <c r="DT222" s="27"/>
    </row>
    <row r="223" spans="2:124" x14ac:dyDescent="0.2">
      <c r="B223" s="27"/>
      <c r="C223" s="27"/>
      <c r="D223" s="27"/>
      <c r="E223" s="27"/>
      <c r="F223" s="27"/>
      <c r="G223" s="27"/>
      <c r="H223" s="27"/>
      <c r="I223" s="27">
        <f t="shared" si="16"/>
        <v>9</v>
      </c>
      <c r="J223" s="27">
        <f t="shared" si="17"/>
        <v>10974.782637436107</v>
      </c>
      <c r="K223" s="27"/>
      <c r="L223" s="27">
        <f t="shared" si="15"/>
        <v>9</v>
      </c>
      <c r="M223" s="27"/>
      <c r="N223" s="27"/>
      <c r="O223" s="27"/>
      <c r="P223" s="27"/>
      <c r="Q223" s="27"/>
      <c r="R223" s="27"/>
      <c r="S223" s="27"/>
      <c r="T223" s="27"/>
      <c r="U223" s="27"/>
      <c r="V223" s="27"/>
      <c r="W223" s="27"/>
      <c r="X223" s="27"/>
      <c r="Y223" s="27"/>
      <c r="Z223" s="27"/>
      <c r="AA223" s="27"/>
      <c r="AB223" s="27"/>
      <c r="AC223" s="27"/>
      <c r="AD223" s="27"/>
      <c r="AE223" s="27"/>
      <c r="AF223" s="27"/>
      <c r="AG223" s="27"/>
      <c r="AH223" s="27"/>
      <c r="AI223" s="27"/>
      <c r="AJ223" s="27"/>
      <c r="AK223" s="27"/>
      <c r="AL223" s="27"/>
      <c r="AM223" s="27"/>
      <c r="AN223" s="27"/>
      <c r="AO223" s="27"/>
      <c r="AP223" s="27"/>
      <c r="AQ223" s="27"/>
      <c r="AR223" s="27"/>
      <c r="AS223" s="27"/>
      <c r="AT223" s="27"/>
      <c r="AU223" s="27"/>
      <c r="AV223" s="27"/>
      <c r="AW223" s="27"/>
      <c r="AX223" s="27"/>
      <c r="AY223" s="27"/>
      <c r="AZ223" s="27"/>
      <c r="BA223" s="27"/>
      <c r="BB223" s="27"/>
      <c r="BC223" s="27"/>
      <c r="BD223" s="27"/>
      <c r="BE223" s="27"/>
      <c r="BF223" s="27"/>
      <c r="BG223" s="27"/>
      <c r="BH223" s="27"/>
      <c r="BI223" s="27"/>
      <c r="BJ223" s="27"/>
      <c r="BK223" s="27"/>
      <c r="BL223" s="27"/>
      <c r="BM223" s="27"/>
      <c r="BN223" s="27"/>
      <c r="BO223" s="27"/>
      <c r="BP223" s="27"/>
      <c r="BQ223" s="27"/>
      <c r="BR223" s="27"/>
      <c r="BS223" s="27"/>
      <c r="BT223" s="27"/>
      <c r="BU223" s="27"/>
      <c r="BV223" s="27"/>
      <c r="BW223" s="27"/>
      <c r="BX223" s="27"/>
      <c r="BY223" s="27"/>
      <c r="BZ223" s="27"/>
      <c r="CA223" s="27"/>
      <c r="CB223" s="27"/>
      <c r="CC223" s="27"/>
      <c r="CD223" s="27"/>
      <c r="CE223" s="27"/>
      <c r="CF223" s="27"/>
      <c r="CG223" s="27"/>
      <c r="CH223" s="27"/>
      <c r="CI223" s="27"/>
      <c r="CJ223" s="27"/>
      <c r="CK223" s="27"/>
      <c r="CL223" s="27"/>
      <c r="CM223" s="27"/>
      <c r="CN223" s="27"/>
      <c r="CO223" s="27"/>
      <c r="CP223" s="27"/>
      <c r="CQ223" s="27"/>
      <c r="CR223" s="27"/>
      <c r="CS223" s="27"/>
      <c r="CT223" s="27"/>
      <c r="CU223" s="27"/>
      <c r="CV223" s="27"/>
      <c r="CW223" s="27"/>
      <c r="CX223" s="27"/>
      <c r="CY223" s="27"/>
      <c r="CZ223" s="27"/>
      <c r="DA223" s="27"/>
      <c r="DB223" s="27"/>
      <c r="DC223" s="27"/>
      <c r="DD223" s="27"/>
      <c r="DE223" s="27"/>
      <c r="DF223" s="27"/>
      <c r="DG223" s="27"/>
      <c r="DH223" s="27"/>
      <c r="DI223" s="27"/>
      <c r="DJ223" s="27"/>
      <c r="DK223" s="27"/>
      <c r="DL223" s="27"/>
      <c r="DM223" s="27"/>
      <c r="DN223" s="27"/>
      <c r="DO223" s="27"/>
      <c r="DP223" s="27"/>
      <c r="DQ223" s="27"/>
      <c r="DR223" s="27"/>
      <c r="DS223" s="27"/>
      <c r="DT223" s="27"/>
    </row>
    <row r="224" spans="2:124" x14ac:dyDescent="0.2">
      <c r="B224" s="27"/>
      <c r="C224" s="27" t="e">
        <f>#REF!</f>
        <v>#REF!</v>
      </c>
      <c r="D224" s="27">
        <f>AB40</f>
        <v>0</v>
      </c>
      <c r="E224" s="27"/>
      <c r="F224" s="27"/>
      <c r="G224" s="27"/>
      <c r="H224" s="27"/>
      <c r="I224" s="27"/>
      <c r="J224" s="27"/>
      <c r="K224" s="27"/>
      <c r="L224" s="27"/>
      <c r="M224" s="27"/>
      <c r="N224" s="27"/>
      <c r="O224" s="27"/>
      <c r="P224" s="27"/>
      <c r="Q224" s="27"/>
      <c r="R224" s="27"/>
      <c r="S224" s="27"/>
      <c r="T224" s="27"/>
      <c r="U224" s="27"/>
      <c r="V224" s="27"/>
      <c r="W224" s="27"/>
      <c r="X224" s="27"/>
      <c r="Y224" s="27"/>
      <c r="Z224" s="27"/>
      <c r="AA224" s="27"/>
      <c r="AB224" s="27"/>
      <c r="AC224" s="27"/>
      <c r="AD224" s="27"/>
      <c r="AE224" s="27"/>
      <c r="AF224" s="27"/>
      <c r="AG224" s="27"/>
      <c r="AH224" s="27"/>
      <c r="AI224" s="27"/>
      <c r="AJ224" s="27"/>
      <c r="AK224" s="27"/>
      <c r="AL224" s="27"/>
      <c r="AM224" s="27"/>
      <c r="AN224" s="27"/>
      <c r="AO224" s="27"/>
      <c r="AP224" s="27"/>
      <c r="AQ224" s="27"/>
      <c r="AR224" s="27"/>
      <c r="AS224" s="27"/>
      <c r="AT224" s="27"/>
      <c r="AU224" s="27"/>
      <c r="AV224" s="27"/>
      <c r="AW224" s="27"/>
      <c r="AX224" s="27"/>
      <c r="AY224" s="27"/>
      <c r="AZ224" s="27"/>
      <c r="BA224" s="27"/>
      <c r="BB224" s="27"/>
      <c r="BC224" s="27"/>
      <c r="BD224" s="27"/>
      <c r="BE224" s="27"/>
      <c r="BF224" s="27"/>
      <c r="BG224" s="27"/>
      <c r="BH224" s="27"/>
      <c r="BI224" s="27"/>
      <c r="BJ224" s="27"/>
      <c r="BK224" s="27"/>
      <c r="BL224" s="27"/>
      <c r="BM224" s="27"/>
      <c r="BN224" s="27"/>
      <c r="BO224" s="27"/>
      <c r="BP224" s="27"/>
      <c r="BQ224" s="27"/>
      <c r="BR224" s="27"/>
      <c r="BS224" s="27"/>
      <c r="BT224" s="27"/>
      <c r="BU224" s="27"/>
      <c r="BV224" s="27"/>
      <c r="BW224" s="27"/>
      <c r="BX224" s="27"/>
      <c r="BY224" s="27"/>
      <c r="BZ224" s="27"/>
      <c r="CA224" s="27"/>
      <c r="CB224" s="27"/>
      <c r="CC224" s="27"/>
      <c r="CD224" s="27"/>
      <c r="CE224" s="27"/>
      <c r="CF224" s="27"/>
      <c r="CG224" s="27"/>
      <c r="CH224" s="27"/>
      <c r="CI224" s="27"/>
      <c r="CJ224" s="27"/>
      <c r="CK224" s="27"/>
      <c r="CL224" s="27"/>
      <c r="CM224" s="27"/>
      <c r="CN224" s="27"/>
      <c r="CO224" s="27"/>
      <c r="CP224" s="27"/>
      <c r="CQ224" s="27"/>
      <c r="CR224" s="27"/>
      <c r="CS224" s="27"/>
      <c r="CT224" s="27"/>
      <c r="CU224" s="27"/>
      <c r="CV224" s="27"/>
      <c r="CW224" s="27"/>
      <c r="CX224" s="27"/>
      <c r="CY224" s="27"/>
      <c r="CZ224" s="27"/>
      <c r="DA224" s="27"/>
      <c r="DB224" s="27"/>
      <c r="DC224" s="27"/>
      <c r="DD224" s="27"/>
      <c r="DE224" s="27"/>
      <c r="DF224" s="27"/>
      <c r="DG224" s="27"/>
      <c r="DH224" s="27"/>
      <c r="DI224" s="27"/>
      <c r="DJ224" s="27"/>
      <c r="DK224" s="27"/>
      <c r="DL224" s="27"/>
      <c r="DM224" s="27"/>
      <c r="DN224" s="27"/>
      <c r="DO224" s="27"/>
      <c r="DP224" s="27"/>
      <c r="DQ224" s="27"/>
      <c r="DR224" s="27"/>
      <c r="DS224" s="27"/>
      <c r="DT224" s="27"/>
    </row>
    <row r="225" spans="2:124" x14ac:dyDescent="0.2">
      <c r="B225" s="27"/>
      <c r="C225" s="27" t="e">
        <f>#REF!</f>
        <v>#REF!</v>
      </c>
      <c r="D225" s="27">
        <f>IF( C172=0,0,(P97+I11+P97*X2)*(70%*C172))</f>
        <v>0</v>
      </c>
      <c r="E225" s="27"/>
      <c r="F225" s="27"/>
      <c r="G225" s="27"/>
      <c r="H225" s="27"/>
      <c r="I225" s="27"/>
      <c r="J225" s="27"/>
      <c r="K225" s="27"/>
      <c r="L225" s="27"/>
      <c r="M225" s="27"/>
      <c r="N225" s="27"/>
      <c r="O225" s="27"/>
      <c r="P225" s="27"/>
      <c r="Q225" s="27"/>
      <c r="R225" s="27"/>
      <c r="S225" s="27"/>
      <c r="T225" s="27"/>
      <c r="U225" s="27"/>
      <c r="V225" s="27"/>
      <c r="W225" s="27"/>
      <c r="X225" s="27"/>
      <c r="Y225" s="27"/>
      <c r="Z225" s="27"/>
      <c r="AA225" s="27"/>
      <c r="AB225" s="27"/>
      <c r="AC225" s="27"/>
      <c r="AD225" s="27"/>
      <c r="AE225" s="27"/>
      <c r="AF225" s="27"/>
      <c r="AG225" s="27"/>
      <c r="AH225" s="27"/>
      <c r="AI225" s="27"/>
      <c r="AJ225" s="27"/>
      <c r="AK225" s="27"/>
      <c r="AL225" s="27"/>
      <c r="AM225" s="27"/>
      <c r="AN225" s="27"/>
      <c r="AO225" s="27"/>
      <c r="AP225" s="27"/>
      <c r="AQ225" s="27"/>
      <c r="AR225" s="27"/>
      <c r="AS225" s="27"/>
      <c r="AT225" s="27"/>
      <c r="AU225" s="27"/>
      <c r="AV225" s="27"/>
      <c r="AW225" s="27"/>
      <c r="AX225" s="27"/>
      <c r="AY225" s="27"/>
      <c r="AZ225" s="27"/>
      <c r="BA225" s="27"/>
      <c r="BB225" s="27"/>
      <c r="BC225" s="27"/>
      <c r="BD225" s="27"/>
      <c r="BE225" s="27"/>
      <c r="BF225" s="27"/>
      <c r="BG225" s="27"/>
      <c r="BH225" s="27"/>
      <c r="BI225" s="27"/>
      <c r="BJ225" s="27"/>
      <c r="BK225" s="27"/>
      <c r="BL225" s="27"/>
      <c r="BM225" s="27"/>
      <c r="BN225" s="27"/>
      <c r="BO225" s="27"/>
      <c r="BP225" s="27"/>
      <c r="BQ225" s="27"/>
      <c r="BR225" s="27"/>
      <c r="BS225" s="27"/>
      <c r="BT225" s="27"/>
      <c r="BU225" s="27"/>
      <c r="BV225" s="27"/>
      <c r="BW225" s="27"/>
      <c r="BX225" s="27"/>
      <c r="BY225" s="27"/>
      <c r="BZ225" s="27"/>
      <c r="CA225" s="27"/>
      <c r="CB225" s="27"/>
      <c r="CC225" s="27"/>
      <c r="CD225" s="27"/>
      <c r="CE225" s="27"/>
      <c r="CF225" s="27"/>
      <c r="CG225" s="27"/>
      <c r="CH225" s="27"/>
      <c r="CI225" s="27"/>
      <c r="CJ225" s="27"/>
      <c r="CK225" s="27"/>
      <c r="CL225" s="27"/>
      <c r="CM225" s="27"/>
      <c r="CN225" s="27"/>
      <c r="CO225" s="27"/>
      <c r="CP225" s="27"/>
      <c r="CQ225" s="27"/>
      <c r="CR225" s="27"/>
      <c r="CS225" s="27"/>
      <c r="CT225" s="27"/>
      <c r="CU225" s="27"/>
      <c r="CV225" s="27"/>
      <c r="CW225" s="27"/>
      <c r="CX225" s="27"/>
      <c r="CY225" s="27"/>
      <c r="CZ225" s="27"/>
      <c r="DA225" s="27"/>
      <c r="DB225" s="27"/>
      <c r="DC225" s="27"/>
      <c r="DD225" s="27"/>
      <c r="DE225" s="27"/>
      <c r="DF225" s="27"/>
      <c r="DG225" s="27"/>
      <c r="DH225" s="27"/>
      <c r="DI225" s="27"/>
      <c r="DJ225" s="27"/>
      <c r="DK225" s="27"/>
      <c r="DL225" s="27"/>
      <c r="DM225" s="27"/>
      <c r="DN225" s="27"/>
      <c r="DO225" s="27"/>
      <c r="DP225" s="27"/>
      <c r="DQ225" s="27"/>
      <c r="DR225" s="27"/>
      <c r="DS225" s="27"/>
      <c r="DT225" s="27"/>
    </row>
    <row r="226" spans="2:124" x14ac:dyDescent="0.2">
      <c r="B226" s="27"/>
      <c r="C226" s="27" t="e">
        <f>#REF!</f>
        <v>#REF!</v>
      </c>
      <c r="D226" s="27">
        <f>SUM(I7:I11)*B167</f>
        <v>0</v>
      </c>
      <c r="E226" s="27"/>
      <c r="F226" s="27"/>
      <c r="G226" s="27"/>
      <c r="H226" s="27"/>
      <c r="I226" s="27"/>
      <c r="J226" s="27"/>
      <c r="K226" s="27"/>
      <c r="L226" s="27"/>
      <c r="M226" s="27"/>
      <c r="N226" s="27"/>
      <c r="O226" s="27"/>
      <c r="P226" s="27"/>
      <c r="Q226" s="27"/>
      <c r="R226" s="27"/>
      <c r="S226" s="27"/>
      <c r="T226" s="27"/>
      <c r="U226" s="27"/>
      <c r="V226" s="27"/>
      <c r="W226" s="27"/>
      <c r="X226" s="27"/>
      <c r="Y226" s="27"/>
      <c r="Z226" s="27"/>
      <c r="AA226" s="27"/>
      <c r="AB226" s="27"/>
      <c r="AC226" s="27"/>
      <c r="AD226" s="27"/>
      <c r="AE226" s="27"/>
      <c r="AF226" s="27"/>
      <c r="AG226" s="27"/>
      <c r="AH226" s="27"/>
      <c r="AI226" s="27"/>
      <c r="AJ226" s="27"/>
      <c r="AK226" s="27"/>
      <c r="AL226" s="27"/>
      <c r="AM226" s="27"/>
      <c r="AN226" s="27"/>
      <c r="AO226" s="27"/>
      <c r="AP226" s="27"/>
      <c r="AQ226" s="27"/>
      <c r="AR226" s="27"/>
      <c r="AS226" s="27"/>
      <c r="AT226" s="27"/>
      <c r="AU226" s="27"/>
      <c r="AV226" s="27"/>
      <c r="AW226" s="27"/>
      <c r="AX226" s="27"/>
      <c r="AY226" s="27"/>
      <c r="AZ226" s="27"/>
      <c r="BA226" s="27"/>
      <c r="BB226" s="27"/>
      <c r="BC226" s="27"/>
      <c r="BD226" s="27"/>
      <c r="BE226" s="27"/>
      <c r="BF226" s="27"/>
      <c r="BG226" s="27"/>
      <c r="BH226" s="27"/>
      <c r="BI226" s="27"/>
      <c r="BJ226" s="27"/>
      <c r="BK226" s="27"/>
      <c r="BL226" s="27"/>
      <c r="BM226" s="27"/>
      <c r="BN226" s="27"/>
      <c r="BO226" s="27"/>
      <c r="BP226" s="27"/>
      <c r="BQ226" s="27"/>
      <c r="BR226" s="27"/>
      <c r="BS226" s="27"/>
      <c r="BT226" s="27"/>
      <c r="BU226" s="27"/>
      <c r="BV226" s="27"/>
      <c r="BW226" s="27"/>
      <c r="BX226" s="27"/>
      <c r="BY226" s="27"/>
      <c r="BZ226" s="27"/>
      <c r="CA226" s="27"/>
      <c r="CB226" s="27"/>
      <c r="CC226" s="27"/>
      <c r="CD226" s="27"/>
      <c r="CE226" s="27"/>
      <c r="CF226" s="27"/>
      <c r="CG226" s="27"/>
      <c r="CH226" s="27"/>
      <c r="CI226" s="27"/>
      <c r="CJ226" s="27"/>
      <c r="CK226" s="27"/>
      <c r="CL226" s="27"/>
      <c r="CM226" s="27"/>
      <c r="CN226" s="27"/>
      <c r="CO226" s="27"/>
      <c r="CP226" s="27"/>
      <c r="CQ226" s="27"/>
      <c r="CR226" s="27"/>
      <c r="CS226" s="27"/>
      <c r="CT226" s="27"/>
      <c r="CU226" s="27"/>
      <c r="CV226" s="27"/>
      <c r="CW226" s="27"/>
      <c r="CX226" s="27"/>
      <c r="CY226" s="27"/>
      <c r="CZ226" s="27"/>
      <c r="DA226" s="27"/>
      <c r="DB226" s="27"/>
      <c r="DC226" s="27"/>
      <c r="DD226" s="27"/>
      <c r="DE226" s="27"/>
      <c r="DF226" s="27"/>
      <c r="DG226" s="27"/>
      <c r="DH226" s="27"/>
      <c r="DI226" s="27"/>
      <c r="DJ226" s="27"/>
      <c r="DK226" s="27"/>
      <c r="DL226" s="27"/>
      <c r="DM226" s="27"/>
      <c r="DN226" s="27"/>
      <c r="DO226" s="27"/>
      <c r="DP226" s="27"/>
      <c r="DQ226" s="27"/>
      <c r="DR226" s="27"/>
      <c r="DS226" s="27"/>
      <c r="DT226" s="27"/>
    </row>
    <row r="227" spans="2:124" x14ac:dyDescent="0.2">
      <c r="B227" s="27"/>
      <c r="C227" s="27" t="e">
        <f>#REF!</f>
        <v>#REF!</v>
      </c>
      <c r="D227" s="27">
        <f>D226*BB20</f>
        <v>0</v>
      </c>
      <c r="E227" s="27"/>
      <c r="F227" s="27"/>
      <c r="G227" s="27"/>
      <c r="H227" s="27"/>
      <c r="I227" s="27"/>
      <c r="J227" s="27"/>
      <c r="K227" s="27"/>
      <c r="L227" s="27"/>
      <c r="M227" s="27"/>
      <c r="N227" s="27"/>
      <c r="O227" s="27"/>
      <c r="P227" s="27"/>
      <c r="Q227" s="27"/>
      <c r="R227" s="27"/>
      <c r="S227" s="27"/>
      <c r="T227" s="27"/>
      <c r="U227" s="27"/>
      <c r="V227" s="27"/>
      <c r="W227" s="27"/>
      <c r="X227" s="27"/>
      <c r="Y227" s="27"/>
      <c r="Z227" s="27"/>
      <c r="AA227" s="27"/>
      <c r="AB227" s="27"/>
      <c r="AC227" s="27"/>
      <c r="AD227" s="27"/>
      <c r="AE227" s="27"/>
      <c r="AF227" s="27"/>
      <c r="AG227" s="27"/>
      <c r="AH227" s="27"/>
      <c r="AI227" s="27"/>
      <c r="AJ227" s="27"/>
      <c r="AK227" s="27"/>
      <c r="AL227" s="27"/>
      <c r="AM227" s="27"/>
      <c r="AN227" s="27"/>
      <c r="AO227" s="27"/>
      <c r="AP227" s="27"/>
      <c r="AQ227" s="27"/>
      <c r="AR227" s="27"/>
      <c r="AS227" s="27"/>
      <c r="AT227" s="27"/>
      <c r="AU227" s="27"/>
      <c r="AV227" s="27"/>
      <c r="AW227" s="27"/>
      <c r="AX227" s="27"/>
      <c r="AY227" s="27"/>
      <c r="AZ227" s="27"/>
      <c r="BA227" s="27"/>
      <c r="BB227" s="27"/>
      <c r="BC227" s="27"/>
      <c r="BD227" s="27"/>
      <c r="BE227" s="27"/>
      <c r="BF227" s="27"/>
      <c r="BG227" s="27"/>
      <c r="BH227" s="27"/>
      <c r="BI227" s="27"/>
      <c r="BJ227" s="27"/>
      <c r="BK227" s="27"/>
      <c r="BL227" s="27"/>
      <c r="BM227" s="27"/>
      <c r="BN227" s="27"/>
      <c r="BO227" s="27"/>
      <c r="BP227" s="27"/>
      <c r="BQ227" s="27"/>
      <c r="BR227" s="27"/>
      <c r="BS227" s="27"/>
      <c r="BT227" s="27"/>
      <c r="BU227" s="27"/>
      <c r="BV227" s="27"/>
      <c r="BW227" s="27"/>
      <c r="BX227" s="27"/>
      <c r="BY227" s="27"/>
      <c r="BZ227" s="27"/>
      <c r="CA227" s="27"/>
      <c r="CB227" s="27"/>
      <c r="CC227" s="27"/>
      <c r="CD227" s="27"/>
      <c r="CE227" s="27"/>
      <c r="CF227" s="27"/>
      <c r="CG227" s="27"/>
      <c r="CH227" s="27"/>
      <c r="CI227" s="27"/>
      <c r="CJ227" s="27"/>
      <c r="CK227" s="27"/>
      <c r="CL227" s="27"/>
      <c r="CM227" s="27"/>
      <c r="CN227" s="27"/>
      <c r="CO227" s="27"/>
      <c r="CP227" s="27"/>
      <c r="CQ227" s="27"/>
      <c r="CR227" s="27"/>
      <c r="CS227" s="27"/>
      <c r="CT227" s="27"/>
      <c r="CU227" s="27"/>
      <c r="CV227" s="27"/>
      <c r="CW227" s="27"/>
      <c r="CX227" s="27"/>
      <c r="CY227" s="27"/>
      <c r="CZ227" s="27"/>
      <c r="DA227" s="27"/>
      <c r="DB227" s="27"/>
      <c r="DC227" s="27"/>
      <c r="DD227" s="27"/>
      <c r="DE227" s="27"/>
      <c r="DF227" s="27"/>
      <c r="DG227" s="27"/>
      <c r="DH227" s="27"/>
      <c r="DI227" s="27"/>
      <c r="DJ227" s="27"/>
      <c r="DK227" s="27"/>
      <c r="DL227" s="27"/>
      <c r="DM227" s="27"/>
      <c r="DN227" s="27"/>
      <c r="DO227" s="27"/>
      <c r="DP227" s="27"/>
      <c r="DQ227" s="27"/>
      <c r="DR227" s="27"/>
      <c r="DS227" s="27"/>
      <c r="DT227" s="27"/>
    </row>
    <row r="228" spans="2:124" x14ac:dyDescent="0.2">
      <c r="B228" s="27"/>
      <c r="C228" s="27" t="e">
        <f>#REF!</f>
        <v>#REF!</v>
      </c>
      <c r="D228" s="27">
        <f>IF(B169=AH45,0,P95*43%)</f>
        <v>0</v>
      </c>
      <c r="E228" s="27"/>
      <c r="F228" s="27"/>
      <c r="G228" s="27"/>
      <c r="H228" s="27"/>
      <c r="I228" s="27"/>
      <c r="J228" s="27"/>
      <c r="K228" s="27"/>
      <c r="L228" s="27"/>
      <c r="M228" s="27"/>
      <c r="N228" s="27"/>
      <c r="O228" s="27"/>
      <c r="P228" s="27"/>
      <c r="Q228" s="27"/>
      <c r="R228" s="27"/>
      <c r="S228" s="27"/>
      <c r="T228" s="27"/>
      <c r="U228" s="27"/>
      <c r="V228" s="27"/>
      <c r="W228" s="27"/>
      <c r="X228" s="27"/>
      <c r="Y228" s="27"/>
      <c r="Z228" s="27"/>
      <c r="AA228" s="27"/>
      <c r="AB228" s="27"/>
      <c r="AC228" s="27"/>
      <c r="AD228" s="27"/>
      <c r="AE228" s="27"/>
      <c r="AF228" s="27"/>
      <c r="AG228" s="27"/>
      <c r="AH228" s="27"/>
      <c r="AI228" s="27"/>
      <c r="AJ228" s="27"/>
      <c r="AK228" s="27"/>
      <c r="AL228" s="27"/>
      <c r="AM228" s="27"/>
      <c r="AN228" s="27"/>
      <c r="AO228" s="27"/>
      <c r="AP228" s="27"/>
      <c r="AQ228" s="27"/>
      <c r="AR228" s="27"/>
      <c r="AS228" s="27"/>
      <c r="AT228" s="27"/>
      <c r="AU228" s="27"/>
      <c r="AV228" s="27"/>
      <c r="AW228" s="27"/>
      <c r="AX228" s="27"/>
      <c r="AY228" s="27"/>
      <c r="AZ228" s="27"/>
      <c r="BA228" s="27"/>
      <c r="BB228" s="27"/>
      <c r="BC228" s="27"/>
      <c r="BD228" s="27"/>
      <c r="BE228" s="27"/>
      <c r="BF228" s="27"/>
      <c r="BG228" s="27"/>
      <c r="BH228" s="27"/>
      <c r="BI228" s="27"/>
      <c r="BJ228" s="27"/>
      <c r="BK228" s="27"/>
      <c r="BL228" s="27"/>
      <c r="BM228" s="27"/>
      <c r="BN228" s="27"/>
      <c r="BO228" s="27"/>
      <c r="BP228" s="27"/>
      <c r="BQ228" s="27"/>
      <c r="BR228" s="27"/>
      <c r="BS228" s="27"/>
      <c r="BT228" s="27"/>
      <c r="BU228" s="27"/>
      <c r="BV228" s="27"/>
      <c r="BW228" s="27"/>
      <c r="BX228" s="27"/>
      <c r="BY228" s="27"/>
      <c r="BZ228" s="27"/>
      <c r="CA228" s="27"/>
      <c r="CB228" s="27"/>
      <c r="CC228" s="27"/>
      <c r="CD228" s="27"/>
      <c r="CE228" s="27"/>
      <c r="CF228" s="27"/>
      <c r="CG228" s="27"/>
      <c r="CH228" s="27"/>
      <c r="CI228" s="27"/>
      <c r="CJ228" s="27"/>
      <c r="CK228" s="27"/>
      <c r="CL228" s="27"/>
      <c r="CM228" s="27"/>
      <c r="CN228" s="27"/>
      <c r="CO228" s="27"/>
      <c r="CP228" s="27"/>
      <c r="CQ228" s="27"/>
      <c r="CR228" s="27"/>
      <c r="CS228" s="27"/>
      <c r="CT228" s="27"/>
      <c r="CU228" s="27"/>
      <c r="CV228" s="27"/>
      <c r="CW228" s="27"/>
      <c r="CX228" s="27"/>
      <c r="CY228" s="27"/>
      <c r="CZ228" s="27"/>
      <c r="DA228" s="27"/>
      <c r="DB228" s="27"/>
      <c r="DC228" s="27"/>
      <c r="DD228" s="27"/>
      <c r="DE228" s="27"/>
      <c r="DF228" s="27"/>
      <c r="DG228" s="27"/>
      <c r="DH228" s="27"/>
      <c r="DI228" s="27"/>
      <c r="DJ228" s="27"/>
      <c r="DK228" s="27"/>
      <c r="DL228" s="27"/>
      <c r="DM228" s="27"/>
      <c r="DN228" s="27"/>
      <c r="DO228" s="27"/>
      <c r="DP228" s="27"/>
      <c r="DQ228" s="27"/>
      <c r="DR228" s="27"/>
      <c r="DS228" s="27"/>
      <c r="DT228" s="27"/>
    </row>
    <row r="229" spans="2:124" x14ac:dyDescent="0.2">
      <c r="B229" s="27"/>
      <c r="C229" s="27" t="str">
        <f>AA29</f>
        <v>תוספת סמינרים  12%</v>
      </c>
      <c r="D229" s="27">
        <f>SUM(I7:I11)*C12</f>
        <v>0</v>
      </c>
      <c r="E229" s="27"/>
      <c r="F229" s="27"/>
      <c r="G229" s="27"/>
      <c r="H229" s="27"/>
      <c r="I229" s="27"/>
      <c r="J229" s="27"/>
      <c r="K229" s="27"/>
      <c r="L229" s="27"/>
      <c r="M229" s="27"/>
      <c r="N229" s="27"/>
      <c r="O229" s="27"/>
      <c r="P229" s="27"/>
      <c r="Q229" s="27"/>
      <c r="R229" s="27"/>
      <c r="S229" s="27"/>
      <c r="T229" s="27"/>
      <c r="U229" s="27"/>
      <c r="V229" s="27"/>
      <c r="W229" s="27"/>
      <c r="X229" s="27"/>
      <c r="Y229" s="27"/>
      <c r="Z229" s="27"/>
      <c r="AA229" s="27"/>
      <c r="AB229" s="27"/>
      <c r="AC229" s="27"/>
      <c r="AD229" s="27"/>
      <c r="AE229" s="27"/>
      <c r="AF229" s="27"/>
      <c r="AG229" s="27"/>
      <c r="AH229" s="27"/>
      <c r="AI229" s="27"/>
      <c r="AJ229" s="27"/>
      <c r="AK229" s="27"/>
      <c r="AL229" s="27"/>
      <c r="AM229" s="27"/>
      <c r="AN229" s="27"/>
      <c r="AO229" s="27"/>
      <c r="AP229" s="27"/>
      <c r="AQ229" s="27"/>
      <c r="AR229" s="27"/>
      <c r="AS229" s="27"/>
      <c r="AT229" s="27"/>
      <c r="AU229" s="27"/>
      <c r="AV229" s="27"/>
      <c r="AW229" s="27"/>
      <c r="AX229" s="27"/>
      <c r="AY229" s="27"/>
      <c r="AZ229" s="27"/>
      <c r="BA229" s="27"/>
      <c r="BB229" s="27"/>
      <c r="BC229" s="27"/>
      <c r="BD229" s="27"/>
      <c r="BE229" s="27"/>
      <c r="BF229" s="27"/>
      <c r="BG229" s="27"/>
      <c r="BH229" s="27"/>
      <c r="BI229" s="27"/>
      <c r="BJ229" s="27"/>
      <c r="BK229" s="27"/>
      <c r="BL229" s="27"/>
      <c r="BM229" s="27"/>
      <c r="BN229" s="27"/>
      <c r="BO229" s="27"/>
      <c r="BP229" s="27"/>
      <c r="BQ229" s="27"/>
      <c r="BR229" s="27"/>
      <c r="BS229" s="27"/>
      <c r="BT229" s="27"/>
      <c r="BU229" s="27"/>
      <c r="BV229" s="27"/>
      <c r="BW229" s="27"/>
      <c r="BX229" s="27"/>
      <c r="BY229" s="27"/>
      <c r="BZ229" s="27"/>
      <c r="CA229" s="27"/>
      <c r="CB229" s="27"/>
      <c r="CC229" s="27"/>
      <c r="CD229" s="27"/>
      <c r="CE229" s="27"/>
      <c r="CF229" s="27"/>
      <c r="CG229" s="27"/>
      <c r="CH229" s="27"/>
      <c r="CI229" s="27"/>
      <c r="CJ229" s="27"/>
      <c r="CK229" s="27"/>
      <c r="CL229" s="27"/>
      <c r="CM229" s="27"/>
      <c r="CN229" s="27"/>
      <c r="CO229" s="27"/>
      <c r="CP229" s="27"/>
      <c r="CQ229" s="27"/>
      <c r="CR229" s="27"/>
      <c r="CS229" s="27"/>
      <c r="CT229" s="27"/>
      <c r="CU229" s="27"/>
      <c r="CV229" s="27"/>
      <c r="CW229" s="27"/>
      <c r="CX229" s="27"/>
      <c r="CY229" s="27"/>
      <c r="CZ229" s="27"/>
      <c r="DA229" s="27"/>
      <c r="DB229" s="27"/>
      <c r="DC229" s="27"/>
      <c r="DD229" s="27"/>
      <c r="DE229" s="27"/>
      <c r="DF229" s="27"/>
      <c r="DG229" s="27"/>
      <c r="DH229" s="27"/>
      <c r="DI229" s="27"/>
      <c r="DJ229" s="27"/>
      <c r="DK229" s="27"/>
      <c r="DL229" s="27"/>
      <c r="DM229" s="27"/>
      <c r="DN229" s="27"/>
      <c r="DO229" s="27"/>
      <c r="DP229" s="27"/>
      <c r="DQ229" s="27"/>
      <c r="DR229" s="27"/>
      <c r="DS229" s="27"/>
      <c r="DT229" s="27"/>
    </row>
    <row r="230" spans="2:124" x14ac:dyDescent="0.2">
      <c r="B230" s="27"/>
      <c r="C230" s="27" t="str">
        <f>BF72</f>
        <v xml:space="preserve">תוספת דרגת קידום </v>
      </c>
      <c r="D230" s="27">
        <f>I7*C13</f>
        <v>0</v>
      </c>
      <c r="E230" s="27"/>
      <c r="F230" s="27"/>
      <c r="G230" s="27"/>
      <c r="H230" s="27"/>
      <c r="I230" s="27"/>
      <c r="J230" s="27"/>
      <c r="K230" s="27"/>
      <c r="L230" s="27"/>
      <c r="M230" s="27"/>
      <c r="N230" s="27"/>
      <c r="O230" s="27"/>
      <c r="P230" s="27"/>
      <c r="Q230" s="27"/>
      <c r="R230" s="27"/>
      <c r="S230" s="27"/>
      <c r="T230" s="27"/>
      <c r="U230" s="27"/>
      <c r="V230" s="27"/>
      <c r="W230" s="27"/>
      <c r="X230" s="27"/>
      <c r="Y230" s="27"/>
      <c r="Z230" s="27"/>
      <c r="AA230" s="27"/>
      <c r="AB230" s="27"/>
      <c r="AC230" s="27"/>
      <c r="AD230" s="27"/>
      <c r="AE230" s="27"/>
      <c r="AF230" s="27"/>
      <c r="AG230" s="27"/>
      <c r="AH230" s="27"/>
      <c r="AI230" s="27"/>
      <c r="AJ230" s="27"/>
      <c r="AK230" s="27"/>
      <c r="AL230" s="27"/>
      <c r="AM230" s="27"/>
      <c r="AN230" s="27"/>
      <c r="AO230" s="27"/>
      <c r="AP230" s="27"/>
      <c r="AQ230" s="27"/>
      <c r="AR230" s="27"/>
      <c r="AS230" s="27"/>
      <c r="AT230" s="27"/>
      <c r="AU230" s="27"/>
      <c r="AV230" s="27"/>
      <c r="AW230" s="27"/>
      <c r="AX230" s="27"/>
      <c r="AY230" s="27"/>
      <c r="AZ230" s="27"/>
      <c r="BA230" s="27"/>
      <c r="BB230" s="27"/>
      <c r="BC230" s="27"/>
      <c r="BD230" s="27"/>
      <c r="BE230" s="27"/>
      <c r="BF230" s="27"/>
      <c r="BG230" s="27"/>
      <c r="BH230" s="27"/>
      <c r="BI230" s="27"/>
      <c r="BJ230" s="27"/>
      <c r="BK230" s="27"/>
      <c r="BL230" s="27"/>
      <c r="BM230" s="27"/>
      <c r="BN230" s="27"/>
      <c r="BO230" s="27"/>
      <c r="BP230" s="27"/>
      <c r="BQ230" s="27"/>
      <c r="BR230" s="27"/>
      <c r="BS230" s="27"/>
      <c r="BT230" s="27"/>
      <c r="BU230" s="27"/>
      <c r="BV230" s="27"/>
      <c r="BW230" s="27"/>
      <c r="BX230" s="27"/>
      <c r="BY230" s="27"/>
      <c r="BZ230" s="27"/>
      <c r="CA230" s="27"/>
      <c r="CB230" s="27"/>
      <c r="CC230" s="27"/>
      <c r="CD230" s="27"/>
      <c r="CE230" s="27"/>
      <c r="CF230" s="27"/>
      <c r="CG230" s="27"/>
      <c r="CH230" s="27"/>
      <c r="CI230" s="27"/>
      <c r="CJ230" s="27"/>
      <c r="CK230" s="27"/>
      <c r="CL230" s="27"/>
      <c r="CM230" s="27"/>
      <c r="CN230" s="27"/>
      <c r="CO230" s="27"/>
      <c r="CP230" s="27"/>
      <c r="CQ230" s="27"/>
      <c r="CR230" s="27"/>
      <c r="CS230" s="27"/>
      <c r="CT230" s="27"/>
      <c r="CU230" s="27"/>
      <c r="CV230" s="27"/>
      <c r="CW230" s="27"/>
      <c r="CX230" s="27"/>
      <c r="CY230" s="27"/>
      <c r="CZ230" s="27"/>
      <c r="DA230" s="27"/>
      <c r="DB230" s="27"/>
      <c r="DC230" s="27"/>
      <c r="DD230" s="27"/>
      <c r="DE230" s="27"/>
      <c r="DF230" s="27"/>
      <c r="DG230" s="27"/>
      <c r="DH230" s="27"/>
      <c r="DI230" s="27"/>
      <c r="DJ230" s="27"/>
      <c r="DK230" s="27"/>
      <c r="DL230" s="27"/>
      <c r="DM230" s="27"/>
      <c r="DN230" s="27"/>
      <c r="DO230" s="27"/>
      <c r="DP230" s="27"/>
      <c r="DQ230" s="27"/>
      <c r="DR230" s="27"/>
      <c r="DS230" s="27"/>
      <c r="DT230" s="27"/>
    </row>
    <row r="231" spans="2:124" x14ac:dyDescent="0.2">
      <c r="B231" s="27"/>
      <c r="C231" s="27" t="s">
        <v>32</v>
      </c>
      <c r="D231" s="27">
        <f>BG64*I7</f>
        <v>0</v>
      </c>
      <c r="E231" s="27"/>
      <c r="F231" s="27"/>
      <c r="G231" s="27"/>
      <c r="H231" s="27"/>
      <c r="I231" s="27"/>
      <c r="J231" s="27"/>
      <c r="K231" s="27"/>
      <c r="L231" s="27"/>
      <c r="M231" s="27"/>
      <c r="N231" s="27"/>
      <c r="O231" s="27"/>
      <c r="P231" s="27"/>
      <c r="Q231" s="27"/>
      <c r="R231" s="27"/>
      <c r="S231" s="27"/>
      <c r="T231" s="27"/>
      <c r="U231" s="27"/>
      <c r="V231" s="27"/>
      <c r="W231" s="27"/>
      <c r="X231" s="27"/>
      <c r="Y231" s="27"/>
      <c r="Z231" s="27"/>
      <c r="AA231" s="27"/>
      <c r="AB231" s="27"/>
      <c r="AC231" s="27"/>
      <c r="AD231" s="27"/>
      <c r="AE231" s="27"/>
      <c r="AF231" s="27"/>
      <c r="AG231" s="27"/>
      <c r="AH231" s="27"/>
      <c r="AI231" s="27"/>
      <c r="AJ231" s="27"/>
      <c r="AK231" s="27"/>
      <c r="AL231" s="27"/>
      <c r="AM231" s="27"/>
      <c r="AN231" s="27"/>
      <c r="AO231" s="27"/>
      <c r="AP231" s="27"/>
      <c r="AQ231" s="27"/>
      <c r="AR231" s="27"/>
      <c r="AS231" s="27"/>
      <c r="AT231" s="27"/>
      <c r="AU231" s="27"/>
      <c r="AV231" s="27"/>
      <c r="AW231" s="27"/>
      <c r="AX231" s="27"/>
      <c r="AY231" s="27"/>
      <c r="AZ231" s="27"/>
      <c r="BA231" s="27"/>
      <c r="BB231" s="27"/>
      <c r="BC231" s="27"/>
      <c r="BD231" s="27"/>
      <c r="BE231" s="27"/>
      <c r="BF231" s="27"/>
      <c r="BG231" s="27"/>
      <c r="BH231" s="27"/>
      <c r="BI231" s="27"/>
      <c r="BJ231" s="27"/>
      <c r="BK231" s="27"/>
      <c r="BL231" s="27"/>
      <c r="BM231" s="27"/>
      <c r="BN231" s="27"/>
      <c r="BO231" s="27"/>
      <c r="BP231" s="27"/>
      <c r="BQ231" s="27"/>
      <c r="BR231" s="27"/>
      <c r="BS231" s="27"/>
      <c r="BT231" s="27"/>
      <c r="BU231" s="27"/>
      <c r="BV231" s="27"/>
      <c r="BW231" s="27"/>
      <c r="BX231" s="27"/>
      <c r="BY231" s="27"/>
      <c r="BZ231" s="27"/>
      <c r="CA231" s="27"/>
      <c r="CB231" s="27"/>
      <c r="CC231" s="27"/>
      <c r="CD231" s="27"/>
      <c r="CE231" s="27"/>
      <c r="CF231" s="27"/>
      <c r="CG231" s="27"/>
      <c r="CH231" s="27"/>
      <c r="CI231" s="27"/>
      <c r="CJ231" s="27"/>
      <c r="CK231" s="27"/>
      <c r="CL231" s="27"/>
      <c r="CM231" s="27"/>
      <c r="CN231" s="27"/>
      <c r="CO231" s="27"/>
      <c r="CP231" s="27"/>
      <c r="CQ231" s="27"/>
      <c r="CR231" s="27"/>
      <c r="CS231" s="27"/>
      <c r="CT231" s="27"/>
      <c r="CU231" s="27"/>
      <c r="CV231" s="27"/>
      <c r="CW231" s="27"/>
      <c r="CX231" s="27"/>
      <c r="CY231" s="27"/>
      <c r="CZ231" s="27"/>
      <c r="DA231" s="27"/>
      <c r="DB231" s="27"/>
      <c r="DC231" s="27"/>
      <c r="DD231" s="27"/>
      <c r="DE231" s="27"/>
      <c r="DF231" s="27"/>
      <c r="DG231" s="27"/>
      <c r="DH231" s="27"/>
      <c r="DI231" s="27"/>
      <c r="DJ231" s="27"/>
      <c r="DK231" s="27"/>
      <c r="DL231" s="27"/>
      <c r="DM231" s="27"/>
      <c r="DN231" s="27"/>
      <c r="DO231" s="27"/>
      <c r="DP231" s="27"/>
      <c r="DQ231" s="27"/>
      <c r="DR231" s="27"/>
      <c r="DS231" s="27"/>
      <c r="DT231" s="27"/>
    </row>
    <row r="232" spans="2:124" x14ac:dyDescent="0.2">
      <c r="B232" s="27"/>
      <c r="C232" s="27"/>
      <c r="D232" s="27"/>
      <c r="E232" s="27"/>
      <c r="F232" s="27"/>
      <c r="G232" s="27"/>
      <c r="H232" s="27"/>
      <c r="I232" s="27"/>
      <c r="J232" s="27"/>
      <c r="K232" s="27"/>
      <c r="L232" s="27"/>
      <c r="M232" s="27"/>
      <c r="N232" s="27"/>
      <c r="O232" s="27"/>
      <c r="P232" s="27"/>
      <c r="Q232" s="27"/>
      <c r="R232" s="27"/>
      <c r="S232" s="27"/>
      <c r="T232" s="27"/>
      <c r="U232" s="27"/>
      <c r="V232" s="27"/>
      <c r="W232" s="27"/>
      <c r="X232" s="27"/>
      <c r="Y232" s="27"/>
      <c r="Z232" s="27"/>
      <c r="AA232" s="27"/>
      <c r="AB232" s="27"/>
      <c r="AC232" s="27"/>
      <c r="AD232" s="27"/>
      <c r="AE232" s="27"/>
      <c r="AF232" s="27"/>
      <c r="AG232" s="27"/>
      <c r="AH232" s="27"/>
      <c r="AI232" s="27"/>
      <c r="AJ232" s="27"/>
      <c r="AK232" s="27"/>
      <c r="AL232" s="27"/>
      <c r="AM232" s="27"/>
      <c r="AN232" s="27"/>
      <c r="AO232" s="27"/>
      <c r="AP232" s="27"/>
      <c r="AQ232" s="27"/>
      <c r="AR232" s="27"/>
      <c r="AS232" s="27"/>
      <c r="AT232" s="27"/>
      <c r="AU232" s="27"/>
      <c r="AV232" s="27"/>
      <c r="AW232" s="27"/>
      <c r="AX232" s="27"/>
      <c r="AY232" s="27"/>
      <c r="AZ232" s="27"/>
      <c r="BA232" s="27"/>
      <c r="BB232" s="27"/>
      <c r="BC232" s="27"/>
      <c r="BD232" s="27"/>
      <c r="BE232" s="27"/>
      <c r="BF232" s="27"/>
      <c r="BG232" s="27"/>
      <c r="BH232" s="27"/>
      <c r="BI232" s="27"/>
      <c r="BJ232" s="27"/>
      <c r="BK232" s="27"/>
      <c r="BL232" s="27"/>
      <c r="BM232" s="27"/>
      <c r="BN232" s="27"/>
      <c r="BO232" s="27"/>
      <c r="BP232" s="27"/>
      <c r="BQ232" s="27"/>
      <c r="BR232" s="27"/>
      <c r="BS232" s="27"/>
      <c r="BT232" s="27"/>
      <c r="BU232" s="27"/>
      <c r="BV232" s="27"/>
      <c r="BW232" s="27"/>
      <c r="BX232" s="27"/>
      <c r="BY232" s="27"/>
      <c r="BZ232" s="27"/>
      <c r="CA232" s="27"/>
      <c r="CB232" s="27"/>
      <c r="CC232" s="27"/>
      <c r="CD232" s="27"/>
      <c r="CE232" s="27"/>
      <c r="CF232" s="27"/>
      <c r="CG232" s="27"/>
      <c r="CH232" s="27"/>
      <c r="CI232" s="27"/>
      <c r="CJ232" s="27"/>
      <c r="CK232" s="27"/>
      <c r="CL232" s="27"/>
      <c r="CM232" s="27"/>
      <c r="CN232" s="27"/>
      <c r="CO232" s="27"/>
      <c r="CP232" s="27"/>
      <c r="CQ232" s="27"/>
      <c r="CR232" s="27"/>
      <c r="CS232" s="27"/>
      <c r="CT232" s="27"/>
      <c r="CU232" s="27"/>
      <c r="CV232" s="27"/>
      <c r="CW232" s="27"/>
      <c r="CX232" s="27"/>
      <c r="CY232" s="27"/>
      <c r="CZ232" s="27"/>
      <c r="DA232" s="27"/>
      <c r="DB232" s="27"/>
      <c r="DC232" s="27"/>
      <c r="DD232" s="27"/>
      <c r="DE232" s="27"/>
      <c r="DF232" s="27"/>
      <c r="DG232" s="27"/>
      <c r="DH232" s="27"/>
      <c r="DI232" s="27"/>
      <c r="DJ232" s="27"/>
      <c r="DK232" s="27"/>
      <c r="DL232" s="27"/>
      <c r="DM232" s="27"/>
      <c r="DN232" s="27"/>
      <c r="DO232" s="27"/>
      <c r="DP232" s="27"/>
      <c r="DQ232" s="27"/>
      <c r="DR232" s="27"/>
      <c r="DS232" s="27"/>
      <c r="DT232" s="27"/>
    </row>
    <row r="233" spans="2:124" x14ac:dyDescent="0.2">
      <c r="B233" s="27"/>
      <c r="C233" s="27"/>
      <c r="D233" s="27"/>
      <c r="E233" s="27"/>
      <c r="F233" s="27"/>
      <c r="G233" s="27"/>
      <c r="H233" s="27"/>
      <c r="I233" s="27"/>
      <c r="J233" s="27"/>
      <c r="K233" s="27"/>
      <c r="L233" s="27"/>
      <c r="M233" s="27"/>
      <c r="N233" s="27"/>
      <c r="O233" s="27"/>
      <c r="P233" s="27"/>
      <c r="Q233" s="27"/>
      <c r="R233" s="27"/>
      <c r="S233" s="27"/>
      <c r="T233" s="27"/>
      <c r="U233" s="27"/>
      <c r="V233" s="27"/>
      <c r="W233" s="27"/>
      <c r="X233" s="27"/>
      <c r="Y233" s="27"/>
      <c r="Z233" s="27"/>
      <c r="AA233" s="27"/>
      <c r="AB233" s="27"/>
      <c r="AC233" s="27"/>
      <c r="AD233" s="27"/>
      <c r="AE233" s="27"/>
      <c r="AF233" s="27"/>
      <c r="AG233" s="27"/>
      <c r="AH233" s="27"/>
      <c r="AI233" s="27"/>
      <c r="AJ233" s="27"/>
      <c r="AK233" s="27"/>
      <c r="AL233" s="27"/>
      <c r="AM233" s="27"/>
      <c r="AN233" s="27"/>
      <c r="AO233" s="27"/>
      <c r="AP233" s="27"/>
      <c r="AQ233" s="27"/>
      <c r="AR233" s="27"/>
      <c r="AS233" s="27"/>
      <c r="AT233" s="27"/>
      <c r="AU233" s="27"/>
      <c r="AV233" s="27"/>
      <c r="AW233" s="27"/>
      <c r="AX233" s="27"/>
      <c r="AY233" s="27"/>
      <c r="AZ233" s="27"/>
      <c r="BA233" s="27"/>
      <c r="BB233" s="27"/>
      <c r="BC233" s="27"/>
      <c r="BD233" s="27"/>
      <c r="BE233" s="27"/>
      <c r="BF233" s="27"/>
      <c r="BG233" s="27"/>
      <c r="BH233" s="27"/>
      <c r="BI233" s="27"/>
      <c r="BJ233" s="27"/>
      <c r="BK233" s="27"/>
      <c r="BL233" s="27"/>
      <c r="BM233" s="27"/>
      <c r="BN233" s="27"/>
      <c r="BO233" s="27"/>
      <c r="BP233" s="27"/>
      <c r="BQ233" s="27"/>
      <c r="BR233" s="27"/>
      <c r="BS233" s="27"/>
      <c r="BT233" s="27"/>
      <c r="BU233" s="27"/>
      <c r="BV233" s="27"/>
      <c r="BW233" s="27"/>
      <c r="BX233" s="27"/>
      <c r="BY233" s="27"/>
      <c r="BZ233" s="27"/>
      <c r="CA233" s="27"/>
      <c r="CB233" s="27"/>
      <c r="CC233" s="27"/>
      <c r="CD233" s="27"/>
      <c r="CE233" s="27"/>
      <c r="CF233" s="27"/>
      <c r="CG233" s="27"/>
      <c r="CH233" s="27"/>
      <c r="CI233" s="27"/>
      <c r="CJ233" s="27"/>
      <c r="CK233" s="27"/>
      <c r="CL233" s="27"/>
      <c r="CM233" s="27"/>
      <c r="CN233" s="27"/>
      <c r="CO233" s="27"/>
      <c r="CP233" s="27"/>
      <c r="CQ233" s="27"/>
      <c r="CR233" s="27"/>
      <c r="CS233" s="27"/>
      <c r="CT233" s="27"/>
      <c r="CU233" s="27"/>
      <c r="CV233" s="27"/>
      <c r="CW233" s="27"/>
      <c r="CX233" s="27"/>
      <c r="CY233" s="27"/>
      <c r="CZ233" s="27"/>
      <c r="DA233" s="27"/>
      <c r="DB233" s="27"/>
      <c r="DC233" s="27"/>
      <c r="DD233" s="27"/>
      <c r="DE233" s="27"/>
      <c r="DF233" s="27"/>
      <c r="DG233" s="27"/>
      <c r="DH233" s="27"/>
      <c r="DI233" s="27"/>
      <c r="DJ233" s="27"/>
      <c r="DK233" s="27"/>
      <c r="DL233" s="27"/>
      <c r="DM233" s="27"/>
      <c r="DN233" s="27"/>
      <c r="DO233" s="27"/>
      <c r="DP233" s="27"/>
      <c r="DQ233" s="27"/>
      <c r="DR233" s="27"/>
      <c r="DS233" s="27"/>
      <c r="DT233" s="27"/>
    </row>
    <row r="234" spans="2:124" x14ac:dyDescent="0.2">
      <c r="B234" s="27" t="s">
        <v>59</v>
      </c>
      <c r="C234" s="27" t="s">
        <v>563</v>
      </c>
      <c r="D234" s="27" t="e">
        <f>#REF!</f>
        <v>#REF!</v>
      </c>
      <c r="E234" s="27"/>
      <c r="F234" s="27"/>
      <c r="G234" s="27"/>
      <c r="H234" s="27"/>
      <c r="I234" s="27"/>
      <c r="J234" s="27"/>
      <c r="K234" s="27"/>
      <c r="L234" s="27"/>
      <c r="M234" s="27"/>
      <c r="N234" s="27"/>
      <c r="O234" s="27"/>
      <c r="P234" s="27"/>
      <c r="Q234" s="27"/>
      <c r="R234" s="27"/>
      <c r="S234" s="27"/>
      <c r="T234" s="27"/>
      <c r="U234" s="27"/>
      <c r="V234" s="27"/>
      <c r="W234" s="27"/>
      <c r="X234" s="27"/>
      <c r="Y234" s="27"/>
      <c r="Z234" s="27"/>
      <c r="AA234" s="27"/>
      <c r="AB234" s="27"/>
      <c r="AC234" s="27"/>
      <c r="AD234" s="27"/>
      <c r="AE234" s="27"/>
      <c r="AF234" s="27"/>
      <c r="AG234" s="27"/>
      <c r="AH234" s="27"/>
      <c r="AI234" s="27"/>
      <c r="AJ234" s="27"/>
      <c r="AK234" s="27"/>
      <c r="AL234" s="27"/>
      <c r="AM234" s="27"/>
      <c r="AN234" s="27"/>
      <c r="AO234" s="27"/>
      <c r="AP234" s="27"/>
      <c r="AQ234" s="27"/>
      <c r="AR234" s="27"/>
      <c r="AS234" s="27"/>
      <c r="AT234" s="27"/>
      <c r="AU234" s="27"/>
      <c r="AV234" s="27"/>
      <c r="AW234" s="27"/>
      <c r="AX234" s="27"/>
      <c r="AY234" s="27"/>
      <c r="AZ234" s="27"/>
      <c r="BA234" s="27"/>
      <c r="BB234" s="27"/>
      <c r="BC234" s="27"/>
      <c r="BD234" s="27"/>
      <c r="BE234" s="27"/>
      <c r="BF234" s="27"/>
      <c r="BG234" s="27"/>
      <c r="BH234" s="27"/>
      <c r="BI234" s="27"/>
      <c r="BJ234" s="27"/>
      <c r="BK234" s="27"/>
      <c r="BL234" s="27"/>
      <c r="BM234" s="27"/>
      <c r="BN234" s="27"/>
      <c r="BO234" s="27"/>
      <c r="BP234" s="27"/>
      <c r="BQ234" s="27"/>
      <c r="BR234" s="27"/>
      <c r="BS234" s="27"/>
      <c r="BT234" s="27"/>
      <c r="BU234" s="27"/>
      <c r="BV234" s="27"/>
      <c r="BW234" s="27"/>
      <c r="BX234" s="27"/>
      <c r="BY234" s="27"/>
      <c r="BZ234" s="27"/>
      <c r="CA234" s="27"/>
      <c r="CB234" s="27"/>
      <c r="CC234" s="27"/>
      <c r="CD234" s="27"/>
      <c r="CE234" s="27"/>
      <c r="CF234" s="27"/>
      <c r="CG234" s="27"/>
      <c r="CH234" s="27"/>
      <c r="CI234" s="27"/>
      <c r="CJ234" s="27"/>
      <c r="CK234" s="27"/>
      <c r="CL234" s="27"/>
      <c r="CM234" s="27"/>
      <c r="CN234" s="27"/>
      <c r="CO234" s="27"/>
      <c r="CP234" s="27"/>
      <c r="CQ234" s="27"/>
      <c r="CR234" s="27"/>
      <c r="CS234" s="27"/>
      <c r="CT234" s="27"/>
      <c r="CU234" s="27"/>
      <c r="CV234" s="27"/>
      <c r="CW234" s="27"/>
      <c r="CX234" s="27"/>
      <c r="CY234" s="27"/>
      <c r="CZ234" s="27"/>
      <c r="DA234" s="27"/>
      <c r="DB234" s="27"/>
      <c r="DC234" s="27"/>
      <c r="DD234" s="27"/>
      <c r="DE234" s="27"/>
      <c r="DF234" s="27"/>
      <c r="DG234" s="27"/>
      <c r="DH234" s="27"/>
      <c r="DI234" s="27"/>
      <c r="DJ234" s="27"/>
      <c r="DK234" s="27"/>
      <c r="DL234" s="27"/>
      <c r="DM234" s="27"/>
      <c r="DN234" s="27"/>
      <c r="DO234" s="27"/>
      <c r="DP234" s="27"/>
      <c r="DQ234" s="27"/>
      <c r="DR234" s="27"/>
      <c r="DS234" s="27"/>
      <c r="DT234" s="27"/>
    </row>
    <row r="235" spans="2:124" x14ac:dyDescent="0.2">
      <c r="B235" s="27"/>
      <c r="C235" s="27"/>
      <c r="D235" s="27"/>
      <c r="E235" s="27"/>
      <c r="F235" s="27"/>
      <c r="G235" s="27"/>
      <c r="H235" s="27"/>
      <c r="I235" s="27"/>
      <c r="J235" s="27"/>
      <c r="K235" s="27"/>
      <c r="L235" s="27"/>
      <c r="M235" s="27"/>
      <c r="N235" s="27"/>
      <c r="O235" s="27"/>
      <c r="P235" s="27"/>
      <c r="Q235" s="27"/>
      <c r="R235" s="27"/>
      <c r="S235" s="27"/>
      <c r="T235" s="27"/>
      <c r="U235" s="27"/>
      <c r="V235" s="27"/>
      <c r="W235" s="27"/>
      <c r="X235" s="27"/>
      <c r="Y235" s="27"/>
      <c r="Z235" s="27"/>
      <c r="AA235" s="27"/>
      <c r="AB235" s="27"/>
      <c r="AC235" s="27"/>
      <c r="AD235" s="27"/>
      <c r="AE235" s="27"/>
      <c r="AF235" s="27"/>
      <c r="AG235" s="27"/>
      <c r="AH235" s="27"/>
      <c r="AI235" s="27"/>
      <c r="AJ235" s="27"/>
      <c r="AK235" s="27"/>
      <c r="AL235" s="27"/>
      <c r="AM235" s="27"/>
      <c r="AN235" s="27"/>
      <c r="AO235" s="27"/>
      <c r="AP235" s="27"/>
      <c r="AQ235" s="27"/>
      <c r="AR235" s="27"/>
      <c r="AS235" s="27"/>
      <c r="AT235" s="27"/>
      <c r="AU235" s="27"/>
      <c r="AV235" s="27"/>
      <c r="AW235" s="27"/>
      <c r="AX235" s="27"/>
      <c r="AY235" s="27"/>
      <c r="AZ235" s="27"/>
      <c r="BA235" s="27"/>
      <c r="BB235" s="27"/>
      <c r="BC235" s="27"/>
      <c r="BD235" s="27"/>
      <c r="BE235" s="27"/>
      <c r="BF235" s="27"/>
      <c r="BG235" s="27"/>
      <c r="BH235" s="27"/>
      <c r="BI235" s="27"/>
      <c r="BJ235" s="27"/>
      <c r="BK235" s="27"/>
      <c r="BL235" s="27"/>
      <c r="BM235" s="27"/>
      <c r="BN235" s="27"/>
      <c r="BO235" s="27"/>
      <c r="BP235" s="27"/>
      <c r="BQ235" s="27"/>
      <c r="BR235" s="27"/>
      <c r="BS235" s="27"/>
      <c r="BT235" s="27"/>
      <c r="BU235" s="27"/>
      <c r="BV235" s="27"/>
      <c r="BW235" s="27"/>
      <c r="BX235" s="27"/>
      <c r="BY235" s="27"/>
      <c r="BZ235" s="27"/>
      <c r="CA235" s="27"/>
      <c r="CB235" s="27"/>
      <c r="CC235" s="27"/>
      <c r="CD235" s="27"/>
      <c r="CE235" s="27"/>
      <c r="CF235" s="27"/>
      <c r="CG235" s="27"/>
      <c r="CH235" s="27"/>
      <c r="CI235" s="27"/>
      <c r="CJ235" s="27"/>
      <c r="CK235" s="27"/>
      <c r="CL235" s="27"/>
      <c r="CM235" s="27"/>
      <c r="CN235" s="27"/>
      <c r="CO235" s="27"/>
      <c r="CP235" s="27"/>
      <c r="CQ235" s="27"/>
      <c r="CR235" s="27"/>
      <c r="CS235" s="27"/>
      <c r="CT235" s="27"/>
      <c r="CU235" s="27"/>
      <c r="CV235" s="27"/>
      <c r="CW235" s="27"/>
      <c r="CX235" s="27"/>
      <c r="CY235" s="27"/>
      <c r="CZ235" s="27"/>
      <c r="DA235" s="27"/>
      <c r="DB235" s="27"/>
      <c r="DC235" s="27"/>
      <c r="DD235" s="27"/>
      <c r="DE235" s="27"/>
      <c r="DF235" s="27"/>
      <c r="DG235" s="27"/>
      <c r="DH235" s="27"/>
      <c r="DI235" s="27"/>
      <c r="DJ235" s="27"/>
      <c r="DK235" s="27"/>
      <c r="DL235" s="27"/>
      <c r="DM235" s="27"/>
      <c r="DN235" s="27"/>
      <c r="DO235" s="27"/>
      <c r="DP235" s="27"/>
      <c r="DQ235" s="27"/>
      <c r="DR235" s="27"/>
      <c r="DS235" s="27"/>
      <c r="DT235" s="27"/>
    </row>
    <row r="236" spans="2:124" x14ac:dyDescent="0.2">
      <c r="B236" s="27"/>
      <c r="C236" s="27"/>
      <c r="D236" s="27"/>
      <c r="E236" s="27"/>
      <c r="F236" s="27"/>
      <c r="G236" s="27"/>
      <c r="H236" s="27"/>
      <c r="I236" s="27"/>
      <c r="J236" s="27"/>
      <c r="K236" s="27"/>
      <c r="L236" s="27"/>
      <c r="M236" s="27"/>
      <c r="N236" s="27"/>
      <c r="O236" s="27"/>
      <c r="P236" s="27"/>
      <c r="Q236" s="27"/>
      <c r="R236" s="27"/>
      <c r="S236" s="27"/>
      <c r="T236" s="27"/>
      <c r="U236" s="27"/>
      <c r="V236" s="27"/>
      <c r="W236" s="27"/>
      <c r="X236" s="27"/>
      <c r="Y236" s="27"/>
      <c r="Z236" s="27"/>
      <c r="AA236" s="27"/>
      <c r="AB236" s="27"/>
      <c r="AC236" s="27"/>
      <c r="AD236" s="27"/>
      <c r="AE236" s="27"/>
      <c r="AF236" s="27"/>
      <c r="AG236" s="27"/>
      <c r="AH236" s="27"/>
      <c r="AI236" s="27"/>
      <c r="AJ236" s="27"/>
      <c r="AK236" s="27"/>
      <c r="AL236" s="27"/>
      <c r="AM236" s="27"/>
      <c r="AN236" s="27"/>
      <c r="AO236" s="27"/>
      <c r="AP236" s="27"/>
      <c r="AQ236" s="27"/>
      <c r="AR236" s="27"/>
      <c r="AS236" s="27"/>
      <c r="AT236" s="27"/>
      <c r="AU236" s="27"/>
      <c r="AV236" s="27"/>
      <c r="AW236" s="27"/>
      <c r="AX236" s="27"/>
      <c r="AY236" s="27"/>
      <c r="AZ236" s="27"/>
      <c r="BA236" s="27"/>
      <c r="BB236" s="27"/>
      <c r="BC236" s="27"/>
      <c r="BD236" s="27"/>
      <c r="BE236" s="27"/>
      <c r="BF236" s="27"/>
      <c r="BG236" s="27"/>
      <c r="BH236" s="27"/>
      <c r="BI236" s="27"/>
      <c r="BJ236" s="27"/>
      <c r="BK236" s="27"/>
      <c r="BL236" s="27"/>
      <c r="BM236" s="27"/>
      <c r="BN236" s="27"/>
      <c r="BO236" s="27"/>
      <c r="BP236" s="27"/>
      <c r="BQ236" s="27"/>
      <c r="BR236" s="27"/>
      <c r="BS236" s="27"/>
      <c r="BT236" s="27"/>
      <c r="BU236" s="27"/>
      <c r="BV236" s="27"/>
      <c r="BW236" s="27"/>
      <c r="BX236" s="27"/>
      <c r="BY236" s="27"/>
      <c r="BZ236" s="27"/>
      <c r="CA236" s="27"/>
      <c r="CB236" s="27"/>
      <c r="CC236" s="27"/>
      <c r="CD236" s="27"/>
      <c r="CE236" s="27"/>
      <c r="CF236" s="27"/>
      <c r="CG236" s="27"/>
      <c r="CH236" s="27"/>
      <c r="CI236" s="27"/>
      <c r="CJ236" s="27"/>
      <c r="CK236" s="27"/>
      <c r="CL236" s="27"/>
      <c r="CM236" s="27"/>
      <c r="CN236" s="27"/>
      <c r="CO236" s="27"/>
      <c r="CP236" s="27"/>
      <c r="CQ236" s="27"/>
      <c r="CR236" s="27"/>
      <c r="CS236" s="27"/>
      <c r="CT236" s="27"/>
      <c r="CU236" s="27"/>
      <c r="CV236" s="27"/>
      <c r="CW236" s="27"/>
      <c r="CX236" s="27"/>
      <c r="CY236" s="27"/>
      <c r="CZ236" s="27"/>
      <c r="DA236" s="27"/>
      <c r="DB236" s="27"/>
      <c r="DC236" s="27"/>
      <c r="DD236" s="27"/>
      <c r="DE236" s="27"/>
      <c r="DF236" s="27"/>
      <c r="DG236" s="27"/>
      <c r="DH236" s="27"/>
      <c r="DI236" s="27"/>
      <c r="DJ236" s="27"/>
      <c r="DK236" s="27"/>
      <c r="DL236" s="27"/>
      <c r="DM236" s="27"/>
      <c r="DN236" s="27"/>
      <c r="DO236" s="27"/>
      <c r="DP236" s="27"/>
      <c r="DQ236" s="27"/>
      <c r="DR236" s="27"/>
      <c r="DS236" s="27"/>
      <c r="DT236" s="27"/>
    </row>
    <row r="237" spans="2:124" x14ac:dyDescent="0.2">
      <c r="B237" s="27"/>
      <c r="C237" s="27"/>
      <c r="D237" s="27"/>
      <c r="E237" s="27"/>
      <c r="F237" s="27"/>
      <c r="G237" s="27"/>
      <c r="H237" s="27"/>
      <c r="I237" s="27"/>
      <c r="J237" s="27"/>
      <c r="K237" s="27"/>
      <c r="L237" s="27"/>
      <c r="M237" s="27"/>
      <c r="N237" s="27"/>
      <c r="O237" s="27"/>
      <c r="P237" s="27"/>
      <c r="Q237" s="27"/>
      <c r="R237" s="27"/>
      <c r="S237" s="27"/>
      <c r="T237" s="27"/>
      <c r="U237" s="27"/>
      <c r="V237" s="27"/>
      <c r="W237" s="27"/>
      <c r="X237" s="27"/>
      <c r="Y237" s="27"/>
      <c r="Z237" s="27"/>
      <c r="AA237" s="27"/>
      <c r="AB237" s="27"/>
      <c r="AC237" s="27"/>
      <c r="AD237" s="27"/>
      <c r="AE237" s="27"/>
      <c r="AF237" s="27"/>
      <c r="AG237" s="27"/>
      <c r="AH237" s="27"/>
      <c r="AI237" s="27"/>
      <c r="AJ237" s="27"/>
      <c r="AK237" s="27"/>
      <c r="AL237" s="27"/>
      <c r="AM237" s="27"/>
      <c r="AN237" s="27"/>
      <c r="AO237" s="27"/>
      <c r="AP237" s="27"/>
      <c r="AQ237" s="27"/>
      <c r="AR237" s="27"/>
      <c r="AS237" s="27"/>
      <c r="AT237" s="27"/>
      <c r="AU237" s="27"/>
      <c r="AV237" s="27"/>
      <c r="AW237" s="27"/>
      <c r="AX237" s="27"/>
      <c r="AY237" s="27"/>
      <c r="AZ237" s="27"/>
      <c r="BA237" s="27"/>
      <c r="BB237" s="27"/>
      <c r="BC237" s="27"/>
      <c r="BD237" s="27"/>
      <c r="BE237" s="27"/>
      <c r="BF237" s="27"/>
      <c r="BG237" s="27"/>
      <c r="BH237" s="27"/>
      <c r="BI237" s="27"/>
      <c r="BJ237" s="27"/>
      <c r="BK237" s="27"/>
      <c r="BL237" s="27"/>
      <c r="BM237" s="27"/>
      <c r="BN237" s="27"/>
      <c r="BO237" s="27"/>
      <c r="BP237" s="27"/>
      <c r="BQ237" s="27"/>
      <c r="BR237" s="27"/>
      <c r="BS237" s="27"/>
      <c r="BT237" s="27"/>
      <c r="BU237" s="27"/>
      <c r="BV237" s="27"/>
      <c r="BW237" s="27"/>
      <c r="BX237" s="27"/>
      <c r="BY237" s="27"/>
      <c r="BZ237" s="27"/>
      <c r="CA237" s="27"/>
      <c r="CB237" s="27"/>
      <c r="CC237" s="27"/>
      <c r="CD237" s="27"/>
      <c r="CE237" s="27"/>
      <c r="CF237" s="27"/>
      <c r="CG237" s="27"/>
      <c r="CH237" s="27"/>
      <c r="CI237" s="27"/>
      <c r="CJ237" s="27"/>
      <c r="CK237" s="27"/>
      <c r="CL237" s="27"/>
      <c r="CM237" s="27"/>
      <c r="CN237" s="27"/>
      <c r="CO237" s="27"/>
      <c r="CP237" s="27"/>
      <c r="CQ237" s="27"/>
      <c r="CR237" s="27"/>
      <c r="CS237" s="27"/>
      <c r="CT237" s="27"/>
      <c r="CU237" s="27"/>
      <c r="CV237" s="27"/>
      <c r="CW237" s="27"/>
      <c r="CX237" s="27"/>
      <c r="CY237" s="27"/>
      <c r="CZ237" s="27"/>
      <c r="DA237" s="27"/>
      <c r="DB237" s="27"/>
      <c r="DC237" s="27"/>
      <c r="DD237" s="27"/>
      <c r="DE237" s="27"/>
      <c r="DF237" s="27"/>
      <c r="DG237" s="27"/>
      <c r="DH237" s="27"/>
      <c r="DI237" s="27"/>
      <c r="DJ237" s="27"/>
      <c r="DK237" s="27"/>
      <c r="DL237" s="27"/>
      <c r="DM237" s="27"/>
      <c r="DN237" s="27"/>
      <c r="DO237" s="27"/>
      <c r="DP237" s="27"/>
      <c r="DQ237" s="27"/>
      <c r="DR237" s="27"/>
      <c r="DS237" s="27"/>
      <c r="DT237" s="27"/>
    </row>
    <row r="238" spans="2:124" x14ac:dyDescent="0.2">
      <c r="B238" s="27"/>
      <c r="C238" s="27"/>
      <c r="D238" s="27"/>
      <c r="E238" s="27"/>
      <c r="F238" s="27"/>
      <c r="G238" s="27"/>
      <c r="H238" s="27"/>
      <c r="I238" s="27"/>
      <c r="J238" s="27"/>
      <c r="K238" s="27"/>
      <c r="L238" s="27"/>
      <c r="M238" s="27"/>
      <c r="N238" s="27"/>
      <c r="O238" s="27"/>
      <c r="P238" s="27"/>
      <c r="Q238" s="27"/>
      <c r="R238" s="27"/>
      <c r="S238" s="27"/>
      <c r="T238" s="27"/>
      <c r="U238" s="27"/>
      <c r="V238" s="27"/>
      <c r="W238" s="27"/>
      <c r="X238" s="27"/>
      <c r="Y238" s="27"/>
      <c r="Z238" s="27"/>
      <c r="AA238" s="27"/>
      <c r="AB238" s="27"/>
      <c r="AC238" s="27"/>
      <c r="AD238" s="27"/>
      <c r="AE238" s="27"/>
      <c r="AF238" s="27"/>
      <c r="AG238" s="27"/>
      <c r="AH238" s="27"/>
      <c r="AI238" s="27"/>
      <c r="AJ238" s="27"/>
      <c r="AK238" s="27"/>
      <c r="AL238" s="27"/>
      <c r="AM238" s="27"/>
      <c r="AN238" s="27"/>
      <c r="AO238" s="27"/>
      <c r="AP238" s="27"/>
      <c r="AQ238" s="27"/>
      <c r="AR238" s="27"/>
      <c r="AS238" s="27"/>
      <c r="AT238" s="27"/>
      <c r="AU238" s="27"/>
      <c r="AV238" s="27"/>
      <c r="AW238" s="27"/>
      <c r="AX238" s="27"/>
      <c r="AY238" s="27"/>
      <c r="AZ238" s="27"/>
      <c r="BA238" s="27"/>
      <c r="BB238" s="27"/>
      <c r="BC238" s="27"/>
      <c r="BD238" s="27"/>
      <c r="BE238" s="27"/>
      <c r="BF238" s="27"/>
      <c r="BG238" s="27"/>
      <c r="BH238" s="27"/>
      <c r="BI238" s="27"/>
      <c r="BJ238" s="27"/>
      <c r="BK238" s="27"/>
      <c r="BL238" s="27"/>
      <c r="BM238" s="27"/>
      <c r="BN238" s="27"/>
      <c r="BO238" s="27"/>
      <c r="BP238" s="27"/>
      <c r="BQ238" s="27"/>
      <c r="BR238" s="27"/>
      <c r="BS238" s="27"/>
      <c r="BT238" s="27"/>
      <c r="BU238" s="27"/>
      <c r="BV238" s="27"/>
      <c r="BW238" s="27"/>
      <c r="BX238" s="27"/>
      <c r="BY238" s="27"/>
      <c r="BZ238" s="27"/>
      <c r="CA238" s="27"/>
      <c r="CB238" s="27"/>
      <c r="CC238" s="27"/>
      <c r="CD238" s="27"/>
      <c r="CE238" s="27"/>
      <c r="CF238" s="27"/>
      <c r="CG238" s="27"/>
      <c r="CH238" s="27"/>
      <c r="CI238" s="27"/>
      <c r="CJ238" s="27"/>
      <c r="CK238" s="27"/>
      <c r="CL238" s="27"/>
      <c r="CM238" s="27"/>
      <c r="CN238" s="27"/>
      <c r="CO238" s="27"/>
      <c r="CP238" s="27"/>
      <c r="CQ238" s="27"/>
      <c r="CR238" s="27"/>
      <c r="CS238" s="27"/>
      <c r="CT238" s="27"/>
      <c r="CU238" s="27"/>
      <c r="CV238" s="27"/>
      <c r="CW238" s="27"/>
      <c r="CX238" s="27"/>
      <c r="CY238" s="27"/>
      <c r="CZ238" s="27"/>
      <c r="DA238" s="27"/>
      <c r="DB238" s="27"/>
      <c r="DC238" s="27"/>
      <c r="DD238" s="27"/>
      <c r="DE238" s="27"/>
      <c r="DF238" s="27"/>
      <c r="DG238" s="27"/>
      <c r="DH238" s="27"/>
      <c r="DI238" s="27"/>
      <c r="DJ238" s="27"/>
      <c r="DK238" s="27"/>
      <c r="DL238" s="27"/>
      <c r="DM238" s="27"/>
      <c r="DN238" s="27"/>
      <c r="DO238" s="27"/>
      <c r="DP238" s="27"/>
      <c r="DQ238" s="27"/>
      <c r="DR238" s="27"/>
      <c r="DS238" s="27"/>
      <c r="DT238" s="27"/>
    </row>
    <row r="239" spans="2:124" x14ac:dyDescent="0.2">
      <c r="B239" s="27"/>
      <c r="C239" s="27"/>
      <c r="D239" s="27"/>
      <c r="E239" s="27"/>
      <c r="F239" s="27"/>
      <c r="G239" s="27"/>
      <c r="H239" s="27"/>
      <c r="I239" s="27"/>
      <c r="J239" s="27"/>
      <c r="K239" s="27"/>
      <c r="L239" s="27"/>
      <c r="M239" s="27"/>
      <c r="N239" s="27"/>
      <c r="O239" s="27"/>
      <c r="P239" s="27"/>
      <c r="Q239" s="27"/>
      <c r="R239" s="27"/>
      <c r="S239" s="27"/>
      <c r="T239" s="27"/>
      <c r="U239" s="27"/>
      <c r="V239" s="27"/>
      <c r="W239" s="27"/>
      <c r="X239" s="27"/>
      <c r="Y239" s="27"/>
      <c r="Z239" s="27"/>
      <c r="AA239" s="27"/>
      <c r="AB239" s="27"/>
      <c r="AC239" s="27"/>
      <c r="AD239" s="27"/>
      <c r="AE239" s="27"/>
      <c r="AF239" s="27"/>
      <c r="AG239" s="27"/>
      <c r="AH239" s="27"/>
      <c r="AI239" s="27"/>
      <c r="AJ239" s="27"/>
      <c r="AK239" s="27"/>
      <c r="AL239" s="27"/>
      <c r="AM239" s="27"/>
      <c r="AN239" s="27"/>
      <c r="AO239" s="27"/>
      <c r="AP239" s="27"/>
      <c r="AQ239" s="27"/>
      <c r="AR239" s="27"/>
      <c r="AS239" s="27"/>
      <c r="AT239" s="27"/>
      <c r="AU239" s="27"/>
      <c r="AV239" s="27"/>
      <c r="AW239" s="27"/>
      <c r="AX239" s="27"/>
      <c r="AY239" s="27"/>
      <c r="AZ239" s="27"/>
      <c r="BA239" s="27"/>
      <c r="BB239" s="27"/>
      <c r="BC239" s="27"/>
      <c r="BD239" s="27"/>
      <c r="BE239" s="27"/>
      <c r="BF239" s="27"/>
      <c r="BG239" s="27"/>
      <c r="BH239" s="27"/>
      <c r="BI239" s="27"/>
      <c r="BJ239" s="27"/>
      <c r="BK239" s="27"/>
      <c r="BL239" s="27"/>
      <c r="BM239" s="27"/>
      <c r="BN239" s="27"/>
      <c r="BO239" s="27"/>
      <c r="BP239" s="27"/>
      <c r="BQ239" s="27"/>
      <c r="BR239" s="27"/>
      <c r="BS239" s="27"/>
      <c r="BT239" s="27"/>
      <c r="BU239" s="27"/>
      <c r="BV239" s="27"/>
      <c r="BW239" s="27"/>
      <c r="BX239" s="27"/>
      <c r="BY239" s="27"/>
      <c r="BZ239" s="27"/>
      <c r="CA239" s="27"/>
      <c r="CB239" s="27"/>
      <c r="CC239" s="27"/>
      <c r="CD239" s="27"/>
      <c r="CE239" s="27"/>
      <c r="CF239" s="27"/>
      <c r="CG239" s="27"/>
      <c r="CH239" s="27"/>
      <c r="CI239" s="27"/>
      <c r="CJ239" s="27"/>
      <c r="CK239" s="27"/>
      <c r="CL239" s="27"/>
      <c r="CM239" s="27"/>
      <c r="CN239" s="27"/>
      <c r="CO239" s="27"/>
      <c r="CP239" s="27"/>
      <c r="CQ239" s="27"/>
      <c r="CR239" s="27"/>
      <c r="CS239" s="27"/>
      <c r="CT239" s="27"/>
      <c r="CU239" s="27"/>
      <c r="CV239" s="27"/>
      <c r="CW239" s="27"/>
      <c r="CX239" s="27"/>
      <c r="CY239" s="27"/>
      <c r="CZ239" s="27"/>
      <c r="DA239" s="27"/>
      <c r="DB239" s="27"/>
      <c r="DC239" s="27"/>
      <c r="DD239" s="27"/>
      <c r="DE239" s="27"/>
      <c r="DF239" s="27"/>
      <c r="DG239" s="27"/>
      <c r="DH239" s="27"/>
      <c r="DI239" s="27"/>
      <c r="DJ239" s="27"/>
      <c r="DK239" s="27"/>
      <c r="DL239" s="27"/>
      <c r="DM239" s="27"/>
      <c r="DN239" s="27"/>
      <c r="DO239" s="27"/>
      <c r="DP239" s="27"/>
      <c r="DQ239" s="27"/>
      <c r="DR239" s="27"/>
      <c r="DS239" s="27"/>
      <c r="DT239" s="27"/>
    </row>
    <row r="240" spans="2:124" x14ac:dyDescent="0.2">
      <c r="B240" s="27"/>
      <c r="C240" s="27"/>
      <c r="D240" s="27"/>
      <c r="E240" s="27"/>
      <c r="F240" s="27"/>
      <c r="G240" s="27"/>
      <c r="H240" s="27"/>
      <c r="I240" s="27"/>
      <c r="J240" s="27"/>
      <c r="K240" s="27"/>
      <c r="L240" s="27"/>
      <c r="M240" s="27"/>
      <c r="N240" s="27"/>
      <c r="O240" s="27"/>
      <c r="P240" s="27"/>
      <c r="Q240" s="27"/>
      <c r="R240" s="27"/>
      <c r="S240" s="27"/>
      <c r="T240" s="27"/>
      <c r="U240" s="27"/>
      <c r="V240" s="27"/>
      <c r="W240" s="27"/>
      <c r="X240" s="27"/>
      <c r="Y240" s="27"/>
      <c r="Z240" s="27"/>
      <c r="AA240" s="27"/>
      <c r="AB240" s="27"/>
      <c r="AC240" s="27"/>
      <c r="AD240" s="27"/>
      <c r="AE240" s="27"/>
      <c r="AF240" s="27"/>
      <c r="AG240" s="27"/>
      <c r="AH240" s="27"/>
      <c r="AI240" s="27"/>
      <c r="AJ240" s="27"/>
      <c r="AK240" s="27"/>
      <c r="AL240" s="27"/>
      <c r="AM240" s="27"/>
      <c r="AN240" s="27"/>
      <c r="AO240" s="27"/>
      <c r="AP240" s="27"/>
      <c r="AQ240" s="27"/>
      <c r="AR240" s="27"/>
      <c r="AS240" s="27"/>
      <c r="AT240" s="27"/>
      <c r="AU240" s="27"/>
      <c r="AV240" s="27"/>
      <c r="AW240" s="27"/>
      <c r="AX240" s="27"/>
      <c r="AY240" s="27"/>
      <c r="AZ240" s="27"/>
      <c r="BA240" s="27"/>
      <c r="BB240" s="27"/>
      <c r="BC240" s="27"/>
      <c r="BD240" s="27"/>
      <c r="BE240" s="27"/>
      <c r="BF240" s="27"/>
      <c r="BG240" s="27"/>
      <c r="BH240" s="27"/>
      <c r="BI240" s="27"/>
      <c r="BJ240" s="27"/>
      <c r="BK240" s="27"/>
      <c r="BL240" s="27"/>
      <c r="BM240" s="27"/>
      <c r="BN240" s="27"/>
      <c r="BO240" s="27"/>
      <c r="BP240" s="27"/>
      <c r="BQ240" s="27"/>
      <c r="BR240" s="27"/>
      <c r="BS240" s="27"/>
      <c r="BT240" s="27"/>
      <c r="BU240" s="27"/>
      <c r="BV240" s="27"/>
      <c r="BW240" s="27"/>
      <c r="BX240" s="27"/>
      <c r="BY240" s="27"/>
      <c r="BZ240" s="27"/>
      <c r="CA240" s="27"/>
      <c r="CB240" s="27"/>
      <c r="CC240" s="27"/>
      <c r="CD240" s="27"/>
      <c r="CE240" s="27"/>
      <c r="CF240" s="27"/>
      <c r="CG240" s="27"/>
      <c r="CH240" s="27"/>
      <c r="CI240" s="27"/>
      <c r="CJ240" s="27"/>
      <c r="CK240" s="27"/>
      <c r="CL240" s="27"/>
      <c r="CM240" s="27"/>
      <c r="CN240" s="27"/>
      <c r="CO240" s="27"/>
      <c r="CP240" s="27"/>
      <c r="CQ240" s="27"/>
      <c r="CR240" s="27"/>
      <c r="CS240" s="27"/>
      <c r="CT240" s="27"/>
      <c r="CU240" s="27"/>
      <c r="CV240" s="27"/>
      <c r="CW240" s="27"/>
      <c r="CX240" s="27"/>
      <c r="CY240" s="27"/>
      <c r="CZ240" s="27"/>
      <c r="DA240" s="27"/>
      <c r="DB240" s="27"/>
      <c r="DC240" s="27"/>
      <c r="DD240" s="27"/>
      <c r="DE240" s="27"/>
      <c r="DF240" s="27"/>
      <c r="DG240" s="27"/>
      <c r="DH240" s="27"/>
      <c r="DI240" s="27"/>
      <c r="DJ240" s="27"/>
      <c r="DK240" s="27"/>
      <c r="DL240" s="27"/>
      <c r="DM240" s="27"/>
      <c r="DN240" s="27"/>
      <c r="DO240" s="27"/>
      <c r="DP240" s="27"/>
      <c r="DQ240" s="27"/>
      <c r="DR240" s="27"/>
      <c r="DS240" s="27"/>
      <c r="DT240" s="27"/>
    </row>
    <row r="241" spans="2:124" x14ac:dyDescent="0.2">
      <c r="B241" s="27"/>
      <c r="C241" s="27"/>
      <c r="D241" s="27"/>
      <c r="E241" s="27"/>
      <c r="F241" s="27"/>
      <c r="G241" s="27"/>
      <c r="H241" s="27"/>
      <c r="I241" s="27"/>
      <c r="J241" s="27"/>
      <c r="K241" s="27"/>
      <c r="L241" s="27"/>
      <c r="M241" s="27"/>
      <c r="N241" s="27"/>
      <c r="O241" s="27"/>
      <c r="P241" s="27"/>
      <c r="Q241" s="27"/>
      <c r="R241" s="27"/>
      <c r="S241" s="27"/>
      <c r="T241" s="27"/>
      <c r="U241" s="27"/>
      <c r="V241" s="27"/>
      <c r="W241" s="27"/>
      <c r="X241" s="27"/>
      <c r="Y241" s="27"/>
      <c r="Z241" s="27"/>
      <c r="AA241" s="27"/>
      <c r="AB241" s="27"/>
      <c r="AC241" s="27"/>
      <c r="AD241" s="27"/>
      <c r="AE241" s="27"/>
      <c r="AF241" s="27"/>
      <c r="AG241" s="27"/>
      <c r="AH241" s="27"/>
      <c r="AI241" s="27"/>
      <c r="AJ241" s="27"/>
      <c r="AK241" s="27"/>
      <c r="AL241" s="27"/>
      <c r="AM241" s="27"/>
      <c r="AN241" s="27"/>
      <c r="AO241" s="27"/>
      <c r="AP241" s="27"/>
      <c r="AQ241" s="27"/>
      <c r="AR241" s="27"/>
      <c r="AS241" s="27"/>
      <c r="AT241" s="27"/>
      <c r="AU241" s="27"/>
      <c r="AV241" s="27"/>
      <c r="AW241" s="27"/>
      <c r="AX241" s="27"/>
      <c r="AY241" s="27"/>
      <c r="AZ241" s="27"/>
      <c r="BA241" s="27"/>
      <c r="BB241" s="27"/>
      <c r="BC241" s="27"/>
      <c r="BD241" s="27"/>
      <c r="BE241" s="27"/>
      <c r="BF241" s="27"/>
      <c r="BG241" s="27"/>
      <c r="BH241" s="27"/>
      <c r="BI241" s="27"/>
      <c r="BJ241" s="27"/>
      <c r="BK241" s="27"/>
      <c r="BL241" s="27"/>
      <c r="BM241" s="27"/>
      <c r="BN241" s="27"/>
      <c r="BO241" s="27"/>
      <c r="BP241" s="27"/>
      <c r="BQ241" s="27"/>
      <c r="BR241" s="27"/>
      <c r="BS241" s="27"/>
      <c r="BT241" s="27"/>
      <c r="BU241" s="27"/>
      <c r="BV241" s="27"/>
      <c r="BW241" s="27"/>
      <c r="BX241" s="27"/>
      <c r="BY241" s="27"/>
      <c r="BZ241" s="27"/>
      <c r="CA241" s="27"/>
      <c r="CB241" s="27"/>
      <c r="CC241" s="27"/>
      <c r="CD241" s="27"/>
      <c r="CE241" s="27"/>
      <c r="CF241" s="27"/>
      <c r="CG241" s="27"/>
      <c r="CH241" s="27"/>
      <c r="CI241" s="27"/>
      <c r="CJ241" s="27"/>
      <c r="CK241" s="27"/>
      <c r="CL241" s="27"/>
      <c r="CM241" s="27"/>
      <c r="CN241" s="27"/>
      <c r="CO241" s="27"/>
      <c r="CP241" s="27"/>
      <c r="CQ241" s="27"/>
      <c r="CR241" s="27"/>
      <c r="CS241" s="27"/>
      <c r="CT241" s="27"/>
      <c r="CU241" s="27"/>
      <c r="CV241" s="27"/>
      <c r="CW241" s="27"/>
      <c r="CX241" s="27"/>
      <c r="CY241" s="27"/>
      <c r="CZ241" s="27"/>
      <c r="DA241" s="27"/>
      <c r="DB241" s="27"/>
      <c r="DC241" s="27"/>
      <c r="DD241" s="27"/>
      <c r="DE241" s="27"/>
      <c r="DF241" s="27"/>
      <c r="DG241" s="27"/>
      <c r="DH241" s="27"/>
      <c r="DI241" s="27"/>
      <c r="DJ241" s="27"/>
      <c r="DK241" s="27"/>
      <c r="DL241" s="27"/>
      <c r="DM241" s="27"/>
      <c r="DN241" s="27"/>
      <c r="DO241" s="27"/>
      <c r="DP241" s="27"/>
      <c r="DQ241" s="27"/>
      <c r="DR241" s="27"/>
      <c r="DS241" s="27"/>
      <c r="DT241" s="27"/>
    </row>
    <row r="242" spans="2:124" x14ac:dyDescent="0.2">
      <c r="B242" s="27"/>
      <c r="C242" s="27"/>
      <c r="D242" s="27"/>
      <c r="E242" s="27"/>
      <c r="F242" s="27"/>
      <c r="G242" s="27"/>
      <c r="H242" s="27"/>
      <c r="I242" s="27"/>
      <c r="J242" s="27"/>
      <c r="K242" s="27"/>
      <c r="L242" s="27"/>
      <c r="M242" s="27"/>
      <c r="N242" s="27"/>
      <c r="O242" s="27"/>
      <c r="P242" s="27"/>
      <c r="Q242" s="27"/>
      <c r="R242" s="27"/>
      <c r="S242" s="27"/>
      <c r="T242" s="27"/>
      <c r="U242" s="27"/>
      <c r="V242" s="27"/>
      <c r="W242" s="27"/>
      <c r="X242" s="27"/>
      <c r="Y242" s="27"/>
      <c r="Z242" s="27"/>
      <c r="AA242" s="27"/>
      <c r="AB242" s="27"/>
      <c r="AC242" s="27"/>
      <c r="AD242" s="27"/>
      <c r="AE242" s="27"/>
      <c r="AF242" s="27"/>
      <c r="AG242" s="27"/>
      <c r="AH242" s="27"/>
      <c r="AI242" s="27"/>
      <c r="AJ242" s="27"/>
      <c r="AK242" s="27"/>
      <c r="AL242" s="27"/>
      <c r="AM242" s="27"/>
      <c r="AN242" s="27"/>
      <c r="AO242" s="27"/>
      <c r="AP242" s="27"/>
      <c r="AQ242" s="27"/>
      <c r="AR242" s="27"/>
      <c r="AS242" s="27"/>
      <c r="AT242" s="27"/>
      <c r="AU242" s="27"/>
      <c r="AV242" s="27"/>
      <c r="AW242" s="27"/>
      <c r="AX242" s="27"/>
      <c r="AY242" s="27"/>
      <c r="AZ242" s="27"/>
      <c r="BA242" s="27"/>
      <c r="BB242" s="27"/>
      <c r="BC242" s="27"/>
      <c r="BD242" s="27"/>
      <c r="BE242" s="27"/>
      <c r="BF242" s="27"/>
      <c r="BG242" s="27"/>
      <c r="BH242" s="27"/>
      <c r="BI242" s="27"/>
      <c r="BJ242" s="27"/>
      <c r="BK242" s="27"/>
      <c r="BL242" s="27"/>
      <c r="BM242" s="27"/>
      <c r="BN242" s="27"/>
      <c r="BO242" s="27"/>
      <c r="BP242" s="27"/>
      <c r="BQ242" s="27"/>
      <c r="BR242" s="27"/>
      <c r="BS242" s="27"/>
      <c r="BT242" s="27"/>
      <c r="BU242" s="27"/>
      <c r="BV242" s="27"/>
      <c r="BW242" s="27"/>
      <c r="BX242" s="27"/>
      <c r="BY242" s="27"/>
      <c r="BZ242" s="27"/>
      <c r="CA242" s="27"/>
      <c r="CB242" s="27"/>
      <c r="CC242" s="27"/>
      <c r="CD242" s="27"/>
      <c r="CE242" s="27"/>
      <c r="CF242" s="27"/>
      <c r="CG242" s="27"/>
      <c r="CH242" s="27"/>
      <c r="CI242" s="27"/>
      <c r="CJ242" s="27"/>
      <c r="CK242" s="27"/>
      <c r="CL242" s="27"/>
      <c r="CM242" s="27"/>
      <c r="CN242" s="27"/>
      <c r="CO242" s="27"/>
      <c r="CP242" s="27"/>
      <c r="CQ242" s="27"/>
      <c r="CR242" s="27"/>
      <c r="CS242" s="27"/>
      <c r="CT242" s="27"/>
      <c r="CU242" s="27"/>
      <c r="CV242" s="27"/>
      <c r="CW242" s="27"/>
      <c r="CX242" s="27"/>
      <c r="CY242" s="27"/>
      <c r="CZ242" s="27"/>
      <c r="DA242" s="27"/>
      <c r="DB242" s="27"/>
      <c r="DC242" s="27"/>
      <c r="DD242" s="27"/>
      <c r="DE242" s="27"/>
      <c r="DF242" s="27"/>
      <c r="DG242" s="27"/>
      <c r="DH242" s="27"/>
      <c r="DI242" s="27"/>
      <c r="DJ242" s="27"/>
      <c r="DK242" s="27"/>
      <c r="DL242" s="27"/>
      <c r="DM242" s="27"/>
      <c r="DN242" s="27"/>
      <c r="DO242" s="27"/>
      <c r="DP242" s="27"/>
      <c r="DQ242" s="27"/>
      <c r="DR242" s="27"/>
      <c r="DS242" s="27"/>
      <c r="DT242" s="27"/>
    </row>
    <row r="243" spans="2:124" x14ac:dyDescent="0.2">
      <c r="B243" s="27"/>
      <c r="C243" s="27"/>
      <c r="D243" s="27"/>
      <c r="E243" s="27"/>
      <c r="F243" s="27"/>
      <c r="G243" s="27"/>
      <c r="H243" s="27"/>
      <c r="I243" s="27"/>
      <c r="J243" s="27"/>
      <c r="K243" s="27"/>
      <c r="L243" s="27"/>
      <c r="M243" s="27"/>
      <c r="N243" s="27"/>
      <c r="O243" s="27"/>
      <c r="P243" s="27"/>
      <c r="Q243" s="27"/>
      <c r="R243" s="27"/>
      <c r="S243" s="27"/>
      <c r="T243" s="27"/>
      <c r="U243" s="27"/>
      <c r="V243" s="27"/>
      <c r="W243" s="27"/>
      <c r="X243" s="27"/>
      <c r="Y243" s="27"/>
      <c r="Z243" s="27"/>
      <c r="AA243" s="27"/>
      <c r="AB243" s="27"/>
      <c r="AC243" s="27"/>
      <c r="AD243" s="27"/>
      <c r="AE243" s="27"/>
      <c r="AF243" s="27"/>
      <c r="AG243" s="27"/>
      <c r="AH243" s="27"/>
      <c r="AI243" s="27"/>
      <c r="AJ243" s="27"/>
      <c r="AK243" s="27"/>
      <c r="AL243" s="27"/>
      <c r="AM243" s="27"/>
      <c r="AN243" s="27"/>
      <c r="AO243" s="27"/>
      <c r="AP243" s="27"/>
      <c r="AQ243" s="27"/>
      <c r="AR243" s="27"/>
      <c r="AS243" s="27"/>
      <c r="AT243" s="27"/>
      <c r="AU243" s="27"/>
      <c r="AV243" s="27"/>
      <c r="AW243" s="27"/>
      <c r="AX243" s="27"/>
      <c r="AY243" s="27"/>
      <c r="AZ243" s="27"/>
      <c r="BA243" s="27"/>
      <c r="BB243" s="27"/>
      <c r="BC243" s="27"/>
      <c r="BD243" s="27"/>
      <c r="BE243" s="27"/>
      <c r="BF243" s="27"/>
      <c r="BG243" s="27"/>
      <c r="BH243" s="27"/>
      <c r="BI243" s="27"/>
      <c r="BJ243" s="27"/>
      <c r="BK243" s="27"/>
      <c r="BL243" s="27"/>
      <c r="BM243" s="27"/>
      <c r="BN243" s="27"/>
      <c r="BO243" s="27"/>
      <c r="BP243" s="27"/>
      <c r="BQ243" s="27"/>
      <c r="BR243" s="27"/>
      <c r="BS243" s="27"/>
      <c r="BT243" s="27"/>
      <c r="BU243" s="27"/>
      <c r="BV243" s="27"/>
      <c r="BW243" s="27"/>
      <c r="BX243" s="27"/>
      <c r="BY243" s="27"/>
      <c r="BZ243" s="27"/>
      <c r="CA243" s="27"/>
      <c r="CB243" s="27"/>
      <c r="CC243" s="27"/>
      <c r="CD243" s="27"/>
      <c r="CE243" s="27"/>
      <c r="CF243" s="27"/>
      <c r="CG243" s="27"/>
      <c r="CH243" s="27"/>
      <c r="CI243" s="27"/>
      <c r="CJ243" s="27"/>
      <c r="CK243" s="27"/>
      <c r="CL243" s="27"/>
      <c r="CM243" s="27"/>
      <c r="CN243" s="27"/>
      <c r="CO243" s="27"/>
      <c r="CP243" s="27"/>
      <c r="CQ243" s="27"/>
      <c r="CR243" s="27"/>
      <c r="CS243" s="27"/>
      <c r="CT243" s="27"/>
      <c r="CU243" s="27"/>
      <c r="CV243" s="27"/>
      <c r="CW243" s="27"/>
      <c r="CX243" s="27"/>
      <c r="CY243" s="27"/>
      <c r="CZ243" s="27"/>
      <c r="DA243" s="27"/>
      <c r="DB243" s="27"/>
      <c r="DC243" s="27"/>
      <c r="DD243" s="27"/>
      <c r="DE243" s="27"/>
      <c r="DF243" s="27"/>
      <c r="DG243" s="27"/>
      <c r="DH243" s="27"/>
      <c r="DI243" s="27"/>
      <c r="DJ243" s="27"/>
      <c r="DK243" s="27"/>
      <c r="DL243" s="27"/>
      <c r="DM243" s="27"/>
      <c r="DN243" s="27"/>
      <c r="DO243" s="27"/>
      <c r="DP243" s="27"/>
      <c r="DQ243" s="27"/>
      <c r="DR243" s="27"/>
      <c r="DS243" s="27"/>
      <c r="DT243" s="27"/>
    </row>
    <row r="244" spans="2:124" x14ac:dyDescent="0.2">
      <c r="B244" s="27"/>
      <c r="C244" s="27"/>
      <c r="D244" s="27"/>
      <c r="E244" s="27"/>
      <c r="F244" s="27"/>
      <c r="G244" s="27"/>
      <c r="H244" s="27"/>
      <c r="I244" s="27"/>
      <c r="J244" s="27"/>
      <c r="K244" s="27"/>
      <c r="L244" s="27"/>
      <c r="M244" s="27"/>
      <c r="N244" s="27"/>
      <c r="O244" s="27"/>
      <c r="P244" s="27"/>
      <c r="Q244" s="27"/>
      <c r="R244" s="27"/>
      <c r="S244" s="27"/>
      <c r="T244" s="27"/>
      <c r="U244" s="27"/>
      <c r="V244" s="27"/>
      <c r="W244" s="27"/>
      <c r="X244" s="27"/>
      <c r="Y244" s="27"/>
      <c r="Z244" s="27"/>
      <c r="AA244" s="27"/>
      <c r="AB244" s="27"/>
      <c r="AC244" s="27"/>
      <c r="AD244" s="27"/>
      <c r="AE244" s="27"/>
      <c r="AF244" s="27"/>
      <c r="AG244" s="27"/>
      <c r="AH244" s="27"/>
      <c r="AI244" s="27"/>
      <c r="AJ244" s="27"/>
      <c r="AK244" s="27"/>
      <c r="AL244" s="27"/>
      <c r="AM244" s="27"/>
      <c r="AN244" s="27"/>
      <c r="AO244" s="27"/>
      <c r="AP244" s="27"/>
      <c r="AQ244" s="27"/>
      <c r="AR244" s="27"/>
      <c r="AS244" s="27"/>
      <c r="AT244" s="27"/>
      <c r="AU244" s="27"/>
      <c r="AV244" s="27"/>
      <c r="AW244" s="27"/>
      <c r="AX244" s="27"/>
      <c r="AY244" s="27"/>
      <c r="AZ244" s="27"/>
      <c r="BA244" s="27"/>
      <c r="BB244" s="27"/>
      <c r="BC244" s="27"/>
      <c r="BD244" s="27"/>
      <c r="BE244" s="27"/>
      <c r="BF244" s="27"/>
      <c r="BG244" s="27"/>
      <c r="BH244" s="27"/>
      <c r="BI244" s="27"/>
      <c r="BJ244" s="27"/>
      <c r="BK244" s="27"/>
      <c r="BL244" s="27"/>
      <c r="BM244" s="27"/>
      <c r="BN244" s="27"/>
      <c r="BO244" s="27"/>
      <c r="BP244" s="27"/>
      <c r="BQ244" s="27"/>
      <c r="BR244" s="27"/>
      <c r="BS244" s="27"/>
      <c r="BT244" s="27"/>
      <c r="BU244" s="27"/>
      <c r="BV244" s="27"/>
      <c r="BW244" s="27"/>
      <c r="BX244" s="27"/>
      <c r="BY244" s="27"/>
      <c r="BZ244" s="27"/>
      <c r="CA244" s="27"/>
      <c r="CB244" s="27"/>
      <c r="CC244" s="27"/>
      <c r="CD244" s="27"/>
      <c r="CE244" s="27"/>
      <c r="CF244" s="27"/>
      <c r="CG244" s="27"/>
      <c r="CH244" s="27"/>
      <c r="CI244" s="27"/>
      <c r="CJ244" s="27"/>
      <c r="CK244" s="27"/>
      <c r="CL244" s="27"/>
      <c r="CM244" s="27"/>
      <c r="CN244" s="27"/>
      <c r="CO244" s="27"/>
      <c r="CP244" s="27"/>
      <c r="CQ244" s="27"/>
      <c r="CR244" s="27"/>
      <c r="CS244" s="27"/>
      <c r="CT244" s="27"/>
      <c r="CU244" s="27"/>
      <c r="CV244" s="27"/>
      <c r="CW244" s="27"/>
      <c r="CX244" s="27"/>
      <c r="CY244" s="27"/>
      <c r="CZ244" s="27"/>
      <c r="DA244" s="27"/>
      <c r="DB244" s="27"/>
      <c r="DC244" s="27"/>
      <c r="DD244" s="27"/>
      <c r="DE244" s="27"/>
      <c r="DF244" s="27"/>
      <c r="DG244" s="27"/>
      <c r="DH244" s="27"/>
      <c r="DI244" s="27"/>
      <c r="DJ244" s="27"/>
      <c r="DK244" s="27"/>
      <c r="DL244" s="27"/>
      <c r="DM244" s="27"/>
      <c r="DN244" s="27"/>
      <c r="DO244" s="27"/>
      <c r="DP244" s="27"/>
      <c r="DQ244" s="27"/>
      <c r="DR244" s="27"/>
      <c r="DS244" s="27"/>
      <c r="DT244" s="27"/>
    </row>
    <row r="245" spans="2:124" x14ac:dyDescent="0.2">
      <c r="B245" s="27"/>
      <c r="C245" s="27"/>
      <c r="D245" s="27"/>
      <c r="E245" s="27"/>
      <c r="F245" s="27"/>
      <c r="G245" s="27"/>
      <c r="H245" s="27"/>
      <c r="I245" s="27"/>
      <c r="J245" s="27"/>
      <c r="K245" s="27"/>
      <c r="L245" s="27"/>
      <c r="M245" s="27"/>
      <c r="N245" s="27"/>
      <c r="O245" s="27"/>
      <c r="P245" s="27"/>
      <c r="Q245" s="27"/>
      <c r="R245" s="27"/>
      <c r="S245" s="27"/>
      <c r="T245" s="27"/>
      <c r="U245" s="27"/>
      <c r="V245" s="27"/>
      <c r="W245" s="27"/>
      <c r="X245" s="27"/>
      <c r="Y245" s="27"/>
      <c r="Z245" s="27"/>
      <c r="AA245" s="27"/>
      <c r="AB245" s="27"/>
      <c r="AC245" s="27"/>
      <c r="AD245" s="27"/>
      <c r="AE245" s="27"/>
      <c r="AF245" s="27"/>
      <c r="AG245" s="27"/>
      <c r="AH245" s="27"/>
      <c r="AI245" s="27"/>
      <c r="AJ245" s="27"/>
      <c r="AK245" s="27"/>
      <c r="AL245" s="27"/>
      <c r="AM245" s="27"/>
      <c r="AN245" s="27"/>
      <c r="AO245" s="27"/>
      <c r="AP245" s="27"/>
      <c r="AQ245" s="27"/>
      <c r="AR245" s="27"/>
      <c r="AS245" s="27"/>
      <c r="AT245" s="27"/>
      <c r="AU245" s="27"/>
      <c r="AV245" s="27"/>
      <c r="AW245" s="27"/>
      <c r="AX245" s="27"/>
      <c r="AY245" s="27"/>
      <c r="AZ245" s="27"/>
      <c r="BA245" s="27"/>
      <c r="BB245" s="27"/>
      <c r="BC245" s="27"/>
      <c r="BD245" s="27"/>
      <c r="BE245" s="27"/>
      <c r="BF245" s="27"/>
      <c r="BG245" s="27"/>
      <c r="BH245" s="27"/>
      <c r="BI245" s="27"/>
      <c r="BJ245" s="27"/>
      <c r="BK245" s="27"/>
      <c r="BL245" s="27"/>
      <c r="BM245" s="27"/>
      <c r="BN245" s="27"/>
      <c r="BO245" s="27"/>
      <c r="BP245" s="27"/>
      <c r="BQ245" s="27"/>
      <c r="BR245" s="27"/>
      <c r="BS245" s="27"/>
      <c r="BT245" s="27"/>
      <c r="BU245" s="27"/>
      <c r="BV245" s="27"/>
      <c r="BW245" s="27"/>
      <c r="BX245" s="27"/>
      <c r="BY245" s="27"/>
      <c r="BZ245" s="27"/>
      <c r="CA245" s="27"/>
      <c r="CB245" s="27"/>
      <c r="CC245" s="27"/>
      <c r="CD245" s="27"/>
      <c r="CE245" s="27"/>
      <c r="CF245" s="27"/>
      <c r="CG245" s="27"/>
      <c r="CH245" s="27"/>
      <c r="CI245" s="27"/>
      <c r="CJ245" s="27"/>
      <c r="CK245" s="27"/>
      <c r="CL245" s="27"/>
      <c r="CM245" s="27"/>
      <c r="CN245" s="27"/>
      <c r="CO245" s="27"/>
      <c r="CP245" s="27"/>
      <c r="CQ245" s="27"/>
      <c r="CR245" s="27"/>
      <c r="CS245" s="27"/>
      <c r="CT245" s="27"/>
      <c r="CU245" s="27"/>
      <c r="CV245" s="27"/>
      <c r="CW245" s="27"/>
      <c r="CX245" s="27"/>
      <c r="CY245" s="27"/>
      <c r="CZ245" s="27"/>
      <c r="DA245" s="27"/>
      <c r="DB245" s="27"/>
      <c r="DC245" s="27"/>
      <c r="DD245" s="27"/>
      <c r="DE245" s="27"/>
      <c r="DF245" s="27"/>
      <c r="DG245" s="27"/>
      <c r="DH245" s="27"/>
      <c r="DI245" s="27"/>
      <c r="DJ245" s="27"/>
      <c r="DK245" s="27"/>
      <c r="DL245" s="27"/>
      <c r="DM245" s="27"/>
      <c r="DN245" s="27"/>
      <c r="DO245" s="27"/>
      <c r="DP245" s="27"/>
      <c r="DQ245" s="27"/>
      <c r="DR245" s="27"/>
      <c r="DS245" s="27"/>
      <c r="DT245" s="27"/>
    </row>
    <row r="246" spans="2:124" x14ac:dyDescent="0.2">
      <c r="B246" s="27"/>
      <c r="C246" s="27"/>
      <c r="D246" s="27"/>
      <c r="E246" s="27"/>
      <c r="F246" s="27"/>
      <c r="G246" s="27"/>
      <c r="H246" s="27"/>
      <c r="I246" s="27"/>
      <c r="J246" s="27"/>
      <c r="K246" s="27"/>
      <c r="L246" s="27"/>
      <c r="M246" s="27"/>
      <c r="N246" s="27"/>
      <c r="O246" s="27"/>
      <c r="P246" s="27"/>
      <c r="Q246" s="27"/>
      <c r="R246" s="27"/>
      <c r="S246" s="27"/>
      <c r="T246" s="27"/>
      <c r="U246" s="27"/>
      <c r="V246" s="27"/>
      <c r="W246" s="27"/>
      <c r="X246" s="27"/>
      <c r="Y246" s="27"/>
      <c r="Z246" s="27"/>
      <c r="AA246" s="27"/>
      <c r="AB246" s="27"/>
      <c r="AC246" s="27"/>
      <c r="AD246" s="27"/>
      <c r="AE246" s="27"/>
      <c r="AF246" s="27"/>
      <c r="AG246" s="27"/>
      <c r="AH246" s="27"/>
      <c r="AI246" s="27"/>
      <c r="AJ246" s="27"/>
      <c r="AK246" s="27"/>
      <c r="AL246" s="27"/>
      <c r="AM246" s="27"/>
      <c r="AN246" s="27"/>
      <c r="AO246" s="27"/>
      <c r="AP246" s="27"/>
      <c r="AQ246" s="27"/>
      <c r="AR246" s="27"/>
      <c r="AS246" s="27"/>
      <c r="AT246" s="27"/>
      <c r="AU246" s="27"/>
      <c r="AV246" s="27"/>
      <c r="AW246" s="27"/>
      <c r="AX246" s="27"/>
      <c r="AY246" s="27"/>
      <c r="AZ246" s="27"/>
      <c r="BA246" s="27"/>
      <c r="BB246" s="27"/>
      <c r="BC246" s="27"/>
      <c r="BD246" s="27"/>
      <c r="BE246" s="27"/>
      <c r="BF246" s="27"/>
      <c r="BG246" s="27"/>
      <c r="BH246" s="27"/>
      <c r="BI246" s="27"/>
      <c r="BJ246" s="27"/>
      <c r="BK246" s="27"/>
      <c r="BL246" s="27"/>
      <c r="BM246" s="27"/>
      <c r="BN246" s="27"/>
      <c r="BO246" s="27"/>
      <c r="BP246" s="27"/>
      <c r="BQ246" s="27"/>
      <c r="BR246" s="27"/>
      <c r="BS246" s="27"/>
      <c r="BT246" s="27"/>
      <c r="BU246" s="27"/>
      <c r="BV246" s="27"/>
      <c r="BW246" s="27"/>
      <c r="BX246" s="27"/>
      <c r="BY246" s="27"/>
      <c r="BZ246" s="27"/>
      <c r="CA246" s="27"/>
      <c r="CB246" s="27"/>
      <c r="CC246" s="27"/>
      <c r="CD246" s="27"/>
      <c r="CE246" s="27"/>
      <c r="CF246" s="27"/>
      <c r="CG246" s="27"/>
      <c r="CH246" s="27"/>
      <c r="CI246" s="27"/>
      <c r="CJ246" s="27"/>
      <c r="CK246" s="27"/>
      <c r="CL246" s="27"/>
      <c r="CM246" s="27"/>
      <c r="CN246" s="27"/>
      <c r="CO246" s="27"/>
      <c r="CP246" s="27"/>
      <c r="CQ246" s="27"/>
      <c r="CR246" s="27"/>
      <c r="CS246" s="27"/>
      <c r="CT246" s="27"/>
      <c r="CU246" s="27"/>
      <c r="CV246" s="27"/>
      <c r="CW246" s="27"/>
      <c r="CX246" s="27"/>
      <c r="CY246" s="27"/>
      <c r="CZ246" s="27"/>
      <c r="DA246" s="27"/>
      <c r="DB246" s="27"/>
      <c r="DC246" s="27"/>
      <c r="DD246" s="27"/>
      <c r="DE246" s="27"/>
      <c r="DF246" s="27"/>
      <c r="DG246" s="27"/>
      <c r="DH246" s="27"/>
      <c r="DI246" s="27"/>
      <c r="DJ246" s="27"/>
      <c r="DK246" s="27"/>
      <c r="DL246" s="27"/>
      <c r="DM246" s="27"/>
      <c r="DN246" s="27"/>
      <c r="DO246" s="27"/>
      <c r="DP246" s="27"/>
      <c r="DQ246" s="27"/>
      <c r="DR246" s="27"/>
      <c r="DS246" s="27"/>
      <c r="DT246" s="27"/>
    </row>
    <row r="247" spans="2:124" x14ac:dyDescent="0.2">
      <c r="B247" s="27"/>
      <c r="C247" s="27"/>
      <c r="D247" s="27"/>
      <c r="E247" s="27"/>
      <c r="F247" s="27"/>
      <c r="G247" s="27"/>
      <c r="H247" s="27"/>
      <c r="I247" s="27"/>
      <c r="J247" s="27"/>
      <c r="K247" s="27"/>
      <c r="L247" s="27"/>
      <c r="M247" s="27"/>
      <c r="N247" s="27"/>
      <c r="O247" s="27"/>
      <c r="P247" s="27"/>
      <c r="Q247" s="27"/>
      <c r="R247" s="27"/>
      <c r="S247" s="27"/>
      <c r="T247" s="27"/>
      <c r="U247" s="27"/>
      <c r="V247" s="27"/>
      <c r="W247" s="27"/>
      <c r="X247" s="27"/>
      <c r="Y247" s="27"/>
      <c r="Z247" s="27"/>
      <c r="AA247" s="27"/>
      <c r="AB247" s="27"/>
      <c r="AC247" s="27"/>
      <c r="AD247" s="27"/>
      <c r="AE247" s="27"/>
      <c r="AF247" s="27"/>
      <c r="AG247" s="27"/>
      <c r="AH247" s="27"/>
      <c r="AI247" s="27"/>
      <c r="AJ247" s="27"/>
      <c r="AK247" s="27"/>
      <c r="AL247" s="27"/>
      <c r="AM247" s="27"/>
      <c r="AN247" s="27"/>
      <c r="AO247" s="27"/>
      <c r="AP247" s="27"/>
      <c r="AQ247" s="27"/>
      <c r="AR247" s="27"/>
      <c r="AS247" s="27"/>
      <c r="AT247" s="27"/>
      <c r="AU247" s="27"/>
      <c r="AV247" s="27"/>
      <c r="AW247" s="27"/>
      <c r="AX247" s="27"/>
      <c r="AY247" s="27"/>
      <c r="AZ247" s="27"/>
      <c r="BA247" s="27"/>
      <c r="BB247" s="27"/>
      <c r="BC247" s="27"/>
      <c r="BD247" s="27"/>
      <c r="BE247" s="27"/>
      <c r="BF247" s="27"/>
      <c r="BG247" s="27"/>
      <c r="BH247" s="27"/>
      <c r="BI247" s="27"/>
      <c r="BJ247" s="27"/>
      <c r="BK247" s="27"/>
      <c r="BL247" s="27"/>
      <c r="BM247" s="27"/>
      <c r="BN247" s="27"/>
      <c r="BO247" s="27"/>
      <c r="BP247" s="27"/>
      <c r="BQ247" s="27"/>
      <c r="BR247" s="27"/>
      <c r="BS247" s="27"/>
      <c r="BT247" s="27"/>
      <c r="BU247" s="27"/>
      <c r="BV247" s="27"/>
      <c r="BW247" s="27"/>
      <c r="BX247" s="27"/>
      <c r="BY247" s="27"/>
      <c r="BZ247" s="27"/>
      <c r="CA247" s="27"/>
      <c r="CB247" s="27"/>
      <c r="CC247" s="27"/>
      <c r="CD247" s="27"/>
      <c r="CE247" s="27"/>
      <c r="CF247" s="27"/>
      <c r="CG247" s="27"/>
      <c r="CH247" s="27"/>
      <c r="CI247" s="27"/>
      <c r="CJ247" s="27"/>
      <c r="CK247" s="27"/>
      <c r="CL247" s="27"/>
      <c r="CM247" s="27"/>
      <c r="CN247" s="27"/>
      <c r="CO247" s="27"/>
      <c r="CP247" s="27"/>
      <c r="CQ247" s="27"/>
      <c r="CR247" s="27"/>
      <c r="CS247" s="27"/>
      <c r="CT247" s="27"/>
      <c r="CU247" s="27"/>
      <c r="CV247" s="27"/>
      <c r="CW247" s="27"/>
      <c r="CX247" s="27"/>
      <c r="CY247" s="27"/>
      <c r="CZ247" s="27"/>
      <c r="DA247" s="27"/>
      <c r="DB247" s="27"/>
      <c r="DC247" s="27"/>
      <c r="DD247" s="27"/>
      <c r="DE247" s="27"/>
      <c r="DF247" s="27"/>
      <c r="DG247" s="27"/>
      <c r="DH247" s="27"/>
      <c r="DI247" s="27"/>
      <c r="DJ247" s="27"/>
      <c r="DK247" s="27"/>
      <c r="DL247" s="27"/>
      <c r="DM247" s="27"/>
      <c r="DN247" s="27"/>
      <c r="DO247" s="27"/>
      <c r="DP247" s="27"/>
      <c r="DQ247" s="27"/>
      <c r="DR247" s="27"/>
      <c r="DS247" s="27"/>
      <c r="DT247" s="27"/>
    </row>
    <row r="248" spans="2:124" x14ac:dyDescent="0.2">
      <c r="B248" s="27"/>
      <c r="C248" s="27"/>
      <c r="D248" s="27"/>
      <c r="E248" s="27"/>
      <c r="F248" s="27"/>
      <c r="G248" s="27"/>
      <c r="H248" s="27"/>
      <c r="I248" s="27"/>
      <c r="J248" s="27"/>
      <c r="K248" s="27"/>
      <c r="L248" s="27"/>
      <c r="M248" s="27"/>
      <c r="N248" s="27"/>
      <c r="O248" s="27"/>
      <c r="P248" s="27"/>
      <c r="Q248" s="27"/>
      <c r="R248" s="27"/>
      <c r="S248" s="27"/>
      <c r="T248" s="27"/>
      <c r="U248" s="27"/>
      <c r="V248" s="27"/>
      <c r="W248" s="27"/>
      <c r="X248" s="27"/>
      <c r="Y248" s="27"/>
      <c r="Z248" s="27"/>
      <c r="AA248" s="27"/>
      <c r="AB248" s="27"/>
      <c r="AC248" s="27"/>
      <c r="AD248" s="27"/>
      <c r="AE248" s="27"/>
      <c r="AF248" s="27"/>
      <c r="AG248" s="27"/>
      <c r="AH248" s="27"/>
      <c r="AI248" s="27"/>
      <c r="AJ248" s="27"/>
      <c r="AK248" s="27"/>
      <c r="AL248" s="27"/>
      <c r="AM248" s="27"/>
      <c r="AN248" s="27"/>
      <c r="AO248" s="27"/>
      <c r="AP248" s="27"/>
      <c r="AQ248" s="27"/>
      <c r="AR248" s="27"/>
      <c r="AS248" s="27"/>
      <c r="AT248" s="27"/>
      <c r="AU248" s="27"/>
      <c r="AV248" s="27"/>
      <c r="AW248" s="27"/>
      <c r="AX248" s="27"/>
      <c r="AY248" s="27"/>
      <c r="AZ248" s="27"/>
      <c r="BA248" s="27"/>
      <c r="BB248" s="27"/>
      <c r="BC248" s="27"/>
      <c r="BD248" s="27"/>
      <c r="BE248" s="27"/>
      <c r="BF248" s="27"/>
      <c r="BG248" s="27"/>
      <c r="BH248" s="27"/>
      <c r="BI248" s="27"/>
      <c r="BJ248" s="27"/>
      <c r="BK248" s="27"/>
      <c r="BL248" s="27"/>
      <c r="BM248" s="27"/>
      <c r="BN248" s="27"/>
      <c r="BO248" s="27"/>
      <c r="BP248" s="27"/>
      <c r="BQ248" s="27"/>
      <c r="BR248" s="27"/>
      <c r="BS248" s="27"/>
      <c r="BT248" s="27"/>
      <c r="BU248" s="27"/>
      <c r="BV248" s="27"/>
      <c r="BW248" s="27"/>
      <c r="BX248" s="27"/>
      <c r="BY248" s="27"/>
      <c r="BZ248" s="27"/>
      <c r="CA248" s="27"/>
      <c r="CB248" s="27"/>
      <c r="CC248" s="27"/>
      <c r="CD248" s="27"/>
      <c r="CE248" s="27"/>
      <c r="CF248" s="27"/>
      <c r="CG248" s="27"/>
      <c r="CH248" s="27"/>
      <c r="CI248" s="27"/>
      <c r="CJ248" s="27"/>
      <c r="CK248" s="27"/>
      <c r="CL248" s="27"/>
      <c r="CM248" s="27"/>
      <c r="CN248" s="27"/>
      <c r="CO248" s="27"/>
      <c r="CP248" s="27"/>
      <c r="CQ248" s="27"/>
      <c r="CR248" s="27"/>
      <c r="CS248" s="27"/>
      <c r="CT248" s="27"/>
      <c r="CU248" s="27"/>
      <c r="CV248" s="27"/>
      <c r="CW248" s="27"/>
      <c r="CX248" s="27"/>
      <c r="CY248" s="27"/>
      <c r="CZ248" s="27"/>
      <c r="DA248" s="27"/>
      <c r="DB248" s="27"/>
      <c r="DC248" s="27"/>
      <c r="DD248" s="27"/>
      <c r="DE248" s="27"/>
      <c r="DF248" s="27"/>
      <c r="DG248" s="27"/>
      <c r="DH248" s="27"/>
      <c r="DI248" s="27"/>
      <c r="DJ248" s="27"/>
      <c r="DK248" s="27"/>
      <c r="DL248" s="27"/>
      <c r="DM248" s="27"/>
      <c r="DN248" s="27"/>
      <c r="DO248" s="27"/>
      <c r="DP248" s="27"/>
      <c r="DQ248" s="27"/>
      <c r="DR248" s="27"/>
      <c r="DS248" s="27"/>
      <c r="DT248" s="27"/>
    </row>
    <row r="249" spans="2:124" x14ac:dyDescent="0.2">
      <c r="B249" s="27"/>
      <c r="C249" s="27"/>
      <c r="D249" s="27"/>
      <c r="E249" s="27"/>
      <c r="F249" s="27"/>
      <c r="G249" s="27"/>
      <c r="H249" s="27"/>
      <c r="I249" s="27"/>
      <c r="J249" s="27"/>
      <c r="K249" s="27"/>
      <c r="L249" s="27"/>
      <c r="M249" s="27"/>
      <c r="N249" s="27"/>
      <c r="O249" s="27"/>
      <c r="P249" s="27"/>
      <c r="Q249" s="27"/>
      <c r="R249" s="27"/>
      <c r="S249" s="27"/>
      <c r="T249" s="27"/>
      <c r="U249" s="27"/>
      <c r="V249" s="27"/>
      <c r="W249" s="27"/>
      <c r="X249" s="27"/>
      <c r="Y249" s="27"/>
      <c r="Z249" s="27"/>
      <c r="AA249" s="27"/>
      <c r="AB249" s="27"/>
      <c r="AC249" s="27"/>
      <c r="AD249" s="27"/>
      <c r="AE249" s="27"/>
      <c r="AF249" s="27"/>
      <c r="AG249" s="27"/>
      <c r="AH249" s="27"/>
      <c r="AI249" s="27"/>
      <c r="AJ249" s="27"/>
      <c r="AK249" s="27"/>
      <c r="AL249" s="27"/>
      <c r="AM249" s="27"/>
      <c r="AN249" s="27"/>
      <c r="AO249" s="27"/>
      <c r="AP249" s="27"/>
      <c r="AQ249" s="27"/>
      <c r="AR249" s="27"/>
      <c r="AS249" s="27"/>
      <c r="AT249" s="27"/>
      <c r="AU249" s="27"/>
      <c r="AV249" s="27"/>
      <c r="AW249" s="27"/>
      <c r="AX249" s="27"/>
      <c r="AY249" s="27"/>
      <c r="AZ249" s="27"/>
      <c r="BA249" s="27"/>
      <c r="BB249" s="27"/>
      <c r="BC249" s="27"/>
      <c r="BD249" s="27"/>
      <c r="BE249" s="27"/>
      <c r="BF249" s="27"/>
      <c r="BG249" s="27"/>
      <c r="BH249" s="27"/>
      <c r="BI249" s="27"/>
      <c r="BJ249" s="27"/>
      <c r="BK249" s="27"/>
      <c r="BL249" s="27"/>
      <c r="BM249" s="27"/>
      <c r="BN249" s="27"/>
      <c r="BO249" s="27"/>
      <c r="BP249" s="27"/>
      <c r="BQ249" s="27"/>
      <c r="BR249" s="27"/>
      <c r="BS249" s="27"/>
      <c r="BT249" s="27"/>
      <c r="BU249" s="27"/>
      <c r="BV249" s="27"/>
      <c r="BW249" s="27"/>
      <c r="BX249" s="27"/>
      <c r="BY249" s="27"/>
      <c r="BZ249" s="27"/>
      <c r="CA249" s="27"/>
      <c r="CB249" s="27"/>
      <c r="CC249" s="27"/>
      <c r="CD249" s="27"/>
      <c r="CE249" s="27"/>
      <c r="CF249" s="27"/>
      <c r="CG249" s="27"/>
      <c r="CH249" s="27"/>
      <c r="CI249" s="27"/>
      <c r="CJ249" s="27"/>
      <c r="CK249" s="27"/>
      <c r="CL249" s="27"/>
      <c r="CM249" s="27"/>
      <c r="CN249" s="27"/>
      <c r="CO249" s="27"/>
      <c r="CP249" s="27"/>
      <c r="CQ249" s="27"/>
      <c r="CR249" s="27"/>
      <c r="CS249" s="27"/>
      <c r="CT249" s="27"/>
      <c r="CU249" s="27"/>
      <c r="CV249" s="27"/>
      <c r="CW249" s="27"/>
      <c r="CX249" s="27"/>
      <c r="CY249" s="27"/>
      <c r="CZ249" s="27"/>
      <c r="DA249" s="27"/>
      <c r="DB249" s="27"/>
      <c r="DC249" s="27"/>
      <c r="DD249" s="27"/>
      <c r="DE249" s="27"/>
      <c r="DF249" s="27"/>
      <c r="DG249" s="27"/>
      <c r="DH249" s="27"/>
      <c r="DI249" s="27"/>
      <c r="DJ249" s="27"/>
      <c r="DK249" s="27"/>
      <c r="DL249" s="27"/>
      <c r="DM249" s="27"/>
      <c r="DN249" s="27"/>
      <c r="DO249" s="27"/>
      <c r="DP249" s="27"/>
      <c r="DQ249" s="27"/>
      <c r="DR249" s="27"/>
      <c r="DS249" s="27"/>
      <c r="DT249" s="27"/>
    </row>
    <row r="250" spans="2:124" x14ac:dyDescent="0.2">
      <c r="B250" s="27"/>
      <c r="C250" s="27"/>
      <c r="D250" s="27"/>
      <c r="E250" s="27"/>
      <c r="F250" s="27"/>
      <c r="G250" s="27"/>
      <c r="H250" s="27"/>
      <c r="I250" s="27"/>
      <c r="J250" s="27"/>
      <c r="K250" s="27"/>
      <c r="L250" s="27"/>
      <c r="M250" s="27"/>
      <c r="N250" s="27"/>
      <c r="O250" s="27"/>
      <c r="P250" s="27"/>
      <c r="Q250" s="27"/>
      <c r="R250" s="27"/>
      <c r="S250" s="27"/>
      <c r="T250" s="27"/>
      <c r="U250" s="27"/>
      <c r="V250" s="27"/>
      <c r="W250" s="27"/>
      <c r="X250" s="27"/>
      <c r="Y250" s="27"/>
      <c r="Z250" s="27"/>
      <c r="AA250" s="27"/>
      <c r="AB250" s="27"/>
      <c r="AC250" s="27"/>
      <c r="AD250" s="27"/>
      <c r="AE250" s="27"/>
      <c r="AF250" s="27"/>
      <c r="AG250" s="27"/>
      <c r="AH250" s="27"/>
      <c r="AI250" s="27"/>
      <c r="AJ250" s="27"/>
      <c r="AK250" s="27"/>
      <c r="AL250" s="27"/>
      <c r="AM250" s="27"/>
      <c r="AN250" s="27"/>
      <c r="AO250" s="27"/>
      <c r="AP250" s="27"/>
      <c r="AQ250" s="27"/>
      <c r="AR250" s="27"/>
      <c r="AS250" s="27"/>
      <c r="AT250" s="27"/>
      <c r="AU250" s="27"/>
      <c r="AV250" s="27"/>
      <c r="AW250" s="27"/>
      <c r="AX250" s="27"/>
      <c r="AY250" s="27"/>
      <c r="AZ250" s="27"/>
      <c r="BA250" s="27"/>
      <c r="BB250" s="27"/>
      <c r="BC250" s="27"/>
      <c r="BD250" s="27"/>
      <c r="BE250" s="27"/>
      <c r="BF250" s="27"/>
      <c r="BG250" s="27"/>
      <c r="BH250" s="27"/>
      <c r="BI250" s="27"/>
      <c r="BJ250" s="27"/>
      <c r="BK250" s="27"/>
      <c r="BL250" s="27"/>
      <c r="BM250" s="27"/>
      <c r="BN250" s="27"/>
      <c r="BO250" s="27"/>
      <c r="BP250" s="27"/>
      <c r="BQ250" s="27"/>
      <c r="BR250" s="27"/>
      <c r="BS250" s="27"/>
      <c r="BT250" s="27"/>
      <c r="BU250" s="27"/>
      <c r="BV250" s="27"/>
      <c r="BW250" s="27"/>
      <c r="BX250" s="27"/>
      <c r="BY250" s="27"/>
      <c r="BZ250" s="27"/>
      <c r="CA250" s="27"/>
      <c r="CB250" s="27"/>
      <c r="CC250" s="27"/>
      <c r="CD250" s="27"/>
      <c r="CE250" s="27"/>
      <c r="CF250" s="27"/>
      <c r="CG250" s="27"/>
      <c r="CH250" s="27"/>
      <c r="CI250" s="27"/>
      <c r="CJ250" s="27"/>
      <c r="CK250" s="27"/>
      <c r="CL250" s="27"/>
      <c r="CM250" s="27"/>
      <c r="CN250" s="27"/>
      <c r="CO250" s="27"/>
      <c r="CP250" s="27"/>
      <c r="CQ250" s="27"/>
      <c r="CR250" s="27"/>
      <c r="CS250" s="27"/>
      <c r="CT250" s="27"/>
      <c r="CU250" s="27"/>
      <c r="CV250" s="27"/>
      <c r="CW250" s="27"/>
      <c r="CX250" s="27"/>
      <c r="CY250" s="27"/>
      <c r="CZ250" s="27"/>
      <c r="DA250" s="27"/>
      <c r="DB250" s="27"/>
      <c r="DC250" s="27"/>
      <c r="DD250" s="27"/>
      <c r="DE250" s="27"/>
      <c r="DF250" s="27"/>
      <c r="DG250" s="27"/>
      <c r="DH250" s="27"/>
      <c r="DI250" s="27"/>
      <c r="DJ250" s="27"/>
      <c r="DK250" s="27"/>
      <c r="DL250" s="27"/>
      <c r="DM250" s="27"/>
      <c r="DN250" s="27"/>
      <c r="DO250" s="27"/>
      <c r="DP250" s="27"/>
      <c r="DQ250" s="27"/>
      <c r="DR250" s="27"/>
      <c r="DS250" s="27"/>
      <c r="DT250" s="27"/>
    </row>
    <row r="251" spans="2:124" x14ac:dyDescent="0.2">
      <c r="B251" s="27"/>
      <c r="C251" s="27"/>
      <c r="D251" s="27"/>
      <c r="E251" s="27"/>
      <c r="F251" s="27"/>
      <c r="G251" s="27"/>
      <c r="H251" s="27"/>
      <c r="I251" s="27"/>
      <c r="J251" s="27"/>
      <c r="K251" s="27"/>
      <c r="L251" s="27"/>
      <c r="M251" s="27"/>
      <c r="N251" s="27"/>
      <c r="O251" s="27"/>
      <c r="P251" s="27"/>
      <c r="Q251" s="27"/>
      <c r="R251" s="27"/>
      <c r="S251" s="27"/>
      <c r="T251" s="27"/>
      <c r="U251" s="27"/>
      <c r="V251" s="27"/>
      <c r="W251" s="27"/>
      <c r="X251" s="27"/>
      <c r="Y251" s="27"/>
      <c r="Z251" s="27"/>
      <c r="AA251" s="27"/>
      <c r="AB251" s="27"/>
      <c r="AC251" s="27"/>
      <c r="AD251" s="27"/>
      <c r="AE251" s="27"/>
      <c r="AF251" s="27"/>
      <c r="AG251" s="27"/>
      <c r="AH251" s="27"/>
      <c r="AI251" s="27"/>
      <c r="AJ251" s="27"/>
      <c r="AK251" s="27"/>
      <c r="AL251" s="27"/>
      <c r="AM251" s="27"/>
      <c r="AN251" s="27"/>
      <c r="AO251" s="27"/>
      <c r="AP251" s="27"/>
      <c r="AQ251" s="27"/>
      <c r="AR251" s="27"/>
      <c r="AS251" s="27"/>
      <c r="AT251" s="27"/>
      <c r="AU251" s="27"/>
      <c r="AV251" s="27"/>
      <c r="AW251" s="27"/>
      <c r="AX251" s="27"/>
      <c r="AY251" s="27"/>
      <c r="AZ251" s="27"/>
      <c r="BA251" s="27"/>
      <c r="BB251" s="27"/>
      <c r="BC251" s="27"/>
      <c r="BD251" s="27"/>
      <c r="BE251" s="27"/>
      <c r="BF251" s="27"/>
      <c r="BG251" s="27"/>
      <c r="BH251" s="27"/>
      <c r="BI251" s="27"/>
      <c r="BJ251" s="27"/>
      <c r="BK251" s="27"/>
      <c r="BL251" s="27"/>
      <c r="BM251" s="27"/>
      <c r="BN251" s="27"/>
      <c r="BO251" s="27"/>
      <c r="BP251" s="27"/>
      <c r="BQ251" s="27"/>
      <c r="BR251" s="27"/>
      <c r="BS251" s="27"/>
      <c r="BT251" s="27"/>
      <c r="BU251" s="27"/>
      <c r="BV251" s="27"/>
      <c r="BW251" s="27"/>
      <c r="BX251" s="27"/>
      <c r="BY251" s="27"/>
      <c r="BZ251" s="27"/>
      <c r="CA251" s="27"/>
      <c r="CB251" s="27"/>
      <c r="CC251" s="27"/>
      <c r="CD251" s="27"/>
      <c r="CE251" s="27"/>
      <c r="CF251" s="27"/>
      <c r="CG251" s="27"/>
      <c r="CH251" s="27"/>
      <c r="CI251" s="27"/>
      <c r="CJ251" s="27"/>
      <c r="CK251" s="27"/>
      <c r="CL251" s="27"/>
      <c r="CM251" s="27"/>
      <c r="CN251" s="27"/>
      <c r="CO251" s="27"/>
      <c r="CP251" s="27"/>
      <c r="CQ251" s="27"/>
      <c r="CR251" s="27"/>
      <c r="CS251" s="27"/>
      <c r="CT251" s="27"/>
      <c r="CU251" s="27"/>
      <c r="CV251" s="27"/>
      <c r="CW251" s="27"/>
      <c r="CX251" s="27"/>
      <c r="CY251" s="27"/>
      <c r="CZ251" s="27"/>
      <c r="DA251" s="27"/>
      <c r="DB251" s="27"/>
      <c r="DC251" s="27"/>
      <c r="DD251" s="27"/>
      <c r="DE251" s="27"/>
      <c r="DF251" s="27"/>
      <c r="DG251" s="27"/>
      <c r="DH251" s="27"/>
      <c r="DI251" s="27"/>
      <c r="DJ251" s="27"/>
      <c r="DK251" s="27"/>
      <c r="DL251" s="27"/>
      <c r="DM251" s="27"/>
      <c r="DN251" s="27"/>
      <c r="DO251" s="27"/>
      <c r="DP251" s="27"/>
      <c r="DQ251" s="27"/>
      <c r="DR251" s="27"/>
      <c r="DS251" s="27"/>
      <c r="DT251" s="27"/>
    </row>
    <row r="252" spans="2:124" x14ac:dyDescent="0.2">
      <c r="B252" s="27"/>
      <c r="C252" s="27"/>
      <c r="D252" s="27"/>
      <c r="E252" s="27"/>
      <c r="F252" s="27"/>
      <c r="G252" s="27"/>
      <c r="H252" s="27"/>
      <c r="I252" s="27"/>
      <c r="J252" s="27"/>
      <c r="K252" s="27"/>
      <c r="L252" s="27"/>
      <c r="M252" s="27"/>
      <c r="N252" s="27"/>
      <c r="O252" s="27"/>
      <c r="P252" s="27"/>
      <c r="Q252" s="27"/>
      <c r="R252" s="27"/>
      <c r="S252" s="27"/>
      <c r="T252" s="27"/>
      <c r="U252" s="27"/>
      <c r="V252" s="27"/>
      <c r="W252" s="27"/>
      <c r="X252" s="27"/>
      <c r="Y252" s="27"/>
      <c r="Z252" s="27"/>
      <c r="AA252" s="27"/>
      <c r="AB252" s="27"/>
      <c r="AC252" s="27"/>
      <c r="AD252" s="27"/>
      <c r="AE252" s="27"/>
      <c r="AF252" s="27"/>
      <c r="AG252" s="27"/>
      <c r="AH252" s="27"/>
      <c r="AI252" s="27"/>
      <c r="AJ252" s="27"/>
      <c r="AK252" s="27"/>
      <c r="AL252" s="27"/>
      <c r="AM252" s="27"/>
      <c r="AN252" s="27"/>
      <c r="AO252" s="27"/>
      <c r="AP252" s="27"/>
      <c r="AQ252" s="27"/>
      <c r="AR252" s="27"/>
      <c r="AS252" s="27"/>
      <c r="AT252" s="27"/>
      <c r="AU252" s="27"/>
      <c r="AV252" s="27"/>
      <c r="AW252" s="27"/>
      <c r="AX252" s="27"/>
      <c r="AY252" s="27"/>
      <c r="AZ252" s="27"/>
      <c r="BA252" s="27"/>
      <c r="BB252" s="27"/>
      <c r="BC252" s="27"/>
      <c r="BD252" s="27"/>
      <c r="BE252" s="27"/>
      <c r="BF252" s="27"/>
      <c r="BG252" s="27"/>
      <c r="BH252" s="27"/>
      <c r="BI252" s="27"/>
      <c r="BJ252" s="27"/>
      <c r="BK252" s="27"/>
      <c r="BL252" s="27"/>
      <c r="BM252" s="27"/>
      <c r="BN252" s="27"/>
      <c r="BO252" s="27"/>
      <c r="BP252" s="27"/>
      <c r="BQ252" s="27"/>
      <c r="BR252" s="27"/>
      <c r="BS252" s="27"/>
      <c r="BT252" s="27"/>
      <c r="BU252" s="27"/>
      <c r="BV252" s="27"/>
      <c r="BW252" s="27"/>
      <c r="BX252" s="27"/>
      <c r="BY252" s="27"/>
      <c r="BZ252" s="27"/>
      <c r="CA252" s="27"/>
      <c r="CB252" s="27"/>
      <c r="CC252" s="27"/>
      <c r="CD252" s="27"/>
      <c r="CE252" s="27"/>
      <c r="CF252" s="27"/>
      <c r="CG252" s="27"/>
      <c r="CH252" s="27"/>
      <c r="CI252" s="27"/>
      <c r="CJ252" s="27"/>
      <c r="CK252" s="27"/>
      <c r="CL252" s="27"/>
      <c r="CM252" s="27"/>
      <c r="CN252" s="27"/>
      <c r="CO252" s="27"/>
      <c r="CP252" s="27"/>
      <c r="CQ252" s="27"/>
      <c r="CR252" s="27"/>
      <c r="CS252" s="27"/>
      <c r="CT252" s="27"/>
      <c r="CU252" s="27"/>
      <c r="CV252" s="27"/>
      <c r="CW252" s="27"/>
      <c r="CX252" s="27"/>
      <c r="CY252" s="27"/>
      <c r="CZ252" s="27"/>
      <c r="DA252" s="27"/>
      <c r="DB252" s="27"/>
      <c r="DC252" s="27"/>
      <c r="DD252" s="27"/>
      <c r="DE252" s="27"/>
      <c r="DF252" s="27"/>
      <c r="DG252" s="27"/>
      <c r="DH252" s="27"/>
      <c r="DI252" s="27"/>
      <c r="DJ252" s="27"/>
      <c r="DK252" s="27"/>
      <c r="DL252" s="27"/>
      <c r="DM252" s="27"/>
      <c r="DN252" s="27"/>
      <c r="DO252" s="27"/>
      <c r="DP252" s="27"/>
      <c r="DQ252" s="27"/>
      <c r="DR252" s="27"/>
      <c r="DS252" s="27"/>
      <c r="DT252" s="27"/>
    </row>
    <row r="253" spans="2:124" x14ac:dyDescent="0.2">
      <c r="B253" s="27"/>
      <c r="C253" s="27"/>
      <c r="D253" s="27"/>
      <c r="E253" s="27"/>
      <c r="F253" s="27"/>
      <c r="G253" s="27"/>
      <c r="H253" s="27"/>
      <c r="I253" s="27"/>
      <c r="J253" s="27"/>
      <c r="K253" s="27"/>
      <c r="L253" s="27"/>
      <c r="M253" s="27"/>
      <c r="N253" s="27"/>
      <c r="O253" s="27"/>
      <c r="P253" s="27"/>
      <c r="Q253" s="27"/>
      <c r="R253" s="27"/>
      <c r="S253" s="27"/>
      <c r="T253" s="27"/>
      <c r="U253" s="27"/>
      <c r="V253" s="27"/>
      <c r="W253" s="27"/>
      <c r="X253" s="27"/>
      <c r="Y253" s="27"/>
      <c r="Z253" s="27"/>
      <c r="AA253" s="27"/>
      <c r="AB253" s="27"/>
      <c r="AC253" s="27"/>
      <c r="AD253" s="27"/>
      <c r="AE253" s="27"/>
      <c r="AF253" s="27"/>
      <c r="AG253" s="27"/>
      <c r="AH253" s="27"/>
      <c r="AI253" s="27"/>
      <c r="AJ253" s="27"/>
      <c r="AK253" s="27"/>
      <c r="AL253" s="27"/>
      <c r="AM253" s="27"/>
      <c r="AN253" s="27"/>
      <c r="AO253" s="27"/>
      <c r="AP253" s="27"/>
      <c r="AQ253" s="27"/>
      <c r="AR253" s="27"/>
      <c r="AS253" s="27"/>
      <c r="AT253" s="27"/>
      <c r="AU253" s="27"/>
      <c r="AV253" s="27"/>
      <c r="AW253" s="27"/>
      <c r="AX253" s="27"/>
      <c r="AY253" s="27"/>
      <c r="AZ253" s="27"/>
      <c r="BA253" s="27"/>
      <c r="BB253" s="27"/>
      <c r="BC253" s="27"/>
      <c r="BD253" s="27"/>
      <c r="BE253" s="27"/>
      <c r="BF253" s="27"/>
      <c r="BG253" s="27"/>
      <c r="BH253" s="27"/>
      <c r="BI253" s="27"/>
      <c r="BJ253" s="27"/>
      <c r="BK253" s="27"/>
      <c r="BL253" s="27"/>
      <c r="BM253" s="27"/>
      <c r="BN253" s="27"/>
      <c r="BO253" s="27"/>
      <c r="BP253" s="27"/>
      <c r="BQ253" s="27"/>
      <c r="BR253" s="27"/>
      <c r="BS253" s="27"/>
      <c r="BT253" s="27"/>
      <c r="BU253" s="27"/>
      <c r="BV253" s="27"/>
      <c r="BW253" s="27"/>
      <c r="BX253" s="27"/>
      <c r="BY253" s="27"/>
      <c r="BZ253" s="27"/>
      <c r="CA253" s="27"/>
      <c r="CB253" s="27"/>
      <c r="CC253" s="27"/>
      <c r="CD253" s="27"/>
      <c r="CE253" s="27"/>
      <c r="CF253" s="27"/>
      <c r="CG253" s="27"/>
      <c r="CH253" s="27"/>
      <c r="CI253" s="27"/>
      <c r="CJ253" s="27"/>
      <c r="CK253" s="27"/>
      <c r="CL253" s="27"/>
      <c r="CM253" s="27"/>
      <c r="CN253" s="27"/>
      <c r="CO253" s="27"/>
      <c r="CP253" s="27"/>
      <c r="CQ253" s="27"/>
      <c r="CR253" s="27"/>
      <c r="CS253" s="27"/>
      <c r="CT253" s="27"/>
      <c r="CU253" s="27"/>
      <c r="CV253" s="27"/>
      <c r="CW253" s="27"/>
      <c r="CX253" s="27"/>
      <c r="CY253" s="27"/>
      <c r="CZ253" s="27"/>
      <c r="DA253" s="27"/>
      <c r="DB253" s="27"/>
      <c r="DC253" s="27"/>
      <c r="DD253" s="27"/>
      <c r="DE253" s="27"/>
      <c r="DF253" s="27"/>
      <c r="DG253" s="27"/>
      <c r="DH253" s="27"/>
      <c r="DI253" s="27"/>
      <c r="DJ253" s="27"/>
      <c r="DK253" s="27"/>
      <c r="DL253" s="27"/>
      <c r="DM253" s="27"/>
      <c r="DN253" s="27"/>
      <c r="DO253" s="27"/>
      <c r="DP253" s="27"/>
      <c r="DQ253" s="27"/>
      <c r="DR253" s="27"/>
      <c r="DS253" s="27"/>
      <c r="DT253" s="27"/>
    </row>
    <row r="254" spans="2:124" x14ac:dyDescent="0.2">
      <c r="B254" s="27"/>
      <c r="C254" s="27"/>
      <c r="D254" s="27"/>
      <c r="E254" s="27"/>
      <c r="F254" s="27"/>
      <c r="G254" s="27"/>
      <c r="H254" s="27"/>
      <c r="I254" s="27"/>
      <c r="J254" s="27"/>
      <c r="K254" s="27"/>
      <c r="L254" s="27"/>
      <c r="M254" s="27"/>
      <c r="N254" s="27"/>
      <c r="O254" s="27"/>
      <c r="P254" s="27"/>
      <c r="Q254" s="27"/>
      <c r="R254" s="27"/>
      <c r="S254" s="27"/>
      <c r="T254" s="27"/>
      <c r="U254" s="27"/>
      <c r="V254" s="27"/>
      <c r="W254" s="27"/>
      <c r="X254" s="27"/>
      <c r="Y254" s="27"/>
      <c r="Z254" s="27"/>
      <c r="AA254" s="27"/>
      <c r="AB254" s="27"/>
      <c r="AC254" s="27"/>
      <c r="AD254" s="27"/>
      <c r="AE254" s="27"/>
      <c r="AF254" s="27"/>
      <c r="AG254" s="27"/>
      <c r="AH254" s="27"/>
      <c r="AI254" s="27"/>
      <c r="AJ254" s="27"/>
      <c r="AK254" s="27"/>
      <c r="AL254" s="27"/>
      <c r="AM254" s="27"/>
      <c r="AN254" s="27"/>
      <c r="AO254" s="27"/>
      <c r="AP254" s="27"/>
      <c r="AQ254" s="27"/>
      <c r="AR254" s="27"/>
      <c r="AS254" s="27"/>
      <c r="AT254" s="27"/>
      <c r="AU254" s="27"/>
      <c r="AV254" s="27"/>
      <c r="AW254" s="27"/>
      <c r="AX254" s="27"/>
      <c r="AY254" s="27"/>
      <c r="AZ254" s="27"/>
      <c r="BA254" s="27"/>
      <c r="BB254" s="27"/>
      <c r="BC254" s="27"/>
      <c r="BD254" s="27"/>
      <c r="BE254" s="27"/>
      <c r="BF254" s="27"/>
      <c r="BG254" s="27"/>
      <c r="BH254" s="27"/>
      <c r="BI254" s="27"/>
      <c r="BJ254" s="27"/>
      <c r="BK254" s="27"/>
      <c r="BL254" s="27"/>
      <c r="BM254" s="27"/>
      <c r="BN254" s="27"/>
      <c r="BO254" s="27"/>
      <c r="BP254" s="27"/>
      <c r="BQ254" s="27"/>
      <c r="BR254" s="27"/>
      <c r="BS254" s="27"/>
      <c r="BT254" s="27"/>
      <c r="BU254" s="27"/>
      <c r="BV254" s="27"/>
      <c r="BW254" s="27"/>
      <c r="BX254" s="27"/>
      <c r="BY254" s="27"/>
      <c r="BZ254" s="27"/>
      <c r="CA254" s="27"/>
      <c r="CB254" s="27"/>
      <c r="CC254" s="27"/>
      <c r="CD254" s="27"/>
      <c r="CE254" s="27"/>
      <c r="CF254" s="27"/>
      <c r="CG254" s="27"/>
      <c r="CH254" s="27"/>
      <c r="CI254" s="27"/>
      <c r="CJ254" s="27"/>
      <c r="CK254" s="27"/>
      <c r="CL254" s="27"/>
      <c r="CM254" s="27"/>
      <c r="CN254" s="27"/>
      <c r="CO254" s="27"/>
      <c r="CP254" s="27"/>
      <c r="CQ254" s="27"/>
      <c r="CR254" s="27"/>
      <c r="CS254" s="27"/>
      <c r="CT254" s="27"/>
      <c r="CU254" s="27"/>
      <c r="CV254" s="27"/>
      <c r="CW254" s="27"/>
      <c r="CX254" s="27"/>
      <c r="CY254" s="27"/>
      <c r="CZ254" s="27"/>
      <c r="DA254" s="27"/>
      <c r="DB254" s="27"/>
      <c r="DC254" s="27"/>
      <c r="DD254" s="27"/>
      <c r="DE254" s="27"/>
      <c r="DF254" s="27"/>
      <c r="DG254" s="27"/>
      <c r="DH254" s="27"/>
      <c r="DI254" s="27"/>
      <c r="DJ254" s="27"/>
      <c r="DK254" s="27"/>
      <c r="DL254" s="27"/>
      <c r="DM254" s="27"/>
      <c r="DN254" s="27"/>
      <c r="DO254" s="27"/>
      <c r="DP254" s="27"/>
      <c r="DQ254" s="27"/>
      <c r="DR254" s="27"/>
      <c r="DS254" s="27"/>
      <c r="DT254" s="27"/>
    </row>
    <row r="255" spans="2:124" x14ac:dyDescent="0.2">
      <c r="B255" s="27"/>
      <c r="C255" s="27"/>
      <c r="D255" s="27"/>
      <c r="E255" s="27"/>
      <c r="F255" s="27"/>
      <c r="G255" s="27"/>
      <c r="H255" s="27"/>
      <c r="I255" s="27"/>
      <c r="J255" s="27"/>
      <c r="K255" s="27"/>
      <c r="L255" s="27"/>
      <c r="M255" s="27"/>
      <c r="N255" s="27"/>
      <c r="O255" s="27"/>
      <c r="P255" s="27"/>
      <c r="Q255" s="27"/>
      <c r="R255" s="27"/>
      <c r="S255" s="27"/>
      <c r="T255" s="27"/>
      <c r="U255" s="27"/>
      <c r="V255" s="27"/>
      <c r="W255" s="27"/>
      <c r="X255" s="27"/>
      <c r="Y255" s="27"/>
      <c r="Z255" s="27"/>
      <c r="AA255" s="27"/>
      <c r="AB255" s="27"/>
      <c r="AC255" s="27"/>
      <c r="AD255" s="27"/>
      <c r="AE255" s="27"/>
      <c r="AF255" s="27"/>
      <c r="AG255" s="27"/>
      <c r="AH255" s="27"/>
      <c r="AI255" s="27"/>
      <c r="AJ255" s="27"/>
      <c r="AK255" s="27"/>
      <c r="AL255" s="27"/>
      <c r="AM255" s="27"/>
      <c r="AN255" s="27"/>
      <c r="AO255" s="27"/>
      <c r="AP255" s="27"/>
      <c r="AQ255" s="27"/>
      <c r="AR255" s="27"/>
      <c r="AS255" s="27"/>
      <c r="AT255" s="27"/>
      <c r="AU255" s="27"/>
      <c r="AV255" s="27"/>
      <c r="AW255" s="27"/>
      <c r="AX255" s="27"/>
      <c r="AY255" s="27"/>
      <c r="AZ255" s="27"/>
      <c r="BA255" s="27"/>
      <c r="BB255" s="27"/>
      <c r="BC255" s="27"/>
      <c r="BD255" s="27"/>
      <c r="BE255" s="27"/>
      <c r="BF255" s="27"/>
      <c r="BG255" s="27"/>
      <c r="BH255" s="27"/>
      <c r="BI255" s="27"/>
      <c r="BJ255" s="27"/>
      <c r="BK255" s="27"/>
      <c r="BL255" s="27"/>
      <c r="BM255" s="27"/>
      <c r="BN255" s="27"/>
      <c r="BO255" s="27"/>
      <c r="BP255" s="27"/>
      <c r="BQ255" s="27"/>
      <c r="BR255" s="27"/>
      <c r="BS255" s="27"/>
      <c r="BT255" s="27"/>
      <c r="BU255" s="27"/>
      <c r="BV255" s="27"/>
      <c r="BW255" s="27"/>
      <c r="BX255" s="27"/>
      <c r="BY255" s="27"/>
      <c r="BZ255" s="27"/>
      <c r="CA255" s="27"/>
      <c r="CB255" s="27"/>
      <c r="CC255" s="27"/>
      <c r="CD255" s="27"/>
      <c r="CE255" s="27"/>
      <c r="CF255" s="27"/>
      <c r="CG255" s="27"/>
      <c r="CH255" s="27"/>
      <c r="CI255" s="27"/>
      <c r="CJ255" s="27"/>
      <c r="CK255" s="27"/>
      <c r="CL255" s="27"/>
      <c r="CM255" s="27"/>
      <c r="CN255" s="27"/>
      <c r="CO255" s="27"/>
      <c r="CP255" s="27"/>
      <c r="CQ255" s="27"/>
      <c r="CR255" s="27"/>
      <c r="CS255" s="27"/>
      <c r="CT255" s="27"/>
      <c r="CU255" s="27"/>
      <c r="CV255" s="27"/>
      <c r="CW255" s="27"/>
      <c r="CX255" s="27"/>
      <c r="CY255" s="27"/>
      <c r="CZ255" s="27"/>
      <c r="DA255" s="27"/>
      <c r="DB255" s="27"/>
      <c r="DC255" s="27"/>
      <c r="DD255" s="27"/>
      <c r="DE255" s="27"/>
      <c r="DF255" s="27"/>
      <c r="DG255" s="27"/>
      <c r="DH255" s="27"/>
      <c r="DI255" s="27"/>
      <c r="DJ255" s="27"/>
      <c r="DK255" s="27"/>
      <c r="DL255" s="27"/>
      <c r="DM255" s="27"/>
      <c r="DN255" s="27"/>
      <c r="DO255" s="27"/>
      <c r="DP255" s="27"/>
      <c r="DQ255" s="27"/>
      <c r="DR255" s="27"/>
      <c r="DS255" s="27"/>
      <c r="DT255" s="27"/>
    </row>
    <row r="256" spans="2:124" x14ac:dyDescent="0.2">
      <c r="B256" s="27"/>
      <c r="C256" s="27"/>
      <c r="D256" s="27"/>
      <c r="E256" s="27"/>
      <c r="F256" s="27"/>
      <c r="G256" s="27"/>
      <c r="H256" s="27"/>
      <c r="I256" s="27"/>
      <c r="J256" s="27"/>
      <c r="K256" s="27"/>
      <c r="L256" s="27"/>
      <c r="M256" s="27"/>
      <c r="N256" s="27"/>
      <c r="O256" s="27"/>
      <c r="P256" s="27"/>
      <c r="Q256" s="27"/>
      <c r="R256" s="27"/>
      <c r="S256" s="27"/>
      <c r="T256" s="27"/>
      <c r="U256" s="27"/>
      <c r="V256" s="27"/>
      <c r="W256" s="27"/>
      <c r="X256" s="27"/>
      <c r="Y256" s="27"/>
      <c r="Z256" s="27"/>
      <c r="AA256" s="27"/>
      <c r="AB256" s="27"/>
      <c r="AC256" s="27"/>
      <c r="AD256" s="27"/>
      <c r="AE256" s="27"/>
      <c r="AF256" s="27"/>
      <c r="AG256" s="27"/>
      <c r="AH256" s="27"/>
      <c r="AI256" s="27"/>
      <c r="AJ256" s="27"/>
      <c r="AK256" s="27"/>
      <c r="AL256" s="27"/>
      <c r="AM256" s="27"/>
      <c r="AN256" s="27"/>
      <c r="AO256" s="27"/>
      <c r="AP256" s="27"/>
      <c r="AQ256" s="27"/>
      <c r="AR256" s="27"/>
      <c r="AS256" s="27"/>
      <c r="AT256" s="27"/>
      <c r="AU256" s="27"/>
      <c r="AV256" s="27"/>
      <c r="AW256" s="27"/>
      <c r="AX256" s="27"/>
      <c r="AY256" s="27"/>
      <c r="AZ256" s="27"/>
      <c r="BA256" s="27"/>
      <c r="BB256" s="27"/>
      <c r="BC256" s="27"/>
      <c r="BD256" s="27"/>
      <c r="BE256" s="27"/>
      <c r="BF256" s="27"/>
      <c r="BG256" s="27"/>
      <c r="BH256" s="27"/>
      <c r="BI256" s="27"/>
      <c r="BJ256" s="27"/>
      <c r="BK256" s="27"/>
      <c r="BL256" s="27"/>
      <c r="BM256" s="27"/>
      <c r="BN256" s="27"/>
      <c r="BO256" s="27"/>
      <c r="BP256" s="27"/>
      <c r="BQ256" s="27"/>
      <c r="BR256" s="27"/>
      <c r="BS256" s="27"/>
      <c r="BT256" s="27"/>
      <c r="BU256" s="27"/>
      <c r="BV256" s="27"/>
      <c r="BW256" s="27"/>
      <c r="BX256" s="27"/>
      <c r="BY256" s="27"/>
      <c r="BZ256" s="27"/>
      <c r="CA256" s="27"/>
      <c r="CB256" s="27"/>
      <c r="CC256" s="27"/>
      <c r="CD256" s="27"/>
      <c r="CE256" s="27"/>
      <c r="CF256" s="27"/>
      <c r="CG256" s="27"/>
      <c r="CH256" s="27"/>
      <c r="CI256" s="27"/>
      <c r="CJ256" s="27"/>
      <c r="CK256" s="27"/>
      <c r="CL256" s="27"/>
      <c r="CM256" s="27"/>
      <c r="CN256" s="27"/>
      <c r="CO256" s="27"/>
      <c r="CP256" s="27"/>
      <c r="CQ256" s="27"/>
      <c r="CR256" s="27"/>
      <c r="CS256" s="27"/>
      <c r="CT256" s="27"/>
      <c r="CU256" s="27"/>
      <c r="CV256" s="27"/>
      <c r="CW256" s="27"/>
      <c r="CX256" s="27"/>
      <c r="CY256" s="27"/>
      <c r="CZ256" s="27"/>
      <c r="DA256" s="27"/>
      <c r="DB256" s="27"/>
      <c r="DC256" s="27"/>
      <c r="DD256" s="27"/>
      <c r="DE256" s="27"/>
      <c r="DF256" s="27"/>
      <c r="DG256" s="27"/>
      <c r="DH256" s="27"/>
      <c r="DI256" s="27"/>
      <c r="DJ256" s="27"/>
      <c r="DK256" s="27"/>
      <c r="DL256" s="27"/>
      <c r="DM256" s="27"/>
      <c r="DN256" s="27"/>
      <c r="DO256" s="27"/>
      <c r="DP256" s="27"/>
      <c r="DQ256" s="27"/>
      <c r="DR256" s="27"/>
      <c r="DS256" s="27"/>
      <c r="DT256" s="27"/>
    </row>
    <row r="257" spans="2:124" x14ac:dyDescent="0.2">
      <c r="B257" s="27"/>
      <c r="C257" s="27"/>
      <c r="D257" s="27"/>
      <c r="E257" s="27"/>
      <c r="F257" s="27"/>
      <c r="G257" s="27"/>
      <c r="H257" s="27"/>
      <c r="I257" s="27"/>
      <c r="J257" s="27"/>
      <c r="K257" s="27"/>
      <c r="L257" s="27"/>
      <c r="M257" s="27"/>
      <c r="N257" s="27"/>
      <c r="O257" s="27"/>
      <c r="P257" s="27"/>
      <c r="Q257" s="27"/>
      <c r="R257" s="27"/>
      <c r="S257" s="27"/>
      <c r="T257" s="27"/>
      <c r="U257" s="27"/>
      <c r="V257" s="27"/>
      <c r="W257" s="27"/>
      <c r="X257" s="27"/>
      <c r="Y257" s="27"/>
      <c r="Z257" s="27"/>
      <c r="AA257" s="27"/>
      <c r="AB257" s="27"/>
      <c r="AC257" s="27"/>
      <c r="AD257" s="27"/>
      <c r="AE257" s="27"/>
      <c r="AF257" s="27"/>
      <c r="AG257" s="27"/>
      <c r="AH257" s="27"/>
      <c r="AI257" s="27"/>
      <c r="AJ257" s="27"/>
      <c r="AK257" s="27"/>
      <c r="AL257" s="27"/>
      <c r="AM257" s="27"/>
      <c r="AN257" s="27"/>
      <c r="AO257" s="27"/>
      <c r="AP257" s="27"/>
      <c r="AQ257" s="27"/>
      <c r="AR257" s="27"/>
      <c r="AS257" s="27"/>
      <c r="AT257" s="27"/>
      <c r="AU257" s="27"/>
      <c r="AV257" s="27"/>
      <c r="AW257" s="27"/>
      <c r="AX257" s="27"/>
      <c r="AY257" s="27"/>
      <c r="AZ257" s="27"/>
      <c r="BA257" s="27"/>
      <c r="BB257" s="27"/>
      <c r="BC257" s="27"/>
      <c r="BD257" s="27"/>
      <c r="BE257" s="27"/>
      <c r="BF257" s="27"/>
      <c r="BG257" s="27"/>
      <c r="BH257" s="27"/>
      <c r="BI257" s="27"/>
      <c r="BJ257" s="27"/>
      <c r="BK257" s="27"/>
      <c r="BL257" s="27"/>
      <c r="BM257" s="27"/>
      <c r="BN257" s="27"/>
      <c r="BO257" s="27"/>
      <c r="BP257" s="27"/>
      <c r="BQ257" s="27"/>
      <c r="BR257" s="27"/>
      <c r="BS257" s="27"/>
      <c r="BT257" s="27"/>
      <c r="BU257" s="27"/>
      <c r="BV257" s="27"/>
      <c r="BW257" s="27"/>
      <c r="BX257" s="27"/>
      <c r="BY257" s="27"/>
      <c r="BZ257" s="27"/>
      <c r="CA257" s="27"/>
      <c r="CB257" s="27"/>
      <c r="CC257" s="27"/>
      <c r="CD257" s="27"/>
      <c r="CE257" s="27"/>
      <c r="CF257" s="27"/>
      <c r="CG257" s="27"/>
      <c r="CH257" s="27"/>
      <c r="CI257" s="27"/>
      <c r="CJ257" s="27"/>
      <c r="CK257" s="27"/>
      <c r="CL257" s="27"/>
      <c r="CM257" s="27"/>
      <c r="CN257" s="27"/>
      <c r="CO257" s="27"/>
      <c r="CP257" s="27"/>
      <c r="CQ257" s="27"/>
      <c r="CR257" s="27"/>
      <c r="CS257" s="27"/>
      <c r="CT257" s="27"/>
      <c r="CU257" s="27"/>
      <c r="CV257" s="27"/>
      <c r="CW257" s="27"/>
      <c r="CX257" s="27"/>
      <c r="CY257" s="27"/>
      <c r="CZ257" s="27"/>
      <c r="DA257" s="27"/>
      <c r="DB257" s="27"/>
      <c r="DC257" s="27"/>
      <c r="DD257" s="27"/>
      <c r="DE257" s="27"/>
      <c r="DF257" s="27"/>
      <c r="DG257" s="27"/>
      <c r="DH257" s="27"/>
      <c r="DI257" s="27"/>
      <c r="DJ257" s="27"/>
      <c r="DK257" s="27"/>
      <c r="DL257" s="27"/>
      <c r="DM257" s="27"/>
      <c r="DN257" s="27"/>
      <c r="DO257" s="27"/>
      <c r="DP257" s="27"/>
      <c r="DQ257" s="27"/>
      <c r="DR257" s="27"/>
      <c r="DS257" s="27"/>
      <c r="DT257" s="27"/>
    </row>
    <row r="258" spans="2:124" x14ac:dyDescent="0.2">
      <c r="B258" s="27"/>
      <c r="C258" s="27"/>
      <c r="D258" s="27"/>
      <c r="E258" s="27"/>
      <c r="F258" s="27"/>
      <c r="G258" s="27"/>
      <c r="H258" s="27"/>
      <c r="I258" s="27"/>
      <c r="J258" s="27"/>
      <c r="K258" s="27"/>
      <c r="L258" s="27"/>
      <c r="M258" s="27"/>
      <c r="N258" s="27"/>
      <c r="O258" s="27"/>
      <c r="P258" s="27"/>
      <c r="Q258" s="27"/>
      <c r="R258" s="27"/>
      <c r="S258" s="27"/>
      <c r="T258" s="27"/>
      <c r="U258" s="27"/>
      <c r="V258" s="27"/>
      <c r="W258" s="27"/>
      <c r="X258" s="27"/>
      <c r="Y258" s="27"/>
      <c r="Z258" s="27"/>
      <c r="AA258" s="27"/>
      <c r="AB258" s="27"/>
      <c r="AC258" s="27"/>
      <c r="AD258" s="27"/>
      <c r="AE258" s="27"/>
      <c r="AF258" s="27"/>
      <c r="AG258" s="27"/>
      <c r="AH258" s="27"/>
      <c r="AI258" s="27"/>
      <c r="AJ258" s="27"/>
      <c r="AK258" s="27"/>
      <c r="AL258" s="27"/>
      <c r="AM258" s="27"/>
      <c r="AN258" s="27"/>
      <c r="AO258" s="27"/>
      <c r="AP258" s="27"/>
      <c r="AQ258" s="27"/>
      <c r="AR258" s="27"/>
      <c r="AS258" s="27"/>
      <c r="AT258" s="27"/>
      <c r="AU258" s="27"/>
      <c r="AV258" s="27"/>
      <c r="AW258" s="27"/>
      <c r="AX258" s="27"/>
      <c r="AY258" s="27"/>
      <c r="AZ258" s="27"/>
      <c r="BA258" s="27"/>
      <c r="BB258" s="27"/>
      <c r="BC258" s="27"/>
      <c r="BD258" s="27"/>
      <c r="BE258" s="27"/>
      <c r="BF258" s="27"/>
      <c r="BG258" s="27"/>
      <c r="BH258" s="27"/>
      <c r="BI258" s="27"/>
      <c r="BJ258" s="27"/>
      <c r="BK258" s="27"/>
      <c r="BL258" s="27"/>
      <c r="BM258" s="27"/>
      <c r="BN258" s="27"/>
      <c r="BO258" s="27"/>
      <c r="BP258" s="27"/>
      <c r="BQ258" s="27"/>
      <c r="BR258" s="27"/>
      <c r="BS258" s="27"/>
      <c r="BT258" s="27"/>
      <c r="BU258" s="27"/>
      <c r="BV258" s="27"/>
      <c r="BW258" s="27"/>
      <c r="BX258" s="27"/>
      <c r="BY258" s="27"/>
      <c r="BZ258" s="27"/>
      <c r="CA258" s="27"/>
      <c r="CB258" s="27"/>
      <c r="CC258" s="27"/>
      <c r="CD258" s="27"/>
      <c r="CE258" s="27"/>
      <c r="CF258" s="27"/>
      <c r="CG258" s="27"/>
      <c r="CH258" s="27"/>
      <c r="CI258" s="27"/>
      <c r="CJ258" s="27"/>
      <c r="CK258" s="27"/>
      <c r="CL258" s="27"/>
      <c r="CM258" s="27"/>
      <c r="CN258" s="27"/>
      <c r="CO258" s="27"/>
      <c r="CP258" s="27"/>
      <c r="CQ258" s="27"/>
      <c r="CR258" s="27"/>
      <c r="CS258" s="27"/>
      <c r="CT258" s="27"/>
      <c r="CU258" s="27"/>
      <c r="CV258" s="27"/>
      <c r="CW258" s="27"/>
      <c r="CX258" s="27"/>
      <c r="CY258" s="27"/>
      <c r="CZ258" s="27"/>
      <c r="DA258" s="27"/>
      <c r="DB258" s="27"/>
      <c r="DC258" s="27"/>
      <c r="DD258" s="27"/>
      <c r="DE258" s="27"/>
      <c r="DF258" s="27"/>
      <c r="DG258" s="27"/>
      <c r="DH258" s="27"/>
      <c r="DI258" s="27"/>
      <c r="DJ258" s="27"/>
      <c r="DK258" s="27"/>
      <c r="DL258" s="27"/>
      <c r="DM258" s="27"/>
      <c r="DN258" s="27"/>
      <c r="DO258" s="27"/>
      <c r="DP258" s="27"/>
      <c r="DQ258" s="27"/>
      <c r="DR258" s="27"/>
      <c r="DS258" s="27"/>
      <c r="DT258" s="27"/>
    </row>
    <row r="259" spans="2:124" x14ac:dyDescent="0.2">
      <c r="B259" s="27"/>
      <c r="C259" s="27"/>
      <c r="D259" s="27"/>
      <c r="E259" s="27"/>
      <c r="F259" s="27"/>
      <c r="G259" s="27"/>
      <c r="H259" s="27"/>
      <c r="I259" s="27"/>
      <c r="J259" s="27"/>
      <c r="K259" s="27"/>
      <c r="L259" s="27"/>
      <c r="M259" s="27"/>
      <c r="N259" s="27"/>
      <c r="O259" s="27"/>
      <c r="P259" s="27"/>
      <c r="Q259" s="27"/>
      <c r="R259" s="27"/>
      <c r="S259" s="27"/>
      <c r="T259" s="27"/>
      <c r="U259" s="27"/>
      <c r="V259" s="27"/>
      <c r="W259" s="27"/>
      <c r="X259" s="27"/>
      <c r="Y259" s="27"/>
      <c r="Z259" s="27"/>
      <c r="AA259" s="27"/>
      <c r="AB259" s="27"/>
      <c r="AC259" s="27"/>
      <c r="AD259" s="27"/>
      <c r="AE259" s="27"/>
      <c r="AF259" s="27"/>
      <c r="AG259" s="27"/>
      <c r="AH259" s="27"/>
      <c r="AI259" s="27"/>
      <c r="AJ259" s="27"/>
      <c r="AK259" s="27"/>
      <c r="AL259" s="27"/>
      <c r="AM259" s="27"/>
      <c r="AN259" s="27"/>
      <c r="AO259" s="27"/>
      <c r="AP259" s="27"/>
      <c r="AQ259" s="27"/>
      <c r="AR259" s="27"/>
      <c r="AS259" s="27"/>
      <c r="AT259" s="27"/>
      <c r="AU259" s="27"/>
      <c r="AV259" s="27"/>
      <c r="AW259" s="27"/>
      <c r="AX259" s="27"/>
      <c r="AY259" s="27"/>
      <c r="AZ259" s="27"/>
      <c r="BA259" s="27"/>
      <c r="BB259" s="27"/>
      <c r="BC259" s="27"/>
      <c r="BD259" s="27"/>
      <c r="BE259" s="27"/>
      <c r="BF259" s="27"/>
      <c r="BG259" s="27"/>
      <c r="BH259" s="27"/>
      <c r="BI259" s="27"/>
      <c r="BJ259" s="27"/>
      <c r="BK259" s="27"/>
      <c r="BL259" s="27"/>
      <c r="BM259" s="27"/>
      <c r="BN259" s="27"/>
      <c r="BO259" s="27"/>
      <c r="BP259" s="27"/>
      <c r="BQ259" s="27"/>
      <c r="BR259" s="27"/>
      <c r="BS259" s="27"/>
      <c r="BT259" s="27"/>
      <c r="BU259" s="27"/>
      <c r="BV259" s="27"/>
      <c r="BW259" s="27"/>
      <c r="BX259" s="27"/>
      <c r="BY259" s="27"/>
      <c r="BZ259" s="27"/>
      <c r="CA259" s="27"/>
      <c r="CB259" s="27"/>
      <c r="CC259" s="27"/>
      <c r="CD259" s="27"/>
      <c r="CE259" s="27"/>
      <c r="CF259" s="27"/>
      <c r="CG259" s="27"/>
      <c r="CH259" s="27"/>
      <c r="CI259" s="27"/>
      <c r="CJ259" s="27"/>
      <c r="CK259" s="27"/>
      <c r="CL259" s="27"/>
      <c r="CM259" s="27"/>
      <c r="CN259" s="27"/>
      <c r="CO259" s="27"/>
      <c r="CP259" s="27"/>
      <c r="CQ259" s="27"/>
      <c r="CR259" s="27"/>
      <c r="CS259" s="27"/>
      <c r="CT259" s="27"/>
      <c r="CU259" s="27"/>
      <c r="CV259" s="27"/>
      <c r="CW259" s="27"/>
      <c r="CX259" s="27"/>
      <c r="CY259" s="27"/>
      <c r="CZ259" s="27"/>
      <c r="DA259" s="27"/>
      <c r="DB259" s="27"/>
      <c r="DC259" s="27"/>
      <c r="DD259" s="27"/>
      <c r="DE259" s="27"/>
      <c r="DF259" s="27"/>
      <c r="DG259" s="27"/>
      <c r="DH259" s="27"/>
      <c r="DI259" s="27"/>
      <c r="DJ259" s="27"/>
      <c r="DK259" s="27"/>
      <c r="DL259" s="27"/>
      <c r="DM259" s="27"/>
      <c r="DN259" s="27"/>
      <c r="DO259" s="27"/>
      <c r="DP259" s="27"/>
      <c r="DQ259" s="27"/>
      <c r="DR259" s="27"/>
      <c r="DS259" s="27"/>
      <c r="DT259" s="27"/>
    </row>
    <row r="260" spans="2:124" x14ac:dyDescent="0.2">
      <c r="B260" s="27"/>
      <c r="C260" s="27"/>
      <c r="D260" s="27"/>
      <c r="E260" s="27"/>
      <c r="F260" s="27"/>
      <c r="G260" s="27"/>
      <c r="H260" s="27"/>
      <c r="I260" s="27"/>
      <c r="J260" s="27"/>
      <c r="K260" s="27"/>
      <c r="L260" s="27"/>
      <c r="M260" s="27"/>
      <c r="N260" s="27"/>
      <c r="O260" s="27"/>
      <c r="P260" s="27"/>
      <c r="Q260" s="27"/>
      <c r="R260" s="27"/>
      <c r="S260" s="27"/>
      <c r="T260" s="27"/>
      <c r="U260" s="27"/>
      <c r="V260" s="27"/>
      <c r="W260" s="27"/>
      <c r="X260" s="27"/>
      <c r="Y260" s="27"/>
      <c r="Z260" s="27"/>
      <c r="AA260" s="27"/>
      <c r="AB260" s="27"/>
      <c r="AC260" s="27"/>
      <c r="AD260" s="27"/>
      <c r="AE260" s="27"/>
      <c r="AF260" s="27"/>
      <c r="AG260" s="27"/>
      <c r="AH260" s="27"/>
      <c r="AI260" s="27"/>
      <c r="AJ260" s="27"/>
      <c r="AK260" s="27"/>
      <c r="AL260" s="27"/>
      <c r="AM260" s="27"/>
      <c r="AN260" s="27"/>
      <c r="AO260" s="27"/>
      <c r="AP260" s="27"/>
      <c r="AQ260" s="27"/>
      <c r="AR260" s="27"/>
      <c r="AS260" s="27"/>
      <c r="AT260" s="27"/>
      <c r="AU260" s="27"/>
      <c r="AV260" s="27"/>
      <c r="AW260" s="27"/>
      <c r="AX260" s="27"/>
      <c r="AY260" s="27"/>
      <c r="AZ260" s="27"/>
      <c r="BA260" s="27"/>
      <c r="BB260" s="27"/>
      <c r="BC260" s="27"/>
      <c r="BD260" s="27"/>
      <c r="BE260" s="27"/>
      <c r="BF260" s="27"/>
      <c r="BG260" s="27"/>
      <c r="BH260" s="27"/>
      <c r="BI260" s="27"/>
      <c r="BJ260" s="27"/>
      <c r="BK260" s="27"/>
      <c r="BL260" s="27"/>
      <c r="BM260" s="27"/>
      <c r="BN260" s="27"/>
      <c r="BO260" s="27"/>
      <c r="BP260" s="27"/>
      <c r="BQ260" s="27"/>
      <c r="BR260" s="27"/>
      <c r="BS260" s="27"/>
      <c r="BT260" s="27"/>
      <c r="BU260" s="27"/>
      <c r="BV260" s="27"/>
      <c r="BW260" s="27"/>
      <c r="BX260" s="27"/>
      <c r="BY260" s="27"/>
      <c r="BZ260" s="27"/>
      <c r="CA260" s="27"/>
      <c r="CB260" s="27"/>
      <c r="CC260" s="27"/>
      <c r="CD260" s="27"/>
      <c r="CE260" s="27"/>
      <c r="CF260" s="27"/>
      <c r="CG260" s="27"/>
      <c r="CH260" s="27"/>
      <c r="CI260" s="27"/>
      <c r="CJ260" s="27"/>
      <c r="CK260" s="27"/>
      <c r="CL260" s="27"/>
      <c r="CM260" s="27"/>
      <c r="CN260" s="27"/>
      <c r="CO260" s="27"/>
      <c r="CP260" s="27"/>
      <c r="CQ260" s="27"/>
      <c r="CR260" s="27"/>
      <c r="CS260" s="27"/>
      <c r="CT260" s="27"/>
      <c r="CU260" s="27"/>
      <c r="CV260" s="27"/>
      <c r="CW260" s="27"/>
      <c r="CX260" s="27"/>
      <c r="CY260" s="27"/>
      <c r="CZ260" s="27"/>
      <c r="DA260" s="27"/>
      <c r="DB260" s="27"/>
      <c r="DC260" s="27"/>
      <c r="DD260" s="27"/>
      <c r="DE260" s="27"/>
      <c r="DF260" s="27"/>
      <c r="DG260" s="27"/>
      <c r="DH260" s="27"/>
      <c r="DI260" s="27"/>
      <c r="DJ260" s="27"/>
      <c r="DK260" s="27"/>
      <c r="DL260" s="27"/>
      <c r="DM260" s="27"/>
      <c r="DN260" s="27"/>
      <c r="DO260" s="27"/>
      <c r="DP260" s="27"/>
      <c r="DQ260" s="27"/>
      <c r="DR260" s="27"/>
      <c r="DS260" s="27"/>
      <c r="DT260" s="27"/>
    </row>
    <row r="261" spans="2:124" x14ac:dyDescent="0.2">
      <c r="B261" s="27"/>
      <c r="C261" s="27"/>
      <c r="D261" s="27"/>
      <c r="E261" s="27"/>
      <c r="F261" s="27"/>
      <c r="G261" s="27"/>
      <c r="H261" s="27"/>
      <c r="I261" s="27"/>
      <c r="J261" s="27"/>
      <c r="K261" s="27"/>
      <c r="L261" s="27"/>
      <c r="M261" s="27"/>
      <c r="N261" s="27"/>
      <c r="O261" s="27"/>
      <c r="P261" s="27"/>
      <c r="Q261" s="27"/>
      <c r="R261" s="27"/>
      <c r="S261" s="27"/>
      <c r="T261" s="27"/>
      <c r="U261" s="27"/>
      <c r="V261" s="27"/>
      <c r="W261" s="27"/>
      <c r="X261" s="27"/>
      <c r="Y261" s="27"/>
      <c r="Z261" s="27"/>
      <c r="AA261" s="27"/>
      <c r="AB261" s="27"/>
      <c r="AC261" s="27"/>
      <c r="AD261" s="27"/>
      <c r="AE261" s="27"/>
      <c r="AF261" s="27"/>
      <c r="AG261" s="27"/>
      <c r="AH261" s="27"/>
      <c r="AI261" s="27"/>
      <c r="AJ261" s="27"/>
      <c r="AK261" s="27"/>
      <c r="AL261" s="27"/>
      <c r="AM261" s="27"/>
      <c r="AN261" s="27"/>
      <c r="AO261" s="27"/>
      <c r="AP261" s="27"/>
      <c r="AQ261" s="27"/>
      <c r="AR261" s="27"/>
      <c r="AS261" s="27"/>
      <c r="AT261" s="27"/>
      <c r="AU261" s="27"/>
      <c r="AV261" s="27"/>
      <c r="AW261" s="27"/>
      <c r="AX261" s="27"/>
      <c r="AY261" s="27"/>
      <c r="AZ261" s="27"/>
      <c r="BA261" s="27"/>
      <c r="BB261" s="27"/>
      <c r="BC261" s="27"/>
      <c r="BD261" s="27"/>
      <c r="BE261" s="27"/>
      <c r="BF261" s="27"/>
      <c r="BG261" s="27"/>
      <c r="BH261" s="27"/>
      <c r="BI261" s="27"/>
      <c r="BJ261" s="27"/>
      <c r="BK261" s="27"/>
      <c r="BL261" s="27"/>
      <c r="BM261" s="27"/>
      <c r="BN261" s="27"/>
      <c r="BO261" s="27"/>
      <c r="BP261" s="27"/>
      <c r="BQ261" s="27"/>
      <c r="BR261" s="27"/>
      <c r="BS261" s="27"/>
      <c r="BT261" s="27"/>
      <c r="BU261" s="27"/>
      <c r="BV261" s="27"/>
      <c r="BW261" s="27"/>
      <c r="BX261" s="27"/>
      <c r="BY261" s="27"/>
      <c r="BZ261" s="27"/>
      <c r="CA261" s="27"/>
      <c r="CB261" s="27"/>
      <c r="CC261" s="27"/>
      <c r="CD261" s="27"/>
      <c r="CE261" s="27"/>
      <c r="CF261" s="27"/>
      <c r="CG261" s="27"/>
      <c r="CH261" s="27"/>
      <c r="CI261" s="27"/>
      <c r="CJ261" s="27"/>
      <c r="CK261" s="27"/>
      <c r="CL261" s="27"/>
      <c r="CM261" s="27"/>
      <c r="CN261" s="27"/>
      <c r="CO261" s="27"/>
      <c r="CP261" s="27"/>
      <c r="CQ261" s="27"/>
      <c r="CR261" s="27"/>
      <c r="CS261" s="27"/>
      <c r="CT261" s="27"/>
      <c r="CU261" s="27"/>
      <c r="CV261" s="27"/>
      <c r="CW261" s="27"/>
      <c r="CX261" s="27"/>
      <c r="CY261" s="27"/>
      <c r="CZ261" s="27"/>
      <c r="DA261" s="27"/>
      <c r="DB261" s="27"/>
      <c r="DC261" s="27"/>
      <c r="DD261" s="27"/>
      <c r="DE261" s="27"/>
      <c r="DF261" s="27"/>
      <c r="DG261" s="27"/>
      <c r="DH261" s="27"/>
      <c r="DI261" s="27"/>
      <c r="DJ261" s="27"/>
      <c r="DK261" s="27"/>
      <c r="DL261" s="27"/>
      <c r="DM261" s="27"/>
      <c r="DN261" s="27"/>
      <c r="DO261" s="27"/>
      <c r="DP261" s="27"/>
      <c r="DQ261" s="27"/>
      <c r="DR261" s="27"/>
      <c r="DS261" s="27"/>
      <c r="DT261" s="27"/>
    </row>
    <row r="262" spans="2:124" x14ac:dyDescent="0.2">
      <c r="B262" s="27"/>
      <c r="C262" s="27"/>
      <c r="D262" s="27"/>
      <c r="E262" s="27"/>
      <c r="F262" s="27"/>
      <c r="G262" s="27"/>
      <c r="H262" s="27"/>
      <c r="I262" s="27"/>
      <c r="J262" s="27"/>
      <c r="K262" s="27"/>
      <c r="L262" s="27"/>
      <c r="M262" s="27"/>
      <c r="N262" s="27"/>
      <c r="O262" s="27"/>
      <c r="P262" s="27"/>
      <c r="Q262" s="27"/>
      <c r="R262" s="27"/>
      <c r="S262" s="27"/>
      <c r="T262" s="27"/>
      <c r="U262" s="27"/>
      <c r="V262" s="27"/>
      <c r="W262" s="27"/>
      <c r="X262" s="27"/>
      <c r="Y262" s="27"/>
      <c r="Z262" s="27"/>
      <c r="AA262" s="27"/>
      <c r="AB262" s="27"/>
      <c r="AC262" s="27"/>
      <c r="AD262" s="27"/>
      <c r="AE262" s="27"/>
      <c r="AF262" s="27"/>
      <c r="AG262" s="27"/>
      <c r="AH262" s="27"/>
      <c r="AI262" s="27"/>
      <c r="AJ262" s="27"/>
      <c r="AK262" s="27"/>
      <c r="AL262" s="27"/>
      <c r="AM262" s="27"/>
      <c r="AN262" s="27"/>
      <c r="AO262" s="27"/>
      <c r="AP262" s="27"/>
      <c r="AQ262" s="27"/>
      <c r="AR262" s="27"/>
      <c r="AS262" s="27"/>
      <c r="AT262" s="27"/>
      <c r="AU262" s="27"/>
      <c r="AV262" s="27"/>
      <c r="AW262" s="27"/>
      <c r="AX262" s="27"/>
      <c r="AY262" s="27"/>
      <c r="AZ262" s="27"/>
      <c r="BA262" s="27"/>
      <c r="BB262" s="27"/>
      <c r="BC262" s="27"/>
      <c r="BD262" s="27"/>
      <c r="BE262" s="27"/>
      <c r="BF262" s="27"/>
      <c r="BG262" s="27"/>
      <c r="BH262" s="27"/>
      <c r="BI262" s="27"/>
      <c r="BJ262" s="27"/>
      <c r="BK262" s="27"/>
      <c r="BL262" s="27"/>
      <c r="BM262" s="27"/>
      <c r="BN262" s="27"/>
      <c r="BO262" s="27"/>
      <c r="BP262" s="27"/>
      <c r="BQ262" s="27"/>
      <c r="BR262" s="27"/>
      <c r="BS262" s="27"/>
      <c r="BT262" s="27"/>
      <c r="BU262" s="27"/>
      <c r="BV262" s="27"/>
      <c r="BW262" s="27"/>
      <c r="BX262" s="27"/>
      <c r="BY262" s="27"/>
      <c r="BZ262" s="27"/>
      <c r="CA262" s="27"/>
      <c r="CB262" s="27"/>
      <c r="CC262" s="27"/>
      <c r="CD262" s="27"/>
      <c r="CE262" s="27"/>
      <c r="CF262" s="27"/>
      <c r="CG262" s="27"/>
      <c r="CH262" s="27"/>
      <c r="CI262" s="27"/>
      <c r="CJ262" s="27"/>
      <c r="CK262" s="27"/>
      <c r="CL262" s="27"/>
      <c r="CM262" s="27"/>
      <c r="CN262" s="27"/>
      <c r="CO262" s="27"/>
      <c r="CP262" s="27"/>
      <c r="CQ262" s="27"/>
      <c r="CR262" s="27"/>
      <c r="CS262" s="27"/>
      <c r="CT262" s="27"/>
      <c r="CU262" s="27"/>
      <c r="CV262" s="27"/>
      <c r="CW262" s="27"/>
      <c r="CX262" s="27"/>
      <c r="CY262" s="27"/>
      <c r="CZ262" s="27"/>
      <c r="DA262" s="27"/>
      <c r="DB262" s="27"/>
      <c r="DC262" s="27"/>
      <c r="DD262" s="27"/>
      <c r="DE262" s="27"/>
      <c r="DF262" s="27"/>
      <c r="DG262" s="27"/>
      <c r="DH262" s="27"/>
      <c r="DI262" s="27"/>
      <c r="DJ262" s="27"/>
      <c r="DK262" s="27"/>
      <c r="DL262" s="27"/>
      <c r="DM262" s="27"/>
      <c r="DN262" s="27"/>
      <c r="DO262" s="27"/>
      <c r="DP262" s="27"/>
      <c r="DQ262" s="27"/>
      <c r="DR262" s="27"/>
      <c r="DS262" s="27"/>
      <c r="DT262" s="27"/>
    </row>
    <row r="263" spans="2:124" x14ac:dyDescent="0.2">
      <c r="B263" s="27"/>
      <c r="C263" s="27"/>
      <c r="D263" s="27"/>
      <c r="E263" s="27"/>
      <c r="F263" s="27"/>
      <c r="G263" s="27"/>
      <c r="H263" s="27"/>
      <c r="I263" s="27"/>
      <c r="J263" s="27"/>
      <c r="K263" s="27"/>
      <c r="L263" s="27"/>
      <c r="M263" s="27"/>
      <c r="N263" s="27"/>
      <c r="O263" s="27"/>
      <c r="P263" s="27"/>
      <c r="Q263" s="27"/>
      <c r="R263" s="27"/>
      <c r="S263" s="27"/>
      <c r="T263" s="27"/>
      <c r="U263" s="27"/>
      <c r="V263" s="27"/>
      <c r="W263" s="27"/>
      <c r="X263" s="27"/>
      <c r="Y263" s="27"/>
      <c r="Z263" s="27"/>
      <c r="AA263" s="27"/>
      <c r="AB263" s="27"/>
      <c r="AC263" s="27"/>
      <c r="AD263" s="27"/>
      <c r="AE263" s="27"/>
      <c r="AF263" s="27"/>
      <c r="AG263" s="27"/>
      <c r="AH263" s="27"/>
      <c r="AI263" s="27"/>
      <c r="AJ263" s="27"/>
      <c r="AK263" s="27"/>
      <c r="AL263" s="27"/>
      <c r="AM263" s="27"/>
      <c r="AN263" s="27"/>
      <c r="AO263" s="27"/>
      <c r="AP263" s="27"/>
      <c r="AQ263" s="27"/>
      <c r="AR263" s="27"/>
      <c r="AS263" s="27"/>
      <c r="AT263" s="27"/>
      <c r="AU263" s="27"/>
      <c r="AV263" s="27"/>
      <c r="AW263" s="27"/>
      <c r="AX263" s="27"/>
      <c r="AY263" s="27"/>
      <c r="AZ263" s="27"/>
      <c r="BA263" s="27"/>
      <c r="BB263" s="27"/>
      <c r="BC263" s="27"/>
      <c r="BD263" s="27"/>
      <c r="BE263" s="27"/>
      <c r="BF263" s="27"/>
      <c r="BG263" s="27"/>
      <c r="BH263" s="27"/>
      <c r="BI263" s="27"/>
      <c r="BJ263" s="27"/>
      <c r="BK263" s="27"/>
      <c r="BL263" s="27"/>
      <c r="BM263" s="27"/>
      <c r="BN263" s="27"/>
      <c r="BO263" s="27"/>
      <c r="BP263" s="27"/>
      <c r="BQ263" s="27"/>
      <c r="BR263" s="27"/>
      <c r="BS263" s="27"/>
      <c r="BT263" s="27"/>
      <c r="BU263" s="27"/>
      <c r="BV263" s="27"/>
      <c r="BW263" s="27"/>
      <c r="BX263" s="27"/>
      <c r="BY263" s="27"/>
      <c r="BZ263" s="27"/>
      <c r="CA263" s="27"/>
      <c r="CB263" s="27"/>
      <c r="CC263" s="27"/>
      <c r="CD263" s="27"/>
      <c r="CE263" s="27"/>
      <c r="CF263" s="27"/>
      <c r="CG263" s="27"/>
      <c r="CH263" s="27"/>
      <c r="CI263" s="27"/>
      <c r="CJ263" s="27"/>
      <c r="CK263" s="27"/>
      <c r="CL263" s="27"/>
      <c r="CM263" s="27"/>
      <c r="CN263" s="27"/>
      <c r="CO263" s="27"/>
      <c r="CP263" s="27"/>
      <c r="CQ263" s="27"/>
      <c r="CR263" s="27"/>
      <c r="CS263" s="27"/>
      <c r="CT263" s="27"/>
      <c r="CU263" s="27"/>
      <c r="CV263" s="27"/>
      <c r="CW263" s="27"/>
      <c r="CX263" s="27"/>
      <c r="CY263" s="27"/>
      <c r="CZ263" s="27"/>
      <c r="DA263" s="27"/>
      <c r="DB263" s="27"/>
      <c r="DC263" s="27"/>
      <c r="DD263" s="27"/>
      <c r="DE263" s="27"/>
      <c r="DF263" s="27"/>
      <c r="DG263" s="27"/>
      <c r="DH263" s="27"/>
      <c r="DI263" s="27"/>
      <c r="DJ263" s="27"/>
      <c r="DK263" s="27"/>
      <c r="DL263" s="27"/>
      <c r="DM263" s="27"/>
      <c r="DN263" s="27"/>
      <c r="DO263" s="27"/>
      <c r="DP263" s="27"/>
      <c r="DQ263" s="27"/>
      <c r="DR263" s="27"/>
      <c r="DS263" s="27"/>
      <c r="DT263" s="27"/>
    </row>
    <row r="264" spans="2:124" x14ac:dyDescent="0.2">
      <c r="B264" s="27"/>
      <c r="C264" s="27"/>
      <c r="D264" s="27"/>
      <c r="E264" s="27"/>
      <c r="F264" s="27"/>
      <c r="G264" s="27"/>
      <c r="H264" s="27"/>
      <c r="I264" s="27"/>
      <c r="J264" s="27"/>
      <c r="K264" s="27"/>
      <c r="L264" s="27"/>
      <c r="M264" s="27"/>
      <c r="N264" s="27"/>
      <c r="O264" s="27"/>
      <c r="P264" s="27"/>
      <c r="Q264" s="27"/>
      <c r="R264" s="27"/>
      <c r="S264" s="27"/>
      <c r="T264" s="27"/>
      <c r="U264" s="27"/>
      <c r="V264" s="27"/>
      <c r="W264" s="27"/>
      <c r="X264" s="27"/>
      <c r="Y264" s="27"/>
      <c r="Z264" s="27"/>
      <c r="AA264" s="27"/>
      <c r="AB264" s="27"/>
      <c r="AC264" s="27"/>
      <c r="AD264" s="27"/>
      <c r="AE264" s="27"/>
      <c r="AF264" s="27"/>
      <c r="AG264" s="27"/>
      <c r="AH264" s="27"/>
      <c r="AI264" s="27"/>
      <c r="AJ264" s="27"/>
      <c r="AK264" s="27"/>
      <c r="AL264" s="27"/>
      <c r="AM264" s="27"/>
      <c r="AN264" s="27"/>
      <c r="AO264" s="27"/>
      <c r="AP264" s="27"/>
      <c r="AQ264" s="27"/>
      <c r="AR264" s="27"/>
      <c r="AS264" s="27"/>
      <c r="AT264" s="27"/>
      <c r="AU264" s="27"/>
      <c r="AV264" s="27"/>
      <c r="AW264" s="27"/>
      <c r="AX264" s="27"/>
      <c r="AY264" s="27"/>
      <c r="AZ264" s="27"/>
      <c r="BA264" s="27"/>
      <c r="BB264" s="27"/>
      <c r="BC264" s="27"/>
      <c r="BD264" s="27"/>
      <c r="BE264" s="27"/>
      <c r="BF264" s="27"/>
      <c r="BG264" s="27"/>
      <c r="BH264" s="27"/>
      <c r="BI264" s="27"/>
      <c r="BJ264" s="27"/>
      <c r="BK264" s="27"/>
      <c r="BL264" s="27"/>
      <c r="BM264" s="27"/>
      <c r="BN264" s="27"/>
      <c r="BO264" s="27"/>
      <c r="BP264" s="27"/>
      <c r="BQ264" s="27"/>
      <c r="BR264" s="27"/>
      <c r="BS264" s="27"/>
      <c r="BT264" s="27"/>
      <c r="BU264" s="27"/>
      <c r="BV264" s="27"/>
      <c r="BW264" s="27"/>
      <c r="BX264" s="27"/>
      <c r="BY264" s="27"/>
      <c r="BZ264" s="27"/>
      <c r="CA264" s="27"/>
      <c r="CB264" s="27"/>
      <c r="CC264" s="27"/>
      <c r="CD264" s="27"/>
      <c r="CE264" s="27"/>
      <c r="CF264" s="27"/>
      <c r="CG264" s="27"/>
      <c r="CH264" s="27"/>
      <c r="CI264" s="27"/>
      <c r="CJ264" s="27"/>
      <c r="CK264" s="27"/>
      <c r="CL264" s="27"/>
      <c r="CM264" s="27"/>
      <c r="CN264" s="27"/>
      <c r="CO264" s="27"/>
      <c r="CP264" s="27"/>
      <c r="CQ264" s="27"/>
      <c r="CR264" s="27"/>
      <c r="CS264" s="27"/>
      <c r="CT264" s="27"/>
      <c r="CU264" s="27"/>
      <c r="CV264" s="27"/>
      <c r="CW264" s="27"/>
      <c r="CX264" s="27"/>
      <c r="CY264" s="27"/>
      <c r="CZ264" s="27"/>
      <c r="DA264" s="27"/>
      <c r="DB264" s="27"/>
      <c r="DC264" s="27"/>
      <c r="DD264" s="27"/>
      <c r="DE264" s="27"/>
      <c r="DF264" s="27"/>
      <c r="DG264" s="27"/>
      <c r="DH264" s="27"/>
      <c r="DI264" s="27"/>
      <c r="DJ264" s="27"/>
      <c r="DK264" s="27"/>
      <c r="DL264" s="27"/>
      <c r="DM264" s="27"/>
      <c r="DN264" s="27"/>
      <c r="DO264" s="27"/>
      <c r="DP264" s="27"/>
      <c r="DQ264" s="27"/>
      <c r="DR264" s="27"/>
      <c r="DS264" s="27"/>
      <c r="DT264" s="27"/>
    </row>
    <row r="265" spans="2:124" x14ac:dyDescent="0.2">
      <c r="B265" s="27"/>
      <c r="C265" s="27"/>
      <c r="D265" s="27"/>
      <c r="E265" s="27"/>
      <c r="F265" s="27"/>
      <c r="G265" s="27"/>
      <c r="H265" s="27"/>
      <c r="I265" s="27"/>
      <c r="J265" s="27"/>
      <c r="K265" s="27"/>
      <c r="L265" s="27"/>
      <c r="M265" s="27"/>
      <c r="N265" s="27"/>
      <c r="O265" s="27"/>
      <c r="P265" s="27"/>
      <c r="Q265" s="27"/>
      <c r="R265" s="27"/>
      <c r="S265" s="27"/>
      <c r="T265" s="27"/>
      <c r="U265" s="27"/>
      <c r="V265" s="27"/>
      <c r="W265" s="27"/>
      <c r="X265" s="27"/>
      <c r="Y265" s="27"/>
      <c r="Z265" s="27"/>
      <c r="AA265" s="27"/>
      <c r="AB265" s="27"/>
      <c r="AC265" s="27"/>
      <c r="AD265" s="27"/>
      <c r="AE265" s="27"/>
      <c r="AF265" s="27"/>
      <c r="AG265" s="27"/>
      <c r="AH265" s="27"/>
      <c r="AI265" s="27"/>
      <c r="AJ265" s="27"/>
      <c r="AK265" s="27"/>
      <c r="AL265" s="27"/>
      <c r="AM265" s="27"/>
      <c r="AN265" s="27"/>
      <c r="AO265" s="27"/>
      <c r="AP265" s="27"/>
      <c r="AQ265" s="27"/>
      <c r="AR265" s="27"/>
      <c r="AS265" s="27"/>
      <c r="AT265" s="27"/>
      <c r="AU265" s="27"/>
      <c r="AV265" s="27"/>
      <c r="AW265" s="27"/>
      <c r="AX265" s="27"/>
      <c r="AY265" s="27"/>
      <c r="AZ265" s="27"/>
      <c r="BA265" s="27"/>
      <c r="BB265" s="27"/>
      <c r="BC265" s="27"/>
      <c r="BD265" s="27"/>
      <c r="BE265" s="27"/>
      <c r="BF265" s="27"/>
      <c r="BG265" s="27"/>
      <c r="BH265" s="27"/>
      <c r="BI265" s="27"/>
      <c r="BJ265" s="27"/>
      <c r="BK265" s="27"/>
      <c r="BL265" s="27"/>
      <c r="BM265" s="27"/>
      <c r="BN265" s="27"/>
      <c r="BO265" s="27"/>
      <c r="BP265" s="27"/>
      <c r="BQ265" s="27"/>
      <c r="BR265" s="27"/>
      <c r="BS265" s="27"/>
      <c r="BT265" s="27"/>
      <c r="BU265" s="27"/>
      <c r="BV265" s="27"/>
      <c r="BW265" s="27"/>
      <c r="BX265" s="27"/>
      <c r="BY265" s="27"/>
      <c r="BZ265" s="27"/>
      <c r="CA265" s="27"/>
      <c r="CB265" s="27"/>
      <c r="CC265" s="27"/>
      <c r="CD265" s="27"/>
      <c r="CE265" s="27"/>
      <c r="CF265" s="27"/>
      <c r="CG265" s="27"/>
      <c r="CH265" s="27"/>
      <c r="CI265" s="27"/>
      <c r="CJ265" s="27"/>
      <c r="CK265" s="27"/>
      <c r="CL265" s="27"/>
      <c r="CM265" s="27"/>
      <c r="CN265" s="27"/>
      <c r="CO265" s="27"/>
      <c r="CP265" s="27"/>
      <c r="CQ265" s="27"/>
      <c r="CR265" s="27"/>
      <c r="CS265" s="27"/>
      <c r="CT265" s="27"/>
      <c r="CU265" s="27"/>
      <c r="CV265" s="27"/>
      <c r="CW265" s="27"/>
      <c r="CX265" s="27"/>
      <c r="CY265" s="27"/>
      <c r="CZ265" s="27"/>
      <c r="DA265" s="27"/>
      <c r="DB265" s="27"/>
      <c r="DC265" s="27"/>
      <c r="DD265" s="27"/>
      <c r="DE265" s="27"/>
      <c r="DF265" s="27"/>
      <c r="DG265" s="27"/>
      <c r="DH265" s="27"/>
      <c r="DI265" s="27"/>
      <c r="DJ265" s="27"/>
      <c r="DK265" s="27"/>
      <c r="DL265" s="27"/>
      <c r="DM265" s="27"/>
      <c r="DN265" s="27"/>
      <c r="DO265" s="27"/>
      <c r="DP265" s="27"/>
      <c r="DQ265" s="27"/>
      <c r="DR265" s="27"/>
      <c r="DS265" s="27"/>
      <c r="DT265" s="27"/>
    </row>
    <row r="266" spans="2:124" x14ac:dyDescent="0.2">
      <c r="B266" s="27"/>
      <c r="C266" s="27"/>
      <c r="D266" s="27"/>
      <c r="E266" s="27"/>
      <c r="F266" s="27"/>
      <c r="G266" s="27"/>
      <c r="H266" s="27"/>
      <c r="I266" s="27"/>
      <c r="J266" s="27"/>
      <c r="K266" s="27"/>
      <c r="L266" s="27"/>
      <c r="M266" s="27"/>
      <c r="N266" s="27"/>
      <c r="O266" s="27"/>
      <c r="P266" s="27"/>
      <c r="Q266" s="27"/>
      <c r="R266" s="27"/>
      <c r="S266" s="27"/>
      <c r="T266" s="27"/>
      <c r="U266" s="27"/>
      <c r="V266" s="27"/>
      <c r="W266" s="27"/>
      <c r="X266" s="27"/>
      <c r="Y266" s="27"/>
      <c r="Z266" s="27"/>
      <c r="AA266" s="27"/>
      <c r="AB266" s="27"/>
      <c r="AC266" s="27"/>
      <c r="AD266" s="27"/>
      <c r="AE266" s="27"/>
      <c r="AF266" s="27"/>
      <c r="AG266" s="27"/>
      <c r="AH266" s="27"/>
      <c r="AI266" s="27"/>
      <c r="AJ266" s="27"/>
      <c r="AK266" s="27"/>
      <c r="AL266" s="27"/>
      <c r="AM266" s="27"/>
      <c r="AN266" s="27"/>
      <c r="AO266" s="27"/>
      <c r="AP266" s="27"/>
      <c r="AQ266" s="27"/>
      <c r="AR266" s="27"/>
      <c r="AS266" s="27"/>
      <c r="AT266" s="27"/>
      <c r="AU266" s="27"/>
      <c r="AV266" s="27"/>
      <c r="AW266" s="27"/>
      <c r="AX266" s="27"/>
      <c r="AY266" s="27"/>
      <c r="AZ266" s="27"/>
      <c r="BA266" s="27"/>
      <c r="BB266" s="27"/>
      <c r="BC266" s="27"/>
      <c r="BD266" s="27"/>
      <c r="BE266" s="27"/>
      <c r="BF266" s="27"/>
      <c r="BG266" s="27"/>
      <c r="BH266" s="27"/>
      <c r="BI266" s="27"/>
      <c r="BJ266" s="27"/>
      <c r="BK266" s="27"/>
      <c r="BL266" s="27"/>
      <c r="BM266" s="27"/>
      <c r="BN266" s="27"/>
      <c r="BO266" s="27"/>
      <c r="BP266" s="27"/>
      <c r="BQ266" s="27"/>
      <c r="BR266" s="27"/>
      <c r="BS266" s="27"/>
      <c r="BT266" s="27"/>
      <c r="BU266" s="27"/>
      <c r="BV266" s="27"/>
      <c r="BW266" s="27"/>
      <c r="BX266" s="27"/>
      <c r="BY266" s="27"/>
      <c r="BZ266" s="27"/>
      <c r="CA266" s="27"/>
      <c r="CB266" s="27"/>
      <c r="CC266" s="27"/>
      <c r="CD266" s="27"/>
      <c r="CE266" s="27"/>
      <c r="CF266" s="27"/>
      <c r="CG266" s="27"/>
      <c r="CH266" s="27"/>
      <c r="CI266" s="27"/>
      <c r="CJ266" s="27"/>
      <c r="CK266" s="27"/>
      <c r="CL266" s="27"/>
      <c r="CM266" s="27"/>
      <c r="CN266" s="27"/>
      <c r="CO266" s="27"/>
      <c r="CP266" s="27"/>
      <c r="CQ266" s="27"/>
      <c r="CR266" s="27"/>
      <c r="CS266" s="27"/>
      <c r="CT266" s="27"/>
      <c r="CU266" s="27"/>
      <c r="CV266" s="27"/>
      <c r="CW266" s="27"/>
      <c r="CX266" s="27"/>
      <c r="CY266" s="27"/>
      <c r="CZ266" s="27"/>
      <c r="DA266" s="27"/>
      <c r="DB266" s="27"/>
      <c r="DC266" s="27"/>
      <c r="DD266" s="27"/>
      <c r="DE266" s="27"/>
      <c r="DF266" s="27"/>
      <c r="DG266" s="27"/>
      <c r="DH266" s="27"/>
      <c r="DI266" s="27"/>
      <c r="DJ266" s="27"/>
      <c r="DK266" s="27"/>
      <c r="DL266" s="27"/>
      <c r="DM266" s="27"/>
      <c r="DN266" s="27"/>
      <c r="DO266" s="27"/>
      <c r="DP266" s="27"/>
      <c r="DQ266" s="27"/>
      <c r="DR266" s="27"/>
      <c r="DS266" s="27"/>
      <c r="DT266" s="27"/>
    </row>
    <row r="267" spans="2:124" x14ac:dyDescent="0.2">
      <c r="B267" s="27"/>
      <c r="C267" s="27"/>
      <c r="D267" s="27"/>
      <c r="E267" s="27"/>
      <c r="F267" s="27"/>
      <c r="G267" s="27"/>
      <c r="H267" s="27"/>
      <c r="I267" s="27"/>
      <c r="J267" s="27"/>
      <c r="K267" s="27"/>
      <c r="L267" s="27"/>
      <c r="M267" s="27"/>
      <c r="N267" s="27"/>
      <c r="O267" s="27"/>
      <c r="P267" s="27"/>
      <c r="Q267" s="27"/>
      <c r="R267" s="27"/>
      <c r="S267" s="27"/>
      <c r="T267" s="27"/>
      <c r="U267" s="27"/>
      <c r="V267" s="27"/>
      <c r="W267" s="27"/>
      <c r="X267" s="27"/>
      <c r="Y267" s="27"/>
      <c r="Z267" s="27"/>
      <c r="AA267" s="27"/>
      <c r="AB267" s="27"/>
      <c r="AC267" s="27"/>
      <c r="AD267" s="27"/>
      <c r="AE267" s="27"/>
      <c r="AF267" s="27"/>
      <c r="AG267" s="27"/>
      <c r="AH267" s="27"/>
      <c r="AI267" s="27"/>
      <c r="AJ267" s="27"/>
      <c r="AK267" s="27"/>
      <c r="AL267" s="27"/>
      <c r="AM267" s="27"/>
      <c r="AN267" s="27"/>
      <c r="AO267" s="27"/>
      <c r="AP267" s="27"/>
      <c r="AQ267" s="27"/>
      <c r="AR267" s="27"/>
      <c r="AS267" s="27"/>
      <c r="AT267" s="27"/>
      <c r="AU267" s="27"/>
      <c r="AV267" s="27"/>
      <c r="AW267" s="27"/>
      <c r="AX267" s="27"/>
      <c r="AY267" s="27"/>
      <c r="AZ267" s="27"/>
      <c r="BA267" s="27"/>
      <c r="BB267" s="27"/>
      <c r="BC267" s="27"/>
      <c r="BD267" s="27"/>
      <c r="BE267" s="27"/>
      <c r="BF267" s="27"/>
      <c r="BG267" s="27"/>
      <c r="BH267" s="27"/>
      <c r="BI267" s="27"/>
      <c r="BJ267" s="27"/>
      <c r="BK267" s="27"/>
      <c r="BL267" s="27"/>
      <c r="BM267" s="27"/>
      <c r="BN267" s="27"/>
      <c r="BO267" s="27"/>
      <c r="BP267" s="27"/>
      <c r="BQ267" s="27"/>
      <c r="BR267" s="27"/>
      <c r="BS267" s="27"/>
      <c r="BT267" s="27"/>
      <c r="BU267" s="27"/>
      <c r="BV267" s="27"/>
      <c r="BW267" s="27"/>
      <c r="BX267" s="27"/>
      <c r="BY267" s="27"/>
      <c r="BZ267" s="27"/>
      <c r="CA267" s="27"/>
      <c r="CB267" s="27"/>
      <c r="CC267" s="27"/>
      <c r="CD267" s="27"/>
      <c r="CE267" s="27"/>
      <c r="CF267" s="27"/>
      <c r="CG267" s="27"/>
      <c r="CH267" s="27"/>
      <c r="CI267" s="27"/>
      <c r="CJ267" s="27"/>
      <c r="CK267" s="27"/>
      <c r="CL267" s="27"/>
      <c r="CM267" s="27"/>
      <c r="CN267" s="27"/>
      <c r="CO267" s="27"/>
      <c r="CP267" s="27"/>
      <c r="CQ267" s="27"/>
      <c r="CR267" s="27"/>
      <c r="CS267" s="27"/>
      <c r="CT267" s="27"/>
      <c r="CU267" s="27"/>
      <c r="CV267" s="27"/>
      <c r="CW267" s="27"/>
      <c r="CX267" s="27"/>
      <c r="CY267" s="27"/>
      <c r="CZ267" s="27"/>
      <c r="DA267" s="27"/>
      <c r="DB267" s="27"/>
      <c r="DC267" s="27"/>
      <c r="DD267" s="27"/>
      <c r="DE267" s="27"/>
      <c r="DF267" s="27"/>
      <c r="DG267" s="27"/>
      <c r="DH267" s="27"/>
      <c r="DI267" s="27"/>
      <c r="DJ267" s="27"/>
      <c r="DK267" s="27"/>
      <c r="DL267" s="27"/>
      <c r="DM267" s="27"/>
      <c r="DN267" s="27"/>
      <c r="DO267" s="27"/>
      <c r="DP267" s="27"/>
      <c r="DQ267" s="27"/>
      <c r="DR267" s="27"/>
      <c r="DS267" s="27"/>
      <c r="DT267" s="27"/>
    </row>
    <row r="268" spans="2:124" x14ac:dyDescent="0.2">
      <c r="B268" s="27"/>
      <c r="C268" s="27"/>
      <c r="D268" s="27"/>
      <c r="E268" s="27"/>
      <c r="F268" s="27"/>
      <c r="G268" s="27"/>
      <c r="H268" s="27"/>
      <c r="I268" s="27"/>
      <c r="J268" s="27"/>
      <c r="K268" s="27"/>
      <c r="L268" s="27"/>
      <c r="M268" s="27"/>
      <c r="N268" s="27"/>
      <c r="O268" s="27"/>
      <c r="P268" s="27"/>
      <c r="Q268" s="27"/>
      <c r="R268" s="27"/>
      <c r="S268" s="27"/>
      <c r="T268" s="27"/>
      <c r="U268" s="27"/>
      <c r="V268" s="27"/>
      <c r="W268" s="27"/>
      <c r="X268" s="27"/>
      <c r="Y268" s="27"/>
      <c r="Z268" s="27"/>
      <c r="AA268" s="27"/>
      <c r="AB268" s="27"/>
      <c r="AC268" s="27"/>
      <c r="AD268" s="27"/>
      <c r="AE268" s="27"/>
      <c r="AF268" s="27"/>
      <c r="AG268" s="27"/>
      <c r="AH268" s="27"/>
      <c r="AI268" s="27"/>
      <c r="AJ268" s="27"/>
      <c r="AK268" s="27"/>
      <c r="AL268" s="27"/>
      <c r="AM268" s="27"/>
      <c r="AN268" s="27"/>
      <c r="AO268" s="27"/>
      <c r="AP268" s="27"/>
      <c r="AQ268" s="27"/>
      <c r="AR268" s="27"/>
      <c r="AS268" s="27"/>
      <c r="AT268" s="27"/>
      <c r="AU268" s="27"/>
      <c r="AV268" s="27"/>
      <c r="AW268" s="27"/>
      <c r="AX268" s="27"/>
      <c r="AY268" s="27"/>
      <c r="AZ268" s="27"/>
      <c r="BA268" s="27"/>
      <c r="BB268" s="27"/>
      <c r="BC268" s="27"/>
      <c r="BD268" s="27"/>
      <c r="BE268" s="27"/>
      <c r="BF268" s="27"/>
      <c r="BG268" s="27"/>
      <c r="BH268" s="27"/>
      <c r="BI268" s="27"/>
      <c r="BJ268" s="27"/>
      <c r="BK268" s="27"/>
      <c r="BL268" s="27"/>
      <c r="BM268" s="27"/>
      <c r="BN268" s="27"/>
      <c r="BO268" s="27"/>
      <c r="BP268" s="27"/>
      <c r="BQ268" s="27"/>
      <c r="BR268" s="27"/>
      <c r="BS268" s="27"/>
      <c r="BT268" s="27"/>
      <c r="BU268" s="27"/>
      <c r="BV268" s="27"/>
      <c r="BW268" s="27"/>
      <c r="BX268" s="27"/>
      <c r="BY268" s="27"/>
      <c r="BZ268" s="27"/>
      <c r="CA268" s="27"/>
      <c r="CB268" s="27"/>
      <c r="CC268" s="27"/>
      <c r="CD268" s="27"/>
      <c r="CE268" s="27"/>
      <c r="CF268" s="27"/>
      <c r="CG268" s="27"/>
      <c r="CH268" s="27"/>
      <c r="CI268" s="27"/>
      <c r="CJ268" s="27"/>
      <c r="CK268" s="27"/>
      <c r="CL268" s="27"/>
      <c r="CM268" s="27"/>
      <c r="CN268" s="27"/>
      <c r="CO268" s="27"/>
      <c r="CP268" s="27"/>
      <c r="CQ268" s="27"/>
      <c r="CR268" s="27"/>
      <c r="CS268" s="27"/>
      <c r="CT268" s="27"/>
      <c r="CU268" s="27"/>
      <c r="CV268" s="27"/>
      <c r="CW268" s="27"/>
      <c r="CX268" s="27"/>
      <c r="CY268" s="27"/>
      <c r="CZ268" s="27"/>
      <c r="DA268" s="27"/>
      <c r="DB268" s="27"/>
      <c r="DC268" s="27"/>
      <c r="DD268" s="27"/>
      <c r="DE268" s="27"/>
      <c r="DF268" s="27"/>
      <c r="DG268" s="27"/>
      <c r="DH268" s="27"/>
      <c r="DI268" s="27"/>
      <c r="DJ268" s="27"/>
      <c r="DK268" s="27"/>
      <c r="DL268" s="27"/>
      <c r="DM268" s="27"/>
      <c r="DN268" s="27"/>
      <c r="DO268" s="27"/>
      <c r="DP268" s="27"/>
      <c r="DQ268" s="27"/>
      <c r="DR268" s="27"/>
      <c r="DS268" s="27"/>
      <c r="DT268" s="27"/>
    </row>
    <row r="269" spans="2:124" x14ac:dyDescent="0.2">
      <c r="B269" s="27"/>
      <c r="C269" s="27"/>
      <c r="D269" s="27"/>
      <c r="E269" s="27"/>
      <c r="F269" s="27"/>
      <c r="G269" s="27"/>
      <c r="H269" s="27"/>
      <c r="I269" s="27"/>
      <c r="J269" s="27"/>
      <c r="K269" s="27"/>
      <c r="L269" s="27"/>
      <c r="M269" s="27"/>
      <c r="N269" s="27"/>
      <c r="O269" s="27"/>
      <c r="P269" s="27"/>
      <c r="Q269" s="27"/>
      <c r="R269" s="27"/>
      <c r="S269" s="27"/>
      <c r="T269" s="27"/>
      <c r="U269" s="27"/>
      <c r="V269" s="27"/>
      <c r="W269" s="27"/>
      <c r="X269" s="27"/>
      <c r="Y269" s="27"/>
      <c r="Z269" s="27"/>
      <c r="AA269" s="27"/>
      <c r="AB269" s="27"/>
      <c r="AC269" s="27"/>
      <c r="AD269" s="27"/>
      <c r="AE269" s="27"/>
      <c r="AF269" s="27"/>
      <c r="AG269" s="27"/>
      <c r="AH269" s="27"/>
      <c r="AI269" s="27"/>
      <c r="AJ269" s="27"/>
      <c r="AK269" s="27"/>
      <c r="AL269" s="27"/>
      <c r="AM269" s="27"/>
      <c r="AN269" s="27"/>
      <c r="AO269" s="27"/>
      <c r="AP269" s="27"/>
      <c r="AQ269" s="27"/>
      <c r="AR269" s="27"/>
      <c r="AS269" s="27"/>
      <c r="AT269" s="27"/>
      <c r="AU269" s="27"/>
      <c r="AV269" s="27"/>
      <c r="AW269" s="27"/>
      <c r="AX269" s="27"/>
      <c r="AY269" s="27"/>
      <c r="AZ269" s="27"/>
      <c r="BA269" s="27"/>
      <c r="BB269" s="27"/>
      <c r="BC269" s="27"/>
      <c r="BD269" s="27"/>
      <c r="BE269" s="27"/>
      <c r="BF269" s="27"/>
      <c r="BG269" s="27"/>
      <c r="BH269" s="27"/>
      <c r="BI269" s="27"/>
      <c r="BJ269" s="27"/>
      <c r="BK269" s="27"/>
      <c r="BL269" s="27"/>
      <c r="BM269" s="27"/>
      <c r="BN269" s="27"/>
      <c r="BO269" s="27"/>
      <c r="BP269" s="27"/>
      <c r="BQ269" s="27"/>
      <c r="BR269" s="27"/>
      <c r="BS269" s="27"/>
      <c r="BT269" s="27"/>
      <c r="BU269" s="27"/>
      <c r="BV269" s="27"/>
      <c r="BW269" s="27"/>
      <c r="BX269" s="27"/>
      <c r="BY269" s="27"/>
      <c r="BZ269" s="27"/>
      <c r="CA269" s="27"/>
      <c r="CB269" s="27"/>
      <c r="CC269" s="27"/>
      <c r="CD269" s="27"/>
      <c r="CE269" s="27"/>
      <c r="CF269" s="27"/>
      <c r="CG269" s="27"/>
      <c r="CH269" s="27"/>
      <c r="CI269" s="27"/>
      <c r="CJ269" s="27"/>
      <c r="CK269" s="27"/>
      <c r="CL269" s="27"/>
      <c r="CM269" s="27"/>
      <c r="CN269" s="27"/>
      <c r="CO269" s="27"/>
      <c r="CP269" s="27"/>
      <c r="CQ269" s="27"/>
      <c r="CR269" s="27"/>
      <c r="CS269" s="27"/>
      <c r="CT269" s="27"/>
      <c r="CU269" s="27"/>
      <c r="CV269" s="27"/>
      <c r="CW269" s="27"/>
      <c r="CX269" s="27"/>
      <c r="CY269" s="27"/>
      <c r="CZ269" s="27"/>
      <c r="DA269" s="27"/>
      <c r="DB269" s="27"/>
      <c r="DC269" s="27"/>
      <c r="DD269" s="27"/>
      <c r="DE269" s="27"/>
      <c r="DF269" s="27"/>
      <c r="DG269" s="27"/>
      <c r="DH269" s="27"/>
      <c r="DI269" s="27"/>
      <c r="DJ269" s="27"/>
      <c r="DK269" s="27"/>
      <c r="DL269" s="27"/>
      <c r="DM269" s="27"/>
      <c r="DN269" s="27"/>
      <c r="DO269" s="27"/>
      <c r="DP269" s="27"/>
      <c r="DQ269" s="27"/>
      <c r="DR269" s="27"/>
      <c r="DS269" s="27"/>
      <c r="DT269" s="27"/>
    </row>
    <row r="270" spans="2:124" x14ac:dyDescent="0.2">
      <c r="B270" s="27"/>
      <c r="C270" s="27"/>
      <c r="D270" s="27"/>
      <c r="E270" s="27"/>
      <c r="F270" s="27"/>
      <c r="G270" s="27"/>
      <c r="H270" s="27"/>
      <c r="I270" s="27"/>
      <c r="J270" s="27"/>
      <c r="K270" s="27"/>
      <c r="L270" s="27"/>
      <c r="M270" s="27"/>
      <c r="N270" s="27"/>
      <c r="O270" s="27"/>
      <c r="P270" s="27"/>
      <c r="Q270" s="27"/>
      <c r="R270" s="27"/>
      <c r="S270" s="27"/>
      <c r="T270" s="27"/>
      <c r="U270" s="27"/>
      <c r="V270" s="27"/>
      <c r="W270" s="27"/>
      <c r="X270" s="27"/>
      <c r="Y270" s="27"/>
      <c r="Z270" s="27"/>
      <c r="AA270" s="27"/>
      <c r="AB270" s="27"/>
      <c r="AC270" s="27"/>
      <c r="AD270" s="27"/>
      <c r="AE270" s="27"/>
      <c r="AF270" s="27"/>
      <c r="AG270" s="27"/>
      <c r="AH270" s="27"/>
      <c r="AI270" s="27"/>
      <c r="AJ270" s="27"/>
      <c r="AK270" s="27"/>
      <c r="AL270" s="27"/>
      <c r="AM270" s="27"/>
      <c r="AN270" s="27"/>
      <c r="AO270" s="27"/>
      <c r="AP270" s="27"/>
      <c r="AQ270" s="27"/>
      <c r="AR270" s="27"/>
      <c r="AS270" s="27"/>
      <c r="AT270" s="27"/>
      <c r="AU270" s="27"/>
      <c r="AV270" s="27"/>
      <c r="AW270" s="27"/>
      <c r="AX270" s="27"/>
      <c r="AY270" s="27"/>
      <c r="AZ270" s="27"/>
      <c r="BA270" s="27"/>
      <c r="BB270" s="27"/>
      <c r="BC270" s="27"/>
      <c r="BD270" s="27"/>
      <c r="BE270" s="27"/>
      <c r="BF270" s="27"/>
      <c r="BG270" s="27"/>
      <c r="BH270" s="27"/>
      <c r="BI270" s="27"/>
      <c r="BJ270" s="27"/>
      <c r="BK270" s="27"/>
      <c r="BL270" s="27"/>
      <c r="BM270" s="27"/>
      <c r="BN270" s="27"/>
      <c r="BO270" s="27"/>
      <c r="BP270" s="27"/>
      <c r="BQ270" s="27"/>
      <c r="BR270" s="27"/>
      <c r="BS270" s="27"/>
      <c r="BT270" s="27"/>
      <c r="BU270" s="27"/>
      <c r="BV270" s="27"/>
      <c r="BW270" s="27"/>
      <c r="BX270" s="27"/>
      <c r="BY270" s="27"/>
      <c r="BZ270" s="27"/>
      <c r="CA270" s="27"/>
      <c r="CB270" s="27"/>
      <c r="CC270" s="27"/>
      <c r="CD270" s="27"/>
      <c r="CE270" s="27"/>
      <c r="CF270" s="27"/>
      <c r="CG270" s="27"/>
      <c r="CH270" s="27"/>
      <c r="CI270" s="27"/>
      <c r="CJ270" s="27"/>
      <c r="CK270" s="27"/>
      <c r="CL270" s="27"/>
      <c r="CM270" s="27"/>
      <c r="CN270" s="27"/>
      <c r="CO270" s="27"/>
      <c r="CP270" s="27"/>
      <c r="CQ270" s="27"/>
      <c r="CR270" s="27"/>
      <c r="CS270" s="27"/>
      <c r="CT270" s="27"/>
      <c r="CU270" s="27"/>
      <c r="CV270" s="27"/>
      <c r="CW270" s="27"/>
      <c r="CX270" s="27"/>
      <c r="CY270" s="27"/>
      <c r="CZ270" s="27"/>
      <c r="DA270" s="27"/>
      <c r="DB270" s="27"/>
      <c r="DC270" s="27"/>
      <c r="DD270" s="27"/>
      <c r="DE270" s="27"/>
      <c r="DF270" s="27"/>
      <c r="DG270" s="27"/>
      <c r="DH270" s="27"/>
      <c r="DI270" s="27"/>
      <c r="DJ270" s="27"/>
      <c r="DK270" s="27"/>
      <c r="DL270" s="27"/>
      <c r="DM270" s="27"/>
      <c r="DN270" s="27"/>
      <c r="DO270" s="27"/>
      <c r="DP270" s="27"/>
      <c r="DQ270" s="27"/>
      <c r="DR270" s="27"/>
      <c r="DS270" s="27"/>
      <c r="DT270" s="27"/>
    </row>
    <row r="271" spans="2:124" x14ac:dyDescent="0.2">
      <c r="B271" s="27"/>
      <c r="C271" s="27"/>
      <c r="D271" s="27"/>
      <c r="E271" s="27"/>
      <c r="F271" s="27"/>
      <c r="G271" s="27"/>
      <c r="H271" s="27"/>
      <c r="I271" s="27"/>
      <c r="J271" s="27"/>
      <c r="K271" s="27"/>
      <c r="L271" s="27"/>
      <c r="M271" s="27"/>
      <c r="N271" s="27"/>
      <c r="O271" s="27"/>
      <c r="P271" s="27"/>
      <c r="Q271" s="27"/>
      <c r="R271" s="27"/>
      <c r="S271" s="27"/>
      <c r="T271" s="27"/>
      <c r="U271" s="27"/>
      <c r="V271" s="27"/>
      <c r="W271" s="27"/>
      <c r="X271" s="27"/>
      <c r="Y271" s="27"/>
      <c r="Z271" s="27"/>
      <c r="AA271" s="27"/>
      <c r="AB271" s="27"/>
      <c r="AC271" s="27"/>
      <c r="AD271" s="27"/>
      <c r="AE271" s="27"/>
      <c r="AF271" s="27"/>
      <c r="AG271" s="27"/>
      <c r="AH271" s="27"/>
      <c r="AI271" s="27"/>
      <c r="AJ271" s="27"/>
      <c r="AK271" s="27"/>
      <c r="AL271" s="27"/>
      <c r="AM271" s="27"/>
      <c r="AN271" s="27"/>
      <c r="AO271" s="27"/>
      <c r="AP271" s="27"/>
      <c r="AQ271" s="27"/>
      <c r="AR271" s="27"/>
      <c r="AS271" s="27"/>
      <c r="AT271" s="27"/>
      <c r="AU271" s="27"/>
      <c r="AV271" s="27"/>
      <c r="AW271" s="27"/>
      <c r="AX271" s="27"/>
      <c r="AY271" s="27"/>
      <c r="AZ271" s="27"/>
      <c r="BA271" s="27"/>
      <c r="BB271" s="27"/>
      <c r="BC271" s="27"/>
      <c r="BD271" s="27"/>
      <c r="BE271" s="27"/>
      <c r="BF271" s="27"/>
      <c r="BG271" s="27"/>
      <c r="BH271" s="27"/>
      <c r="BI271" s="27"/>
      <c r="BJ271" s="27"/>
      <c r="BK271" s="27"/>
      <c r="BL271" s="27"/>
      <c r="BM271" s="27"/>
      <c r="BN271" s="27"/>
      <c r="BO271" s="27"/>
      <c r="BP271" s="27"/>
      <c r="BQ271" s="27"/>
      <c r="BR271" s="27"/>
      <c r="BS271" s="27"/>
      <c r="BT271" s="27"/>
      <c r="BU271" s="27"/>
      <c r="BV271" s="27"/>
      <c r="BW271" s="27"/>
      <c r="BX271" s="27"/>
      <c r="BY271" s="27"/>
      <c r="BZ271" s="27"/>
      <c r="CA271" s="27"/>
      <c r="CB271" s="27"/>
      <c r="CC271" s="27"/>
      <c r="CD271" s="27"/>
      <c r="CE271" s="27"/>
      <c r="CF271" s="27"/>
      <c r="CG271" s="27"/>
      <c r="CH271" s="27"/>
      <c r="CI271" s="27"/>
      <c r="CJ271" s="27"/>
      <c r="CK271" s="27"/>
      <c r="CL271" s="27"/>
      <c r="CM271" s="27"/>
      <c r="CN271" s="27"/>
      <c r="CO271" s="27"/>
      <c r="CP271" s="27"/>
      <c r="CQ271" s="27"/>
      <c r="CR271" s="27"/>
      <c r="CS271" s="27"/>
      <c r="CT271" s="27"/>
      <c r="CU271" s="27"/>
      <c r="CV271" s="27"/>
      <c r="CW271" s="27"/>
      <c r="CX271" s="27"/>
      <c r="CY271" s="27"/>
      <c r="CZ271" s="27"/>
      <c r="DA271" s="27"/>
      <c r="DB271" s="27"/>
      <c r="DC271" s="27"/>
      <c r="DD271" s="27"/>
      <c r="DE271" s="27"/>
      <c r="DF271" s="27"/>
      <c r="DG271" s="27"/>
      <c r="DH271" s="27"/>
      <c r="DI271" s="27"/>
      <c r="DJ271" s="27"/>
      <c r="DK271" s="27"/>
      <c r="DL271" s="27"/>
      <c r="DM271" s="27"/>
      <c r="DN271" s="27"/>
      <c r="DO271" s="27"/>
      <c r="DP271" s="27"/>
      <c r="DQ271" s="27"/>
      <c r="DR271" s="27"/>
      <c r="DS271" s="27"/>
      <c r="DT271" s="27"/>
    </row>
    <row r="272" spans="2:124" x14ac:dyDescent="0.2">
      <c r="B272" s="27"/>
      <c r="C272" s="27"/>
      <c r="D272" s="27"/>
      <c r="E272" s="27"/>
      <c r="F272" s="27"/>
      <c r="G272" s="27"/>
      <c r="H272" s="27"/>
      <c r="I272" s="27"/>
      <c r="J272" s="27"/>
      <c r="K272" s="27"/>
      <c r="L272" s="27"/>
      <c r="M272" s="27"/>
      <c r="N272" s="27"/>
      <c r="O272" s="27"/>
      <c r="P272" s="27"/>
      <c r="Q272" s="27"/>
      <c r="R272" s="27"/>
      <c r="S272" s="27"/>
      <c r="T272" s="27"/>
      <c r="U272" s="27"/>
      <c r="V272" s="27"/>
      <c r="W272" s="27"/>
      <c r="X272" s="27"/>
      <c r="Y272" s="27"/>
      <c r="Z272" s="27"/>
      <c r="AA272" s="27"/>
      <c r="AB272" s="27"/>
      <c r="AC272" s="27"/>
      <c r="AD272" s="27"/>
      <c r="AE272" s="27"/>
      <c r="AF272" s="27"/>
      <c r="AG272" s="27"/>
      <c r="AH272" s="27"/>
      <c r="AI272" s="27"/>
      <c r="AJ272" s="27"/>
      <c r="AK272" s="27"/>
      <c r="AL272" s="27"/>
      <c r="AM272" s="27"/>
      <c r="AN272" s="27"/>
      <c r="AO272" s="27"/>
      <c r="AP272" s="27"/>
      <c r="AQ272" s="27"/>
      <c r="AR272" s="27"/>
      <c r="AS272" s="27"/>
      <c r="AT272" s="27"/>
      <c r="AU272" s="27"/>
      <c r="AV272" s="27"/>
      <c r="AW272" s="27"/>
      <c r="AX272" s="27"/>
      <c r="AY272" s="27"/>
      <c r="AZ272" s="27"/>
      <c r="BA272" s="27"/>
      <c r="BB272" s="27"/>
      <c r="BC272" s="27"/>
      <c r="BD272" s="27"/>
      <c r="BE272" s="27"/>
      <c r="BF272" s="27"/>
      <c r="BG272" s="27"/>
      <c r="BH272" s="27"/>
      <c r="BI272" s="27"/>
      <c r="BJ272" s="27"/>
      <c r="BK272" s="27"/>
      <c r="BL272" s="27"/>
      <c r="BM272" s="27"/>
      <c r="BN272" s="27"/>
      <c r="BO272" s="27"/>
      <c r="BP272" s="27"/>
      <c r="BQ272" s="27"/>
      <c r="BR272" s="27"/>
      <c r="BS272" s="27"/>
      <c r="BT272" s="27"/>
      <c r="BU272" s="27"/>
      <c r="BV272" s="27"/>
      <c r="BW272" s="27"/>
      <c r="BX272" s="27"/>
      <c r="BY272" s="27"/>
      <c r="BZ272" s="27"/>
      <c r="CA272" s="27"/>
      <c r="CB272" s="27"/>
      <c r="CC272" s="27"/>
      <c r="CD272" s="27"/>
      <c r="CE272" s="27"/>
      <c r="CF272" s="27"/>
      <c r="CG272" s="27"/>
      <c r="CH272" s="27"/>
      <c r="CI272" s="27"/>
      <c r="CJ272" s="27"/>
      <c r="CK272" s="27"/>
      <c r="CL272" s="27"/>
      <c r="CM272" s="27"/>
      <c r="CN272" s="27"/>
      <c r="CO272" s="27"/>
      <c r="CP272" s="27"/>
      <c r="CQ272" s="27"/>
      <c r="CR272" s="27"/>
      <c r="CS272" s="27"/>
      <c r="CT272" s="27"/>
      <c r="CU272" s="27"/>
      <c r="CV272" s="27"/>
      <c r="CW272" s="27"/>
      <c r="CX272" s="27"/>
      <c r="CY272" s="27"/>
      <c r="CZ272" s="27"/>
      <c r="DA272" s="27"/>
      <c r="DB272" s="27"/>
      <c r="DC272" s="27"/>
      <c r="DD272" s="27"/>
      <c r="DE272" s="27"/>
      <c r="DF272" s="27"/>
      <c r="DG272" s="27"/>
      <c r="DH272" s="27"/>
      <c r="DI272" s="27"/>
      <c r="DJ272" s="27"/>
      <c r="DK272" s="27"/>
      <c r="DL272" s="27"/>
      <c r="DM272" s="27"/>
      <c r="DN272" s="27"/>
      <c r="DO272" s="27"/>
      <c r="DP272" s="27"/>
      <c r="DQ272" s="27"/>
      <c r="DR272" s="27"/>
      <c r="DS272" s="27"/>
      <c r="DT272" s="27"/>
    </row>
    <row r="273" spans="2:124" x14ac:dyDescent="0.2">
      <c r="B273" s="27"/>
      <c r="C273" s="27"/>
      <c r="D273" s="27"/>
      <c r="E273" s="27"/>
      <c r="F273" s="27"/>
      <c r="G273" s="27"/>
      <c r="H273" s="27"/>
      <c r="I273" s="27"/>
      <c r="J273" s="27"/>
      <c r="K273" s="27"/>
      <c r="L273" s="27"/>
      <c r="M273" s="27"/>
      <c r="N273" s="27"/>
      <c r="O273" s="27"/>
      <c r="P273" s="27"/>
      <c r="Q273" s="27"/>
      <c r="R273" s="27"/>
      <c r="S273" s="27"/>
      <c r="T273" s="27"/>
      <c r="U273" s="27"/>
      <c r="V273" s="27"/>
      <c r="W273" s="27"/>
      <c r="X273" s="27"/>
      <c r="Y273" s="27"/>
      <c r="Z273" s="27"/>
      <c r="AA273" s="27"/>
      <c r="AB273" s="27"/>
      <c r="AC273" s="27"/>
      <c r="AD273" s="27"/>
      <c r="AE273" s="27"/>
      <c r="AF273" s="27"/>
      <c r="AG273" s="27"/>
      <c r="AH273" s="27"/>
      <c r="AI273" s="27"/>
      <c r="AJ273" s="27"/>
      <c r="AK273" s="27"/>
      <c r="AL273" s="27"/>
      <c r="AM273" s="27"/>
      <c r="AN273" s="27"/>
      <c r="AO273" s="27"/>
      <c r="AP273" s="27"/>
      <c r="AQ273" s="27"/>
      <c r="AR273" s="27"/>
      <c r="AS273" s="27"/>
      <c r="AT273" s="27"/>
      <c r="AU273" s="27"/>
      <c r="AV273" s="27"/>
      <c r="AW273" s="27"/>
      <c r="AX273" s="27"/>
      <c r="AY273" s="27"/>
      <c r="AZ273" s="27"/>
      <c r="BA273" s="27"/>
      <c r="BB273" s="27"/>
      <c r="BC273" s="27"/>
      <c r="BD273" s="27"/>
      <c r="BE273" s="27"/>
      <c r="BF273" s="27"/>
      <c r="BG273" s="27"/>
      <c r="BH273" s="27"/>
      <c r="BI273" s="27"/>
      <c r="BJ273" s="27"/>
      <c r="BK273" s="27"/>
      <c r="BL273" s="27"/>
      <c r="BM273" s="27"/>
      <c r="BN273" s="27"/>
      <c r="BO273" s="27"/>
      <c r="BP273" s="27"/>
      <c r="BQ273" s="27"/>
      <c r="BR273" s="27"/>
      <c r="BS273" s="27"/>
      <c r="BT273" s="27"/>
      <c r="BU273" s="27"/>
      <c r="BV273" s="27"/>
      <c r="BW273" s="27"/>
      <c r="BX273" s="27"/>
      <c r="BY273" s="27"/>
      <c r="BZ273" s="27"/>
      <c r="CA273" s="27"/>
      <c r="CB273" s="27"/>
      <c r="CC273" s="27"/>
      <c r="CD273" s="27"/>
      <c r="CE273" s="27"/>
      <c r="CF273" s="27"/>
      <c r="CG273" s="27"/>
      <c r="CH273" s="27"/>
      <c r="CI273" s="27"/>
      <c r="CJ273" s="27"/>
      <c r="CK273" s="27"/>
      <c r="CL273" s="27"/>
      <c r="CM273" s="27"/>
      <c r="CN273" s="27"/>
      <c r="CO273" s="27"/>
      <c r="CP273" s="27"/>
      <c r="CQ273" s="27"/>
      <c r="CR273" s="27"/>
      <c r="CS273" s="27"/>
      <c r="CT273" s="27"/>
      <c r="CU273" s="27"/>
      <c r="CV273" s="27"/>
      <c r="CW273" s="27"/>
      <c r="CX273" s="27"/>
      <c r="CY273" s="27"/>
      <c r="CZ273" s="27"/>
      <c r="DA273" s="27"/>
      <c r="DB273" s="27"/>
      <c r="DC273" s="27"/>
      <c r="DD273" s="27"/>
      <c r="DE273" s="27"/>
      <c r="DF273" s="27"/>
      <c r="DG273" s="27"/>
      <c r="DH273" s="27"/>
      <c r="DI273" s="27"/>
      <c r="DJ273" s="27"/>
      <c r="DK273" s="27"/>
      <c r="DL273" s="27"/>
      <c r="DM273" s="27"/>
      <c r="DN273" s="27"/>
      <c r="DO273" s="27"/>
      <c r="DP273" s="27"/>
      <c r="DQ273" s="27"/>
      <c r="DR273" s="27"/>
      <c r="DS273" s="27"/>
      <c r="DT273" s="27"/>
    </row>
    <row r="274" spans="2:124" x14ac:dyDescent="0.2">
      <c r="B274" s="27"/>
      <c r="C274" s="27"/>
      <c r="D274" s="27"/>
      <c r="E274" s="27"/>
      <c r="F274" s="27"/>
      <c r="G274" s="27"/>
      <c r="H274" s="27"/>
      <c r="I274" s="27"/>
      <c r="J274" s="27"/>
      <c r="K274" s="27"/>
      <c r="L274" s="27"/>
      <c r="M274" s="27"/>
      <c r="N274" s="27"/>
      <c r="O274" s="27"/>
      <c r="P274" s="27"/>
      <c r="Q274" s="27"/>
      <c r="R274" s="27"/>
      <c r="S274" s="27"/>
      <c r="T274" s="27"/>
      <c r="U274" s="27"/>
      <c r="V274" s="27"/>
      <c r="W274" s="27"/>
      <c r="X274" s="27"/>
      <c r="Y274" s="27"/>
      <c r="Z274" s="27"/>
      <c r="AA274" s="27"/>
      <c r="AB274" s="27"/>
      <c r="AC274" s="27"/>
      <c r="AD274" s="27"/>
      <c r="AE274" s="27"/>
      <c r="AF274" s="27"/>
      <c r="AG274" s="27"/>
      <c r="AH274" s="27"/>
      <c r="AI274" s="27"/>
      <c r="AJ274" s="27"/>
      <c r="AK274" s="27"/>
      <c r="AL274" s="27"/>
      <c r="AM274" s="27"/>
      <c r="AN274" s="27"/>
      <c r="AO274" s="27"/>
      <c r="AP274" s="27"/>
      <c r="AQ274" s="27"/>
      <c r="AR274" s="27"/>
      <c r="AS274" s="27"/>
      <c r="AT274" s="27"/>
      <c r="AU274" s="27"/>
      <c r="AV274" s="27"/>
      <c r="AW274" s="27"/>
      <c r="AX274" s="27"/>
      <c r="AY274" s="27"/>
      <c r="AZ274" s="27"/>
      <c r="BA274" s="27"/>
      <c r="BB274" s="27"/>
      <c r="BC274" s="27"/>
      <c r="BD274" s="27"/>
      <c r="BE274" s="27"/>
      <c r="BF274" s="27"/>
      <c r="BG274" s="27"/>
      <c r="BH274" s="27"/>
      <c r="BI274" s="27"/>
      <c r="BJ274" s="27"/>
      <c r="BK274" s="27"/>
      <c r="BL274" s="27"/>
      <c r="BM274" s="27"/>
      <c r="BN274" s="27"/>
      <c r="BO274" s="27"/>
      <c r="BP274" s="27"/>
      <c r="BQ274" s="27"/>
      <c r="BR274" s="27"/>
      <c r="BS274" s="27"/>
      <c r="BT274" s="27"/>
      <c r="BU274" s="27"/>
      <c r="BV274" s="27"/>
      <c r="BW274" s="27"/>
      <c r="BX274" s="27"/>
      <c r="BY274" s="27"/>
      <c r="BZ274" s="27"/>
      <c r="CA274" s="27"/>
      <c r="CB274" s="27"/>
      <c r="CC274" s="27"/>
      <c r="CD274" s="27"/>
      <c r="CE274" s="27"/>
      <c r="CF274" s="27"/>
      <c r="CG274" s="27"/>
      <c r="CH274" s="27"/>
      <c r="CI274" s="27"/>
      <c r="CJ274" s="27"/>
      <c r="CK274" s="27"/>
      <c r="CL274" s="27"/>
      <c r="CM274" s="27"/>
      <c r="CN274" s="27"/>
      <c r="CO274" s="27"/>
      <c r="CP274" s="27"/>
      <c r="CQ274" s="27"/>
      <c r="CR274" s="27"/>
      <c r="CS274" s="27"/>
      <c r="CT274" s="27"/>
      <c r="CU274" s="27"/>
      <c r="CV274" s="27"/>
      <c r="CW274" s="27"/>
      <c r="CX274" s="27"/>
      <c r="CY274" s="27"/>
      <c r="CZ274" s="27"/>
      <c r="DA274" s="27"/>
      <c r="DB274" s="27"/>
      <c r="DC274" s="27"/>
      <c r="DD274" s="27"/>
      <c r="DE274" s="27"/>
      <c r="DF274" s="27"/>
      <c r="DG274" s="27"/>
      <c r="DH274" s="27"/>
      <c r="DI274" s="27"/>
      <c r="DJ274" s="27"/>
      <c r="DK274" s="27"/>
      <c r="DL274" s="27"/>
      <c r="DM274" s="27"/>
      <c r="DN274" s="27"/>
      <c r="DO274" s="27"/>
      <c r="DP274" s="27"/>
      <c r="DQ274" s="27"/>
      <c r="DR274" s="27"/>
      <c r="DS274" s="27"/>
      <c r="DT274" s="27"/>
    </row>
    <row r="275" spans="2:124" x14ac:dyDescent="0.2">
      <c r="B275" s="27"/>
      <c r="C275" s="27"/>
      <c r="D275" s="27"/>
      <c r="E275" s="27"/>
      <c r="F275" s="27"/>
      <c r="G275" s="27"/>
      <c r="H275" s="27"/>
      <c r="I275" s="27"/>
      <c r="J275" s="27"/>
      <c r="K275" s="27"/>
      <c r="L275" s="27"/>
      <c r="M275" s="27"/>
      <c r="N275" s="27"/>
      <c r="O275" s="27"/>
      <c r="P275" s="27"/>
      <c r="Q275" s="27"/>
      <c r="R275" s="27"/>
      <c r="S275" s="27"/>
      <c r="T275" s="27"/>
      <c r="U275" s="27"/>
      <c r="V275" s="27"/>
      <c r="W275" s="27"/>
      <c r="X275" s="27"/>
      <c r="Y275" s="27"/>
      <c r="Z275" s="27"/>
      <c r="AA275" s="27"/>
      <c r="AB275" s="27"/>
      <c r="AC275" s="27"/>
      <c r="AD275" s="27"/>
      <c r="AE275" s="27"/>
      <c r="AF275" s="27"/>
      <c r="AG275" s="27"/>
      <c r="AH275" s="27"/>
      <c r="AI275" s="27"/>
      <c r="AJ275" s="27"/>
      <c r="AK275" s="27"/>
      <c r="AL275" s="27"/>
      <c r="AM275" s="27"/>
      <c r="AN275" s="27"/>
      <c r="AO275" s="27"/>
      <c r="AP275" s="27"/>
      <c r="AQ275" s="27"/>
      <c r="AR275" s="27"/>
      <c r="AS275" s="27"/>
      <c r="AT275" s="27"/>
      <c r="AU275" s="27"/>
      <c r="AV275" s="27"/>
      <c r="AW275" s="27"/>
      <c r="AX275" s="27"/>
      <c r="AY275" s="27"/>
      <c r="AZ275" s="27"/>
      <c r="BA275" s="27"/>
      <c r="BB275" s="27"/>
      <c r="BC275" s="27"/>
      <c r="BD275" s="27"/>
      <c r="BE275" s="27"/>
      <c r="BF275" s="27"/>
      <c r="BG275" s="27"/>
      <c r="BH275" s="27"/>
      <c r="BI275" s="27"/>
      <c r="BJ275" s="27"/>
      <c r="BK275" s="27"/>
      <c r="BL275" s="27"/>
      <c r="BM275" s="27"/>
      <c r="BN275" s="27"/>
      <c r="BO275" s="27"/>
      <c r="BP275" s="27"/>
      <c r="BQ275" s="27"/>
      <c r="BR275" s="27"/>
      <c r="BS275" s="27"/>
      <c r="BT275" s="27"/>
      <c r="BU275" s="27"/>
      <c r="BV275" s="27"/>
      <c r="BW275" s="27"/>
      <c r="BX275" s="27"/>
      <c r="BY275" s="27"/>
      <c r="BZ275" s="27"/>
      <c r="CA275" s="27"/>
      <c r="CB275" s="27"/>
      <c r="CC275" s="27"/>
      <c r="CD275" s="27"/>
      <c r="CE275" s="27"/>
      <c r="CF275" s="27"/>
      <c r="CG275" s="27"/>
      <c r="CH275" s="27"/>
      <c r="CI275" s="27"/>
      <c r="CJ275" s="27"/>
      <c r="CK275" s="27"/>
      <c r="CL275" s="27"/>
      <c r="CM275" s="27"/>
      <c r="CN275" s="27"/>
      <c r="CO275" s="27"/>
      <c r="CP275" s="27"/>
      <c r="CQ275" s="27"/>
      <c r="CR275" s="27"/>
      <c r="CS275" s="27"/>
      <c r="CT275" s="27"/>
      <c r="CU275" s="27"/>
      <c r="CV275" s="27"/>
      <c r="CW275" s="27"/>
      <c r="CX275" s="27"/>
      <c r="CY275" s="27"/>
      <c r="CZ275" s="27"/>
      <c r="DA275" s="27"/>
      <c r="DB275" s="27"/>
      <c r="DC275" s="27"/>
      <c r="DD275" s="27"/>
      <c r="DE275" s="27"/>
      <c r="DF275" s="27"/>
      <c r="DG275" s="27"/>
      <c r="DH275" s="27"/>
      <c r="DI275" s="27"/>
      <c r="DJ275" s="27"/>
      <c r="DK275" s="27"/>
      <c r="DL275" s="27"/>
      <c r="DM275" s="27"/>
      <c r="DN275" s="27"/>
      <c r="DO275" s="27"/>
      <c r="DP275" s="27"/>
      <c r="DQ275" s="27"/>
      <c r="DR275" s="27"/>
      <c r="DS275" s="27"/>
      <c r="DT275" s="27"/>
    </row>
    <row r="276" spans="2:124" x14ac:dyDescent="0.2">
      <c r="B276" s="27"/>
      <c r="C276" s="27"/>
      <c r="D276" s="27"/>
      <c r="E276" s="27"/>
      <c r="F276" s="27"/>
      <c r="G276" s="27"/>
      <c r="H276" s="27"/>
      <c r="I276" s="27"/>
      <c r="J276" s="27"/>
      <c r="K276" s="27"/>
      <c r="L276" s="27"/>
      <c r="M276" s="27"/>
      <c r="N276" s="27"/>
      <c r="O276" s="27"/>
      <c r="P276" s="27"/>
      <c r="Q276" s="27"/>
      <c r="R276" s="27"/>
      <c r="S276" s="27"/>
      <c r="T276" s="27"/>
      <c r="U276" s="27"/>
      <c r="V276" s="27"/>
      <c r="W276" s="27"/>
      <c r="X276" s="27"/>
      <c r="Y276" s="27"/>
      <c r="Z276" s="27"/>
      <c r="AA276" s="27"/>
      <c r="AB276" s="27"/>
      <c r="AC276" s="27"/>
      <c r="AD276" s="27"/>
      <c r="AE276" s="27"/>
      <c r="AF276" s="27"/>
      <c r="AG276" s="27"/>
      <c r="AH276" s="27"/>
      <c r="AI276" s="27"/>
      <c r="AJ276" s="27"/>
      <c r="AK276" s="27"/>
      <c r="AL276" s="27"/>
      <c r="AM276" s="27"/>
      <c r="AN276" s="27"/>
      <c r="AO276" s="27"/>
      <c r="AP276" s="27"/>
      <c r="AQ276" s="27"/>
      <c r="AR276" s="27"/>
      <c r="AS276" s="27"/>
      <c r="AT276" s="27"/>
      <c r="AU276" s="27"/>
      <c r="AV276" s="27"/>
      <c r="AW276" s="27"/>
      <c r="AX276" s="27"/>
      <c r="AY276" s="27"/>
      <c r="AZ276" s="27"/>
      <c r="BA276" s="27"/>
      <c r="BB276" s="27"/>
      <c r="BC276" s="27"/>
      <c r="BD276" s="27"/>
      <c r="BE276" s="27"/>
      <c r="BF276" s="27"/>
      <c r="BG276" s="27"/>
      <c r="BH276" s="27"/>
      <c r="BI276" s="27"/>
      <c r="BJ276" s="27"/>
      <c r="BK276" s="27"/>
      <c r="BL276" s="27"/>
      <c r="BM276" s="27"/>
      <c r="BN276" s="27"/>
      <c r="BO276" s="27"/>
      <c r="BP276" s="27"/>
      <c r="BQ276" s="27"/>
      <c r="BR276" s="27"/>
      <c r="BS276" s="27"/>
      <c r="BT276" s="27"/>
      <c r="BU276" s="27"/>
      <c r="BV276" s="27"/>
      <c r="BW276" s="27"/>
      <c r="BX276" s="27"/>
      <c r="BY276" s="27"/>
      <c r="BZ276" s="27"/>
      <c r="CA276" s="27"/>
      <c r="CB276" s="27"/>
      <c r="CC276" s="27"/>
      <c r="CD276" s="27"/>
      <c r="CE276" s="27"/>
      <c r="CF276" s="27"/>
      <c r="CG276" s="27"/>
      <c r="CH276" s="27"/>
      <c r="CI276" s="27"/>
      <c r="CJ276" s="27"/>
      <c r="CK276" s="27"/>
      <c r="CL276" s="27"/>
      <c r="CM276" s="27"/>
      <c r="CN276" s="27"/>
      <c r="CO276" s="27"/>
      <c r="CP276" s="27"/>
      <c r="CQ276" s="27"/>
      <c r="CR276" s="27"/>
      <c r="CS276" s="27"/>
      <c r="CT276" s="27"/>
      <c r="CU276" s="27"/>
      <c r="CV276" s="27"/>
      <c r="CW276" s="27"/>
      <c r="CX276" s="27"/>
      <c r="CY276" s="27"/>
      <c r="CZ276" s="27"/>
      <c r="DA276" s="27"/>
      <c r="DB276" s="27"/>
      <c r="DC276" s="27"/>
      <c r="DD276" s="27"/>
      <c r="DE276" s="27"/>
      <c r="DF276" s="27"/>
      <c r="DG276" s="27"/>
      <c r="DH276" s="27"/>
      <c r="DI276" s="27"/>
      <c r="DJ276" s="27"/>
      <c r="DK276" s="27"/>
      <c r="DL276" s="27"/>
      <c r="DM276" s="27"/>
      <c r="DN276" s="27"/>
      <c r="DO276" s="27"/>
      <c r="DP276" s="27"/>
      <c r="DQ276" s="27"/>
      <c r="DR276" s="27"/>
      <c r="DS276" s="27"/>
      <c r="DT276" s="27"/>
    </row>
    <row r="277" spans="2:124" x14ac:dyDescent="0.2">
      <c r="B277" s="27"/>
      <c r="C277" s="27"/>
      <c r="D277" s="27"/>
      <c r="E277" s="27"/>
      <c r="F277" s="27"/>
      <c r="G277" s="27"/>
      <c r="H277" s="27"/>
      <c r="I277" s="27"/>
      <c r="J277" s="27"/>
      <c r="K277" s="27"/>
      <c r="L277" s="27"/>
      <c r="M277" s="27"/>
      <c r="N277" s="27"/>
      <c r="O277" s="27"/>
      <c r="P277" s="27"/>
      <c r="Q277" s="27"/>
      <c r="R277" s="27"/>
      <c r="S277" s="27"/>
      <c r="T277" s="27"/>
      <c r="U277" s="27"/>
      <c r="V277" s="27"/>
      <c r="W277" s="27"/>
      <c r="X277" s="27"/>
      <c r="Y277" s="27"/>
      <c r="Z277" s="27"/>
      <c r="AA277" s="27"/>
      <c r="AB277" s="27"/>
      <c r="AC277" s="27"/>
      <c r="AD277" s="27"/>
      <c r="AE277" s="27"/>
      <c r="AF277" s="27"/>
      <c r="AG277" s="27"/>
      <c r="AH277" s="27"/>
      <c r="AI277" s="27"/>
      <c r="AJ277" s="27"/>
      <c r="AK277" s="27"/>
      <c r="AL277" s="27"/>
      <c r="AM277" s="27"/>
      <c r="AN277" s="27"/>
      <c r="AO277" s="27"/>
      <c r="AP277" s="27"/>
      <c r="AQ277" s="27"/>
      <c r="AR277" s="27"/>
      <c r="AS277" s="27"/>
      <c r="AT277" s="27"/>
      <c r="AU277" s="27"/>
      <c r="AV277" s="27"/>
      <c r="AW277" s="27"/>
      <c r="AX277" s="27"/>
      <c r="AY277" s="27"/>
      <c r="AZ277" s="27"/>
      <c r="BA277" s="27"/>
      <c r="BB277" s="27"/>
      <c r="BC277" s="27"/>
      <c r="BD277" s="27"/>
      <c r="BE277" s="27"/>
      <c r="BF277" s="27"/>
      <c r="BG277" s="27"/>
      <c r="BH277" s="27"/>
      <c r="BI277" s="27"/>
      <c r="BJ277" s="27"/>
      <c r="BK277" s="27"/>
      <c r="BL277" s="27"/>
      <c r="BM277" s="27"/>
      <c r="BN277" s="27"/>
      <c r="BO277" s="27"/>
      <c r="BP277" s="27"/>
      <c r="BQ277" s="27"/>
      <c r="BR277" s="27"/>
      <c r="BS277" s="27"/>
      <c r="BT277" s="27"/>
      <c r="BU277" s="27"/>
      <c r="BV277" s="27"/>
      <c r="BW277" s="27"/>
      <c r="BX277" s="27"/>
      <c r="BY277" s="27"/>
      <c r="BZ277" s="27"/>
      <c r="CA277" s="27"/>
      <c r="CB277" s="27"/>
      <c r="CC277" s="27"/>
      <c r="CD277" s="27"/>
      <c r="CE277" s="27"/>
      <c r="CF277" s="27"/>
      <c r="CG277" s="27"/>
      <c r="CH277" s="27"/>
      <c r="CI277" s="27"/>
      <c r="CJ277" s="27"/>
      <c r="CK277" s="27"/>
      <c r="CL277" s="27"/>
      <c r="CM277" s="27"/>
      <c r="CN277" s="27"/>
      <c r="CO277" s="27"/>
      <c r="CP277" s="27"/>
      <c r="CQ277" s="27"/>
      <c r="CR277" s="27"/>
      <c r="CS277" s="27"/>
      <c r="CT277" s="27"/>
      <c r="CU277" s="27"/>
      <c r="CV277" s="27"/>
      <c r="CW277" s="27"/>
      <c r="CX277" s="27"/>
      <c r="CY277" s="27"/>
      <c r="CZ277" s="27"/>
      <c r="DA277" s="27"/>
      <c r="DB277" s="27"/>
      <c r="DC277" s="27"/>
      <c r="DD277" s="27"/>
      <c r="DE277" s="27"/>
      <c r="DF277" s="27"/>
      <c r="DG277" s="27"/>
      <c r="DH277" s="27"/>
      <c r="DI277" s="27"/>
      <c r="DJ277" s="27"/>
      <c r="DK277" s="27"/>
      <c r="DL277" s="27"/>
      <c r="DM277" s="27"/>
      <c r="DN277" s="27"/>
      <c r="DO277" s="27"/>
      <c r="DP277" s="27"/>
      <c r="DQ277" s="27"/>
      <c r="DR277" s="27"/>
      <c r="DS277" s="27"/>
      <c r="DT277" s="27"/>
    </row>
    <row r="278" spans="2:124" x14ac:dyDescent="0.2">
      <c r="B278" s="27"/>
      <c r="C278" s="27"/>
      <c r="D278" s="27"/>
      <c r="E278" s="27"/>
      <c r="F278" s="27"/>
      <c r="G278" s="27"/>
      <c r="H278" s="27"/>
      <c r="I278" s="27"/>
      <c r="J278" s="27"/>
      <c r="K278" s="27"/>
      <c r="L278" s="27"/>
      <c r="M278" s="27"/>
      <c r="N278" s="27"/>
      <c r="O278" s="27"/>
      <c r="P278" s="27"/>
      <c r="Q278" s="27"/>
      <c r="R278" s="27"/>
      <c r="S278" s="27"/>
      <c r="T278" s="27"/>
      <c r="U278" s="27"/>
      <c r="V278" s="27"/>
      <c r="W278" s="27"/>
      <c r="X278" s="27"/>
      <c r="Y278" s="27"/>
      <c r="Z278" s="27"/>
      <c r="AA278" s="27"/>
      <c r="AB278" s="27"/>
      <c r="AC278" s="27"/>
      <c r="AD278" s="27"/>
      <c r="AE278" s="27"/>
      <c r="AF278" s="27"/>
      <c r="AG278" s="27"/>
      <c r="AH278" s="27"/>
      <c r="AI278" s="27"/>
      <c r="AJ278" s="27"/>
      <c r="AK278" s="27"/>
      <c r="AL278" s="27"/>
      <c r="AM278" s="27"/>
      <c r="AN278" s="27"/>
      <c r="AO278" s="27"/>
      <c r="AP278" s="27"/>
      <c r="AQ278" s="27"/>
      <c r="AR278" s="27"/>
      <c r="AS278" s="27"/>
      <c r="AT278" s="27"/>
      <c r="AU278" s="27"/>
      <c r="AV278" s="27"/>
      <c r="AW278" s="27"/>
      <c r="AX278" s="27"/>
      <c r="AY278" s="27"/>
      <c r="AZ278" s="27"/>
      <c r="BA278" s="27"/>
      <c r="BB278" s="27"/>
      <c r="BC278" s="27"/>
      <c r="BD278" s="27"/>
      <c r="BE278" s="27"/>
      <c r="BF278" s="27"/>
      <c r="BG278" s="27"/>
      <c r="BH278" s="27"/>
      <c r="BI278" s="27"/>
      <c r="BJ278" s="27"/>
      <c r="BK278" s="27"/>
      <c r="BL278" s="27"/>
      <c r="BM278" s="27"/>
      <c r="BN278" s="27"/>
      <c r="BO278" s="27"/>
      <c r="BP278" s="27"/>
      <c r="BQ278" s="27"/>
      <c r="BR278" s="27"/>
      <c r="BS278" s="27"/>
      <c r="BT278" s="27"/>
      <c r="BU278" s="27"/>
      <c r="BV278" s="27"/>
      <c r="BW278" s="27"/>
      <c r="BX278" s="27"/>
      <c r="BY278" s="27"/>
      <c r="BZ278" s="27"/>
      <c r="CA278" s="27"/>
      <c r="CB278" s="27"/>
      <c r="CC278" s="27"/>
      <c r="CD278" s="27"/>
      <c r="CE278" s="27"/>
      <c r="CF278" s="27"/>
      <c r="CG278" s="27"/>
      <c r="CH278" s="27"/>
      <c r="CI278" s="27"/>
      <c r="CJ278" s="27"/>
      <c r="CK278" s="27"/>
      <c r="CL278" s="27"/>
      <c r="CM278" s="27"/>
      <c r="CN278" s="27"/>
      <c r="CO278" s="27"/>
      <c r="CP278" s="27"/>
      <c r="CQ278" s="27"/>
      <c r="CR278" s="27"/>
      <c r="CS278" s="27"/>
      <c r="CT278" s="27"/>
      <c r="CU278" s="27"/>
      <c r="CV278" s="27"/>
      <c r="CW278" s="27"/>
      <c r="CX278" s="27"/>
      <c r="CY278" s="27"/>
      <c r="CZ278" s="27"/>
      <c r="DA278" s="27"/>
      <c r="DB278" s="27"/>
      <c r="DC278" s="27"/>
      <c r="DD278" s="27"/>
      <c r="DE278" s="27"/>
      <c r="DF278" s="27"/>
      <c r="DG278" s="27"/>
      <c r="DH278" s="27"/>
      <c r="DI278" s="27"/>
      <c r="DJ278" s="27"/>
      <c r="DK278" s="27"/>
      <c r="DL278" s="27"/>
      <c r="DM278" s="27"/>
      <c r="DN278" s="27"/>
      <c r="DO278" s="27"/>
      <c r="DP278" s="27"/>
      <c r="DQ278" s="27"/>
      <c r="DR278" s="27"/>
      <c r="DS278" s="27"/>
      <c r="DT278" s="27"/>
    </row>
    <row r="279" spans="2:124" x14ac:dyDescent="0.2">
      <c r="B279" s="27"/>
      <c r="C279" s="27"/>
      <c r="D279" s="27"/>
      <c r="E279" s="27"/>
      <c r="F279" s="27"/>
      <c r="G279" s="27"/>
      <c r="H279" s="27"/>
      <c r="I279" s="27"/>
      <c r="J279" s="27"/>
      <c r="K279" s="27"/>
      <c r="L279" s="27"/>
      <c r="M279" s="27"/>
      <c r="N279" s="27"/>
      <c r="O279" s="27"/>
      <c r="P279" s="27"/>
      <c r="Q279" s="27"/>
      <c r="R279" s="27"/>
      <c r="S279" s="27"/>
      <c r="T279" s="27"/>
      <c r="U279" s="27"/>
      <c r="V279" s="27"/>
      <c r="W279" s="27"/>
      <c r="X279" s="27"/>
      <c r="Y279" s="27"/>
      <c r="Z279" s="27"/>
      <c r="AA279" s="27"/>
      <c r="AB279" s="27"/>
      <c r="AC279" s="27"/>
      <c r="AD279" s="27"/>
      <c r="AE279" s="27"/>
      <c r="AF279" s="27"/>
      <c r="AG279" s="27"/>
      <c r="AH279" s="27"/>
      <c r="AI279" s="27"/>
      <c r="AJ279" s="27"/>
      <c r="AK279" s="27"/>
      <c r="AL279" s="27"/>
      <c r="AM279" s="27"/>
      <c r="AN279" s="27"/>
      <c r="AO279" s="27"/>
      <c r="AP279" s="27"/>
      <c r="AQ279" s="27"/>
      <c r="AR279" s="27"/>
      <c r="AS279" s="27"/>
      <c r="AT279" s="27"/>
      <c r="AU279" s="27"/>
      <c r="AV279" s="27"/>
      <c r="AW279" s="27"/>
      <c r="AX279" s="27"/>
      <c r="AY279" s="27"/>
      <c r="AZ279" s="27"/>
      <c r="BA279" s="27"/>
      <c r="BB279" s="27"/>
      <c r="BC279" s="27"/>
      <c r="BD279" s="27"/>
      <c r="BE279" s="27"/>
      <c r="BF279" s="27"/>
      <c r="BG279" s="27"/>
      <c r="BH279" s="27"/>
      <c r="BI279" s="27"/>
      <c r="BJ279" s="27"/>
      <c r="BK279" s="27"/>
      <c r="BL279" s="27"/>
      <c r="BM279" s="27"/>
      <c r="BN279" s="27"/>
      <c r="BO279" s="27"/>
      <c r="BP279" s="27"/>
      <c r="BQ279" s="27"/>
      <c r="BR279" s="27"/>
      <c r="BS279" s="27"/>
      <c r="BT279" s="27"/>
      <c r="BU279" s="27"/>
      <c r="BV279" s="27"/>
      <c r="BW279" s="27"/>
      <c r="BX279" s="27"/>
      <c r="BY279" s="27"/>
      <c r="BZ279" s="27"/>
      <c r="CA279" s="27"/>
      <c r="CB279" s="27"/>
      <c r="CC279" s="27"/>
      <c r="CD279" s="27"/>
      <c r="CE279" s="27"/>
      <c r="CF279" s="27"/>
      <c r="CG279" s="27"/>
      <c r="CH279" s="27"/>
      <c r="CI279" s="27"/>
      <c r="CJ279" s="27"/>
      <c r="CK279" s="27"/>
      <c r="CL279" s="27"/>
      <c r="CM279" s="27"/>
      <c r="CN279" s="27"/>
      <c r="CO279" s="27"/>
      <c r="CP279" s="27"/>
      <c r="CQ279" s="27"/>
      <c r="CR279" s="27"/>
      <c r="CS279" s="27"/>
      <c r="CT279" s="27"/>
      <c r="CU279" s="27"/>
      <c r="CV279" s="27"/>
      <c r="CW279" s="27"/>
      <c r="CX279" s="27"/>
      <c r="CY279" s="27"/>
      <c r="CZ279" s="27"/>
      <c r="DA279" s="27"/>
      <c r="DB279" s="27"/>
      <c r="DC279" s="27"/>
      <c r="DD279" s="27"/>
      <c r="DE279" s="27"/>
      <c r="DF279" s="27"/>
      <c r="DG279" s="27"/>
      <c r="DH279" s="27"/>
      <c r="DI279" s="27"/>
      <c r="DJ279" s="27"/>
      <c r="DK279" s="27"/>
      <c r="DL279" s="27"/>
      <c r="DM279" s="27"/>
      <c r="DN279" s="27"/>
      <c r="DO279" s="27"/>
      <c r="DP279" s="27"/>
      <c r="DQ279" s="27"/>
      <c r="DR279" s="27"/>
      <c r="DS279" s="27"/>
      <c r="DT279" s="27"/>
    </row>
    <row r="280" spans="2:124" x14ac:dyDescent="0.2">
      <c r="B280" s="27"/>
      <c r="C280" s="27"/>
      <c r="D280" s="27"/>
      <c r="E280" s="27"/>
      <c r="F280" s="27"/>
      <c r="G280" s="27"/>
      <c r="H280" s="27"/>
      <c r="I280" s="27"/>
      <c r="J280" s="27"/>
      <c r="K280" s="27"/>
      <c r="L280" s="27"/>
      <c r="M280" s="27"/>
      <c r="N280" s="27"/>
      <c r="O280" s="27"/>
      <c r="P280" s="27"/>
      <c r="Q280" s="27"/>
      <c r="R280" s="27"/>
      <c r="S280" s="27"/>
      <c r="T280" s="27"/>
      <c r="U280" s="27"/>
      <c r="V280" s="27"/>
      <c r="W280" s="27"/>
      <c r="X280" s="27"/>
      <c r="Y280" s="27"/>
      <c r="Z280" s="27"/>
      <c r="AA280" s="27"/>
      <c r="AB280" s="27"/>
      <c r="AC280" s="27"/>
      <c r="AD280" s="27"/>
      <c r="AE280" s="27"/>
      <c r="AF280" s="27"/>
      <c r="AG280" s="27"/>
      <c r="AH280" s="27"/>
      <c r="AI280" s="27"/>
      <c r="AJ280" s="27"/>
      <c r="AK280" s="27"/>
      <c r="AL280" s="27"/>
      <c r="AM280" s="27"/>
      <c r="AN280" s="27"/>
      <c r="AO280" s="27"/>
      <c r="AP280" s="27"/>
      <c r="AQ280" s="27"/>
      <c r="AR280" s="27"/>
      <c r="AS280" s="27"/>
      <c r="AT280" s="27"/>
      <c r="AU280" s="27"/>
      <c r="AV280" s="27"/>
      <c r="AW280" s="27"/>
      <c r="AX280" s="27"/>
      <c r="AY280" s="27"/>
      <c r="AZ280" s="27"/>
      <c r="BA280" s="27"/>
      <c r="BB280" s="27"/>
      <c r="BC280" s="27"/>
      <c r="BD280" s="27"/>
      <c r="BE280" s="27"/>
      <c r="BF280" s="27"/>
      <c r="BG280" s="27"/>
      <c r="BH280" s="27"/>
      <c r="BI280" s="27"/>
      <c r="BJ280" s="27"/>
      <c r="BK280" s="27"/>
      <c r="BL280" s="27"/>
      <c r="BM280" s="27"/>
      <c r="BN280" s="27"/>
      <c r="BO280" s="27"/>
      <c r="BP280" s="27"/>
      <c r="BQ280" s="27"/>
      <c r="BR280" s="27"/>
      <c r="BS280" s="27"/>
      <c r="BT280" s="27"/>
      <c r="BU280" s="27"/>
      <c r="BV280" s="27"/>
      <c r="BW280" s="27"/>
      <c r="BX280" s="27"/>
      <c r="BY280" s="27"/>
      <c r="BZ280" s="27"/>
      <c r="CA280" s="27"/>
      <c r="CB280" s="27"/>
      <c r="CC280" s="27"/>
      <c r="CD280" s="27"/>
      <c r="CE280" s="27"/>
      <c r="CF280" s="27"/>
      <c r="CG280" s="27"/>
      <c r="CH280" s="27"/>
      <c r="CI280" s="27"/>
      <c r="CJ280" s="27"/>
      <c r="CK280" s="27"/>
      <c r="CL280" s="27"/>
      <c r="CM280" s="27"/>
      <c r="CN280" s="27"/>
      <c r="CO280" s="27"/>
      <c r="CP280" s="27"/>
      <c r="CQ280" s="27"/>
      <c r="CR280" s="27"/>
      <c r="CS280" s="27"/>
      <c r="CT280" s="27"/>
      <c r="CU280" s="27"/>
      <c r="CV280" s="27"/>
      <c r="CW280" s="27"/>
      <c r="CX280" s="27"/>
      <c r="CY280" s="27"/>
      <c r="CZ280" s="27"/>
      <c r="DA280" s="27"/>
      <c r="DB280" s="27"/>
      <c r="DC280" s="27"/>
      <c r="DD280" s="27"/>
      <c r="DE280" s="27"/>
      <c r="DF280" s="27"/>
      <c r="DG280" s="27"/>
      <c r="DH280" s="27"/>
      <c r="DI280" s="27"/>
      <c r="DJ280" s="27"/>
      <c r="DK280" s="27"/>
      <c r="DL280" s="27"/>
      <c r="DM280" s="27"/>
      <c r="DN280" s="27"/>
      <c r="DO280" s="27"/>
      <c r="DP280" s="27"/>
      <c r="DQ280" s="27"/>
      <c r="DR280" s="27"/>
      <c r="DS280" s="27"/>
      <c r="DT280" s="27"/>
    </row>
    <row r="281" spans="2:124" x14ac:dyDescent="0.2">
      <c r="B281" s="27"/>
      <c r="C281" s="27"/>
      <c r="D281" s="27"/>
      <c r="E281" s="27"/>
      <c r="F281" s="27"/>
      <c r="G281" s="27"/>
      <c r="H281" s="27"/>
      <c r="I281" s="27"/>
      <c r="J281" s="27"/>
      <c r="K281" s="27"/>
      <c r="L281" s="27"/>
      <c r="M281" s="27"/>
      <c r="N281" s="27"/>
      <c r="O281" s="27"/>
      <c r="P281" s="27"/>
      <c r="Q281" s="27"/>
      <c r="R281" s="27"/>
      <c r="S281" s="27"/>
      <c r="T281" s="27"/>
      <c r="U281" s="27"/>
      <c r="V281" s="27"/>
      <c r="W281" s="27"/>
      <c r="X281" s="27"/>
      <c r="Y281" s="27"/>
      <c r="Z281" s="27"/>
      <c r="AA281" s="27"/>
      <c r="AB281" s="27"/>
      <c r="AC281" s="27"/>
      <c r="AD281" s="27"/>
      <c r="AE281" s="27"/>
      <c r="AF281" s="27"/>
      <c r="AG281" s="27"/>
      <c r="AH281" s="27"/>
      <c r="AI281" s="27"/>
      <c r="AJ281" s="27"/>
      <c r="AK281" s="27"/>
      <c r="AL281" s="27"/>
      <c r="AM281" s="27"/>
      <c r="AN281" s="27"/>
      <c r="AO281" s="27"/>
      <c r="AP281" s="27"/>
      <c r="AQ281" s="27"/>
      <c r="AR281" s="27"/>
      <c r="AS281" s="27"/>
      <c r="AT281" s="27"/>
      <c r="AU281" s="27"/>
      <c r="AV281" s="27"/>
      <c r="AW281" s="27"/>
      <c r="AX281" s="27"/>
      <c r="AY281" s="27"/>
      <c r="AZ281" s="27"/>
      <c r="BA281" s="27"/>
      <c r="BB281" s="27"/>
      <c r="BC281" s="27"/>
      <c r="BD281" s="27"/>
      <c r="BE281" s="27"/>
      <c r="BF281" s="27"/>
      <c r="BG281" s="27"/>
      <c r="BH281" s="27"/>
      <c r="BI281" s="27"/>
      <c r="BJ281" s="27"/>
      <c r="BK281" s="27"/>
      <c r="BL281" s="27"/>
      <c r="BM281" s="27"/>
      <c r="BN281" s="27"/>
      <c r="BO281" s="27"/>
      <c r="BP281" s="27"/>
      <c r="BQ281" s="27"/>
      <c r="BR281" s="27"/>
      <c r="BS281" s="27"/>
      <c r="BT281" s="27"/>
      <c r="BU281" s="27"/>
      <c r="BV281" s="27"/>
      <c r="BW281" s="27"/>
      <c r="BX281" s="27"/>
      <c r="BY281" s="27"/>
      <c r="BZ281" s="27"/>
      <c r="CA281" s="27"/>
      <c r="CB281" s="27"/>
      <c r="CC281" s="27"/>
      <c r="CD281" s="27"/>
      <c r="CE281" s="27"/>
      <c r="CF281" s="27"/>
      <c r="CG281" s="27"/>
      <c r="CH281" s="27"/>
      <c r="CI281" s="27"/>
      <c r="CJ281" s="27"/>
      <c r="CK281" s="27"/>
      <c r="CL281" s="27"/>
      <c r="CM281" s="27"/>
      <c r="CN281" s="27"/>
      <c r="CO281" s="27"/>
      <c r="CP281" s="27"/>
      <c r="CQ281" s="27"/>
      <c r="CR281" s="27"/>
      <c r="CS281" s="27"/>
      <c r="CT281" s="27"/>
      <c r="CU281" s="27"/>
      <c r="CV281" s="27"/>
      <c r="CW281" s="27"/>
      <c r="CX281" s="27"/>
      <c r="CY281" s="27"/>
      <c r="CZ281" s="27"/>
      <c r="DA281" s="27"/>
      <c r="DB281" s="27"/>
      <c r="DC281" s="27"/>
      <c r="DD281" s="27"/>
      <c r="DE281" s="27"/>
      <c r="DF281" s="27"/>
      <c r="DG281" s="27"/>
      <c r="DH281" s="27"/>
      <c r="DI281" s="27"/>
      <c r="DJ281" s="27"/>
      <c r="DK281" s="27"/>
      <c r="DL281" s="27"/>
      <c r="DM281" s="27"/>
      <c r="DN281" s="27"/>
      <c r="DO281" s="27"/>
      <c r="DP281" s="27"/>
      <c r="DQ281" s="27"/>
      <c r="DR281" s="27"/>
      <c r="DS281" s="27"/>
      <c r="DT281" s="27"/>
    </row>
    <row r="282" spans="2:124" x14ac:dyDescent="0.2">
      <c r="B282" s="27"/>
      <c r="C282" s="27"/>
      <c r="D282" s="27"/>
      <c r="E282" s="27"/>
      <c r="F282" s="27"/>
      <c r="G282" s="27"/>
      <c r="H282" s="27"/>
      <c r="I282" s="27"/>
      <c r="J282" s="27"/>
      <c r="K282" s="27"/>
      <c r="L282" s="27"/>
      <c r="M282" s="27"/>
      <c r="N282" s="27"/>
      <c r="O282" s="27"/>
      <c r="P282" s="27"/>
      <c r="Q282" s="27"/>
      <c r="R282" s="27"/>
      <c r="S282" s="27"/>
      <c r="T282" s="27"/>
      <c r="U282" s="27"/>
      <c r="V282" s="27"/>
      <c r="W282" s="27"/>
      <c r="X282" s="27"/>
      <c r="Y282" s="27"/>
      <c r="Z282" s="27"/>
      <c r="AA282" s="27"/>
      <c r="AB282" s="27"/>
      <c r="AC282" s="27"/>
      <c r="AD282" s="27"/>
      <c r="AE282" s="27"/>
      <c r="AF282" s="27"/>
      <c r="AG282" s="27"/>
      <c r="AH282" s="27"/>
      <c r="AI282" s="27"/>
      <c r="AJ282" s="27"/>
      <c r="AK282" s="27"/>
      <c r="AL282" s="27"/>
      <c r="AM282" s="27"/>
      <c r="AN282" s="27"/>
      <c r="AO282" s="27"/>
      <c r="AP282" s="27"/>
      <c r="AQ282" s="27"/>
      <c r="AR282" s="27"/>
      <c r="AS282" s="27"/>
      <c r="AT282" s="27"/>
      <c r="AU282" s="27"/>
      <c r="AV282" s="27"/>
      <c r="AW282" s="27"/>
      <c r="AX282" s="27"/>
      <c r="AY282" s="27"/>
      <c r="AZ282" s="27"/>
      <c r="BA282" s="27"/>
      <c r="BB282" s="27"/>
      <c r="BC282" s="27"/>
      <c r="BD282" s="27"/>
      <c r="BE282" s="27"/>
      <c r="BF282" s="27"/>
      <c r="BG282" s="27"/>
      <c r="BH282" s="27"/>
      <c r="BI282" s="27"/>
      <c r="BJ282" s="27"/>
      <c r="BK282" s="27"/>
      <c r="BL282" s="27"/>
      <c r="BM282" s="27"/>
      <c r="BN282" s="27"/>
      <c r="BO282" s="27"/>
      <c r="BP282" s="27"/>
      <c r="BQ282" s="27"/>
      <c r="BR282" s="27"/>
      <c r="BS282" s="27"/>
      <c r="BT282" s="27"/>
      <c r="BU282" s="27"/>
      <c r="BV282" s="27"/>
      <c r="BW282" s="27"/>
      <c r="BX282" s="27"/>
      <c r="BY282" s="27"/>
      <c r="BZ282" s="27"/>
      <c r="CA282" s="27"/>
      <c r="CB282" s="27"/>
      <c r="CC282" s="27"/>
      <c r="CD282" s="27"/>
      <c r="CE282" s="27"/>
      <c r="CF282" s="27"/>
      <c r="CG282" s="27"/>
      <c r="CH282" s="27"/>
      <c r="CI282" s="27"/>
      <c r="CJ282" s="27"/>
      <c r="CK282" s="27"/>
      <c r="CL282" s="27"/>
      <c r="CM282" s="27"/>
      <c r="CN282" s="27"/>
      <c r="CO282" s="27"/>
      <c r="CP282" s="27"/>
      <c r="CQ282" s="27"/>
      <c r="CR282" s="27"/>
      <c r="CS282" s="27"/>
      <c r="CT282" s="27"/>
      <c r="CU282" s="27"/>
      <c r="CV282" s="27"/>
      <c r="CW282" s="27"/>
      <c r="CX282" s="27"/>
      <c r="CY282" s="27"/>
      <c r="CZ282" s="27"/>
      <c r="DA282" s="27"/>
      <c r="DB282" s="27"/>
      <c r="DC282" s="27"/>
      <c r="DD282" s="27"/>
      <c r="DE282" s="27"/>
      <c r="DF282" s="27"/>
      <c r="DG282" s="27"/>
      <c r="DH282" s="27"/>
      <c r="DI282" s="27"/>
      <c r="DJ282" s="27"/>
      <c r="DK282" s="27"/>
      <c r="DL282" s="27"/>
      <c r="DM282" s="27"/>
      <c r="DN282" s="27"/>
      <c r="DO282" s="27"/>
      <c r="DP282" s="27"/>
      <c r="DQ282" s="27"/>
      <c r="DR282" s="27"/>
      <c r="DS282" s="27"/>
      <c r="DT282" s="27"/>
    </row>
    <row r="283" spans="2:124" x14ac:dyDescent="0.2">
      <c r="B283" s="27"/>
      <c r="C283" s="27"/>
      <c r="D283" s="27"/>
      <c r="E283" s="27"/>
      <c r="F283" s="27"/>
      <c r="G283" s="27"/>
      <c r="H283" s="27"/>
      <c r="I283" s="27"/>
      <c r="J283" s="27"/>
      <c r="K283" s="27"/>
      <c r="L283" s="27"/>
      <c r="M283" s="27"/>
      <c r="N283" s="27"/>
      <c r="O283" s="27"/>
      <c r="P283" s="27"/>
      <c r="Q283" s="27"/>
      <c r="R283" s="27"/>
      <c r="S283" s="27"/>
      <c r="T283" s="27"/>
      <c r="U283" s="27"/>
      <c r="V283" s="27"/>
      <c r="W283" s="27"/>
      <c r="X283" s="27"/>
      <c r="Y283" s="27"/>
      <c r="Z283" s="27"/>
      <c r="AA283" s="27"/>
      <c r="AB283" s="27"/>
      <c r="AC283" s="27"/>
      <c r="AD283" s="27"/>
      <c r="AE283" s="27"/>
      <c r="AF283" s="27"/>
      <c r="AG283" s="27"/>
      <c r="AH283" s="27"/>
      <c r="AI283" s="27"/>
      <c r="AJ283" s="27"/>
      <c r="AK283" s="27"/>
      <c r="AL283" s="27"/>
      <c r="AM283" s="27"/>
      <c r="AN283" s="27"/>
      <c r="AO283" s="27"/>
      <c r="AP283" s="27"/>
      <c r="AQ283" s="27"/>
      <c r="AR283" s="27"/>
      <c r="AS283" s="27"/>
      <c r="AT283" s="27"/>
      <c r="AU283" s="27"/>
      <c r="AV283" s="27"/>
      <c r="AW283" s="27"/>
      <c r="AX283" s="27"/>
      <c r="AY283" s="27"/>
      <c r="AZ283" s="27"/>
      <c r="BA283" s="27"/>
      <c r="BB283" s="27"/>
      <c r="BC283" s="27"/>
      <c r="BD283" s="27"/>
      <c r="BE283" s="27"/>
      <c r="BF283" s="27"/>
      <c r="BG283" s="27"/>
      <c r="BH283" s="27"/>
      <c r="BI283" s="27"/>
      <c r="BJ283" s="27"/>
      <c r="BK283" s="27"/>
      <c r="BL283" s="27"/>
      <c r="BM283" s="27"/>
      <c r="BN283" s="27"/>
      <c r="BO283" s="27"/>
      <c r="BP283" s="27"/>
      <c r="BQ283" s="27"/>
      <c r="BR283" s="27"/>
      <c r="BS283" s="27"/>
      <c r="BT283" s="27"/>
      <c r="BU283" s="27"/>
      <c r="BV283" s="27"/>
      <c r="BW283" s="27"/>
      <c r="BX283" s="27"/>
      <c r="BY283" s="27"/>
      <c r="BZ283" s="27"/>
      <c r="CA283" s="27"/>
      <c r="CB283" s="27"/>
      <c r="CC283" s="27"/>
      <c r="CD283" s="27"/>
      <c r="CE283" s="27"/>
      <c r="CF283" s="27"/>
      <c r="CG283" s="27"/>
      <c r="CH283" s="27"/>
      <c r="CI283" s="27"/>
      <c r="CJ283" s="27"/>
      <c r="CK283" s="27"/>
      <c r="CL283" s="27"/>
      <c r="CM283" s="27"/>
      <c r="CN283" s="27"/>
      <c r="CO283" s="27"/>
      <c r="CP283" s="27"/>
      <c r="CQ283" s="27"/>
      <c r="CR283" s="27"/>
      <c r="CS283" s="27"/>
      <c r="CT283" s="27"/>
      <c r="CU283" s="27"/>
      <c r="CV283" s="27"/>
      <c r="CW283" s="27"/>
      <c r="CX283" s="27"/>
      <c r="CY283" s="27"/>
      <c r="CZ283" s="27"/>
      <c r="DA283" s="27"/>
      <c r="DB283" s="27"/>
      <c r="DC283" s="27"/>
      <c r="DD283" s="27"/>
      <c r="DE283" s="27"/>
      <c r="DF283" s="27"/>
      <c r="DG283" s="27"/>
      <c r="DH283" s="27"/>
      <c r="DI283" s="27"/>
      <c r="DJ283" s="27"/>
      <c r="DK283" s="27"/>
      <c r="DL283" s="27"/>
      <c r="DM283" s="27"/>
      <c r="DN283" s="27"/>
      <c r="DO283" s="27"/>
      <c r="DP283" s="27"/>
      <c r="DQ283" s="27"/>
      <c r="DR283" s="27"/>
      <c r="DS283" s="27"/>
      <c r="DT283" s="27"/>
    </row>
    <row r="284" spans="2:124" x14ac:dyDescent="0.2">
      <c r="B284" s="27"/>
      <c r="C284" s="27"/>
      <c r="D284" s="27"/>
      <c r="E284" s="27"/>
      <c r="F284" s="27"/>
      <c r="G284" s="27"/>
      <c r="H284" s="27"/>
      <c r="I284" s="27"/>
      <c r="J284" s="27"/>
      <c r="K284" s="27"/>
      <c r="L284" s="27"/>
      <c r="M284" s="27"/>
      <c r="N284" s="27"/>
      <c r="O284" s="27"/>
      <c r="P284" s="27"/>
      <c r="Q284" s="27"/>
      <c r="R284" s="27"/>
      <c r="S284" s="27"/>
      <c r="T284" s="27"/>
      <c r="U284" s="27"/>
      <c r="V284" s="27"/>
      <c r="W284" s="27"/>
      <c r="X284" s="27"/>
      <c r="Y284" s="27"/>
      <c r="Z284" s="27"/>
      <c r="AA284" s="27"/>
      <c r="AB284" s="27"/>
      <c r="AC284" s="27"/>
      <c r="AD284" s="27"/>
      <c r="AE284" s="27"/>
      <c r="AF284" s="27"/>
      <c r="AG284" s="27"/>
      <c r="AH284" s="27"/>
      <c r="AI284" s="27"/>
      <c r="AJ284" s="27"/>
      <c r="AK284" s="27"/>
      <c r="AL284" s="27"/>
      <c r="AM284" s="27"/>
      <c r="AN284" s="27"/>
      <c r="AO284" s="27"/>
      <c r="AP284" s="27"/>
      <c r="AQ284" s="27"/>
      <c r="AR284" s="27"/>
      <c r="AS284" s="27"/>
      <c r="AT284" s="27"/>
      <c r="AU284" s="27"/>
      <c r="AV284" s="27"/>
      <c r="AW284" s="27"/>
      <c r="AX284" s="27"/>
      <c r="AY284" s="27"/>
      <c r="AZ284" s="27"/>
      <c r="BA284" s="27"/>
      <c r="BB284" s="27"/>
      <c r="BC284" s="27"/>
      <c r="BD284" s="27"/>
      <c r="BE284" s="27"/>
      <c r="BF284" s="27"/>
      <c r="BG284" s="27"/>
      <c r="BH284" s="27"/>
      <c r="BI284" s="27"/>
      <c r="BJ284" s="27"/>
      <c r="BK284" s="27"/>
      <c r="BL284" s="27"/>
      <c r="BM284" s="27"/>
      <c r="BN284" s="27"/>
      <c r="BO284" s="27"/>
      <c r="BP284" s="27"/>
      <c r="BQ284" s="27"/>
      <c r="BR284" s="27"/>
      <c r="BS284" s="27"/>
      <c r="BT284" s="27"/>
      <c r="BU284" s="27"/>
      <c r="BV284" s="27"/>
      <c r="BW284" s="27"/>
      <c r="BX284" s="27"/>
      <c r="BY284" s="27"/>
      <c r="BZ284" s="27"/>
      <c r="CA284" s="27"/>
      <c r="CB284" s="27"/>
      <c r="CC284" s="27"/>
      <c r="CD284" s="27"/>
      <c r="CE284" s="27"/>
      <c r="CF284" s="27"/>
      <c r="CG284" s="27"/>
      <c r="CH284" s="27"/>
      <c r="CI284" s="27"/>
      <c r="CJ284" s="27"/>
      <c r="CK284" s="27"/>
      <c r="CL284" s="27"/>
      <c r="CM284" s="27"/>
      <c r="CN284" s="27"/>
      <c r="CO284" s="27"/>
      <c r="CP284" s="27"/>
      <c r="CQ284" s="27"/>
      <c r="CR284" s="27"/>
      <c r="CS284" s="27"/>
      <c r="CT284" s="27"/>
      <c r="CU284" s="27"/>
      <c r="CV284" s="27"/>
      <c r="CW284" s="27"/>
      <c r="CX284" s="27"/>
      <c r="CY284" s="27"/>
      <c r="CZ284" s="27"/>
      <c r="DA284" s="27"/>
      <c r="DB284" s="27"/>
      <c r="DC284" s="27"/>
      <c r="DD284" s="27"/>
      <c r="DE284" s="27"/>
      <c r="DF284" s="27"/>
      <c r="DG284" s="27"/>
      <c r="DH284" s="27"/>
      <c r="DI284" s="27"/>
      <c r="DJ284" s="27"/>
      <c r="DK284" s="27"/>
      <c r="DL284" s="27"/>
      <c r="DM284" s="27"/>
      <c r="DN284" s="27"/>
      <c r="DO284" s="27"/>
      <c r="DP284" s="27"/>
      <c r="DQ284" s="27"/>
      <c r="DR284" s="27"/>
      <c r="DS284" s="27"/>
      <c r="DT284" s="27"/>
    </row>
    <row r="285" spans="2:124" x14ac:dyDescent="0.2">
      <c r="B285" s="27"/>
      <c r="C285" s="27"/>
      <c r="D285" s="27"/>
      <c r="E285" s="27"/>
      <c r="F285" s="27"/>
      <c r="G285" s="27"/>
      <c r="H285" s="27"/>
      <c r="I285" s="27"/>
      <c r="J285" s="27"/>
      <c r="K285" s="27"/>
      <c r="L285" s="27"/>
      <c r="M285" s="27"/>
      <c r="N285" s="27"/>
      <c r="O285" s="27"/>
      <c r="P285" s="27"/>
      <c r="Q285" s="27"/>
      <c r="R285" s="27"/>
      <c r="S285" s="27"/>
      <c r="T285" s="27"/>
      <c r="U285" s="27"/>
      <c r="V285" s="27"/>
      <c r="W285" s="27"/>
      <c r="X285" s="27"/>
      <c r="Y285" s="27"/>
      <c r="Z285" s="27"/>
      <c r="AA285" s="27"/>
      <c r="AB285" s="27"/>
      <c r="AC285" s="27"/>
      <c r="AD285" s="27"/>
      <c r="AE285" s="27"/>
      <c r="AF285" s="27"/>
      <c r="AG285" s="27"/>
      <c r="AH285" s="27"/>
      <c r="AI285" s="27"/>
      <c r="AJ285" s="27"/>
      <c r="AK285" s="27"/>
      <c r="AL285" s="27"/>
      <c r="AM285" s="27"/>
      <c r="AN285" s="27"/>
      <c r="AO285" s="27"/>
      <c r="AP285" s="27"/>
      <c r="AQ285" s="27"/>
      <c r="AR285" s="27"/>
      <c r="AS285" s="27"/>
      <c r="AT285" s="27"/>
      <c r="AU285" s="27"/>
      <c r="AV285" s="27"/>
      <c r="AW285" s="27"/>
      <c r="AX285" s="27"/>
      <c r="AY285" s="27"/>
      <c r="AZ285" s="27"/>
      <c r="BA285" s="27"/>
      <c r="BB285" s="27"/>
      <c r="BC285" s="27"/>
      <c r="BD285" s="27"/>
      <c r="BE285" s="27"/>
      <c r="BF285" s="27"/>
      <c r="BG285" s="27"/>
      <c r="BH285" s="27"/>
      <c r="BI285" s="27"/>
      <c r="BJ285" s="27"/>
      <c r="BK285" s="27"/>
      <c r="BL285" s="27"/>
      <c r="BM285" s="27"/>
      <c r="BN285" s="27"/>
      <c r="BO285" s="27"/>
      <c r="BP285" s="27"/>
      <c r="BQ285" s="27"/>
      <c r="BR285" s="27"/>
      <c r="BS285" s="27"/>
      <c r="BT285" s="27"/>
      <c r="BU285" s="27"/>
      <c r="BV285" s="27"/>
      <c r="BW285" s="27"/>
      <c r="BX285" s="27"/>
      <c r="BY285" s="27"/>
      <c r="BZ285" s="27"/>
      <c r="CA285" s="27"/>
      <c r="CB285" s="27"/>
      <c r="CC285" s="27"/>
      <c r="CD285" s="27"/>
      <c r="CE285" s="27"/>
      <c r="CF285" s="27"/>
      <c r="CG285" s="27"/>
      <c r="CH285" s="27"/>
      <c r="CI285" s="27"/>
      <c r="CJ285" s="27"/>
      <c r="CK285" s="27"/>
      <c r="CL285" s="27"/>
      <c r="CM285" s="27"/>
      <c r="CN285" s="27"/>
      <c r="CO285" s="27"/>
      <c r="CP285" s="27"/>
      <c r="CQ285" s="27"/>
      <c r="CR285" s="27"/>
      <c r="CS285" s="27"/>
      <c r="CT285" s="27"/>
      <c r="CU285" s="27"/>
      <c r="CV285" s="27"/>
      <c r="CW285" s="27"/>
      <c r="CX285" s="27"/>
      <c r="CY285" s="27"/>
      <c r="CZ285" s="27"/>
      <c r="DA285" s="27"/>
      <c r="DB285" s="27"/>
      <c r="DC285" s="27"/>
      <c r="DD285" s="27"/>
      <c r="DE285" s="27"/>
      <c r="DF285" s="27"/>
      <c r="DG285" s="27"/>
      <c r="DH285" s="27"/>
      <c r="DI285" s="27"/>
      <c r="DJ285" s="27"/>
      <c r="DK285" s="27"/>
      <c r="DL285" s="27"/>
      <c r="DM285" s="27"/>
      <c r="DN285" s="27"/>
      <c r="DO285" s="27"/>
      <c r="DP285" s="27"/>
      <c r="DQ285" s="27"/>
      <c r="DR285" s="27"/>
      <c r="DS285" s="27"/>
      <c r="DT285" s="27"/>
    </row>
    <row r="286" spans="2:124" x14ac:dyDescent="0.2">
      <c r="B286" s="27"/>
      <c r="C286" s="27"/>
      <c r="D286" s="27"/>
      <c r="E286" s="27"/>
      <c r="F286" s="27"/>
      <c r="G286" s="27"/>
      <c r="H286" s="27"/>
      <c r="I286" s="27"/>
      <c r="J286" s="27"/>
      <c r="K286" s="27"/>
      <c r="L286" s="27"/>
      <c r="M286" s="27"/>
      <c r="N286" s="27"/>
      <c r="O286" s="27"/>
      <c r="P286" s="27"/>
      <c r="Q286" s="27"/>
      <c r="R286" s="27"/>
      <c r="S286" s="27"/>
      <c r="T286" s="27"/>
      <c r="U286" s="27"/>
      <c r="V286" s="27"/>
      <c r="W286" s="27"/>
      <c r="X286" s="27"/>
      <c r="Y286" s="27"/>
      <c r="Z286" s="27"/>
      <c r="AA286" s="27"/>
      <c r="AB286" s="27"/>
      <c r="AC286" s="27"/>
      <c r="AD286" s="27"/>
      <c r="AE286" s="27"/>
      <c r="AF286" s="27"/>
      <c r="AG286" s="27"/>
      <c r="AH286" s="27"/>
      <c r="AI286" s="27"/>
      <c r="AJ286" s="27"/>
      <c r="AK286" s="27"/>
      <c r="AL286" s="27"/>
      <c r="AM286" s="27"/>
      <c r="AN286" s="27"/>
      <c r="AO286" s="27"/>
      <c r="AP286" s="27"/>
      <c r="AQ286" s="27"/>
      <c r="AR286" s="27"/>
      <c r="AS286" s="27"/>
      <c r="AT286" s="27"/>
      <c r="AU286" s="27"/>
      <c r="AV286" s="27"/>
      <c r="AW286" s="27"/>
      <c r="AX286" s="27"/>
      <c r="AY286" s="27"/>
      <c r="AZ286" s="27"/>
      <c r="BA286" s="27"/>
      <c r="BB286" s="27"/>
      <c r="BC286" s="27"/>
      <c r="BD286" s="27"/>
      <c r="BE286" s="27"/>
      <c r="BF286" s="27"/>
      <c r="BG286" s="27"/>
      <c r="BH286" s="27"/>
      <c r="BI286" s="27"/>
      <c r="BJ286" s="27"/>
      <c r="BK286" s="27"/>
      <c r="BL286" s="27"/>
      <c r="BM286" s="27"/>
      <c r="BN286" s="27"/>
      <c r="BO286" s="27"/>
      <c r="BP286" s="27"/>
      <c r="BQ286" s="27"/>
      <c r="BR286" s="27"/>
      <c r="BS286" s="27"/>
      <c r="BT286" s="27"/>
      <c r="BU286" s="27"/>
      <c r="BV286" s="27"/>
      <c r="BW286" s="27"/>
      <c r="BX286" s="27"/>
      <c r="BY286" s="27"/>
      <c r="BZ286" s="27"/>
      <c r="CA286" s="27"/>
      <c r="CB286" s="27"/>
      <c r="CC286" s="27"/>
      <c r="CD286" s="27"/>
      <c r="CE286" s="27"/>
      <c r="CF286" s="27"/>
      <c r="CG286" s="27"/>
      <c r="CH286" s="27"/>
      <c r="CI286" s="27"/>
      <c r="CJ286" s="27"/>
      <c r="CK286" s="27"/>
      <c r="CL286" s="27"/>
      <c r="CM286" s="27"/>
      <c r="CN286" s="27"/>
      <c r="CO286" s="27"/>
      <c r="CP286" s="27"/>
      <c r="CQ286" s="27"/>
      <c r="CR286" s="27"/>
      <c r="CS286" s="27"/>
      <c r="CT286" s="27"/>
      <c r="CU286" s="27"/>
      <c r="CV286" s="27"/>
      <c r="CW286" s="27"/>
      <c r="CX286" s="27"/>
      <c r="CY286" s="27"/>
      <c r="CZ286" s="27"/>
      <c r="DA286" s="27"/>
      <c r="DB286" s="27"/>
      <c r="DC286" s="27"/>
      <c r="DD286" s="27"/>
      <c r="DE286" s="27"/>
      <c r="DF286" s="27"/>
      <c r="DG286" s="27"/>
      <c r="DH286" s="27"/>
      <c r="DI286" s="27"/>
      <c r="DJ286" s="27"/>
      <c r="DK286" s="27"/>
      <c r="DL286" s="27"/>
      <c r="DM286" s="27"/>
      <c r="DN286" s="27"/>
      <c r="DO286" s="27"/>
      <c r="DP286" s="27"/>
      <c r="DQ286" s="27"/>
      <c r="DR286" s="27"/>
      <c r="DS286" s="27"/>
      <c r="DT286" s="27"/>
    </row>
    <row r="287" spans="2:124" x14ac:dyDescent="0.2">
      <c r="B287" s="27"/>
      <c r="C287" s="27"/>
      <c r="D287" s="27"/>
      <c r="E287" s="27"/>
      <c r="F287" s="27"/>
      <c r="G287" s="27"/>
      <c r="H287" s="27"/>
      <c r="I287" s="27"/>
      <c r="J287" s="27"/>
      <c r="K287" s="27"/>
      <c r="L287" s="27"/>
      <c r="M287" s="27"/>
      <c r="N287" s="27"/>
      <c r="O287" s="27"/>
      <c r="P287" s="27"/>
      <c r="Q287" s="27"/>
      <c r="R287" s="27"/>
      <c r="S287" s="27"/>
      <c r="T287" s="27"/>
      <c r="U287" s="27"/>
      <c r="V287" s="27"/>
      <c r="W287" s="27"/>
      <c r="X287" s="27"/>
      <c r="Y287" s="27"/>
      <c r="Z287" s="27"/>
      <c r="AA287" s="27"/>
      <c r="AB287" s="27"/>
      <c r="AC287" s="27"/>
      <c r="AD287" s="27"/>
      <c r="AE287" s="27"/>
      <c r="AF287" s="27"/>
      <c r="AG287" s="27"/>
      <c r="AH287" s="27"/>
      <c r="AI287" s="27"/>
      <c r="AJ287" s="27"/>
      <c r="AK287" s="27"/>
      <c r="AL287" s="27"/>
      <c r="AM287" s="27"/>
      <c r="AN287" s="27"/>
      <c r="AO287" s="27"/>
      <c r="AP287" s="27"/>
      <c r="AQ287" s="27"/>
      <c r="AR287" s="27"/>
      <c r="AS287" s="27"/>
      <c r="AT287" s="27"/>
      <c r="AU287" s="27"/>
      <c r="AV287" s="27"/>
      <c r="AW287" s="27"/>
      <c r="AX287" s="27"/>
      <c r="AY287" s="27"/>
      <c r="AZ287" s="27"/>
      <c r="BA287" s="27"/>
      <c r="BB287" s="27"/>
      <c r="BC287" s="27"/>
      <c r="BD287" s="27"/>
      <c r="BE287" s="27"/>
      <c r="BF287" s="27"/>
      <c r="BG287" s="27"/>
      <c r="BH287" s="27"/>
      <c r="BI287" s="27"/>
      <c r="BJ287" s="27"/>
      <c r="BK287" s="27"/>
      <c r="BL287" s="27"/>
      <c r="BM287" s="27"/>
      <c r="BN287" s="27"/>
      <c r="BO287" s="27"/>
      <c r="BP287" s="27"/>
      <c r="BQ287" s="27"/>
      <c r="BR287" s="27"/>
      <c r="BS287" s="27"/>
      <c r="BT287" s="27"/>
      <c r="BU287" s="27"/>
      <c r="BV287" s="27"/>
      <c r="BW287" s="27"/>
      <c r="BX287" s="27"/>
      <c r="BY287" s="27"/>
      <c r="BZ287" s="27"/>
      <c r="CA287" s="27"/>
      <c r="CB287" s="27"/>
      <c r="CC287" s="27"/>
      <c r="CD287" s="27"/>
      <c r="CE287" s="27"/>
      <c r="CF287" s="27"/>
      <c r="CG287" s="27"/>
      <c r="CH287" s="27"/>
      <c r="CI287" s="27"/>
      <c r="CJ287" s="27"/>
      <c r="CK287" s="27"/>
      <c r="CL287" s="27"/>
      <c r="CM287" s="27"/>
      <c r="CN287" s="27"/>
      <c r="CO287" s="27"/>
      <c r="CP287" s="27"/>
      <c r="CQ287" s="27"/>
      <c r="CR287" s="27"/>
      <c r="CS287" s="27"/>
      <c r="CT287" s="27"/>
      <c r="CU287" s="27"/>
      <c r="CV287" s="27"/>
      <c r="CW287" s="27"/>
      <c r="CX287" s="27"/>
      <c r="CY287" s="27"/>
      <c r="CZ287" s="27"/>
      <c r="DA287" s="27"/>
      <c r="DB287" s="27"/>
      <c r="DC287" s="27"/>
      <c r="DD287" s="27"/>
      <c r="DE287" s="27"/>
      <c r="DF287" s="27"/>
      <c r="DG287" s="27"/>
      <c r="DH287" s="27"/>
      <c r="DI287" s="27"/>
      <c r="DJ287" s="27"/>
      <c r="DK287" s="27"/>
      <c r="DL287" s="27"/>
      <c r="DM287" s="27"/>
      <c r="DN287" s="27"/>
      <c r="DO287" s="27"/>
      <c r="DP287" s="27"/>
      <c r="DQ287" s="27"/>
      <c r="DR287" s="27"/>
      <c r="DS287" s="27"/>
      <c r="DT287" s="27"/>
    </row>
    <row r="288" spans="2:124" x14ac:dyDescent="0.2">
      <c r="B288" s="27"/>
      <c r="C288" s="27"/>
      <c r="D288" s="27"/>
      <c r="E288" s="27"/>
      <c r="F288" s="27"/>
      <c r="G288" s="27"/>
      <c r="H288" s="27"/>
      <c r="I288" s="27"/>
      <c r="J288" s="27"/>
      <c r="K288" s="27"/>
      <c r="L288" s="27"/>
      <c r="M288" s="27"/>
      <c r="N288" s="27"/>
      <c r="O288" s="27"/>
      <c r="P288" s="27"/>
      <c r="Q288" s="27"/>
      <c r="R288" s="27"/>
      <c r="S288" s="27"/>
      <c r="T288" s="27"/>
      <c r="U288" s="27"/>
      <c r="V288" s="27"/>
      <c r="W288" s="27"/>
      <c r="X288" s="27"/>
      <c r="Y288" s="27"/>
      <c r="Z288" s="27"/>
      <c r="AA288" s="27"/>
      <c r="AB288" s="27"/>
      <c r="AC288" s="27"/>
      <c r="AD288" s="27"/>
      <c r="AE288" s="27"/>
      <c r="AF288" s="27"/>
      <c r="AG288" s="27"/>
      <c r="AH288" s="27"/>
      <c r="AI288" s="27"/>
      <c r="AJ288" s="27"/>
      <c r="AK288" s="27"/>
      <c r="AL288" s="27"/>
      <c r="AM288" s="27"/>
      <c r="AN288" s="27"/>
      <c r="AO288" s="27"/>
      <c r="AP288" s="27"/>
      <c r="AQ288" s="27"/>
      <c r="AR288" s="27"/>
      <c r="AS288" s="27"/>
      <c r="AT288" s="27"/>
      <c r="AU288" s="27"/>
      <c r="AV288" s="27"/>
      <c r="AW288" s="27"/>
      <c r="AX288" s="27"/>
      <c r="AY288" s="27"/>
      <c r="AZ288" s="27"/>
      <c r="BA288" s="27"/>
      <c r="BB288" s="27"/>
      <c r="BC288" s="27"/>
      <c r="BD288" s="27"/>
      <c r="BE288" s="27"/>
      <c r="BF288" s="27"/>
      <c r="BG288" s="27"/>
      <c r="BH288" s="27"/>
      <c r="BI288" s="27"/>
      <c r="BJ288" s="27"/>
      <c r="BK288" s="27"/>
      <c r="BL288" s="27"/>
      <c r="BM288" s="27"/>
      <c r="BN288" s="27"/>
      <c r="BO288" s="27"/>
      <c r="BP288" s="27"/>
      <c r="BQ288" s="27"/>
      <c r="BR288" s="27"/>
      <c r="BS288" s="27"/>
      <c r="BT288" s="27"/>
      <c r="BU288" s="27"/>
      <c r="BV288" s="27"/>
      <c r="BW288" s="27"/>
      <c r="BX288" s="27"/>
      <c r="BY288" s="27"/>
      <c r="BZ288" s="27"/>
      <c r="CA288" s="27"/>
      <c r="CB288" s="27"/>
      <c r="CC288" s="27"/>
      <c r="CD288" s="27"/>
      <c r="CE288" s="27"/>
      <c r="CF288" s="27"/>
      <c r="CG288" s="27"/>
      <c r="CH288" s="27"/>
      <c r="CI288" s="27"/>
      <c r="CJ288" s="27"/>
      <c r="CK288" s="27"/>
      <c r="CL288" s="27"/>
      <c r="CM288" s="27"/>
      <c r="CN288" s="27"/>
      <c r="CO288" s="27"/>
      <c r="CP288" s="27"/>
      <c r="CQ288" s="27"/>
      <c r="CR288" s="27"/>
      <c r="CS288" s="27"/>
      <c r="CT288" s="27"/>
      <c r="CU288" s="27"/>
      <c r="CV288" s="27"/>
      <c r="CW288" s="27"/>
      <c r="CX288" s="27"/>
      <c r="CY288" s="27"/>
      <c r="CZ288" s="27"/>
      <c r="DA288" s="27"/>
      <c r="DB288" s="27"/>
      <c r="DC288" s="27"/>
      <c r="DD288" s="27"/>
      <c r="DE288" s="27"/>
      <c r="DF288" s="27"/>
      <c r="DG288" s="27"/>
      <c r="DH288" s="27"/>
      <c r="DI288" s="27"/>
      <c r="DJ288" s="27"/>
      <c r="DK288" s="27"/>
      <c r="DL288" s="27"/>
      <c r="DM288" s="27"/>
      <c r="DN288" s="27"/>
      <c r="DO288" s="27"/>
      <c r="DP288" s="27"/>
      <c r="DQ288" s="27"/>
      <c r="DR288" s="27"/>
      <c r="DS288" s="27"/>
      <c r="DT288" s="27"/>
    </row>
    <row r="289" spans="2:124" x14ac:dyDescent="0.2">
      <c r="B289" s="27"/>
      <c r="C289" s="27"/>
      <c r="D289" s="27"/>
      <c r="E289" s="27"/>
      <c r="F289" s="27"/>
      <c r="G289" s="27"/>
      <c r="H289" s="27"/>
      <c r="I289" s="27"/>
      <c r="J289" s="27"/>
      <c r="K289" s="27"/>
      <c r="L289" s="27"/>
      <c r="M289" s="27"/>
      <c r="N289" s="27"/>
      <c r="O289" s="27"/>
      <c r="P289" s="27"/>
      <c r="Q289" s="27"/>
      <c r="R289" s="27"/>
      <c r="S289" s="27"/>
      <c r="T289" s="27"/>
      <c r="U289" s="27"/>
      <c r="V289" s="27"/>
      <c r="W289" s="27"/>
      <c r="X289" s="27"/>
      <c r="Y289" s="27"/>
      <c r="Z289" s="27"/>
      <c r="AA289" s="27"/>
      <c r="AB289" s="27"/>
      <c r="AC289" s="27"/>
      <c r="AD289" s="27"/>
      <c r="AE289" s="27"/>
      <c r="AF289" s="27"/>
      <c r="AG289" s="27"/>
      <c r="AH289" s="27"/>
      <c r="AI289" s="27"/>
      <c r="AJ289" s="27"/>
      <c r="AK289" s="27"/>
      <c r="AL289" s="27"/>
      <c r="AM289" s="27"/>
      <c r="AN289" s="27"/>
      <c r="AO289" s="27"/>
      <c r="AP289" s="27"/>
      <c r="AQ289" s="27"/>
      <c r="AR289" s="27"/>
      <c r="AS289" s="27"/>
      <c r="AT289" s="27"/>
      <c r="AU289" s="27"/>
      <c r="AV289" s="27"/>
      <c r="AW289" s="27"/>
      <c r="AX289" s="27"/>
      <c r="AY289" s="27"/>
      <c r="AZ289" s="27"/>
      <c r="BA289" s="27"/>
      <c r="BB289" s="27"/>
      <c r="BC289" s="27"/>
      <c r="BD289" s="27"/>
      <c r="BE289" s="27"/>
      <c r="BF289" s="27"/>
      <c r="BG289" s="27"/>
      <c r="BH289" s="27"/>
      <c r="BI289" s="27"/>
      <c r="BJ289" s="27"/>
      <c r="BK289" s="27"/>
      <c r="BL289" s="27"/>
      <c r="BM289" s="27"/>
      <c r="BN289" s="27"/>
      <c r="BO289" s="27"/>
      <c r="BP289" s="27"/>
      <c r="BQ289" s="27"/>
      <c r="BR289" s="27"/>
      <c r="BS289" s="27"/>
      <c r="BT289" s="27"/>
      <c r="BU289" s="27"/>
      <c r="BV289" s="27"/>
      <c r="BW289" s="27"/>
      <c r="BX289" s="27"/>
      <c r="BY289" s="27"/>
      <c r="BZ289" s="27"/>
      <c r="CA289" s="27"/>
      <c r="CB289" s="27"/>
      <c r="CC289" s="27"/>
      <c r="CD289" s="27"/>
      <c r="CE289" s="27"/>
      <c r="CF289" s="27"/>
      <c r="CG289" s="27"/>
      <c r="CH289" s="27"/>
      <c r="CI289" s="27"/>
      <c r="CJ289" s="27"/>
      <c r="CK289" s="27"/>
      <c r="CL289" s="27"/>
      <c r="CM289" s="27"/>
      <c r="CN289" s="27"/>
      <c r="CO289" s="27"/>
      <c r="CP289" s="27"/>
      <c r="CQ289" s="27"/>
      <c r="CR289" s="27"/>
      <c r="CS289" s="27"/>
      <c r="CT289" s="27"/>
      <c r="CU289" s="27"/>
      <c r="CV289" s="27"/>
      <c r="CW289" s="27"/>
      <c r="CX289" s="27"/>
      <c r="CY289" s="27"/>
      <c r="CZ289" s="27"/>
      <c r="DA289" s="27"/>
      <c r="DB289" s="27"/>
      <c r="DC289" s="27"/>
      <c r="DD289" s="27"/>
      <c r="DE289" s="27"/>
      <c r="DF289" s="27"/>
      <c r="DG289" s="27"/>
      <c r="DH289" s="27"/>
      <c r="DI289" s="27"/>
      <c r="DJ289" s="27"/>
      <c r="DK289" s="27"/>
      <c r="DL289" s="27"/>
      <c r="DM289" s="27"/>
      <c r="DN289" s="27"/>
      <c r="DO289" s="27"/>
      <c r="DP289" s="27"/>
      <c r="DQ289" s="27"/>
      <c r="DR289" s="27"/>
      <c r="DS289" s="27"/>
      <c r="DT289" s="27"/>
    </row>
    <row r="290" spans="2:124" x14ac:dyDescent="0.2">
      <c r="B290" s="27"/>
      <c r="C290" s="27"/>
      <c r="D290" s="27"/>
      <c r="E290" s="27"/>
      <c r="F290" s="27"/>
      <c r="G290" s="27"/>
      <c r="H290" s="27"/>
      <c r="I290" s="27"/>
      <c r="J290" s="27"/>
      <c r="K290" s="27"/>
      <c r="L290" s="27"/>
      <c r="M290" s="27"/>
      <c r="N290" s="27"/>
      <c r="O290" s="27"/>
      <c r="P290" s="27"/>
      <c r="Q290" s="27"/>
      <c r="R290" s="27"/>
      <c r="S290" s="27"/>
      <c r="T290" s="27"/>
      <c r="U290" s="27"/>
      <c r="V290" s="27"/>
      <c r="W290" s="27"/>
      <c r="X290" s="27"/>
      <c r="Y290" s="27"/>
      <c r="Z290" s="27"/>
      <c r="AA290" s="27"/>
      <c r="AB290" s="27"/>
      <c r="AC290" s="27"/>
      <c r="AD290" s="27"/>
      <c r="AE290" s="27"/>
      <c r="AF290" s="27"/>
      <c r="AG290" s="27"/>
      <c r="AH290" s="27"/>
      <c r="AI290" s="27"/>
      <c r="AJ290" s="27"/>
      <c r="AK290" s="27"/>
      <c r="AL290" s="27"/>
      <c r="AM290" s="27"/>
      <c r="AN290" s="27"/>
      <c r="AO290" s="27"/>
      <c r="AP290" s="27"/>
      <c r="AQ290" s="27"/>
      <c r="AR290" s="27"/>
      <c r="AS290" s="27"/>
      <c r="AT290" s="27"/>
      <c r="AU290" s="27"/>
      <c r="AV290" s="27"/>
      <c r="AW290" s="27"/>
      <c r="AX290" s="27"/>
      <c r="AY290" s="27"/>
      <c r="AZ290" s="27"/>
      <c r="BA290" s="27"/>
      <c r="BB290" s="27"/>
      <c r="BC290" s="27"/>
      <c r="BD290" s="27"/>
      <c r="BE290" s="27"/>
      <c r="BF290" s="27"/>
      <c r="BG290" s="27"/>
      <c r="BH290" s="27"/>
      <c r="BI290" s="27"/>
      <c r="BJ290" s="27"/>
      <c r="BK290" s="27"/>
      <c r="BL290" s="27"/>
      <c r="BM290" s="27"/>
      <c r="BN290" s="27"/>
      <c r="BO290" s="27"/>
      <c r="BP290" s="27"/>
      <c r="BQ290" s="27"/>
      <c r="BR290" s="27"/>
      <c r="BS290" s="27"/>
      <c r="BT290" s="27"/>
      <c r="BU290" s="27"/>
      <c r="BV290" s="27"/>
      <c r="BW290" s="27"/>
      <c r="BX290" s="27"/>
      <c r="BY290" s="27"/>
      <c r="BZ290" s="27"/>
      <c r="CA290" s="27"/>
      <c r="CB290" s="27"/>
      <c r="CC290" s="27"/>
      <c r="CD290" s="27"/>
      <c r="CE290" s="27"/>
      <c r="CF290" s="27"/>
      <c r="CG290" s="27"/>
      <c r="CH290" s="27"/>
      <c r="CI290" s="27"/>
      <c r="CJ290" s="27"/>
      <c r="CK290" s="27"/>
      <c r="CL290" s="27"/>
      <c r="CM290" s="27"/>
      <c r="CN290" s="27"/>
      <c r="CO290" s="27"/>
      <c r="CP290" s="27"/>
      <c r="CQ290" s="27"/>
      <c r="CR290" s="27"/>
      <c r="CS290" s="27"/>
      <c r="CT290" s="27"/>
      <c r="CU290" s="27"/>
      <c r="CV290" s="27"/>
      <c r="CW290" s="27"/>
      <c r="CX290" s="27"/>
      <c r="CY290" s="27"/>
      <c r="CZ290" s="27"/>
      <c r="DA290" s="27"/>
      <c r="DB290" s="27"/>
      <c r="DC290" s="27"/>
      <c r="DD290" s="27"/>
      <c r="DE290" s="27"/>
      <c r="DF290" s="27"/>
      <c r="DG290" s="27"/>
      <c r="DH290" s="27"/>
      <c r="DI290" s="27"/>
      <c r="DJ290" s="27"/>
      <c r="DK290" s="27"/>
      <c r="DL290" s="27"/>
      <c r="DM290" s="27"/>
      <c r="DN290" s="27"/>
      <c r="DO290" s="27"/>
      <c r="DP290" s="27"/>
      <c r="DQ290" s="27"/>
      <c r="DR290" s="27"/>
      <c r="DS290" s="27"/>
      <c r="DT290" s="27"/>
    </row>
    <row r="291" spans="2:124" x14ac:dyDescent="0.2">
      <c r="B291" s="27"/>
      <c r="C291" s="27"/>
      <c r="D291" s="27"/>
      <c r="E291" s="27"/>
      <c r="F291" s="27"/>
      <c r="G291" s="27"/>
      <c r="H291" s="27"/>
      <c r="I291" s="27"/>
      <c r="J291" s="27"/>
      <c r="K291" s="27"/>
      <c r="L291" s="27"/>
      <c r="M291" s="27"/>
      <c r="N291" s="27"/>
      <c r="O291" s="27"/>
      <c r="P291" s="27"/>
      <c r="Q291" s="27"/>
      <c r="R291" s="27"/>
      <c r="S291" s="27"/>
      <c r="T291" s="27"/>
      <c r="U291" s="27"/>
      <c r="V291" s="27"/>
      <c r="W291" s="27"/>
      <c r="X291" s="27"/>
      <c r="Y291" s="27"/>
      <c r="Z291" s="27"/>
      <c r="AA291" s="27"/>
      <c r="AB291" s="27"/>
      <c r="AC291" s="27"/>
      <c r="AD291" s="27"/>
      <c r="AE291" s="27"/>
      <c r="AF291" s="27"/>
      <c r="AG291" s="27"/>
      <c r="AH291" s="27"/>
      <c r="AI291" s="27"/>
      <c r="AJ291" s="27"/>
      <c r="AK291" s="27"/>
      <c r="AL291" s="27"/>
      <c r="AM291" s="27"/>
      <c r="AN291" s="27"/>
      <c r="AO291" s="27"/>
      <c r="AP291" s="27"/>
      <c r="AQ291" s="27"/>
      <c r="AR291" s="27"/>
      <c r="AS291" s="27"/>
      <c r="AT291" s="27"/>
      <c r="AU291" s="27"/>
      <c r="AV291" s="27"/>
      <c r="AW291" s="27"/>
      <c r="AX291" s="27"/>
      <c r="AY291" s="27"/>
      <c r="AZ291" s="27"/>
      <c r="BA291" s="27"/>
      <c r="BB291" s="27"/>
      <c r="BC291" s="27"/>
      <c r="BD291" s="27"/>
      <c r="BE291" s="27"/>
      <c r="BF291" s="27"/>
      <c r="BG291" s="27"/>
      <c r="BH291" s="27"/>
      <c r="BI291" s="27"/>
      <c r="BJ291" s="27"/>
      <c r="BK291" s="27"/>
      <c r="BL291" s="27"/>
      <c r="BM291" s="27"/>
      <c r="BN291" s="27"/>
      <c r="BO291" s="27"/>
      <c r="BP291" s="27"/>
      <c r="BQ291" s="27"/>
      <c r="BR291" s="27"/>
      <c r="BS291" s="27"/>
      <c r="BT291" s="27"/>
      <c r="BU291" s="27"/>
      <c r="BV291" s="27"/>
      <c r="BW291" s="27"/>
      <c r="BX291" s="27"/>
      <c r="BY291" s="27"/>
      <c r="BZ291" s="27"/>
      <c r="CA291" s="27"/>
      <c r="CB291" s="27"/>
      <c r="CC291" s="27"/>
      <c r="CD291" s="27"/>
      <c r="CE291" s="27"/>
      <c r="CF291" s="27"/>
      <c r="CG291" s="27"/>
      <c r="CH291" s="27"/>
      <c r="CI291" s="27"/>
      <c r="CJ291" s="27"/>
      <c r="CK291" s="27"/>
      <c r="CL291" s="27"/>
      <c r="CM291" s="27"/>
      <c r="CN291" s="27"/>
      <c r="CO291" s="27"/>
      <c r="CP291" s="27"/>
      <c r="CQ291" s="27"/>
      <c r="CR291" s="27"/>
      <c r="CS291" s="27"/>
      <c r="CT291" s="27"/>
      <c r="CU291" s="27"/>
      <c r="CV291" s="27"/>
      <c r="CW291" s="27"/>
      <c r="CX291" s="27"/>
      <c r="CY291" s="27"/>
      <c r="CZ291" s="27"/>
      <c r="DA291" s="27"/>
      <c r="DB291" s="27"/>
      <c r="DC291" s="27"/>
      <c r="DD291" s="27"/>
      <c r="DE291" s="27"/>
      <c r="DF291" s="27"/>
      <c r="DG291" s="27"/>
      <c r="DH291" s="27"/>
      <c r="DI291" s="27"/>
      <c r="DJ291" s="27"/>
      <c r="DK291" s="27"/>
      <c r="DL291" s="27"/>
      <c r="DM291" s="27"/>
      <c r="DN291" s="27"/>
      <c r="DO291" s="27"/>
      <c r="DP291" s="27"/>
      <c r="DQ291" s="27"/>
      <c r="DR291" s="27"/>
      <c r="DS291" s="27"/>
      <c r="DT291" s="27"/>
    </row>
    <row r="292" spans="2:124" x14ac:dyDescent="0.2">
      <c r="B292" s="27"/>
      <c r="C292" s="27"/>
      <c r="D292" s="27"/>
      <c r="E292" s="27"/>
      <c r="F292" s="27"/>
      <c r="G292" s="27"/>
      <c r="H292" s="27"/>
      <c r="I292" s="27"/>
      <c r="J292" s="27"/>
      <c r="K292" s="27"/>
      <c r="L292" s="27"/>
      <c r="M292" s="27"/>
      <c r="N292" s="27"/>
      <c r="O292" s="27"/>
      <c r="P292" s="27"/>
      <c r="Q292" s="27"/>
      <c r="R292" s="27"/>
      <c r="S292" s="27"/>
      <c r="T292" s="27"/>
      <c r="U292" s="27"/>
      <c r="V292" s="27"/>
      <c r="W292" s="27"/>
      <c r="X292" s="27"/>
      <c r="Y292" s="27"/>
      <c r="Z292" s="27"/>
      <c r="AA292" s="27"/>
      <c r="AB292" s="27"/>
      <c r="AC292" s="27"/>
      <c r="AD292" s="27"/>
      <c r="AE292" s="27"/>
      <c r="AF292" s="27"/>
      <c r="AG292" s="27"/>
      <c r="AH292" s="27"/>
      <c r="AI292" s="27"/>
      <c r="AJ292" s="27"/>
      <c r="AK292" s="27"/>
      <c r="AL292" s="27"/>
      <c r="AM292" s="27"/>
      <c r="AN292" s="27"/>
      <c r="AO292" s="27"/>
      <c r="AP292" s="27"/>
      <c r="AQ292" s="27"/>
      <c r="AR292" s="27"/>
      <c r="AS292" s="27"/>
      <c r="AT292" s="27"/>
      <c r="AU292" s="27"/>
      <c r="AV292" s="27"/>
      <c r="AW292" s="27"/>
      <c r="AX292" s="27"/>
      <c r="AY292" s="27"/>
      <c r="AZ292" s="27"/>
      <c r="BA292" s="27"/>
      <c r="BB292" s="27"/>
      <c r="BC292" s="27"/>
      <c r="BD292" s="27"/>
      <c r="BE292" s="27"/>
      <c r="BF292" s="27"/>
      <c r="BG292" s="27"/>
      <c r="BH292" s="27"/>
      <c r="BI292" s="27"/>
      <c r="BJ292" s="27"/>
      <c r="BK292" s="27"/>
      <c r="BL292" s="27"/>
      <c r="BM292" s="27"/>
      <c r="BN292" s="27"/>
      <c r="BO292" s="27"/>
      <c r="BP292" s="27"/>
      <c r="BQ292" s="27"/>
      <c r="BR292" s="27"/>
      <c r="BS292" s="27"/>
      <c r="BT292" s="27"/>
      <c r="BU292" s="27"/>
      <c r="BV292" s="27"/>
      <c r="BW292" s="27"/>
      <c r="BX292" s="27"/>
      <c r="BY292" s="27"/>
      <c r="BZ292" s="27"/>
      <c r="CA292" s="27"/>
      <c r="CB292" s="27"/>
      <c r="CC292" s="27"/>
      <c r="CD292" s="27"/>
      <c r="CE292" s="27"/>
      <c r="CF292" s="27"/>
      <c r="CG292" s="27"/>
      <c r="CH292" s="27"/>
      <c r="CI292" s="27"/>
      <c r="CJ292" s="27"/>
      <c r="CK292" s="27"/>
      <c r="CL292" s="27"/>
      <c r="CM292" s="27"/>
      <c r="CN292" s="27"/>
      <c r="CO292" s="27"/>
      <c r="CP292" s="27"/>
      <c r="CQ292" s="27"/>
      <c r="CR292" s="27"/>
      <c r="CS292" s="27"/>
      <c r="CT292" s="27"/>
      <c r="CU292" s="27"/>
      <c r="CV292" s="27"/>
      <c r="CW292" s="27"/>
      <c r="CX292" s="27"/>
      <c r="CY292" s="27"/>
      <c r="CZ292" s="27"/>
      <c r="DA292" s="27"/>
      <c r="DB292" s="27"/>
      <c r="DC292" s="27"/>
      <c r="DD292" s="27"/>
      <c r="DE292" s="27"/>
      <c r="DF292" s="27"/>
      <c r="DG292" s="27"/>
      <c r="DH292" s="27"/>
      <c r="DI292" s="27"/>
      <c r="DJ292" s="27"/>
      <c r="DK292" s="27"/>
      <c r="DL292" s="27"/>
      <c r="DM292" s="27"/>
      <c r="DN292" s="27"/>
      <c r="DO292" s="27"/>
      <c r="DP292" s="27"/>
      <c r="DQ292" s="27"/>
      <c r="DR292" s="27"/>
      <c r="DS292" s="27"/>
      <c r="DT292" s="27"/>
    </row>
    <row r="293" spans="2:124" x14ac:dyDescent="0.2">
      <c r="B293" s="27"/>
      <c r="C293" s="27"/>
      <c r="D293" s="27"/>
      <c r="E293" s="27"/>
      <c r="F293" s="27"/>
      <c r="G293" s="27"/>
      <c r="H293" s="27"/>
      <c r="I293" s="27"/>
      <c r="J293" s="27"/>
      <c r="K293" s="27"/>
      <c r="L293" s="27"/>
      <c r="M293" s="27"/>
      <c r="N293" s="27"/>
      <c r="O293" s="27"/>
      <c r="P293" s="27"/>
      <c r="Q293" s="27"/>
      <c r="R293" s="27"/>
      <c r="S293" s="27"/>
      <c r="T293" s="27"/>
      <c r="U293" s="27"/>
      <c r="V293" s="27"/>
      <c r="W293" s="27"/>
      <c r="X293" s="27"/>
      <c r="Y293" s="27"/>
      <c r="Z293" s="27"/>
      <c r="AA293" s="27"/>
      <c r="AB293" s="27"/>
      <c r="AC293" s="27"/>
      <c r="AD293" s="27"/>
      <c r="AE293" s="27"/>
      <c r="AF293" s="27"/>
      <c r="AG293" s="27"/>
      <c r="AH293" s="27"/>
      <c r="AI293" s="27"/>
      <c r="AJ293" s="27"/>
      <c r="AK293" s="27"/>
      <c r="AL293" s="27"/>
      <c r="AM293" s="27"/>
      <c r="AN293" s="27"/>
      <c r="AO293" s="27"/>
      <c r="AP293" s="27"/>
      <c r="AQ293" s="27"/>
      <c r="AR293" s="27"/>
      <c r="AS293" s="27"/>
      <c r="AT293" s="27"/>
      <c r="AU293" s="27"/>
      <c r="AV293" s="27"/>
      <c r="AW293" s="27"/>
      <c r="AX293" s="27"/>
      <c r="AY293" s="27"/>
      <c r="AZ293" s="27"/>
      <c r="BA293" s="27"/>
      <c r="BB293" s="27"/>
      <c r="BC293" s="27"/>
      <c r="BD293" s="27"/>
      <c r="BE293" s="27"/>
      <c r="BF293" s="27"/>
      <c r="BG293" s="27"/>
      <c r="BH293" s="27"/>
      <c r="BI293" s="27"/>
      <c r="BJ293" s="27"/>
      <c r="BK293" s="27"/>
      <c r="BL293" s="27"/>
      <c r="BM293" s="27"/>
      <c r="BN293" s="27"/>
      <c r="BO293" s="27"/>
      <c r="BP293" s="27"/>
      <c r="BQ293" s="27"/>
      <c r="BR293" s="27"/>
      <c r="BS293" s="27"/>
      <c r="BT293" s="27"/>
      <c r="BU293" s="27"/>
      <c r="BV293" s="27"/>
      <c r="BW293" s="27"/>
      <c r="BX293" s="27"/>
      <c r="BY293" s="27"/>
      <c r="BZ293" s="27"/>
      <c r="CA293" s="27"/>
      <c r="CB293" s="27"/>
      <c r="CC293" s="27"/>
      <c r="CD293" s="27"/>
      <c r="CE293" s="27"/>
      <c r="CF293" s="27"/>
      <c r="CG293" s="27"/>
      <c r="CH293" s="27"/>
      <c r="CI293" s="27"/>
      <c r="CJ293" s="27"/>
      <c r="CK293" s="27"/>
      <c r="CL293" s="27"/>
      <c r="CM293" s="27"/>
      <c r="CN293" s="27"/>
      <c r="CO293" s="27"/>
      <c r="CP293" s="27"/>
      <c r="CQ293" s="27"/>
      <c r="CR293" s="27"/>
      <c r="CS293" s="27"/>
      <c r="CT293" s="27"/>
      <c r="CU293" s="27"/>
      <c r="CV293" s="27"/>
      <c r="CW293" s="27"/>
      <c r="CX293" s="27"/>
      <c r="CY293" s="27"/>
      <c r="CZ293" s="27"/>
      <c r="DA293" s="27"/>
      <c r="DB293" s="27"/>
      <c r="DC293" s="27"/>
      <c r="DD293" s="27"/>
      <c r="DE293" s="27"/>
      <c r="DF293" s="27"/>
      <c r="DG293" s="27"/>
      <c r="DH293" s="27"/>
      <c r="DI293" s="27"/>
      <c r="DJ293" s="27"/>
      <c r="DK293" s="27"/>
      <c r="DL293" s="27"/>
      <c r="DM293" s="27"/>
      <c r="DN293" s="27"/>
      <c r="DO293" s="27"/>
      <c r="DP293" s="27"/>
      <c r="DQ293" s="27"/>
      <c r="DR293" s="27"/>
      <c r="DS293" s="27"/>
      <c r="DT293" s="27"/>
    </row>
    <row r="294" spans="2:124" x14ac:dyDescent="0.2">
      <c r="B294" s="27"/>
      <c r="C294" s="27"/>
      <c r="D294" s="27"/>
      <c r="E294" s="27"/>
      <c r="F294" s="27"/>
      <c r="G294" s="27"/>
      <c r="H294" s="27"/>
      <c r="I294" s="27"/>
      <c r="J294" s="27"/>
      <c r="K294" s="27"/>
      <c r="L294" s="27"/>
      <c r="M294" s="27"/>
      <c r="N294" s="27"/>
      <c r="O294" s="27"/>
      <c r="P294" s="27"/>
      <c r="Q294" s="27"/>
      <c r="R294" s="27"/>
      <c r="S294" s="27"/>
      <c r="T294" s="27"/>
      <c r="U294" s="27"/>
      <c r="V294" s="27"/>
      <c r="W294" s="27"/>
      <c r="X294" s="27"/>
      <c r="Y294" s="27"/>
      <c r="Z294" s="27"/>
      <c r="AA294" s="27"/>
      <c r="AB294" s="27"/>
      <c r="AC294" s="27"/>
      <c r="AD294" s="27"/>
      <c r="AE294" s="27"/>
      <c r="AF294" s="27"/>
      <c r="AG294" s="27"/>
      <c r="AH294" s="27"/>
      <c r="AI294" s="27"/>
      <c r="AJ294" s="27"/>
      <c r="AK294" s="27"/>
      <c r="AL294" s="27"/>
      <c r="AM294" s="27"/>
      <c r="AN294" s="27"/>
      <c r="AO294" s="27"/>
      <c r="AP294" s="27"/>
      <c r="AQ294" s="27"/>
      <c r="AR294" s="27"/>
      <c r="AS294" s="27"/>
      <c r="AT294" s="27"/>
      <c r="AU294" s="27"/>
      <c r="AV294" s="27"/>
      <c r="AW294" s="27"/>
      <c r="AX294" s="27"/>
      <c r="AY294" s="27"/>
      <c r="AZ294" s="27"/>
      <c r="BA294" s="27"/>
      <c r="BB294" s="27"/>
      <c r="BC294" s="27"/>
      <c r="BD294" s="27"/>
      <c r="BE294" s="27"/>
      <c r="BF294" s="27"/>
      <c r="BG294" s="27"/>
      <c r="BH294" s="27"/>
      <c r="BI294" s="27"/>
      <c r="BJ294" s="27"/>
      <c r="BK294" s="27"/>
      <c r="BL294" s="27"/>
      <c r="BM294" s="27"/>
      <c r="BN294" s="27"/>
      <c r="BO294" s="27"/>
      <c r="BP294" s="27"/>
      <c r="BQ294" s="27"/>
      <c r="BR294" s="27"/>
      <c r="BS294" s="27"/>
      <c r="BT294" s="27"/>
      <c r="BU294" s="27"/>
      <c r="BV294" s="27"/>
      <c r="BW294" s="27"/>
      <c r="BX294" s="27"/>
      <c r="BY294" s="27"/>
      <c r="BZ294" s="27"/>
      <c r="CA294" s="27"/>
      <c r="CB294" s="27"/>
      <c r="CC294" s="27"/>
      <c r="CD294" s="27"/>
      <c r="CE294" s="27"/>
      <c r="CF294" s="27"/>
      <c r="CG294" s="27"/>
      <c r="CH294" s="27"/>
      <c r="CI294" s="27"/>
      <c r="CJ294" s="27"/>
      <c r="CK294" s="27"/>
      <c r="CL294" s="27"/>
      <c r="CM294" s="27"/>
      <c r="CN294" s="27"/>
      <c r="CO294" s="27"/>
      <c r="CP294" s="27"/>
      <c r="CQ294" s="27"/>
      <c r="CR294" s="27"/>
      <c r="CS294" s="27"/>
      <c r="CT294" s="27"/>
      <c r="CU294" s="27"/>
      <c r="CV294" s="27"/>
      <c r="CW294" s="27"/>
      <c r="CX294" s="27"/>
      <c r="CY294" s="27"/>
      <c r="CZ294" s="27"/>
      <c r="DA294" s="27"/>
      <c r="DB294" s="27"/>
      <c r="DC294" s="27"/>
      <c r="DD294" s="27"/>
      <c r="DE294" s="27"/>
      <c r="DF294" s="27"/>
      <c r="DG294" s="27"/>
      <c r="DH294" s="27"/>
      <c r="DI294" s="27"/>
      <c r="DJ294" s="27"/>
      <c r="DK294" s="27"/>
      <c r="DL294" s="27"/>
      <c r="DM294" s="27"/>
      <c r="DN294" s="27"/>
      <c r="DO294" s="27"/>
      <c r="DP294" s="27"/>
      <c r="DQ294" s="27"/>
      <c r="DR294" s="27"/>
      <c r="DS294" s="27"/>
      <c r="DT294" s="27"/>
    </row>
    <row r="295" spans="2:124" x14ac:dyDescent="0.2">
      <c r="B295" s="27"/>
      <c r="C295" s="27"/>
      <c r="D295" s="27"/>
      <c r="E295" s="27"/>
      <c r="F295" s="27"/>
      <c r="G295" s="27"/>
      <c r="H295" s="27"/>
      <c r="I295" s="27"/>
      <c r="J295" s="27"/>
      <c r="K295" s="27"/>
      <c r="L295" s="27"/>
      <c r="M295" s="27"/>
      <c r="N295" s="27"/>
      <c r="O295" s="27"/>
      <c r="P295" s="27"/>
      <c r="Q295" s="27"/>
      <c r="R295" s="27"/>
      <c r="S295" s="27"/>
      <c r="T295" s="27"/>
      <c r="U295" s="27"/>
      <c r="V295" s="27"/>
      <c r="W295" s="27"/>
      <c r="X295" s="27"/>
      <c r="Y295" s="27"/>
      <c r="Z295" s="27"/>
      <c r="AA295" s="27"/>
      <c r="AB295" s="27"/>
      <c r="AC295" s="27"/>
      <c r="AD295" s="27"/>
      <c r="AE295" s="27"/>
      <c r="AF295" s="27"/>
      <c r="AG295" s="27"/>
      <c r="AH295" s="27"/>
      <c r="AI295" s="27"/>
      <c r="AJ295" s="27"/>
      <c r="AK295" s="27"/>
      <c r="AL295" s="27"/>
      <c r="AM295" s="27"/>
      <c r="AN295" s="27"/>
      <c r="AO295" s="27"/>
      <c r="AP295" s="27"/>
      <c r="AQ295" s="27"/>
      <c r="AR295" s="27"/>
      <c r="AS295" s="27"/>
      <c r="AT295" s="27"/>
      <c r="AU295" s="27"/>
      <c r="AV295" s="27"/>
      <c r="AW295" s="27"/>
      <c r="AX295" s="27"/>
      <c r="AY295" s="27"/>
      <c r="AZ295" s="27"/>
      <c r="BA295" s="27"/>
      <c r="BB295" s="27"/>
      <c r="BC295" s="27"/>
      <c r="BD295" s="27"/>
      <c r="BE295" s="27"/>
      <c r="BF295" s="27"/>
      <c r="BG295" s="27"/>
      <c r="BH295" s="27"/>
      <c r="BI295" s="27"/>
      <c r="BJ295" s="27"/>
      <c r="BK295" s="27"/>
      <c r="BL295" s="27"/>
      <c r="BM295" s="27"/>
      <c r="BN295" s="27"/>
      <c r="BO295" s="27"/>
      <c r="BP295" s="27"/>
      <c r="BQ295" s="27"/>
      <c r="BR295" s="27"/>
      <c r="BS295" s="27"/>
      <c r="BT295" s="27"/>
      <c r="BU295" s="27"/>
      <c r="BV295" s="27"/>
      <c r="BW295" s="27"/>
      <c r="BX295" s="27"/>
      <c r="BY295" s="27"/>
      <c r="BZ295" s="27"/>
      <c r="CA295" s="27"/>
      <c r="CB295" s="27"/>
      <c r="CC295" s="27"/>
      <c r="CD295" s="27"/>
      <c r="CE295" s="27"/>
      <c r="CF295" s="27"/>
      <c r="CG295" s="27"/>
      <c r="CH295" s="27"/>
      <c r="CI295" s="27"/>
      <c r="CJ295" s="27"/>
      <c r="CK295" s="27"/>
      <c r="CL295" s="27"/>
      <c r="CM295" s="27"/>
      <c r="CN295" s="27"/>
      <c r="CO295" s="27"/>
      <c r="CP295" s="27"/>
      <c r="CQ295" s="27"/>
      <c r="CR295" s="27"/>
      <c r="CS295" s="27"/>
      <c r="CT295" s="27"/>
      <c r="CU295" s="27"/>
      <c r="CV295" s="27"/>
      <c r="CW295" s="27"/>
      <c r="CX295" s="27"/>
      <c r="CY295" s="27"/>
      <c r="CZ295" s="27"/>
      <c r="DA295" s="27"/>
      <c r="DB295" s="27"/>
      <c r="DC295" s="27"/>
      <c r="DD295" s="27"/>
      <c r="DE295" s="27"/>
      <c r="DF295" s="27"/>
      <c r="DG295" s="27"/>
      <c r="DH295" s="27"/>
      <c r="DI295" s="27"/>
      <c r="DJ295" s="27"/>
      <c r="DK295" s="27"/>
      <c r="DL295" s="27"/>
      <c r="DM295" s="27"/>
      <c r="DN295" s="27"/>
      <c r="DO295" s="27"/>
      <c r="DP295" s="27"/>
      <c r="DQ295" s="27"/>
      <c r="DR295" s="27"/>
      <c r="DS295" s="27"/>
      <c r="DT295" s="27"/>
    </row>
    <row r="296" spans="2:124" x14ac:dyDescent="0.2">
      <c r="B296" s="27"/>
      <c r="C296" s="27"/>
      <c r="D296" s="27"/>
      <c r="E296" s="27"/>
      <c r="F296" s="27"/>
      <c r="G296" s="27"/>
      <c r="H296" s="27"/>
      <c r="I296" s="27"/>
      <c r="J296" s="27"/>
      <c r="K296" s="27"/>
      <c r="L296" s="27"/>
      <c r="M296" s="27"/>
      <c r="N296" s="27"/>
      <c r="O296" s="27"/>
      <c r="P296" s="27"/>
      <c r="Q296" s="27"/>
      <c r="R296" s="27"/>
      <c r="S296" s="27"/>
      <c r="T296" s="27"/>
      <c r="U296" s="27"/>
      <c r="V296" s="27"/>
      <c r="W296" s="27"/>
      <c r="X296" s="27"/>
      <c r="Y296" s="27"/>
      <c r="Z296" s="27"/>
      <c r="AA296" s="27"/>
      <c r="AB296" s="27"/>
      <c r="AC296" s="27"/>
      <c r="AD296" s="27"/>
      <c r="AE296" s="27"/>
      <c r="AF296" s="27"/>
      <c r="AG296" s="27"/>
      <c r="AH296" s="27"/>
      <c r="AI296" s="27"/>
      <c r="AJ296" s="27"/>
      <c r="AK296" s="27"/>
      <c r="AL296" s="27"/>
      <c r="AM296" s="27"/>
      <c r="AN296" s="27"/>
      <c r="AO296" s="27"/>
      <c r="AP296" s="27"/>
      <c r="AQ296" s="27"/>
      <c r="AR296" s="27"/>
      <c r="AS296" s="27"/>
      <c r="AT296" s="27"/>
      <c r="AU296" s="27"/>
      <c r="AV296" s="27"/>
      <c r="AW296" s="27"/>
      <c r="AX296" s="27"/>
      <c r="AY296" s="27"/>
      <c r="AZ296" s="27"/>
      <c r="BA296" s="27"/>
      <c r="BB296" s="27"/>
      <c r="BC296" s="27"/>
      <c r="BD296" s="27"/>
      <c r="BE296" s="27"/>
      <c r="BF296" s="27"/>
      <c r="BG296" s="27"/>
      <c r="BH296" s="27"/>
      <c r="BI296" s="27"/>
      <c r="BJ296" s="27"/>
      <c r="BK296" s="27"/>
      <c r="BL296" s="27"/>
      <c r="BM296" s="27"/>
      <c r="BN296" s="27"/>
      <c r="BO296" s="27"/>
      <c r="BP296" s="27"/>
      <c r="BQ296" s="27"/>
      <c r="BR296" s="27"/>
      <c r="BS296" s="27"/>
      <c r="BT296" s="27"/>
      <c r="BU296" s="27"/>
      <c r="BV296" s="27"/>
      <c r="BW296" s="27"/>
      <c r="BX296" s="27"/>
      <c r="BY296" s="27"/>
      <c r="BZ296" s="27"/>
      <c r="CA296" s="27"/>
      <c r="CB296" s="27"/>
      <c r="CC296" s="27"/>
      <c r="CD296" s="27"/>
      <c r="CE296" s="27"/>
      <c r="CF296" s="27"/>
      <c r="CG296" s="27"/>
      <c r="CH296" s="27"/>
      <c r="CI296" s="27"/>
      <c r="CJ296" s="27"/>
      <c r="CK296" s="27"/>
      <c r="CL296" s="27"/>
      <c r="CM296" s="27"/>
      <c r="CN296" s="27"/>
      <c r="CO296" s="27"/>
      <c r="CP296" s="27"/>
      <c r="CQ296" s="27"/>
      <c r="CR296" s="27"/>
      <c r="CS296" s="27"/>
      <c r="CT296" s="27"/>
      <c r="CU296" s="27"/>
      <c r="CV296" s="27"/>
      <c r="CW296" s="27"/>
      <c r="CX296" s="27"/>
      <c r="CY296" s="27"/>
      <c r="CZ296" s="27"/>
      <c r="DA296" s="27"/>
      <c r="DB296" s="27"/>
      <c r="DC296" s="27"/>
      <c r="DD296" s="27"/>
      <c r="DE296" s="27"/>
      <c r="DF296" s="27"/>
      <c r="DG296" s="27"/>
      <c r="DH296" s="27"/>
      <c r="DI296" s="27"/>
      <c r="DJ296" s="27"/>
      <c r="DK296" s="27"/>
      <c r="DL296" s="27"/>
      <c r="DM296" s="27"/>
      <c r="DN296" s="27"/>
      <c r="DO296" s="27"/>
      <c r="DP296" s="27"/>
      <c r="DQ296" s="27"/>
      <c r="DR296" s="27"/>
      <c r="DS296" s="27"/>
      <c r="DT296" s="27"/>
    </row>
    <row r="297" spans="2:124" x14ac:dyDescent="0.2">
      <c r="B297" s="27"/>
      <c r="C297" s="27"/>
      <c r="D297" s="27"/>
      <c r="E297" s="27"/>
      <c r="F297" s="27"/>
      <c r="G297" s="27"/>
      <c r="H297" s="27"/>
      <c r="I297" s="27"/>
      <c r="J297" s="27"/>
      <c r="K297" s="27"/>
      <c r="L297" s="27"/>
      <c r="M297" s="27"/>
      <c r="N297" s="27"/>
      <c r="O297" s="27"/>
      <c r="P297" s="27"/>
      <c r="Q297" s="27"/>
      <c r="R297" s="27"/>
      <c r="S297" s="27"/>
      <c r="T297" s="27"/>
      <c r="U297" s="27"/>
      <c r="V297" s="27"/>
      <c r="W297" s="27"/>
      <c r="X297" s="27"/>
      <c r="Y297" s="27"/>
      <c r="Z297" s="27"/>
      <c r="AA297" s="27"/>
      <c r="AB297" s="27"/>
      <c r="AC297" s="27"/>
      <c r="AD297" s="27"/>
      <c r="AE297" s="27"/>
      <c r="AF297" s="27"/>
      <c r="AG297" s="27"/>
      <c r="AH297" s="27"/>
      <c r="AI297" s="27"/>
      <c r="AJ297" s="27"/>
      <c r="AK297" s="27"/>
      <c r="AL297" s="27"/>
      <c r="AM297" s="27"/>
      <c r="AN297" s="27"/>
      <c r="AO297" s="27"/>
      <c r="AP297" s="27"/>
      <c r="AQ297" s="27"/>
      <c r="AR297" s="27"/>
      <c r="AS297" s="27"/>
      <c r="AT297" s="27"/>
      <c r="AU297" s="27"/>
      <c r="AV297" s="27"/>
      <c r="AW297" s="27"/>
      <c r="AX297" s="27"/>
      <c r="AY297" s="27"/>
      <c r="AZ297" s="27"/>
      <c r="BA297" s="27"/>
      <c r="BB297" s="27"/>
      <c r="BC297" s="27"/>
      <c r="BD297" s="27"/>
      <c r="BE297" s="27"/>
      <c r="BF297" s="27"/>
      <c r="BG297" s="27"/>
      <c r="BH297" s="27"/>
      <c r="BI297" s="27"/>
      <c r="BJ297" s="27"/>
      <c r="BK297" s="27"/>
      <c r="BL297" s="27"/>
      <c r="BM297" s="27"/>
      <c r="BN297" s="27"/>
      <c r="BO297" s="27"/>
      <c r="BP297" s="27"/>
      <c r="BQ297" s="27"/>
      <c r="BR297" s="27"/>
      <c r="BS297" s="27"/>
      <c r="BT297" s="27"/>
      <c r="BU297" s="27"/>
      <c r="BV297" s="27"/>
      <c r="BW297" s="27"/>
      <c r="BX297" s="27"/>
      <c r="BY297" s="27"/>
      <c r="BZ297" s="27"/>
      <c r="CA297" s="27"/>
      <c r="CB297" s="27"/>
      <c r="CC297" s="27"/>
      <c r="CD297" s="27"/>
      <c r="CE297" s="27"/>
      <c r="CF297" s="27"/>
      <c r="CG297" s="27"/>
      <c r="CH297" s="27"/>
      <c r="CI297" s="27"/>
      <c r="CJ297" s="27"/>
      <c r="CK297" s="27"/>
      <c r="CL297" s="27"/>
      <c r="CM297" s="27"/>
      <c r="CN297" s="27"/>
      <c r="CO297" s="27"/>
      <c r="CP297" s="27"/>
      <c r="CQ297" s="27"/>
      <c r="CR297" s="27"/>
      <c r="CS297" s="27"/>
      <c r="CT297" s="27"/>
      <c r="CU297" s="27"/>
      <c r="CV297" s="27"/>
      <c r="CW297" s="27"/>
      <c r="CX297" s="27"/>
      <c r="CY297" s="27"/>
      <c r="CZ297" s="27"/>
      <c r="DA297" s="27"/>
      <c r="DB297" s="27"/>
      <c r="DC297" s="27"/>
      <c r="DD297" s="27"/>
      <c r="DE297" s="27"/>
      <c r="DF297" s="27"/>
      <c r="DG297" s="27"/>
      <c r="DH297" s="27"/>
      <c r="DI297" s="27"/>
      <c r="DJ297" s="27"/>
      <c r="DK297" s="27"/>
      <c r="DL297" s="27"/>
      <c r="DM297" s="27"/>
      <c r="DN297" s="27"/>
      <c r="DO297" s="27"/>
      <c r="DP297" s="27"/>
      <c r="DQ297" s="27"/>
      <c r="DR297" s="27"/>
      <c r="DS297" s="27"/>
      <c r="DT297" s="27"/>
    </row>
    <row r="298" spans="2:124" x14ac:dyDescent="0.2">
      <c r="B298" s="27"/>
      <c r="C298" s="27"/>
      <c r="D298" s="27"/>
      <c r="E298" s="27"/>
      <c r="F298" s="27"/>
      <c r="G298" s="27"/>
      <c r="H298" s="27"/>
      <c r="I298" s="27"/>
      <c r="J298" s="27"/>
      <c r="K298" s="27"/>
      <c r="L298" s="27"/>
      <c r="M298" s="27"/>
      <c r="N298" s="27"/>
      <c r="O298" s="27"/>
      <c r="P298" s="27"/>
      <c r="Q298" s="27"/>
      <c r="R298" s="27"/>
      <c r="S298" s="27"/>
      <c r="T298" s="27"/>
      <c r="U298" s="27"/>
      <c r="V298" s="27"/>
      <c r="W298" s="27"/>
      <c r="X298" s="27"/>
      <c r="Y298" s="27"/>
      <c r="Z298" s="27"/>
      <c r="AA298" s="27"/>
      <c r="AB298" s="27"/>
      <c r="AC298" s="27"/>
      <c r="AD298" s="27"/>
      <c r="AE298" s="27"/>
      <c r="AF298" s="27"/>
      <c r="AG298" s="27"/>
      <c r="AH298" s="27"/>
      <c r="AI298" s="27"/>
      <c r="AJ298" s="27"/>
      <c r="AK298" s="27"/>
      <c r="AL298" s="27"/>
      <c r="AM298" s="27"/>
      <c r="AN298" s="27"/>
      <c r="AO298" s="27"/>
      <c r="AP298" s="27"/>
      <c r="AQ298" s="27"/>
      <c r="AR298" s="27"/>
      <c r="AS298" s="27"/>
      <c r="AT298" s="27"/>
      <c r="AU298" s="27"/>
      <c r="AV298" s="27"/>
      <c r="AW298" s="27"/>
      <c r="AX298" s="27"/>
      <c r="AY298" s="27"/>
      <c r="AZ298" s="27"/>
      <c r="BA298" s="27"/>
      <c r="BB298" s="27"/>
      <c r="BC298" s="27"/>
      <c r="BD298" s="27"/>
      <c r="BE298" s="27"/>
      <c r="BF298" s="27"/>
      <c r="BG298" s="27"/>
      <c r="BH298" s="27"/>
      <c r="BI298" s="27"/>
      <c r="BJ298" s="27"/>
      <c r="BK298" s="27"/>
      <c r="BL298" s="27"/>
      <c r="BM298" s="27"/>
      <c r="BN298" s="27"/>
      <c r="BO298" s="27"/>
      <c r="BP298" s="27"/>
      <c r="BQ298" s="27"/>
      <c r="BR298" s="27"/>
      <c r="BS298" s="27"/>
      <c r="BT298" s="27"/>
      <c r="BU298" s="27"/>
      <c r="BV298" s="27"/>
      <c r="BW298" s="27"/>
      <c r="BX298" s="27"/>
      <c r="BY298" s="27"/>
      <c r="BZ298" s="27"/>
      <c r="CA298" s="27"/>
      <c r="CB298" s="27"/>
      <c r="CC298" s="27"/>
      <c r="CD298" s="27"/>
      <c r="CE298" s="27"/>
      <c r="CF298" s="27"/>
      <c r="CG298" s="27"/>
      <c r="CH298" s="27"/>
      <c r="CI298" s="27"/>
      <c r="CJ298" s="27"/>
      <c r="CK298" s="27"/>
      <c r="CL298" s="27"/>
      <c r="CM298" s="27"/>
      <c r="CN298" s="27"/>
      <c r="CO298" s="27"/>
      <c r="CP298" s="27"/>
      <c r="CQ298" s="27"/>
      <c r="CR298" s="27"/>
      <c r="CS298" s="27"/>
      <c r="CT298" s="27"/>
      <c r="CU298" s="27"/>
      <c r="CV298" s="27"/>
      <c r="CW298" s="27"/>
      <c r="CX298" s="27"/>
      <c r="CY298" s="27"/>
      <c r="CZ298" s="27"/>
      <c r="DA298" s="27"/>
      <c r="DB298" s="27"/>
      <c r="DC298" s="27"/>
      <c r="DD298" s="27"/>
      <c r="DE298" s="27"/>
      <c r="DF298" s="27"/>
      <c r="DG298" s="27"/>
      <c r="DH298" s="27"/>
      <c r="DI298" s="27"/>
      <c r="DJ298" s="27"/>
      <c r="DK298" s="27"/>
      <c r="DL298" s="27"/>
      <c r="DM298" s="27"/>
      <c r="DN298" s="27"/>
      <c r="DO298" s="27"/>
      <c r="DP298" s="27"/>
      <c r="DQ298" s="27"/>
      <c r="DR298" s="27"/>
      <c r="DS298" s="27"/>
      <c r="DT298" s="27"/>
    </row>
    <row r="299" spans="2:124" x14ac:dyDescent="0.2">
      <c r="B299" s="27"/>
      <c r="C299" s="27"/>
      <c r="D299" s="27"/>
      <c r="E299" s="27"/>
      <c r="F299" s="27"/>
      <c r="G299" s="27"/>
      <c r="H299" s="27"/>
      <c r="I299" s="27"/>
      <c r="J299" s="27"/>
      <c r="K299" s="27"/>
      <c r="L299" s="27"/>
      <c r="M299" s="27"/>
      <c r="N299" s="27"/>
      <c r="O299" s="27"/>
      <c r="P299" s="27"/>
      <c r="Q299" s="27"/>
      <c r="R299" s="27"/>
      <c r="S299" s="27"/>
      <c r="T299" s="27"/>
      <c r="U299" s="27"/>
      <c r="V299" s="27"/>
      <c r="W299" s="27"/>
      <c r="X299" s="27"/>
      <c r="Y299" s="27"/>
      <c r="Z299" s="27"/>
      <c r="AA299" s="27"/>
      <c r="AB299" s="27"/>
      <c r="AC299" s="27"/>
      <c r="AD299" s="27"/>
      <c r="AE299" s="27"/>
      <c r="AF299" s="27"/>
      <c r="AG299" s="27"/>
      <c r="AH299" s="27"/>
      <c r="AI299" s="27"/>
      <c r="AJ299" s="27"/>
      <c r="AK299" s="27"/>
      <c r="AL299" s="27"/>
      <c r="AM299" s="27"/>
      <c r="AN299" s="27"/>
      <c r="AO299" s="27"/>
      <c r="AP299" s="27"/>
      <c r="AQ299" s="27"/>
      <c r="AR299" s="27"/>
      <c r="AS299" s="27"/>
      <c r="AT299" s="27"/>
      <c r="AU299" s="27"/>
      <c r="AV299" s="27"/>
      <c r="AW299" s="27"/>
      <c r="AX299" s="27"/>
      <c r="AY299" s="27"/>
      <c r="AZ299" s="27"/>
      <c r="BA299" s="27"/>
      <c r="BB299" s="27"/>
      <c r="BC299" s="27"/>
      <c r="BD299" s="27"/>
      <c r="BE299" s="27"/>
      <c r="BF299" s="27"/>
      <c r="BG299" s="27"/>
      <c r="BH299" s="27"/>
      <c r="BI299" s="27"/>
      <c r="BJ299" s="27"/>
      <c r="BK299" s="27"/>
      <c r="BL299" s="27"/>
      <c r="BM299" s="27"/>
      <c r="BN299" s="27"/>
      <c r="BO299" s="27"/>
      <c r="BP299" s="27"/>
      <c r="BQ299" s="27"/>
      <c r="BR299" s="27"/>
      <c r="BS299" s="27"/>
      <c r="BT299" s="27"/>
      <c r="BU299" s="27"/>
      <c r="BV299" s="27"/>
      <c r="BW299" s="27"/>
      <c r="BX299" s="27"/>
      <c r="BY299" s="27"/>
      <c r="BZ299" s="27"/>
      <c r="CA299" s="27"/>
      <c r="CB299" s="27"/>
      <c r="CC299" s="27"/>
      <c r="CD299" s="27"/>
      <c r="CE299" s="27"/>
      <c r="CF299" s="27"/>
      <c r="CG299" s="27"/>
      <c r="CH299" s="27"/>
      <c r="CI299" s="27"/>
      <c r="CJ299" s="27"/>
      <c r="CK299" s="27"/>
      <c r="CL299" s="27"/>
      <c r="CM299" s="27"/>
      <c r="CN299" s="27"/>
      <c r="CO299" s="27"/>
      <c r="CP299" s="27"/>
      <c r="CQ299" s="27"/>
      <c r="CR299" s="27"/>
      <c r="CS299" s="27"/>
      <c r="CT299" s="27"/>
      <c r="CU299" s="27"/>
      <c r="CV299" s="27"/>
      <c r="CW299" s="27"/>
      <c r="CX299" s="27"/>
      <c r="CY299" s="27"/>
      <c r="CZ299" s="27"/>
      <c r="DA299" s="27"/>
      <c r="DB299" s="27"/>
      <c r="DC299" s="27"/>
      <c r="DD299" s="27"/>
      <c r="DE299" s="27"/>
      <c r="DF299" s="27"/>
      <c r="DG299" s="27"/>
      <c r="DH299" s="27"/>
      <c r="DI299" s="27"/>
      <c r="DJ299" s="27"/>
      <c r="DK299" s="27"/>
      <c r="DL299" s="27"/>
      <c r="DM299" s="27"/>
      <c r="DN299" s="27"/>
      <c r="DO299" s="27"/>
      <c r="DP299" s="27"/>
      <c r="DQ299" s="27"/>
      <c r="DR299" s="27"/>
      <c r="DS299" s="27"/>
      <c r="DT299" s="27"/>
    </row>
    <row r="300" spans="2:124" x14ac:dyDescent="0.2">
      <c r="B300" s="27"/>
      <c r="C300" s="27"/>
      <c r="D300" s="27"/>
      <c r="E300" s="27"/>
      <c r="F300" s="27"/>
      <c r="G300" s="27"/>
      <c r="H300" s="27"/>
      <c r="I300" s="27"/>
      <c r="J300" s="27"/>
      <c r="K300" s="27"/>
      <c r="L300" s="27"/>
      <c r="M300" s="27"/>
      <c r="N300" s="27"/>
      <c r="O300" s="27"/>
      <c r="P300" s="27"/>
      <c r="Q300" s="27"/>
      <c r="R300" s="27"/>
      <c r="S300" s="27"/>
      <c r="T300" s="27"/>
      <c r="U300" s="27"/>
      <c r="V300" s="27"/>
      <c r="W300" s="27"/>
      <c r="X300" s="27"/>
      <c r="Y300" s="27"/>
      <c r="Z300" s="27"/>
      <c r="AA300" s="27"/>
      <c r="AB300" s="27"/>
      <c r="AC300" s="27"/>
      <c r="AD300" s="27"/>
      <c r="AE300" s="27"/>
      <c r="AF300" s="27"/>
      <c r="AG300" s="27"/>
      <c r="AH300" s="27"/>
      <c r="AI300" s="27"/>
      <c r="AJ300" s="27"/>
      <c r="AK300" s="27"/>
      <c r="AL300" s="27"/>
      <c r="AM300" s="27"/>
      <c r="AN300" s="27"/>
      <c r="AO300" s="27"/>
      <c r="AP300" s="27"/>
      <c r="AQ300" s="27"/>
      <c r="AR300" s="27"/>
      <c r="AS300" s="27"/>
      <c r="AT300" s="27"/>
      <c r="AU300" s="27"/>
      <c r="AV300" s="27"/>
      <c r="AW300" s="27"/>
      <c r="AX300" s="27"/>
      <c r="AY300" s="27"/>
      <c r="AZ300" s="27"/>
      <c r="BA300" s="27"/>
      <c r="BB300" s="27"/>
      <c r="BC300" s="27"/>
      <c r="BD300" s="27"/>
      <c r="BE300" s="27"/>
      <c r="BF300" s="27"/>
      <c r="BG300" s="27"/>
      <c r="BH300" s="27"/>
      <c r="BI300" s="27"/>
      <c r="BJ300" s="27"/>
      <c r="BK300" s="27"/>
      <c r="BL300" s="27"/>
      <c r="BM300" s="27"/>
      <c r="BN300" s="27"/>
      <c r="BO300" s="27"/>
      <c r="BP300" s="27"/>
      <c r="BQ300" s="27"/>
      <c r="BR300" s="27"/>
      <c r="BS300" s="27"/>
      <c r="BT300" s="27"/>
      <c r="BU300" s="27"/>
      <c r="BV300" s="27"/>
      <c r="BW300" s="27"/>
      <c r="BX300" s="27"/>
      <c r="BY300" s="27"/>
      <c r="BZ300" s="27"/>
      <c r="CA300" s="27"/>
      <c r="CB300" s="27"/>
      <c r="CC300" s="27"/>
      <c r="CD300" s="27"/>
      <c r="CE300" s="27"/>
      <c r="CF300" s="27"/>
      <c r="CG300" s="27"/>
      <c r="CH300" s="27"/>
      <c r="CI300" s="27"/>
      <c r="CJ300" s="27"/>
      <c r="CK300" s="27"/>
      <c r="CL300" s="27"/>
      <c r="CM300" s="27"/>
      <c r="CN300" s="27"/>
      <c r="CO300" s="27"/>
      <c r="CP300" s="27"/>
      <c r="CQ300" s="27"/>
      <c r="CR300" s="27"/>
      <c r="CS300" s="27"/>
      <c r="CT300" s="27"/>
      <c r="CU300" s="27"/>
      <c r="CV300" s="27"/>
      <c r="CW300" s="27"/>
      <c r="CX300" s="27"/>
      <c r="CY300" s="27"/>
      <c r="CZ300" s="27"/>
      <c r="DA300" s="27"/>
      <c r="DB300" s="27"/>
      <c r="DC300" s="27"/>
      <c r="DD300" s="27"/>
      <c r="DE300" s="27"/>
      <c r="DF300" s="27"/>
      <c r="DG300" s="27"/>
      <c r="DH300" s="27"/>
      <c r="DI300" s="27"/>
      <c r="DJ300" s="27"/>
      <c r="DK300" s="27"/>
      <c r="DL300" s="27"/>
      <c r="DM300" s="27"/>
      <c r="DN300" s="27"/>
      <c r="DO300" s="27"/>
      <c r="DP300" s="27"/>
      <c r="DQ300" s="27"/>
      <c r="DR300" s="27"/>
      <c r="DS300" s="27"/>
      <c r="DT300" s="27"/>
    </row>
    <row r="301" spans="2:124" x14ac:dyDescent="0.2">
      <c r="B301" s="27"/>
      <c r="C301" s="27"/>
      <c r="D301" s="27"/>
      <c r="E301" s="27"/>
      <c r="F301" s="27"/>
      <c r="G301" s="27"/>
      <c r="H301" s="27"/>
      <c r="I301" s="27"/>
      <c r="J301" s="27"/>
      <c r="K301" s="27"/>
      <c r="L301" s="27"/>
      <c r="M301" s="27"/>
      <c r="N301" s="27"/>
      <c r="O301" s="27"/>
      <c r="P301" s="27"/>
      <c r="Q301" s="27"/>
      <c r="R301" s="27"/>
      <c r="S301" s="27"/>
      <c r="T301" s="27"/>
      <c r="U301" s="27"/>
      <c r="V301" s="27"/>
      <c r="W301" s="27"/>
      <c r="X301" s="27"/>
      <c r="Y301" s="27"/>
      <c r="Z301" s="27"/>
      <c r="AA301" s="27"/>
      <c r="AB301" s="27"/>
      <c r="AC301" s="27"/>
      <c r="AD301" s="27"/>
      <c r="AE301" s="27"/>
      <c r="AF301" s="27"/>
      <c r="AG301" s="27"/>
      <c r="AH301" s="27"/>
      <c r="AI301" s="27"/>
      <c r="AJ301" s="27"/>
      <c r="AK301" s="27"/>
      <c r="AL301" s="27"/>
      <c r="AM301" s="27"/>
      <c r="AN301" s="27"/>
      <c r="AO301" s="27"/>
      <c r="AP301" s="27"/>
      <c r="AQ301" s="27"/>
      <c r="AR301" s="27"/>
      <c r="AS301" s="27"/>
      <c r="AT301" s="27"/>
      <c r="AU301" s="27"/>
      <c r="AV301" s="27"/>
      <c r="AW301" s="27"/>
      <c r="AX301" s="27"/>
      <c r="AY301" s="27"/>
      <c r="AZ301" s="27"/>
      <c r="BA301" s="27"/>
      <c r="BB301" s="27"/>
      <c r="BC301" s="27"/>
      <c r="BD301" s="27"/>
      <c r="BE301" s="27"/>
      <c r="BF301" s="27"/>
      <c r="BG301" s="27"/>
      <c r="BH301" s="27"/>
      <c r="BI301" s="27"/>
      <c r="BJ301" s="27"/>
      <c r="BK301" s="27"/>
      <c r="BL301" s="27"/>
      <c r="BM301" s="27"/>
      <c r="BN301" s="27"/>
      <c r="BO301" s="27"/>
      <c r="BP301" s="27"/>
      <c r="BQ301" s="27"/>
      <c r="BR301" s="27"/>
      <c r="BS301" s="27"/>
      <c r="BT301" s="27"/>
      <c r="BU301" s="27"/>
      <c r="BV301" s="27"/>
      <c r="BW301" s="27"/>
      <c r="BX301" s="27"/>
      <c r="BY301" s="27"/>
      <c r="BZ301" s="27"/>
      <c r="CA301" s="27"/>
      <c r="CB301" s="27"/>
      <c r="CC301" s="27"/>
      <c r="CD301" s="27"/>
      <c r="CE301" s="27"/>
      <c r="CF301" s="27"/>
      <c r="CG301" s="27"/>
      <c r="CH301" s="27"/>
      <c r="CI301" s="27"/>
      <c r="CJ301" s="27"/>
      <c r="CK301" s="27"/>
      <c r="CL301" s="27"/>
      <c r="CM301" s="27"/>
      <c r="CN301" s="27"/>
      <c r="CO301" s="27"/>
      <c r="CP301" s="27"/>
      <c r="CQ301" s="27"/>
      <c r="CR301" s="27"/>
      <c r="CS301" s="27"/>
      <c r="CT301" s="27"/>
      <c r="CU301" s="27"/>
      <c r="CV301" s="27"/>
      <c r="CW301" s="27"/>
      <c r="CX301" s="27"/>
      <c r="CY301" s="27"/>
      <c r="CZ301" s="27"/>
      <c r="DA301" s="27"/>
      <c r="DB301" s="27"/>
      <c r="DC301" s="27"/>
      <c r="DD301" s="27"/>
      <c r="DE301" s="27"/>
      <c r="DF301" s="27"/>
      <c r="DG301" s="27"/>
      <c r="DH301" s="27"/>
      <c r="DI301" s="27"/>
      <c r="DJ301" s="27"/>
      <c r="DK301" s="27"/>
      <c r="DL301" s="27"/>
      <c r="DM301" s="27"/>
      <c r="DN301" s="27"/>
      <c r="DO301" s="27"/>
      <c r="DP301" s="27"/>
      <c r="DQ301" s="27"/>
      <c r="DR301" s="27"/>
      <c r="DS301" s="27"/>
      <c r="DT301" s="27"/>
    </row>
    <row r="302" spans="2:124" x14ac:dyDescent="0.2">
      <c r="B302" s="27"/>
      <c r="C302" s="27"/>
      <c r="D302" s="27"/>
      <c r="E302" s="27"/>
      <c r="F302" s="27"/>
      <c r="G302" s="27"/>
      <c r="H302" s="27"/>
      <c r="I302" s="27"/>
      <c r="J302" s="27"/>
      <c r="K302" s="27"/>
      <c r="L302" s="27"/>
      <c r="M302" s="27"/>
      <c r="N302" s="27"/>
      <c r="O302" s="27"/>
      <c r="P302" s="27"/>
      <c r="Q302" s="27"/>
      <c r="R302" s="27"/>
      <c r="S302" s="27"/>
      <c r="T302" s="27"/>
      <c r="U302" s="27"/>
      <c r="V302" s="27"/>
      <c r="W302" s="27"/>
      <c r="X302" s="27"/>
      <c r="Y302" s="27"/>
      <c r="Z302" s="27"/>
      <c r="AA302" s="27"/>
      <c r="AB302" s="27"/>
      <c r="AC302" s="27"/>
      <c r="AD302" s="27"/>
      <c r="AE302" s="27"/>
      <c r="AF302" s="27"/>
      <c r="AG302" s="27"/>
      <c r="AH302" s="27"/>
      <c r="AI302" s="27"/>
      <c r="AJ302" s="27"/>
      <c r="AK302" s="27"/>
      <c r="AL302" s="27"/>
      <c r="AM302" s="27"/>
      <c r="AN302" s="27"/>
      <c r="AO302" s="27"/>
      <c r="AP302" s="27"/>
      <c r="AQ302" s="27"/>
      <c r="AR302" s="27"/>
      <c r="AS302" s="27"/>
      <c r="AT302" s="27"/>
      <c r="AU302" s="27"/>
      <c r="AV302" s="27"/>
      <c r="AW302" s="27"/>
      <c r="AX302" s="27"/>
      <c r="AY302" s="27"/>
      <c r="AZ302" s="27"/>
      <c r="BA302" s="27"/>
      <c r="BB302" s="27"/>
      <c r="BC302" s="27"/>
      <c r="BD302" s="27"/>
      <c r="BE302" s="27"/>
      <c r="BF302" s="27"/>
      <c r="BG302" s="27"/>
      <c r="BH302" s="27"/>
      <c r="BI302" s="27"/>
      <c r="BJ302" s="27"/>
      <c r="BK302" s="27"/>
      <c r="BL302" s="27"/>
      <c r="BM302" s="27"/>
      <c r="BN302" s="27"/>
      <c r="BO302" s="27"/>
      <c r="BP302" s="27"/>
      <c r="BQ302" s="27"/>
      <c r="BR302" s="27"/>
      <c r="BS302" s="27"/>
      <c r="BT302" s="27"/>
      <c r="BU302" s="27"/>
      <c r="BV302" s="27"/>
      <c r="BW302" s="27"/>
      <c r="BX302" s="27"/>
      <c r="BY302" s="27"/>
      <c r="BZ302" s="27"/>
      <c r="CA302" s="27"/>
      <c r="CB302" s="27"/>
      <c r="CC302" s="27"/>
      <c r="CD302" s="27"/>
      <c r="CE302" s="27"/>
      <c r="CF302" s="27"/>
      <c r="CG302" s="27"/>
      <c r="CH302" s="27"/>
      <c r="CI302" s="27"/>
      <c r="CJ302" s="27"/>
      <c r="CK302" s="27"/>
      <c r="CL302" s="27"/>
      <c r="CM302" s="27"/>
      <c r="CN302" s="27"/>
      <c r="CO302" s="27"/>
      <c r="CP302" s="27"/>
      <c r="CQ302" s="27"/>
      <c r="CR302" s="27"/>
      <c r="CS302" s="27"/>
      <c r="CT302" s="27"/>
      <c r="CU302" s="27"/>
      <c r="CV302" s="27"/>
      <c r="CW302" s="27"/>
      <c r="CX302" s="27"/>
      <c r="CY302" s="27"/>
      <c r="CZ302" s="27"/>
      <c r="DA302" s="27"/>
      <c r="DB302" s="27"/>
      <c r="DC302" s="27"/>
      <c r="DD302" s="27"/>
      <c r="DE302" s="27"/>
      <c r="DF302" s="27"/>
      <c r="DG302" s="27"/>
      <c r="DH302" s="27"/>
      <c r="DI302" s="27"/>
      <c r="DJ302" s="27"/>
      <c r="DK302" s="27"/>
      <c r="DL302" s="27"/>
      <c r="DM302" s="27"/>
      <c r="DN302" s="27"/>
      <c r="DO302" s="27"/>
      <c r="DP302" s="27"/>
      <c r="DQ302" s="27"/>
      <c r="DR302" s="27"/>
      <c r="DS302" s="27"/>
      <c r="DT302" s="27"/>
    </row>
    <row r="303" spans="2:124" x14ac:dyDescent="0.2">
      <c r="B303" s="27"/>
      <c r="C303" s="27"/>
      <c r="D303" s="27"/>
      <c r="E303" s="27"/>
      <c r="F303" s="27"/>
      <c r="G303" s="27"/>
      <c r="H303" s="27"/>
      <c r="I303" s="27"/>
      <c r="J303" s="27"/>
      <c r="K303" s="27"/>
      <c r="L303" s="27"/>
      <c r="M303" s="27"/>
      <c r="N303" s="27"/>
      <c r="O303" s="27"/>
      <c r="P303" s="27"/>
      <c r="Q303" s="27"/>
      <c r="R303" s="27"/>
      <c r="S303" s="27"/>
      <c r="T303" s="27"/>
      <c r="U303" s="27"/>
      <c r="V303" s="27"/>
      <c r="W303" s="27"/>
      <c r="X303" s="27"/>
      <c r="Y303" s="27"/>
      <c r="Z303" s="27"/>
      <c r="AA303" s="27"/>
      <c r="AB303" s="27"/>
      <c r="AC303" s="27"/>
      <c r="AD303" s="27"/>
      <c r="AE303" s="27"/>
      <c r="AF303" s="27"/>
      <c r="AG303" s="27"/>
      <c r="AH303" s="27"/>
      <c r="AI303" s="27"/>
      <c r="AJ303" s="27"/>
      <c r="AK303" s="27"/>
      <c r="AL303" s="27"/>
      <c r="AM303" s="27"/>
      <c r="AN303" s="27"/>
      <c r="AO303" s="27"/>
      <c r="AP303" s="27"/>
      <c r="AQ303" s="27"/>
      <c r="AR303" s="27"/>
      <c r="AS303" s="27"/>
      <c r="AT303" s="27"/>
      <c r="AU303" s="27"/>
      <c r="AV303" s="27"/>
      <c r="AW303" s="27"/>
      <c r="AX303" s="27"/>
      <c r="AY303" s="27"/>
      <c r="AZ303" s="27"/>
      <c r="BA303" s="27"/>
      <c r="BB303" s="27"/>
      <c r="BC303" s="27"/>
      <c r="BD303" s="27"/>
      <c r="BE303" s="27"/>
      <c r="BF303" s="27"/>
      <c r="BG303" s="27"/>
      <c r="BH303" s="27"/>
      <c r="BI303" s="27"/>
      <c r="BJ303" s="27"/>
      <c r="BK303" s="27"/>
      <c r="BL303" s="27"/>
      <c r="BM303" s="27"/>
      <c r="BN303" s="27"/>
      <c r="BO303" s="27"/>
      <c r="BP303" s="27"/>
      <c r="BQ303" s="27"/>
      <c r="BR303" s="27"/>
      <c r="BS303" s="27"/>
      <c r="BT303" s="27"/>
      <c r="BU303" s="27"/>
      <c r="BV303" s="27"/>
      <c r="BW303" s="27"/>
      <c r="BX303" s="27"/>
      <c r="BY303" s="27"/>
      <c r="BZ303" s="27"/>
      <c r="CA303" s="27"/>
      <c r="CB303" s="27"/>
      <c r="CC303" s="27"/>
      <c r="CD303" s="27"/>
      <c r="CE303" s="27"/>
      <c r="CF303" s="27"/>
      <c r="CG303" s="27"/>
      <c r="CH303" s="27"/>
      <c r="CI303" s="27"/>
      <c r="CJ303" s="27"/>
      <c r="CK303" s="27"/>
      <c r="CL303" s="27"/>
      <c r="CM303" s="27"/>
      <c r="CN303" s="27"/>
      <c r="CO303" s="27"/>
      <c r="CP303" s="27"/>
      <c r="CQ303" s="27"/>
      <c r="CR303" s="27"/>
      <c r="CS303" s="27"/>
      <c r="CT303" s="27"/>
      <c r="CU303" s="27"/>
      <c r="CV303" s="27"/>
      <c r="CW303" s="27"/>
      <c r="CX303" s="27"/>
      <c r="CY303" s="27"/>
      <c r="CZ303" s="27"/>
      <c r="DA303" s="27"/>
      <c r="DB303" s="27"/>
      <c r="DC303" s="27"/>
      <c r="DD303" s="27"/>
      <c r="DE303" s="27"/>
      <c r="DF303" s="27"/>
      <c r="DG303" s="27"/>
      <c r="DH303" s="27"/>
      <c r="DI303" s="27"/>
      <c r="DJ303" s="27"/>
      <c r="DK303" s="27"/>
      <c r="DL303" s="27"/>
      <c r="DM303" s="27"/>
      <c r="DN303" s="27"/>
      <c r="DO303" s="27"/>
      <c r="DP303" s="27"/>
      <c r="DQ303" s="27"/>
      <c r="DR303" s="27"/>
      <c r="DS303" s="27"/>
      <c r="DT303" s="27"/>
    </row>
    <row r="304" spans="2:124" x14ac:dyDescent="0.2">
      <c r="B304" s="27"/>
      <c r="C304" s="27"/>
      <c r="D304" s="27"/>
      <c r="E304" s="27"/>
      <c r="F304" s="27"/>
      <c r="G304" s="27"/>
      <c r="H304" s="27"/>
      <c r="I304" s="27"/>
      <c r="J304" s="27"/>
      <c r="K304" s="27"/>
      <c r="L304" s="27"/>
      <c r="M304" s="27"/>
      <c r="N304" s="27"/>
      <c r="O304" s="27"/>
      <c r="P304" s="27"/>
      <c r="Q304" s="27"/>
      <c r="R304" s="27"/>
      <c r="S304" s="27"/>
      <c r="T304" s="27"/>
      <c r="U304" s="27"/>
      <c r="V304" s="27"/>
      <c r="W304" s="27"/>
      <c r="X304" s="27"/>
      <c r="Y304" s="27"/>
      <c r="Z304" s="27"/>
      <c r="AA304" s="27"/>
      <c r="AB304" s="27"/>
      <c r="AC304" s="27"/>
      <c r="AD304" s="27"/>
      <c r="AE304" s="27"/>
      <c r="AF304" s="27"/>
      <c r="AG304" s="27"/>
      <c r="AH304" s="27"/>
      <c r="AI304" s="27"/>
      <c r="AJ304" s="27"/>
      <c r="AK304" s="27"/>
      <c r="AL304" s="27"/>
      <c r="AM304" s="27"/>
      <c r="AN304" s="27"/>
      <c r="AO304" s="27"/>
      <c r="AP304" s="27"/>
      <c r="AQ304" s="27"/>
      <c r="AR304" s="27"/>
      <c r="AS304" s="27"/>
      <c r="AT304" s="27"/>
      <c r="AU304" s="27"/>
      <c r="AV304" s="27"/>
      <c r="AW304" s="27"/>
      <c r="AX304" s="27"/>
      <c r="AY304" s="27"/>
      <c r="AZ304" s="27"/>
      <c r="BA304" s="27"/>
      <c r="BB304" s="27"/>
      <c r="BC304" s="27"/>
      <c r="BD304" s="27"/>
      <c r="BE304" s="27"/>
      <c r="BF304" s="27"/>
      <c r="BG304" s="27"/>
      <c r="BH304" s="27"/>
      <c r="BI304" s="27"/>
      <c r="BJ304" s="27"/>
      <c r="BK304" s="27"/>
      <c r="BL304" s="27"/>
      <c r="BM304" s="27"/>
      <c r="BN304" s="27"/>
      <c r="BO304" s="27"/>
      <c r="BP304" s="27"/>
      <c r="BQ304" s="27"/>
      <c r="BR304" s="27"/>
      <c r="BS304" s="27"/>
      <c r="BT304" s="27"/>
      <c r="BU304" s="27"/>
      <c r="BV304" s="27"/>
      <c r="BW304" s="27"/>
      <c r="BX304" s="27"/>
      <c r="BY304" s="27"/>
      <c r="BZ304" s="27"/>
      <c r="CA304" s="27"/>
      <c r="CB304" s="27"/>
      <c r="CC304" s="27"/>
      <c r="CD304" s="27"/>
      <c r="CE304" s="27"/>
      <c r="CF304" s="27"/>
      <c r="CG304" s="27"/>
      <c r="CH304" s="27"/>
      <c r="CI304" s="27"/>
      <c r="CJ304" s="27"/>
      <c r="CK304" s="27"/>
      <c r="CL304" s="27"/>
      <c r="CM304" s="27"/>
      <c r="CN304" s="27"/>
      <c r="CO304" s="27"/>
      <c r="CP304" s="27"/>
      <c r="CQ304" s="27"/>
      <c r="CR304" s="27"/>
      <c r="CS304" s="27"/>
      <c r="CT304" s="27"/>
      <c r="CU304" s="27"/>
      <c r="CV304" s="27"/>
      <c r="CW304" s="27"/>
      <c r="CX304" s="27"/>
      <c r="CY304" s="27"/>
      <c r="CZ304" s="27"/>
      <c r="DA304" s="27"/>
      <c r="DB304" s="27"/>
      <c r="DC304" s="27"/>
      <c r="DD304" s="27"/>
      <c r="DE304" s="27"/>
      <c r="DF304" s="27"/>
      <c r="DG304" s="27"/>
      <c r="DH304" s="27"/>
      <c r="DI304" s="27"/>
      <c r="DJ304" s="27"/>
      <c r="DK304" s="27"/>
      <c r="DL304" s="27"/>
      <c r="DM304" s="27"/>
      <c r="DN304" s="27"/>
      <c r="DO304" s="27"/>
      <c r="DP304" s="27"/>
      <c r="DQ304" s="27"/>
      <c r="DR304" s="27"/>
      <c r="DS304" s="27"/>
      <c r="DT304" s="27"/>
    </row>
    <row r="305" spans="2:124" x14ac:dyDescent="0.2">
      <c r="B305" s="27"/>
      <c r="C305" s="27"/>
      <c r="D305" s="27"/>
      <c r="E305" s="27"/>
      <c r="F305" s="27"/>
      <c r="G305" s="27"/>
      <c r="H305" s="27"/>
      <c r="I305" s="27"/>
      <c r="J305" s="27"/>
      <c r="K305" s="27"/>
      <c r="L305" s="27"/>
      <c r="M305" s="27"/>
      <c r="N305" s="27"/>
      <c r="O305" s="27"/>
      <c r="P305" s="27"/>
      <c r="Q305" s="27"/>
      <c r="R305" s="27"/>
      <c r="S305" s="27"/>
      <c r="T305" s="27"/>
      <c r="U305" s="27"/>
      <c r="V305" s="27"/>
      <c r="W305" s="27"/>
      <c r="X305" s="27"/>
      <c r="Y305" s="27"/>
      <c r="Z305" s="27"/>
      <c r="AA305" s="27"/>
      <c r="AB305" s="27"/>
      <c r="AC305" s="27"/>
      <c r="AD305" s="27"/>
      <c r="AE305" s="27"/>
      <c r="AF305" s="27"/>
      <c r="AG305" s="27"/>
      <c r="AH305" s="27"/>
      <c r="AI305" s="27"/>
      <c r="AJ305" s="27"/>
      <c r="AK305" s="27"/>
      <c r="AL305" s="27"/>
      <c r="AM305" s="27"/>
      <c r="AN305" s="27"/>
      <c r="AO305" s="27"/>
      <c r="AP305" s="27"/>
      <c r="AQ305" s="27"/>
      <c r="AR305" s="27"/>
      <c r="AS305" s="27"/>
      <c r="AT305" s="27"/>
      <c r="AU305" s="27"/>
      <c r="AV305" s="27"/>
      <c r="AW305" s="27"/>
      <c r="AX305" s="27"/>
      <c r="AY305" s="27"/>
      <c r="AZ305" s="27"/>
      <c r="BA305" s="27"/>
      <c r="BB305" s="27"/>
      <c r="BC305" s="27"/>
      <c r="BD305" s="27"/>
      <c r="BE305" s="27"/>
      <c r="BF305" s="27"/>
      <c r="BG305" s="27"/>
      <c r="BH305" s="27"/>
      <c r="BI305" s="27"/>
      <c r="BJ305" s="27"/>
      <c r="BK305" s="27"/>
      <c r="BL305" s="27"/>
      <c r="BM305" s="27"/>
      <c r="BN305" s="27"/>
      <c r="BO305" s="27"/>
      <c r="BP305" s="27"/>
      <c r="BQ305" s="27"/>
      <c r="BR305" s="27"/>
      <c r="BS305" s="27"/>
      <c r="BT305" s="27"/>
      <c r="BU305" s="27"/>
      <c r="BV305" s="27"/>
      <c r="BW305" s="27"/>
      <c r="BX305" s="27"/>
      <c r="BY305" s="27"/>
      <c r="BZ305" s="27"/>
      <c r="CA305" s="27"/>
      <c r="CB305" s="27"/>
      <c r="CC305" s="27"/>
      <c r="CD305" s="27"/>
      <c r="CE305" s="27"/>
      <c r="CF305" s="27"/>
      <c r="CG305" s="27"/>
      <c r="CH305" s="27"/>
      <c r="CI305" s="27"/>
      <c r="CJ305" s="27"/>
      <c r="CK305" s="27"/>
      <c r="CL305" s="27"/>
      <c r="CM305" s="27"/>
      <c r="CN305" s="27"/>
      <c r="CO305" s="27"/>
      <c r="CP305" s="27"/>
      <c r="CQ305" s="27"/>
      <c r="CR305" s="27"/>
      <c r="CS305" s="27"/>
      <c r="CT305" s="27"/>
      <c r="CU305" s="27"/>
      <c r="CV305" s="27"/>
      <c r="CW305" s="27"/>
      <c r="CX305" s="27"/>
      <c r="CY305" s="27"/>
      <c r="CZ305" s="27"/>
      <c r="DA305" s="27"/>
      <c r="DB305" s="27"/>
      <c r="DC305" s="27"/>
      <c r="DD305" s="27"/>
      <c r="DE305" s="27"/>
      <c r="DF305" s="27"/>
      <c r="DG305" s="27"/>
      <c r="DH305" s="27"/>
      <c r="DI305" s="27"/>
      <c r="DJ305" s="27"/>
      <c r="DK305" s="27"/>
      <c r="DL305" s="27"/>
      <c r="DM305" s="27"/>
      <c r="DN305" s="27"/>
      <c r="DO305" s="27"/>
      <c r="DP305" s="27"/>
      <c r="DQ305" s="27"/>
      <c r="DR305" s="27"/>
      <c r="DS305" s="27"/>
      <c r="DT305" s="27"/>
    </row>
    <row r="306" spans="2:124" x14ac:dyDescent="0.2">
      <c r="B306" s="27"/>
      <c r="C306" s="27"/>
      <c r="D306" s="27"/>
      <c r="E306" s="27"/>
      <c r="F306" s="27"/>
      <c r="G306" s="27"/>
      <c r="H306" s="27"/>
      <c r="I306" s="27"/>
      <c r="J306" s="27"/>
      <c r="K306" s="27"/>
      <c r="L306" s="27"/>
      <c r="M306" s="27"/>
      <c r="N306" s="27"/>
      <c r="O306" s="27"/>
      <c r="P306" s="27"/>
      <c r="Q306" s="27"/>
      <c r="R306" s="27"/>
      <c r="S306" s="27"/>
      <c r="T306" s="27"/>
      <c r="U306" s="27"/>
      <c r="V306" s="27"/>
      <c r="W306" s="27"/>
      <c r="X306" s="27"/>
      <c r="Y306" s="27"/>
      <c r="Z306" s="27"/>
      <c r="AA306" s="27"/>
      <c r="AB306" s="27"/>
      <c r="AC306" s="27"/>
      <c r="AD306" s="27"/>
      <c r="AE306" s="27"/>
      <c r="AF306" s="27"/>
      <c r="AG306" s="27"/>
      <c r="AH306" s="27"/>
      <c r="AI306" s="27"/>
      <c r="AJ306" s="27"/>
      <c r="AK306" s="27"/>
      <c r="AL306" s="27"/>
      <c r="AM306" s="27"/>
      <c r="AN306" s="27"/>
      <c r="AO306" s="27"/>
      <c r="AP306" s="27"/>
      <c r="AQ306" s="27"/>
      <c r="AR306" s="27"/>
      <c r="AS306" s="27"/>
      <c r="AT306" s="27"/>
      <c r="AU306" s="27"/>
      <c r="AV306" s="27"/>
      <c r="AW306" s="27"/>
      <c r="AX306" s="27"/>
      <c r="AY306" s="27"/>
      <c r="AZ306" s="27"/>
      <c r="BA306" s="27"/>
      <c r="BB306" s="27"/>
      <c r="BC306" s="27"/>
      <c r="BD306" s="27"/>
      <c r="BE306" s="27"/>
      <c r="BF306" s="27"/>
      <c r="BG306" s="27"/>
      <c r="BH306" s="27"/>
      <c r="BI306" s="27"/>
      <c r="BJ306" s="27"/>
      <c r="BK306" s="27"/>
      <c r="BL306" s="27"/>
      <c r="BM306" s="27"/>
      <c r="BN306" s="27"/>
      <c r="BO306" s="27"/>
      <c r="BP306" s="27"/>
      <c r="BQ306" s="27"/>
      <c r="BR306" s="27"/>
      <c r="BS306" s="27"/>
      <c r="BT306" s="27"/>
      <c r="BU306" s="27"/>
      <c r="BV306" s="27"/>
      <c r="BW306" s="27"/>
      <c r="BX306" s="27"/>
      <c r="BY306" s="27"/>
      <c r="BZ306" s="27"/>
      <c r="CA306" s="27"/>
      <c r="CB306" s="27"/>
      <c r="CC306" s="27"/>
      <c r="CD306" s="27"/>
      <c r="CE306" s="27"/>
      <c r="CF306" s="27"/>
      <c r="CG306" s="27"/>
      <c r="CH306" s="27"/>
      <c r="CI306" s="27"/>
      <c r="CJ306" s="27"/>
      <c r="CK306" s="27"/>
      <c r="CL306" s="27"/>
      <c r="CM306" s="27"/>
      <c r="CN306" s="27"/>
      <c r="CO306" s="27"/>
      <c r="CP306" s="27"/>
      <c r="CQ306" s="27"/>
      <c r="CR306" s="27"/>
      <c r="CS306" s="27"/>
      <c r="CT306" s="27"/>
      <c r="CU306" s="27"/>
      <c r="CV306" s="27"/>
      <c r="CW306" s="27"/>
      <c r="CX306" s="27"/>
      <c r="CY306" s="27"/>
      <c r="CZ306" s="27"/>
      <c r="DA306" s="27"/>
      <c r="DB306" s="27"/>
      <c r="DC306" s="27"/>
      <c r="DD306" s="27"/>
      <c r="DE306" s="27"/>
      <c r="DF306" s="27"/>
      <c r="DG306" s="27"/>
      <c r="DH306" s="27"/>
      <c r="DI306" s="27"/>
      <c r="DJ306" s="27"/>
      <c r="DK306" s="27"/>
      <c r="DL306" s="27"/>
      <c r="DM306" s="27"/>
      <c r="DN306" s="27"/>
      <c r="DO306" s="27"/>
      <c r="DP306" s="27"/>
      <c r="DQ306" s="27"/>
      <c r="DR306" s="27"/>
      <c r="DS306" s="27"/>
      <c r="DT306" s="27"/>
    </row>
    <row r="307" spans="2:124" x14ac:dyDescent="0.2">
      <c r="B307" s="27"/>
      <c r="C307" s="27"/>
      <c r="D307" s="27"/>
      <c r="E307" s="27"/>
      <c r="F307" s="27"/>
      <c r="G307" s="27"/>
      <c r="H307" s="27"/>
      <c r="I307" s="27"/>
      <c r="J307" s="27"/>
      <c r="K307" s="27"/>
      <c r="L307" s="27"/>
      <c r="M307" s="27"/>
      <c r="N307" s="27"/>
      <c r="O307" s="27"/>
      <c r="P307" s="27"/>
      <c r="Q307" s="27"/>
      <c r="R307" s="27"/>
      <c r="S307" s="27"/>
      <c r="T307" s="27"/>
      <c r="U307" s="27"/>
      <c r="V307" s="27"/>
      <c r="W307" s="27"/>
      <c r="X307" s="27"/>
      <c r="Y307" s="27"/>
      <c r="Z307" s="27"/>
      <c r="AA307" s="27"/>
      <c r="AB307" s="27"/>
      <c r="AC307" s="27"/>
      <c r="AD307" s="27"/>
      <c r="AE307" s="27"/>
      <c r="AF307" s="27"/>
      <c r="AG307" s="27"/>
      <c r="AH307" s="27"/>
      <c r="AI307" s="27"/>
      <c r="AJ307" s="27"/>
      <c r="AK307" s="27"/>
      <c r="AL307" s="27"/>
      <c r="AM307" s="27"/>
      <c r="AN307" s="27"/>
      <c r="AO307" s="27"/>
      <c r="AP307" s="27"/>
      <c r="AQ307" s="27"/>
      <c r="AR307" s="27"/>
      <c r="AS307" s="27"/>
      <c r="AT307" s="27"/>
      <c r="AU307" s="27"/>
      <c r="AV307" s="27"/>
      <c r="AW307" s="27"/>
      <c r="AX307" s="27"/>
      <c r="AY307" s="27"/>
      <c r="AZ307" s="27"/>
      <c r="BA307" s="27"/>
      <c r="BB307" s="27"/>
      <c r="BC307" s="27"/>
      <c r="BD307" s="27"/>
      <c r="BE307" s="27"/>
      <c r="BF307" s="27"/>
      <c r="BG307" s="27"/>
      <c r="BH307" s="27"/>
      <c r="BI307" s="27"/>
      <c r="BJ307" s="27"/>
      <c r="BK307" s="27"/>
      <c r="BL307" s="27"/>
      <c r="BM307" s="27"/>
      <c r="BN307" s="27"/>
      <c r="BO307" s="27"/>
      <c r="BP307" s="27"/>
      <c r="BQ307" s="27"/>
      <c r="BR307" s="27"/>
      <c r="BS307" s="27"/>
      <c r="BT307" s="27"/>
      <c r="BU307" s="27"/>
      <c r="BV307" s="27"/>
      <c r="BW307" s="27"/>
      <c r="BX307" s="27"/>
      <c r="BY307" s="27"/>
      <c r="BZ307" s="27"/>
      <c r="CA307" s="27"/>
      <c r="CB307" s="27"/>
      <c r="CC307" s="27"/>
      <c r="CD307" s="27"/>
      <c r="CE307" s="27"/>
      <c r="CF307" s="27"/>
      <c r="CG307" s="27"/>
      <c r="CH307" s="27"/>
      <c r="CI307" s="27"/>
      <c r="CJ307" s="27"/>
      <c r="CK307" s="27"/>
      <c r="CL307" s="27"/>
      <c r="CM307" s="27"/>
      <c r="CN307" s="27"/>
      <c r="CO307" s="27"/>
      <c r="CP307" s="27"/>
      <c r="CQ307" s="27"/>
      <c r="CR307" s="27"/>
      <c r="CS307" s="27"/>
      <c r="CT307" s="27"/>
      <c r="CU307" s="27"/>
      <c r="CV307" s="27"/>
      <c r="CW307" s="27"/>
      <c r="CX307" s="27"/>
      <c r="CY307" s="27"/>
      <c r="CZ307" s="27"/>
      <c r="DA307" s="27"/>
      <c r="DB307" s="27"/>
      <c r="DC307" s="27"/>
      <c r="DD307" s="27"/>
      <c r="DE307" s="27"/>
      <c r="DF307" s="27"/>
      <c r="DG307" s="27"/>
      <c r="DH307" s="27"/>
      <c r="DI307" s="27"/>
      <c r="DJ307" s="27"/>
      <c r="DK307" s="27"/>
      <c r="DL307" s="27"/>
      <c r="DM307" s="27"/>
      <c r="DN307" s="27"/>
      <c r="DO307" s="27"/>
      <c r="DP307" s="27"/>
      <c r="DQ307" s="27"/>
      <c r="DR307" s="27"/>
      <c r="DS307" s="27"/>
      <c r="DT307" s="27"/>
    </row>
    <row r="308" spans="2:124" x14ac:dyDescent="0.2">
      <c r="B308" s="27"/>
      <c r="C308" s="27"/>
      <c r="D308" s="27"/>
      <c r="E308" s="27"/>
      <c r="F308" s="27"/>
      <c r="G308" s="27"/>
      <c r="H308" s="27"/>
      <c r="I308" s="27"/>
      <c r="J308" s="27"/>
      <c r="K308" s="27"/>
      <c r="L308" s="27"/>
      <c r="M308" s="27"/>
      <c r="N308" s="27"/>
      <c r="O308" s="27"/>
      <c r="P308" s="27"/>
      <c r="Q308" s="27"/>
      <c r="R308" s="27"/>
      <c r="S308" s="27"/>
      <c r="T308" s="27"/>
      <c r="U308" s="27"/>
      <c r="V308" s="27"/>
      <c r="W308" s="27"/>
      <c r="X308" s="27"/>
      <c r="Y308" s="27"/>
      <c r="Z308" s="27"/>
      <c r="AA308" s="27"/>
      <c r="AB308" s="27"/>
      <c r="AC308" s="27"/>
      <c r="AD308" s="27"/>
      <c r="AE308" s="27"/>
      <c r="AF308" s="27"/>
      <c r="AG308" s="27"/>
      <c r="AH308" s="27"/>
      <c r="AI308" s="27"/>
      <c r="AJ308" s="27"/>
      <c r="AK308" s="27"/>
      <c r="AL308" s="27"/>
      <c r="AM308" s="27"/>
      <c r="AN308" s="27"/>
      <c r="AO308" s="27"/>
      <c r="AP308" s="27"/>
      <c r="AQ308" s="27"/>
      <c r="AR308" s="27"/>
      <c r="AS308" s="27"/>
      <c r="AT308" s="27"/>
      <c r="AU308" s="27"/>
      <c r="AV308" s="27"/>
      <c r="AW308" s="27"/>
      <c r="AX308" s="27"/>
      <c r="AY308" s="27"/>
      <c r="AZ308" s="27"/>
      <c r="BA308" s="27"/>
      <c r="BB308" s="27"/>
      <c r="BC308" s="27"/>
      <c r="BD308" s="27"/>
      <c r="BE308" s="27"/>
      <c r="BF308" s="27"/>
      <c r="BG308" s="27"/>
      <c r="BH308" s="27"/>
      <c r="BI308" s="27"/>
      <c r="BJ308" s="27"/>
      <c r="BK308" s="27"/>
      <c r="BL308" s="27"/>
      <c r="BM308" s="27"/>
      <c r="BN308" s="27"/>
      <c r="BO308" s="27"/>
      <c r="BP308" s="27"/>
      <c r="BQ308" s="27"/>
      <c r="BR308" s="27"/>
      <c r="BS308" s="27"/>
      <c r="BT308" s="27"/>
      <c r="BU308" s="27"/>
      <c r="BV308" s="27"/>
      <c r="BW308" s="27"/>
      <c r="BX308" s="27"/>
      <c r="BY308" s="27"/>
      <c r="BZ308" s="27"/>
      <c r="CA308" s="27"/>
      <c r="CB308" s="27"/>
      <c r="CC308" s="27"/>
      <c r="CD308" s="27"/>
      <c r="CE308" s="27"/>
      <c r="CF308" s="27"/>
      <c r="CG308" s="27"/>
      <c r="CH308" s="27"/>
      <c r="CI308" s="27"/>
      <c r="CJ308" s="27"/>
      <c r="CK308" s="27"/>
      <c r="CL308" s="27"/>
      <c r="CM308" s="27"/>
      <c r="CN308" s="27"/>
      <c r="CO308" s="27"/>
      <c r="CP308" s="27"/>
      <c r="CQ308" s="27"/>
      <c r="CR308" s="27"/>
      <c r="CS308" s="27"/>
      <c r="CT308" s="27"/>
      <c r="CU308" s="27"/>
      <c r="CV308" s="27"/>
      <c r="CW308" s="27"/>
      <c r="CX308" s="27"/>
      <c r="CY308" s="27"/>
      <c r="CZ308" s="27"/>
      <c r="DA308" s="27"/>
      <c r="DB308" s="27"/>
      <c r="DC308" s="27"/>
      <c r="DD308" s="27"/>
      <c r="DE308" s="27"/>
      <c r="DF308" s="27"/>
      <c r="DG308" s="27"/>
      <c r="DH308" s="27"/>
      <c r="DI308" s="27"/>
      <c r="DJ308" s="27"/>
      <c r="DK308" s="27"/>
      <c r="DL308" s="27"/>
      <c r="DM308" s="27"/>
      <c r="DN308" s="27"/>
      <c r="DO308" s="27"/>
      <c r="DP308" s="27"/>
      <c r="DQ308" s="27"/>
      <c r="DR308" s="27"/>
      <c r="DS308" s="27"/>
      <c r="DT308" s="27"/>
    </row>
    <row r="309" spans="2:124" x14ac:dyDescent="0.2">
      <c r="B309" s="27"/>
      <c r="C309" s="27"/>
      <c r="D309" s="27"/>
      <c r="E309" s="27"/>
      <c r="F309" s="27"/>
      <c r="G309" s="27"/>
      <c r="H309" s="27"/>
      <c r="I309" s="27"/>
      <c r="J309" s="27"/>
      <c r="K309" s="27"/>
      <c r="L309" s="27"/>
      <c r="M309" s="27"/>
      <c r="N309" s="27"/>
      <c r="O309" s="27"/>
      <c r="P309" s="27"/>
      <c r="Q309" s="27"/>
      <c r="R309" s="27"/>
      <c r="S309" s="27"/>
      <c r="T309" s="27"/>
      <c r="U309" s="27"/>
      <c r="V309" s="27"/>
      <c r="W309" s="27"/>
      <c r="X309" s="27"/>
      <c r="Y309" s="27"/>
      <c r="Z309" s="27"/>
      <c r="AA309" s="27"/>
      <c r="AB309" s="27"/>
      <c r="AC309" s="27"/>
      <c r="AD309" s="27"/>
      <c r="AE309" s="27"/>
      <c r="AF309" s="27"/>
      <c r="AG309" s="27"/>
      <c r="AH309" s="27"/>
      <c r="AI309" s="27"/>
      <c r="AJ309" s="27"/>
      <c r="AK309" s="27"/>
      <c r="AL309" s="27"/>
      <c r="AM309" s="27"/>
      <c r="AN309" s="27"/>
      <c r="AO309" s="27"/>
      <c r="AP309" s="27"/>
      <c r="AQ309" s="27"/>
      <c r="AR309" s="27"/>
      <c r="AS309" s="27"/>
      <c r="AT309" s="27"/>
      <c r="AU309" s="27"/>
      <c r="AV309" s="27"/>
      <c r="AW309" s="27"/>
      <c r="AX309" s="27"/>
      <c r="AY309" s="27"/>
      <c r="AZ309" s="27"/>
      <c r="BA309" s="27"/>
      <c r="BB309" s="27"/>
      <c r="BC309" s="27"/>
      <c r="BD309" s="27"/>
      <c r="BE309" s="27"/>
      <c r="BF309" s="27"/>
      <c r="BG309" s="27"/>
      <c r="BH309" s="27"/>
      <c r="BI309" s="27"/>
      <c r="BJ309" s="27"/>
      <c r="BK309" s="27"/>
      <c r="BL309" s="27"/>
      <c r="BM309" s="27"/>
      <c r="BN309" s="27"/>
      <c r="BO309" s="27"/>
      <c r="BP309" s="27"/>
      <c r="BQ309" s="27"/>
      <c r="BR309" s="27"/>
      <c r="BS309" s="27"/>
      <c r="BT309" s="27"/>
      <c r="BU309" s="27"/>
      <c r="BV309" s="27"/>
      <c r="BW309" s="27"/>
      <c r="BX309" s="27"/>
      <c r="BY309" s="27"/>
      <c r="BZ309" s="27"/>
      <c r="CA309" s="27"/>
      <c r="CB309" s="27"/>
      <c r="CC309" s="27"/>
      <c r="CD309" s="27"/>
      <c r="CE309" s="27"/>
      <c r="CF309" s="27"/>
      <c r="CG309" s="27"/>
      <c r="CH309" s="27"/>
      <c r="CI309" s="27"/>
      <c r="CJ309" s="27"/>
      <c r="CK309" s="27"/>
      <c r="CL309" s="27"/>
      <c r="CM309" s="27"/>
      <c r="CN309" s="27"/>
      <c r="CO309" s="27"/>
      <c r="CP309" s="27"/>
      <c r="CQ309" s="27"/>
      <c r="CR309" s="27"/>
      <c r="CS309" s="27"/>
      <c r="CT309" s="27"/>
      <c r="CU309" s="27"/>
      <c r="CV309" s="27"/>
      <c r="CW309" s="27"/>
      <c r="CX309" s="27"/>
      <c r="CY309" s="27"/>
      <c r="CZ309" s="27"/>
      <c r="DA309" s="27"/>
      <c r="DB309" s="27"/>
      <c r="DC309" s="27"/>
      <c r="DD309" s="27"/>
      <c r="DE309" s="27"/>
      <c r="DF309" s="27"/>
      <c r="DG309" s="27"/>
      <c r="DH309" s="27"/>
      <c r="DI309" s="27"/>
      <c r="DJ309" s="27"/>
      <c r="DK309" s="27"/>
      <c r="DL309" s="27"/>
      <c r="DM309" s="27"/>
      <c r="DN309" s="27"/>
      <c r="DO309" s="27"/>
      <c r="DP309" s="27"/>
      <c r="DQ309" s="27"/>
      <c r="DR309" s="27"/>
      <c r="DS309" s="27"/>
      <c r="DT309" s="27"/>
    </row>
    <row r="310" spans="2:124" x14ac:dyDescent="0.2">
      <c r="B310" s="27"/>
      <c r="C310" s="27"/>
      <c r="D310" s="27"/>
      <c r="E310" s="27"/>
      <c r="F310" s="27"/>
      <c r="G310" s="27"/>
      <c r="H310" s="27"/>
      <c r="I310" s="27"/>
      <c r="J310" s="27"/>
      <c r="K310" s="27"/>
      <c r="L310" s="27"/>
      <c r="M310" s="27"/>
      <c r="N310" s="27"/>
      <c r="O310" s="27"/>
      <c r="P310" s="27"/>
      <c r="Q310" s="27"/>
      <c r="R310" s="27"/>
      <c r="S310" s="27"/>
      <c r="T310" s="27"/>
      <c r="U310" s="27"/>
      <c r="V310" s="27"/>
      <c r="W310" s="27"/>
      <c r="X310" s="27"/>
      <c r="Y310" s="27"/>
      <c r="Z310" s="27"/>
      <c r="AA310" s="27"/>
      <c r="AB310" s="27"/>
      <c r="AC310" s="27"/>
      <c r="AD310" s="27"/>
      <c r="AE310" s="27"/>
      <c r="AF310" s="27"/>
      <c r="AG310" s="27"/>
      <c r="AH310" s="27"/>
      <c r="AI310" s="27"/>
      <c r="AJ310" s="27"/>
      <c r="AK310" s="27"/>
      <c r="AL310" s="27"/>
      <c r="AM310" s="27"/>
      <c r="AN310" s="27"/>
      <c r="AO310" s="27"/>
      <c r="AP310" s="27"/>
      <c r="AQ310" s="27"/>
      <c r="AR310" s="27"/>
      <c r="AS310" s="27"/>
      <c r="AT310" s="27"/>
      <c r="AU310" s="27"/>
      <c r="AV310" s="27"/>
      <c r="AW310" s="27"/>
      <c r="AX310" s="27"/>
      <c r="AY310" s="27"/>
      <c r="AZ310" s="27"/>
      <c r="BA310" s="27"/>
      <c r="BB310" s="27"/>
      <c r="BC310" s="27"/>
      <c r="BD310" s="27"/>
      <c r="BE310" s="27"/>
      <c r="BF310" s="27"/>
      <c r="BG310" s="27"/>
      <c r="BH310" s="27"/>
      <c r="BI310" s="27"/>
      <c r="BJ310" s="27"/>
      <c r="BK310" s="27"/>
      <c r="BL310" s="27"/>
      <c r="BM310" s="27"/>
      <c r="BN310" s="27"/>
      <c r="BO310" s="27"/>
      <c r="BP310" s="27"/>
      <c r="BQ310" s="27"/>
      <c r="BR310" s="27"/>
      <c r="BS310" s="27"/>
      <c r="BT310" s="27"/>
      <c r="BU310" s="27"/>
      <c r="BV310" s="27"/>
      <c r="BW310" s="27"/>
      <c r="BX310" s="27"/>
      <c r="BY310" s="27"/>
      <c r="BZ310" s="27"/>
      <c r="CA310" s="27"/>
      <c r="CB310" s="27"/>
      <c r="CC310" s="27"/>
      <c r="CD310" s="27"/>
      <c r="CE310" s="27"/>
      <c r="CF310" s="27"/>
      <c r="CG310" s="27"/>
      <c r="CH310" s="27"/>
      <c r="CI310" s="27"/>
      <c r="CJ310" s="27"/>
      <c r="CK310" s="27"/>
      <c r="CL310" s="27"/>
      <c r="CM310" s="27"/>
      <c r="CN310" s="27"/>
      <c r="CO310" s="27"/>
      <c r="CP310" s="27"/>
      <c r="CQ310" s="27"/>
      <c r="CR310" s="27"/>
      <c r="CS310" s="27"/>
      <c r="CT310" s="27"/>
      <c r="CU310" s="27"/>
      <c r="CV310" s="27"/>
      <c r="CW310" s="27"/>
      <c r="CX310" s="27"/>
      <c r="CY310" s="27"/>
      <c r="CZ310" s="27"/>
      <c r="DA310" s="27"/>
      <c r="DB310" s="27"/>
      <c r="DC310" s="27"/>
      <c r="DD310" s="27"/>
      <c r="DE310" s="27"/>
      <c r="DF310" s="27"/>
      <c r="DG310" s="27"/>
      <c r="DH310" s="27"/>
      <c r="DI310" s="27"/>
      <c r="DJ310" s="27"/>
      <c r="DK310" s="27"/>
      <c r="DL310" s="27"/>
      <c r="DM310" s="27"/>
      <c r="DN310" s="27"/>
      <c r="DO310" s="27"/>
      <c r="DP310" s="27"/>
      <c r="DQ310" s="27"/>
      <c r="DR310" s="27"/>
      <c r="DS310" s="27"/>
      <c r="DT310" s="27"/>
    </row>
    <row r="311" spans="2:124" x14ac:dyDescent="0.2">
      <c r="B311" s="27"/>
      <c r="C311" s="27"/>
      <c r="D311" s="27"/>
      <c r="E311" s="27"/>
      <c r="F311" s="27"/>
      <c r="G311" s="27"/>
      <c r="H311" s="27"/>
      <c r="I311" s="27"/>
      <c r="J311" s="27"/>
      <c r="K311" s="27"/>
      <c r="L311" s="27"/>
      <c r="M311" s="27"/>
      <c r="N311" s="27"/>
      <c r="O311" s="27"/>
      <c r="P311" s="27"/>
      <c r="Q311" s="27"/>
      <c r="R311" s="27"/>
      <c r="S311" s="27"/>
      <c r="T311" s="27"/>
      <c r="U311" s="27"/>
      <c r="V311" s="27"/>
      <c r="W311" s="27"/>
      <c r="X311" s="27"/>
      <c r="Y311" s="27"/>
      <c r="Z311" s="27"/>
      <c r="AA311" s="27"/>
      <c r="AB311" s="27"/>
      <c r="AC311" s="27"/>
      <c r="AD311" s="27"/>
      <c r="AE311" s="27"/>
      <c r="AF311" s="27"/>
      <c r="AG311" s="27"/>
      <c r="AH311" s="27"/>
      <c r="AI311" s="27"/>
      <c r="AJ311" s="27"/>
      <c r="AK311" s="27"/>
      <c r="AL311" s="27"/>
      <c r="AM311" s="27"/>
      <c r="AN311" s="27"/>
      <c r="AO311" s="27"/>
      <c r="AP311" s="27"/>
      <c r="AQ311" s="27"/>
      <c r="AR311" s="27"/>
      <c r="AS311" s="27"/>
      <c r="AT311" s="27"/>
      <c r="AU311" s="27"/>
      <c r="AV311" s="27"/>
      <c r="AW311" s="27"/>
      <c r="AX311" s="27"/>
      <c r="AY311" s="27"/>
      <c r="AZ311" s="27"/>
      <c r="BA311" s="27"/>
      <c r="BB311" s="27"/>
      <c r="BC311" s="27"/>
      <c r="BD311" s="27"/>
      <c r="BE311" s="27"/>
      <c r="BF311" s="27"/>
      <c r="BG311" s="27"/>
      <c r="BH311" s="27"/>
      <c r="BI311" s="27"/>
      <c r="BJ311" s="27"/>
      <c r="BK311" s="27"/>
      <c r="BL311" s="27"/>
      <c r="BM311" s="27"/>
      <c r="BN311" s="27"/>
      <c r="BO311" s="27"/>
      <c r="BP311" s="27"/>
      <c r="BQ311" s="27"/>
      <c r="BR311" s="27"/>
      <c r="BS311" s="27"/>
      <c r="BT311" s="27"/>
      <c r="BU311" s="27"/>
      <c r="BV311" s="27"/>
      <c r="BW311" s="27"/>
      <c r="BX311" s="27"/>
      <c r="BY311" s="27"/>
      <c r="BZ311" s="27"/>
      <c r="CA311" s="27"/>
      <c r="CB311" s="27"/>
      <c r="CC311" s="27"/>
      <c r="CD311" s="27"/>
      <c r="CE311" s="27"/>
      <c r="CF311" s="27"/>
      <c r="CG311" s="27"/>
      <c r="CH311" s="27"/>
      <c r="CI311" s="27"/>
      <c r="CJ311" s="27"/>
      <c r="CK311" s="27"/>
      <c r="CL311" s="27"/>
      <c r="CM311" s="27"/>
      <c r="CN311" s="27"/>
      <c r="CO311" s="27"/>
      <c r="CP311" s="27"/>
      <c r="CQ311" s="27"/>
      <c r="CR311" s="27"/>
      <c r="CS311" s="27"/>
      <c r="CT311" s="27"/>
      <c r="CU311" s="27"/>
      <c r="CV311" s="27"/>
      <c r="CW311" s="27"/>
      <c r="CX311" s="27"/>
      <c r="CY311" s="27"/>
      <c r="CZ311" s="27"/>
      <c r="DA311" s="27"/>
      <c r="DB311" s="27"/>
      <c r="DC311" s="27"/>
      <c r="DD311" s="27"/>
      <c r="DE311" s="27"/>
      <c r="DF311" s="27"/>
      <c r="DG311" s="27"/>
      <c r="DH311" s="27"/>
      <c r="DI311" s="27"/>
      <c r="DJ311" s="27"/>
      <c r="DK311" s="27"/>
      <c r="DL311" s="27"/>
      <c r="DM311" s="27"/>
      <c r="DN311" s="27"/>
      <c r="DO311" s="27"/>
      <c r="DP311" s="27"/>
      <c r="DQ311" s="27"/>
      <c r="DR311" s="27"/>
      <c r="DS311" s="27"/>
      <c r="DT311" s="27"/>
    </row>
    <row r="312" spans="2:124" x14ac:dyDescent="0.2">
      <c r="B312" s="27"/>
      <c r="C312" s="27"/>
      <c r="D312" s="27"/>
      <c r="E312" s="27"/>
      <c r="F312" s="27"/>
      <c r="G312" s="27"/>
      <c r="H312" s="27"/>
      <c r="I312" s="27"/>
      <c r="J312" s="27"/>
      <c r="K312" s="27"/>
      <c r="L312" s="27"/>
      <c r="M312" s="27"/>
      <c r="N312" s="27"/>
      <c r="O312" s="27"/>
      <c r="P312" s="27"/>
      <c r="Q312" s="27"/>
      <c r="R312" s="27"/>
      <c r="S312" s="27"/>
      <c r="T312" s="27"/>
      <c r="U312" s="27"/>
      <c r="V312" s="27"/>
      <c r="W312" s="27"/>
      <c r="X312" s="27"/>
      <c r="Y312" s="27"/>
      <c r="Z312" s="27"/>
      <c r="AA312" s="27"/>
      <c r="AB312" s="27"/>
      <c r="AC312" s="27"/>
      <c r="AD312" s="27"/>
      <c r="AE312" s="27"/>
      <c r="AF312" s="27"/>
      <c r="AG312" s="27"/>
      <c r="AH312" s="27"/>
      <c r="AI312" s="27"/>
      <c r="AJ312" s="27"/>
      <c r="AK312" s="27"/>
      <c r="AL312" s="27"/>
      <c r="AM312" s="27"/>
      <c r="AN312" s="27"/>
      <c r="AO312" s="27"/>
      <c r="AP312" s="27"/>
      <c r="AQ312" s="27"/>
      <c r="AR312" s="27"/>
      <c r="AS312" s="27"/>
      <c r="AT312" s="27"/>
      <c r="AU312" s="27"/>
      <c r="AV312" s="27"/>
      <c r="AW312" s="27"/>
      <c r="AX312" s="27"/>
      <c r="AY312" s="27"/>
      <c r="AZ312" s="27"/>
      <c r="BA312" s="27"/>
      <c r="BB312" s="27"/>
      <c r="BC312" s="27"/>
      <c r="BD312" s="27"/>
      <c r="BE312" s="27"/>
      <c r="BF312" s="27"/>
      <c r="BG312" s="27"/>
      <c r="BH312" s="27"/>
      <c r="BI312" s="27"/>
      <c r="BJ312" s="27"/>
      <c r="BK312" s="27"/>
      <c r="BL312" s="27"/>
      <c r="BM312" s="27"/>
      <c r="BN312" s="27"/>
      <c r="BO312" s="27"/>
      <c r="BP312" s="27"/>
      <c r="BQ312" s="27"/>
      <c r="BR312" s="27"/>
      <c r="BS312" s="27"/>
      <c r="BT312" s="27"/>
      <c r="BU312" s="27"/>
      <c r="BV312" s="27"/>
      <c r="BW312" s="27"/>
      <c r="BX312" s="27"/>
      <c r="BY312" s="27"/>
      <c r="BZ312" s="27"/>
      <c r="CA312" s="27"/>
      <c r="CB312" s="27"/>
      <c r="CC312" s="27"/>
      <c r="CD312" s="27"/>
      <c r="CE312" s="27"/>
      <c r="CF312" s="27"/>
      <c r="CG312" s="27"/>
      <c r="CH312" s="27"/>
      <c r="CI312" s="27"/>
      <c r="CJ312" s="27"/>
      <c r="CK312" s="27"/>
      <c r="CL312" s="27"/>
      <c r="CM312" s="27"/>
      <c r="CN312" s="27"/>
      <c r="CO312" s="27"/>
      <c r="CP312" s="27"/>
      <c r="CQ312" s="27"/>
      <c r="CR312" s="27"/>
      <c r="CS312" s="27"/>
      <c r="CT312" s="27"/>
      <c r="CU312" s="27"/>
      <c r="CV312" s="27"/>
      <c r="CW312" s="27"/>
      <c r="CX312" s="27"/>
      <c r="CY312" s="27"/>
      <c r="CZ312" s="27"/>
      <c r="DA312" s="27"/>
      <c r="DB312" s="27"/>
      <c r="DC312" s="27"/>
      <c r="DD312" s="27"/>
      <c r="DE312" s="27"/>
      <c r="DF312" s="27"/>
      <c r="DG312" s="27"/>
      <c r="DH312" s="27"/>
      <c r="DI312" s="27"/>
      <c r="DJ312" s="27"/>
      <c r="DK312" s="27"/>
      <c r="DL312" s="27"/>
      <c r="DM312" s="27"/>
      <c r="DN312" s="27"/>
      <c r="DO312" s="27"/>
      <c r="DP312" s="27"/>
      <c r="DQ312" s="27"/>
      <c r="DR312" s="27"/>
      <c r="DS312" s="27"/>
      <c r="DT312" s="27"/>
    </row>
    <row r="313" spans="2:124" x14ac:dyDescent="0.2">
      <c r="B313" s="27"/>
      <c r="C313" s="27"/>
      <c r="D313" s="27"/>
      <c r="E313" s="27"/>
      <c r="F313" s="27"/>
      <c r="G313" s="27"/>
      <c r="H313" s="27"/>
      <c r="I313" s="27"/>
      <c r="J313" s="27"/>
      <c r="K313" s="27"/>
      <c r="L313" s="27"/>
      <c r="M313" s="27"/>
      <c r="N313" s="27"/>
      <c r="O313" s="27"/>
      <c r="P313" s="27"/>
      <c r="Q313" s="27"/>
      <c r="R313" s="27"/>
      <c r="S313" s="27"/>
      <c r="T313" s="27"/>
      <c r="U313" s="27"/>
      <c r="V313" s="27"/>
      <c r="W313" s="27"/>
      <c r="X313" s="27"/>
      <c r="Y313" s="27"/>
      <c r="Z313" s="27"/>
      <c r="AA313" s="27"/>
      <c r="AB313" s="27"/>
      <c r="AC313" s="27"/>
      <c r="AD313" s="27"/>
      <c r="AE313" s="27"/>
      <c r="AF313" s="27"/>
      <c r="AG313" s="27"/>
      <c r="AH313" s="27"/>
      <c r="AI313" s="27"/>
      <c r="AJ313" s="27"/>
      <c r="AK313" s="27"/>
      <c r="AL313" s="27"/>
      <c r="AM313" s="27"/>
      <c r="AN313" s="27"/>
      <c r="AO313" s="27"/>
      <c r="AP313" s="27"/>
      <c r="AQ313" s="27"/>
      <c r="AR313" s="27"/>
      <c r="AS313" s="27"/>
      <c r="AT313" s="27"/>
      <c r="AU313" s="27"/>
      <c r="AV313" s="27"/>
      <c r="AW313" s="27"/>
      <c r="AX313" s="27"/>
      <c r="AY313" s="27"/>
      <c r="AZ313" s="27"/>
      <c r="BA313" s="27"/>
      <c r="BB313" s="27"/>
      <c r="BC313" s="27"/>
      <c r="BD313" s="27"/>
      <c r="BE313" s="27"/>
      <c r="BF313" s="27"/>
      <c r="BG313" s="27"/>
      <c r="BH313" s="27"/>
      <c r="BI313" s="27"/>
      <c r="BJ313" s="27"/>
      <c r="BK313" s="27"/>
      <c r="BL313" s="27"/>
      <c r="BM313" s="27"/>
      <c r="BN313" s="27"/>
      <c r="BO313" s="27"/>
      <c r="BP313" s="27"/>
      <c r="BQ313" s="27"/>
      <c r="BR313" s="27"/>
      <c r="BS313" s="27"/>
      <c r="BT313" s="27"/>
      <c r="BU313" s="27"/>
      <c r="BV313" s="27"/>
      <c r="BW313" s="27"/>
      <c r="BX313" s="27"/>
      <c r="BY313" s="27"/>
      <c r="BZ313" s="27"/>
      <c r="CA313" s="27"/>
      <c r="CB313" s="27"/>
      <c r="CC313" s="27"/>
      <c r="CD313" s="27"/>
      <c r="CE313" s="27"/>
      <c r="CF313" s="27"/>
      <c r="CG313" s="27"/>
      <c r="CH313" s="27"/>
      <c r="CI313" s="27"/>
      <c r="CJ313" s="27"/>
      <c r="CK313" s="27"/>
      <c r="CL313" s="27"/>
      <c r="CM313" s="27"/>
      <c r="CN313" s="27"/>
      <c r="CO313" s="27"/>
      <c r="CP313" s="27"/>
      <c r="CQ313" s="27"/>
      <c r="CR313" s="27"/>
      <c r="CS313" s="27"/>
      <c r="CT313" s="27"/>
      <c r="CU313" s="27"/>
      <c r="CV313" s="27"/>
      <c r="CW313" s="27"/>
      <c r="CX313" s="27"/>
      <c r="CY313" s="27"/>
      <c r="CZ313" s="27"/>
      <c r="DA313" s="27"/>
      <c r="DB313" s="27"/>
      <c r="DC313" s="27"/>
      <c r="DD313" s="27"/>
      <c r="DE313" s="27"/>
      <c r="DF313" s="27"/>
      <c r="DG313" s="27"/>
      <c r="DH313" s="27"/>
      <c r="DI313" s="27"/>
      <c r="DJ313" s="27"/>
      <c r="DK313" s="27"/>
      <c r="DL313" s="27"/>
      <c r="DM313" s="27"/>
      <c r="DN313" s="27"/>
      <c r="DO313" s="27"/>
      <c r="DP313" s="27"/>
      <c r="DQ313" s="27"/>
      <c r="DR313" s="27"/>
      <c r="DS313" s="27"/>
      <c r="DT313" s="27"/>
    </row>
    <row r="314" spans="2:124" x14ac:dyDescent="0.2">
      <c r="B314" s="27"/>
      <c r="C314" s="27"/>
      <c r="D314" s="27"/>
      <c r="E314" s="27"/>
      <c r="F314" s="27"/>
      <c r="G314" s="27"/>
      <c r="H314" s="27"/>
      <c r="I314" s="27"/>
      <c r="J314" s="27"/>
      <c r="K314" s="27"/>
      <c r="L314" s="27"/>
      <c r="M314" s="27"/>
      <c r="N314" s="27"/>
      <c r="O314" s="27"/>
      <c r="P314" s="27"/>
      <c r="Q314" s="27"/>
      <c r="R314" s="27"/>
      <c r="S314" s="27"/>
      <c r="T314" s="27"/>
      <c r="U314" s="27"/>
      <c r="V314" s="27"/>
      <c r="W314" s="27"/>
      <c r="X314" s="27"/>
      <c r="Y314" s="27"/>
      <c r="Z314" s="27"/>
      <c r="AA314" s="27"/>
      <c r="AB314" s="27"/>
      <c r="AC314" s="27"/>
      <c r="AD314" s="27"/>
      <c r="AE314" s="27"/>
      <c r="AF314" s="27"/>
      <c r="AG314" s="27"/>
      <c r="AH314" s="27"/>
      <c r="AI314" s="27"/>
      <c r="AJ314" s="27"/>
      <c r="AK314" s="27"/>
      <c r="AL314" s="27"/>
      <c r="AM314" s="27"/>
      <c r="AN314" s="27"/>
      <c r="AO314" s="27"/>
      <c r="AP314" s="27"/>
      <c r="AQ314" s="27"/>
      <c r="AR314" s="27"/>
      <c r="AS314" s="27"/>
      <c r="AT314" s="27"/>
      <c r="AU314" s="27"/>
      <c r="AV314" s="27"/>
      <c r="AW314" s="27"/>
      <c r="AX314" s="27"/>
      <c r="AY314" s="27"/>
      <c r="AZ314" s="27"/>
      <c r="BA314" s="27"/>
      <c r="BB314" s="27"/>
      <c r="BC314" s="27"/>
      <c r="BD314" s="27"/>
      <c r="BE314" s="27"/>
      <c r="BF314" s="27"/>
      <c r="BG314" s="27"/>
      <c r="BH314" s="27"/>
      <c r="BI314" s="27"/>
      <c r="BJ314" s="27"/>
      <c r="BK314" s="27"/>
      <c r="BL314" s="27"/>
      <c r="BM314" s="27"/>
      <c r="BN314" s="27"/>
      <c r="BO314" s="27"/>
      <c r="BP314" s="27"/>
      <c r="BQ314" s="27"/>
      <c r="BR314" s="27"/>
      <c r="BS314" s="27"/>
      <c r="BT314" s="27"/>
      <c r="BU314" s="27"/>
      <c r="BV314" s="27"/>
      <c r="BW314" s="27"/>
      <c r="BX314" s="27"/>
      <c r="BY314" s="27"/>
      <c r="BZ314" s="27"/>
      <c r="CA314" s="27"/>
      <c r="CB314" s="27"/>
      <c r="CC314" s="27"/>
      <c r="CD314" s="27"/>
      <c r="CE314" s="27"/>
      <c r="CF314" s="27"/>
      <c r="CG314" s="27"/>
      <c r="CH314" s="27"/>
      <c r="CI314" s="27"/>
      <c r="CJ314" s="27"/>
      <c r="CK314" s="27"/>
      <c r="CL314" s="27"/>
      <c r="CM314" s="27"/>
      <c r="CN314" s="27"/>
      <c r="CO314" s="27"/>
      <c r="CP314" s="27"/>
      <c r="CQ314" s="27"/>
      <c r="CR314" s="27"/>
      <c r="CS314" s="27"/>
      <c r="CT314" s="27"/>
      <c r="CU314" s="27"/>
      <c r="CV314" s="27"/>
      <c r="CW314" s="27"/>
      <c r="CX314" s="27"/>
      <c r="CY314" s="27"/>
      <c r="CZ314" s="27"/>
      <c r="DA314" s="27"/>
      <c r="DB314" s="27"/>
      <c r="DC314" s="27"/>
      <c r="DD314" s="27"/>
      <c r="DE314" s="27"/>
      <c r="DF314" s="27"/>
      <c r="DG314" s="27"/>
      <c r="DH314" s="27"/>
      <c r="DI314" s="27"/>
      <c r="DJ314" s="27"/>
      <c r="DK314" s="27"/>
      <c r="DL314" s="27"/>
      <c r="DM314" s="27"/>
      <c r="DN314" s="27"/>
      <c r="DO314" s="27"/>
      <c r="DP314" s="27"/>
      <c r="DQ314" s="27"/>
      <c r="DR314" s="27"/>
      <c r="DS314" s="27"/>
      <c r="DT314" s="27"/>
    </row>
    <row r="315" spans="2:124" x14ac:dyDescent="0.2">
      <c r="B315" s="27"/>
      <c r="C315" s="27"/>
      <c r="D315" s="27"/>
      <c r="E315" s="27"/>
      <c r="F315" s="27"/>
      <c r="G315" s="27"/>
      <c r="H315" s="27"/>
      <c r="I315" s="27"/>
      <c r="J315" s="27"/>
      <c r="K315" s="27"/>
      <c r="L315" s="27"/>
      <c r="M315" s="27"/>
      <c r="N315" s="27"/>
      <c r="O315" s="27"/>
      <c r="P315" s="27"/>
      <c r="Q315" s="27"/>
      <c r="R315" s="27"/>
      <c r="S315" s="27"/>
      <c r="T315" s="27"/>
      <c r="U315" s="27"/>
      <c r="V315" s="27"/>
      <c r="W315" s="27"/>
      <c r="X315" s="27"/>
      <c r="Y315" s="27"/>
      <c r="Z315" s="27"/>
      <c r="AA315" s="27"/>
      <c r="AB315" s="27"/>
      <c r="AC315" s="27"/>
      <c r="AD315" s="27"/>
      <c r="AE315" s="27"/>
      <c r="AF315" s="27"/>
      <c r="AG315" s="27"/>
      <c r="AH315" s="27"/>
      <c r="AI315" s="27"/>
      <c r="AJ315" s="27"/>
      <c r="AK315" s="27"/>
      <c r="AL315" s="27"/>
      <c r="AM315" s="27"/>
      <c r="AN315" s="27"/>
      <c r="AO315" s="27"/>
      <c r="AP315" s="27"/>
      <c r="AQ315" s="27"/>
      <c r="AR315" s="27"/>
      <c r="AS315" s="27"/>
      <c r="AT315" s="27"/>
      <c r="AU315" s="27"/>
      <c r="AV315" s="27"/>
      <c r="AW315" s="27"/>
      <c r="AX315" s="27"/>
      <c r="AY315" s="27"/>
      <c r="AZ315" s="27"/>
      <c r="BA315" s="27"/>
      <c r="BB315" s="27"/>
      <c r="BC315" s="27"/>
      <c r="BD315" s="27"/>
      <c r="BE315" s="27"/>
      <c r="BF315" s="27"/>
      <c r="BG315" s="27"/>
      <c r="BH315" s="27"/>
      <c r="BI315" s="27"/>
      <c r="BJ315" s="27"/>
      <c r="BK315" s="27"/>
      <c r="BL315" s="27"/>
      <c r="BM315" s="27"/>
      <c r="BN315" s="27"/>
      <c r="BO315" s="27"/>
      <c r="BP315" s="27"/>
      <c r="BQ315" s="27"/>
      <c r="BR315" s="27"/>
      <c r="BS315" s="27"/>
      <c r="BT315" s="27"/>
      <c r="BU315" s="27"/>
      <c r="BV315" s="27"/>
      <c r="BW315" s="27"/>
      <c r="BX315" s="27"/>
      <c r="BY315" s="27"/>
      <c r="BZ315" s="27"/>
      <c r="CA315" s="27"/>
      <c r="CB315" s="27"/>
      <c r="CC315" s="27"/>
      <c r="CD315" s="27"/>
      <c r="CE315" s="27"/>
      <c r="CF315" s="27"/>
      <c r="CG315" s="27"/>
      <c r="CH315" s="27"/>
      <c r="CI315" s="27"/>
      <c r="CJ315" s="27"/>
      <c r="CK315" s="27"/>
      <c r="CL315" s="27"/>
      <c r="CM315" s="27"/>
      <c r="CN315" s="27"/>
      <c r="CO315" s="27"/>
      <c r="CP315" s="27"/>
      <c r="CQ315" s="27"/>
      <c r="CR315" s="27"/>
      <c r="CS315" s="27"/>
      <c r="CT315" s="27"/>
      <c r="CU315" s="27"/>
      <c r="CV315" s="27"/>
      <c r="CW315" s="27"/>
      <c r="CX315" s="27"/>
      <c r="CY315" s="27"/>
      <c r="CZ315" s="27"/>
      <c r="DA315" s="27"/>
      <c r="DB315" s="27"/>
      <c r="DC315" s="27"/>
      <c r="DD315" s="27"/>
      <c r="DE315" s="27"/>
      <c r="DF315" s="27"/>
      <c r="DG315" s="27"/>
      <c r="DH315" s="27"/>
      <c r="DI315" s="27"/>
      <c r="DJ315" s="27"/>
      <c r="DK315" s="27"/>
      <c r="DL315" s="27"/>
      <c r="DM315" s="27"/>
      <c r="DN315" s="27"/>
      <c r="DO315" s="27"/>
      <c r="DP315" s="27"/>
      <c r="DQ315" s="27"/>
      <c r="DR315" s="27"/>
      <c r="DS315" s="27"/>
      <c r="DT315" s="27"/>
    </row>
    <row r="316" spans="2:124" x14ac:dyDescent="0.2">
      <c r="B316" s="27"/>
      <c r="C316" s="27"/>
      <c r="D316" s="27"/>
      <c r="E316" s="27"/>
      <c r="F316" s="27"/>
      <c r="G316" s="27"/>
      <c r="H316" s="27"/>
      <c r="I316" s="27"/>
      <c r="J316" s="27"/>
      <c r="K316" s="27"/>
      <c r="L316" s="27"/>
      <c r="M316" s="27"/>
      <c r="N316" s="27"/>
      <c r="O316" s="27"/>
      <c r="P316" s="27"/>
      <c r="Q316" s="27"/>
      <c r="R316" s="27"/>
      <c r="S316" s="27"/>
      <c r="T316" s="27"/>
      <c r="U316" s="27"/>
      <c r="V316" s="27"/>
      <c r="W316" s="27"/>
      <c r="X316" s="27"/>
      <c r="Y316" s="27"/>
      <c r="Z316" s="27"/>
      <c r="AA316" s="27"/>
      <c r="AB316" s="27"/>
      <c r="AC316" s="27"/>
      <c r="AD316" s="27"/>
      <c r="AE316" s="27"/>
      <c r="AF316" s="27"/>
      <c r="AG316" s="27"/>
      <c r="AH316" s="27"/>
      <c r="AI316" s="27"/>
      <c r="AJ316" s="27"/>
      <c r="AK316" s="27"/>
      <c r="AL316" s="27"/>
      <c r="AM316" s="27"/>
      <c r="AN316" s="27"/>
      <c r="AO316" s="27"/>
      <c r="AP316" s="27"/>
      <c r="AQ316" s="27"/>
      <c r="AR316" s="27"/>
      <c r="AS316" s="27"/>
      <c r="AT316" s="27"/>
      <c r="AU316" s="27"/>
      <c r="AV316" s="27"/>
      <c r="AW316" s="27"/>
      <c r="AX316" s="27"/>
      <c r="AY316" s="27"/>
      <c r="AZ316" s="27"/>
      <c r="BA316" s="27"/>
      <c r="BB316" s="27"/>
      <c r="BC316" s="27"/>
      <c r="BD316" s="27"/>
      <c r="BE316" s="27"/>
      <c r="BF316" s="27"/>
      <c r="BG316" s="27"/>
      <c r="BH316" s="27"/>
      <c r="BI316" s="27"/>
      <c r="BJ316" s="27"/>
      <c r="BK316" s="27"/>
      <c r="BL316" s="27"/>
      <c r="BM316" s="27"/>
      <c r="BN316" s="27"/>
      <c r="BO316" s="27"/>
      <c r="BP316" s="27"/>
      <c r="BQ316" s="27"/>
      <c r="BR316" s="27"/>
      <c r="BS316" s="27"/>
      <c r="BT316" s="27"/>
      <c r="BU316" s="27"/>
      <c r="BV316" s="27"/>
      <c r="BW316" s="27"/>
      <c r="BX316" s="27"/>
      <c r="BY316" s="27"/>
      <c r="BZ316" s="27"/>
      <c r="CA316" s="27"/>
      <c r="CB316" s="27"/>
      <c r="CC316" s="27"/>
      <c r="CD316" s="27"/>
      <c r="CE316" s="27"/>
      <c r="CF316" s="27"/>
      <c r="CG316" s="27"/>
      <c r="CH316" s="27"/>
      <c r="CI316" s="27"/>
      <c r="CJ316" s="27"/>
      <c r="CK316" s="27"/>
      <c r="CL316" s="27"/>
      <c r="CM316" s="27"/>
      <c r="CN316" s="27"/>
      <c r="CO316" s="27"/>
      <c r="CP316" s="27"/>
      <c r="CQ316" s="27"/>
      <c r="CR316" s="27"/>
      <c r="CS316" s="27"/>
      <c r="CT316" s="27"/>
      <c r="CU316" s="27"/>
      <c r="CV316" s="27"/>
      <c r="CW316" s="27"/>
      <c r="CX316" s="27"/>
      <c r="CY316" s="27"/>
      <c r="CZ316" s="27"/>
      <c r="DA316" s="27"/>
      <c r="DB316" s="27"/>
      <c r="DC316" s="27"/>
      <c r="DD316" s="27"/>
      <c r="DE316" s="27"/>
      <c r="DF316" s="27"/>
      <c r="DG316" s="27"/>
      <c r="DH316" s="27"/>
      <c r="DI316" s="27"/>
      <c r="DJ316" s="27"/>
      <c r="DK316" s="27"/>
      <c r="DL316" s="27"/>
      <c r="DM316" s="27"/>
      <c r="DN316" s="27"/>
      <c r="DO316" s="27"/>
      <c r="DP316" s="27"/>
      <c r="DQ316" s="27"/>
      <c r="DR316" s="27"/>
      <c r="DS316" s="27"/>
      <c r="DT316" s="27"/>
    </row>
    <row r="317" spans="2:124" x14ac:dyDescent="0.2">
      <c r="B317" s="27"/>
      <c r="C317" s="27"/>
      <c r="D317" s="27"/>
      <c r="E317" s="27"/>
      <c r="F317" s="27"/>
      <c r="G317" s="27"/>
      <c r="H317" s="27"/>
      <c r="I317" s="27"/>
      <c r="J317" s="27"/>
      <c r="K317" s="27"/>
      <c r="L317" s="27"/>
      <c r="M317" s="27"/>
      <c r="N317" s="27"/>
      <c r="O317" s="27"/>
      <c r="P317" s="27"/>
      <c r="Q317" s="27"/>
      <c r="R317" s="27"/>
      <c r="S317" s="27"/>
      <c r="T317" s="27"/>
      <c r="U317" s="27"/>
      <c r="V317" s="27"/>
      <c r="W317" s="27"/>
      <c r="X317" s="27"/>
      <c r="Y317" s="27"/>
      <c r="Z317" s="27"/>
      <c r="AA317" s="27"/>
      <c r="AB317" s="27"/>
      <c r="AC317" s="27"/>
      <c r="AD317" s="27"/>
      <c r="AE317" s="27"/>
      <c r="AF317" s="27"/>
      <c r="AG317" s="27"/>
      <c r="AH317" s="27"/>
      <c r="AI317" s="27"/>
      <c r="AJ317" s="27"/>
      <c r="AK317" s="27"/>
      <c r="AL317" s="27"/>
      <c r="AM317" s="27"/>
      <c r="AN317" s="27"/>
      <c r="AO317" s="27"/>
      <c r="AP317" s="27"/>
      <c r="AQ317" s="27"/>
      <c r="AR317" s="27"/>
      <c r="AS317" s="27"/>
      <c r="AT317" s="27"/>
      <c r="AU317" s="27"/>
      <c r="AV317" s="27"/>
      <c r="AW317" s="27"/>
      <c r="AX317" s="27"/>
      <c r="AY317" s="27"/>
      <c r="AZ317" s="27"/>
      <c r="BA317" s="27"/>
      <c r="BB317" s="27"/>
      <c r="BC317" s="27"/>
      <c r="BD317" s="27"/>
      <c r="BE317" s="27"/>
      <c r="BF317" s="27"/>
      <c r="BG317" s="27"/>
      <c r="BH317" s="27"/>
      <c r="BI317" s="27"/>
      <c r="BJ317" s="27"/>
      <c r="BK317" s="27"/>
      <c r="BL317" s="27"/>
      <c r="BM317" s="27"/>
      <c r="BN317" s="27"/>
      <c r="BO317" s="27"/>
      <c r="BP317" s="27"/>
      <c r="BQ317" s="27"/>
      <c r="BR317" s="27"/>
      <c r="BS317" s="27"/>
      <c r="BT317" s="27"/>
      <c r="BU317" s="27"/>
      <c r="BV317" s="27"/>
      <c r="BW317" s="27"/>
      <c r="BX317" s="27"/>
      <c r="BY317" s="27"/>
      <c r="BZ317" s="27"/>
      <c r="CA317" s="27"/>
      <c r="CB317" s="27"/>
      <c r="CC317" s="27"/>
      <c r="CD317" s="27"/>
      <c r="CE317" s="27"/>
      <c r="CF317" s="27"/>
      <c r="CG317" s="27"/>
      <c r="CH317" s="27"/>
      <c r="CI317" s="27"/>
      <c r="CJ317" s="27"/>
      <c r="CK317" s="27"/>
      <c r="CL317" s="27"/>
      <c r="CM317" s="27"/>
      <c r="CN317" s="27"/>
      <c r="CO317" s="27"/>
      <c r="CP317" s="27"/>
      <c r="CQ317" s="27"/>
      <c r="CR317" s="27"/>
      <c r="CS317" s="27"/>
      <c r="CT317" s="27"/>
      <c r="CU317" s="27"/>
      <c r="CV317" s="27"/>
      <c r="CW317" s="27"/>
      <c r="CX317" s="27"/>
      <c r="CY317" s="27"/>
      <c r="CZ317" s="27"/>
      <c r="DA317" s="27"/>
      <c r="DB317" s="27"/>
      <c r="DC317" s="27"/>
      <c r="DD317" s="27"/>
      <c r="DE317" s="27"/>
      <c r="DF317" s="27"/>
      <c r="DG317" s="27"/>
      <c r="DH317" s="27"/>
      <c r="DI317" s="27"/>
      <c r="DJ317" s="27"/>
      <c r="DK317" s="27"/>
      <c r="DL317" s="27"/>
      <c r="DM317" s="27"/>
      <c r="DN317" s="27"/>
      <c r="DO317" s="27"/>
      <c r="DP317" s="27"/>
      <c r="DQ317" s="27"/>
      <c r="DR317" s="27"/>
      <c r="DS317" s="27"/>
      <c r="DT317" s="27"/>
    </row>
    <row r="318" spans="2:124" x14ac:dyDescent="0.2">
      <c r="B318" s="27"/>
      <c r="C318" s="27"/>
      <c r="D318" s="27"/>
      <c r="E318" s="27"/>
      <c r="F318" s="27"/>
      <c r="G318" s="27"/>
      <c r="H318" s="27"/>
      <c r="I318" s="27"/>
      <c r="J318" s="27"/>
      <c r="K318" s="27"/>
      <c r="L318" s="27"/>
      <c r="M318" s="27"/>
      <c r="N318" s="27"/>
      <c r="O318" s="27"/>
      <c r="P318" s="27"/>
      <c r="Q318" s="27"/>
      <c r="R318" s="27"/>
      <c r="S318" s="27"/>
      <c r="T318" s="27"/>
      <c r="U318" s="27"/>
      <c r="V318" s="27"/>
      <c r="W318" s="27"/>
      <c r="X318" s="27"/>
      <c r="Y318" s="27"/>
      <c r="Z318" s="27"/>
      <c r="AA318" s="27"/>
      <c r="AB318" s="27"/>
      <c r="AC318" s="27"/>
      <c r="AD318" s="27"/>
      <c r="AE318" s="27"/>
      <c r="AF318" s="27"/>
      <c r="AG318" s="27"/>
      <c r="AH318" s="27"/>
      <c r="AI318" s="27"/>
      <c r="AJ318" s="27"/>
      <c r="AK318" s="27"/>
      <c r="AL318" s="27"/>
      <c r="AM318" s="27"/>
      <c r="AN318" s="27"/>
      <c r="AO318" s="27"/>
      <c r="AP318" s="27"/>
      <c r="AQ318" s="27"/>
      <c r="AR318" s="27"/>
      <c r="AS318" s="27"/>
      <c r="AT318" s="27"/>
      <c r="AU318" s="27"/>
      <c r="AV318" s="27"/>
      <c r="AW318" s="27"/>
      <c r="AX318" s="27"/>
      <c r="AY318" s="27"/>
      <c r="AZ318" s="27"/>
      <c r="BA318" s="27"/>
      <c r="BB318" s="27"/>
      <c r="BC318" s="27"/>
      <c r="BD318" s="27"/>
      <c r="BE318" s="27"/>
      <c r="BF318" s="27"/>
      <c r="BG318" s="27"/>
      <c r="BH318" s="27"/>
      <c r="BI318" s="27"/>
      <c r="BJ318" s="27"/>
      <c r="BK318" s="27"/>
      <c r="BL318" s="27"/>
      <c r="BM318" s="27"/>
      <c r="BN318" s="27"/>
      <c r="BO318" s="27"/>
      <c r="BP318" s="27"/>
      <c r="BQ318" s="27"/>
      <c r="BR318" s="27"/>
      <c r="BS318" s="27"/>
      <c r="BT318" s="27"/>
      <c r="BU318" s="27"/>
      <c r="BV318" s="27"/>
      <c r="BW318" s="27"/>
      <c r="BX318" s="27"/>
      <c r="BY318" s="27"/>
      <c r="BZ318" s="27"/>
      <c r="CA318" s="27"/>
      <c r="CB318" s="27"/>
      <c r="CC318" s="27"/>
      <c r="CD318" s="27"/>
      <c r="CE318" s="27"/>
      <c r="CF318" s="27"/>
      <c r="CG318" s="27"/>
      <c r="CH318" s="27"/>
      <c r="CI318" s="27"/>
      <c r="CJ318" s="27"/>
      <c r="CK318" s="27"/>
      <c r="CL318" s="27"/>
      <c r="CM318" s="27"/>
      <c r="CN318" s="27"/>
      <c r="CO318" s="27"/>
      <c r="CP318" s="27"/>
      <c r="CQ318" s="27"/>
      <c r="CR318" s="27"/>
      <c r="CS318" s="27"/>
      <c r="CT318" s="27"/>
      <c r="CU318" s="27"/>
      <c r="CV318" s="27"/>
      <c r="CW318" s="27"/>
      <c r="CX318" s="27"/>
      <c r="CY318" s="27"/>
      <c r="CZ318" s="27"/>
      <c r="DA318" s="27"/>
      <c r="DB318" s="27"/>
      <c r="DC318" s="27"/>
      <c r="DD318" s="27"/>
      <c r="DE318" s="27"/>
      <c r="DF318" s="27"/>
      <c r="DG318" s="27"/>
      <c r="DH318" s="27"/>
      <c r="DI318" s="27"/>
      <c r="DJ318" s="27"/>
      <c r="DK318" s="27"/>
      <c r="DL318" s="27"/>
      <c r="DM318" s="27"/>
      <c r="DN318" s="27"/>
      <c r="DO318" s="27"/>
      <c r="DP318" s="27"/>
      <c r="DQ318" s="27"/>
      <c r="DR318" s="27"/>
      <c r="DS318" s="27"/>
      <c r="DT318" s="27"/>
    </row>
    <row r="319" spans="2:124" x14ac:dyDescent="0.2">
      <c r="B319" s="27"/>
      <c r="C319" s="27"/>
      <c r="D319" s="27"/>
      <c r="E319" s="27"/>
      <c r="F319" s="27"/>
      <c r="G319" s="27"/>
      <c r="H319" s="27"/>
      <c r="I319" s="27"/>
      <c r="J319" s="27"/>
      <c r="K319" s="27"/>
      <c r="L319" s="27"/>
      <c r="M319" s="27"/>
      <c r="N319" s="27"/>
      <c r="O319" s="27"/>
      <c r="P319" s="27"/>
      <c r="Q319" s="27"/>
      <c r="R319" s="27"/>
      <c r="S319" s="27"/>
      <c r="T319" s="27"/>
      <c r="U319" s="27"/>
      <c r="V319" s="27"/>
      <c r="W319" s="27"/>
      <c r="X319" s="27"/>
      <c r="Y319" s="27"/>
      <c r="Z319" s="27"/>
      <c r="AA319" s="27"/>
      <c r="AB319" s="27"/>
      <c r="AC319" s="27"/>
      <c r="AD319" s="27"/>
      <c r="AE319" s="27"/>
      <c r="AF319" s="27"/>
      <c r="AG319" s="27"/>
      <c r="AH319" s="27"/>
      <c r="AI319" s="27"/>
      <c r="AJ319" s="27"/>
      <c r="AK319" s="27"/>
      <c r="AL319" s="27"/>
      <c r="AM319" s="27"/>
      <c r="AN319" s="27"/>
      <c r="AO319" s="27"/>
      <c r="AP319" s="27"/>
      <c r="AQ319" s="27"/>
      <c r="AR319" s="27"/>
      <c r="AS319" s="27"/>
      <c r="AT319" s="27"/>
      <c r="AU319" s="27"/>
      <c r="AV319" s="27"/>
      <c r="AW319" s="27"/>
      <c r="AX319" s="27"/>
      <c r="AY319" s="27"/>
      <c r="AZ319" s="27"/>
      <c r="BA319" s="27"/>
      <c r="BB319" s="27"/>
      <c r="BC319" s="27"/>
      <c r="BD319" s="27"/>
      <c r="BE319" s="27"/>
      <c r="BF319" s="27"/>
      <c r="BG319" s="27"/>
      <c r="BH319" s="27"/>
      <c r="BI319" s="27"/>
      <c r="BJ319" s="27"/>
      <c r="BK319" s="27"/>
      <c r="BL319" s="27"/>
      <c r="BM319" s="27"/>
      <c r="BN319" s="27"/>
      <c r="BO319" s="27"/>
      <c r="BP319" s="27"/>
      <c r="BQ319" s="27"/>
      <c r="BR319" s="27"/>
      <c r="BS319" s="27"/>
      <c r="BT319" s="27"/>
      <c r="BU319" s="27"/>
      <c r="BV319" s="27"/>
      <c r="BW319" s="27"/>
      <c r="BX319" s="27"/>
      <c r="BY319" s="27"/>
      <c r="BZ319" s="27"/>
      <c r="CA319" s="27"/>
      <c r="CB319" s="27"/>
      <c r="CC319" s="27"/>
      <c r="CD319" s="27"/>
      <c r="CE319" s="27"/>
      <c r="CF319" s="27"/>
      <c r="CG319" s="27"/>
      <c r="CH319" s="27"/>
      <c r="CI319" s="27"/>
      <c r="CJ319" s="27"/>
      <c r="CK319" s="27"/>
      <c r="CL319" s="27"/>
      <c r="CM319" s="27"/>
      <c r="CN319" s="27"/>
      <c r="CO319" s="27"/>
      <c r="CP319" s="27"/>
      <c r="CQ319" s="27"/>
      <c r="CR319" s="27"/>
      <c r="CS319" s="27"/>
      <c r="CT319" s="27"/>
      <c r="CU319" s="27"/>
      <c r="CV319" s="27"/>
      <c r="CW319" s="27"/>
      <c r="CX319" s="27"/>
      <c r="CY319" s="27"/>
      <c r="CZ319" s="27"/>
      <c r="DA319" s="27"/>
      <c r="DB319" s="27"/>
      <c r="DC319" s="27"/>
      <c r="DD319" s="27"/>
      <c r="DE319" s="27"/>
      <c r="DF319" s="27"/>
      <c r="DG319" s="27"/>
      <c r="DH319" s="27"/>
      <c r="DI319" s="27"/>
      <c r="DJ319" s="27"/>
      <c r="DK319" s="27"/>
      <c r="DL319" s="27"/>
      <c r="DM319" s="27"/>
      <c r="DN319" s="27"/>
      <c r="DO319" s="27"/>
      <c r="DP319" s="27"/>
      <c r="DQ319" s="27"/>
      <c r="DR319" s="27"/>
      <c r="DS319" s="27"/>
      <c r="DT319" s="27"/>
    </row>
    <row r="320" spans="2:124" x14ac:dyDescent="0.2">
      <c r="B320" s="27"/>
      <c r="C320" s="27"/>
      <c r="D320" s="27"/>
      <c r="E320" s="27"/>
      <c r="F320" s="27"/>
      <c r="G320" s="27"/>
      <c r="H320" s="27"/>
      <c r="I320" s="27"/>
      <c r="J320" s="27"/>
      <c r="K320" s="27"/>
      <c r="L320" s="27"/>
      <c r="M320" s="27"/>
      <c r="N320" s="27"/>
      <c r="O320" s="27"/>
      <c r="P320" s="27"/>
      <c r="Q320" s="27"/>
      <c r="R320" s="27"/>
      <c r="S320" s="27"/>
      <c r="T320" s="27"/>
      <c r="U320" s="27"/>
      <c r="V320" s="27"/>
      <c r="W320" s="27"/>
      <c r="X320" s="27"/>
      <c r="Y320" s="27"/>
      <c r="Z320" s="27"/>
      <c r="AA320" s="27"/>
      <c r="AB320" s="27"/>
      <c r="AC320" s="27"/>
      <c r="AD320" s="27"/>
      <c r="AE320" s="27"/>
      <c r="AF320" s="27"/>
      <c r="AG320" s="27"/>
      <c r="AH320" s="27"/>
      <c r="AI320" s="27"/>
      <c r="AJ320" s="27"/>
      <c r="AK320" s="27"/>
      <c r="AL320" s="27"/>
      <c r="AM320" s="27"/>
      <c r="AN320" s="27"/>
      <c r="AO320" s="27"/>
      <c r="AP320" s="27"/>
      <c r="AQ320" s="27"/>
      <c r="AR320" s="27"/>
      <c r="AS320" s="27"/>
      <c r="AT320" s="27"/>
      <c r="AU320" s="27"/>
      <c r="AV320" s="27"/>
      <c r="AW320" s="27"/>
      <c r="AX320" s="27"/>
      <c r="AY320" s="27"/>
      <c r="AZ320" s="27"/>
      <c r="BA320" s="27"/>
      <c r="BB320" s="27"/>
      <c r="BC320" s="27"/>
      <c r="BD320" s="27"/>
      <c r="BE320" s="27"/>
      <c r="BF320" s="27"/>
      <c r="BG320" s="27"/>
      <c r="BH320" s="27"/>
      <c r="BI320" s="27"/>
      <c r="BJ320" s="27"/>
      <c r="BK320" s="27"/>
      <c r="BL320" s="27"/>
      <c r="BM320" s="27"/>
      <c r="BN320" s="27"/>
      <c r="BO320" s="27"/>
      <c r="BP320" s="27"/>
      <c r="BQ320" s="27"/>
      <c r="BR320" s="27"/>
      <c r="BS320" s="27"/>
      <c r="BT320" s="27"/>
      <c r="BU320" s="27"/>
      <c r="BV320" s="27"/>
      <c r="BW320" s="27"/>
      <c r="BX320" s="27"/>
      <c r="BY320" s="27"/>
      <c r="BZ320" s="27"/>
      <c r="CA320" s="27"/>
      <c r="CB320" s="27"/>
      <c r="CC320" s="27"/>
      <c r="CD320" s="27"/>
      <c r="CE320" s="27"/>
      <c r="CF320" s="27"/>
      <c r="CG320" s="27"/>
      <c r="CH320" s="27"/>
      <c r="CI320" s="27"/>
      <c r="CJ320" s="27"/>
      <c r="CK320" s="27"/>
      <c r="CL320" s="27"/>
      <c r="CM320" s="27"/>
      <c r="CN320" s="27"/>
      <c r="CO320" s="27"/>
      <c r="CP320" s="27"/>
      <c r="CQ320" s="27"/>
      <c r="CR320" s="27"/>
      <c r="CS320" s="27"/>
      <c r="CT320" s="27"/>
      <c r="CU320" s="27"/>
      <c r="CV320" s="27"/>
      <c r="CW320" s="27"/>
      <c r="CX320" s="27"/>
      <c r="CY320" s="27"/>
      <c r="CZ320" s="27"/>
      <c r="DA320" s="27"/>
      <c r="DB320" s="27"/>
      <c r="DC320" s="27"/>
      <c r="DD320" s="27"/>
      <c r="DE320" s="27"/>
      <c r="DF320" s="27"/>
      <c r="DG320" s="27"/>
      <c r="DH320" s="27"/>
      <c r="DI320" s="27"/>
      <c r="DJ320" s="27"/>
      <c r="DK320" s="27"/>
      <c r="DL320" s="27"/>
      <c r="DM320" s="27"/>
      <c r="DN320" s="27"/>
      <c r="DO320" s="27"/>
      <c r="DP320" s="27"/>
      <c r="DQ320" s="27"/>
      <c r="DR320" s="27"/>
      <c r="DS320" s="27"/>
      <c r="DT320" s="27"/>
    </row>
    <row r="321" spans="2:124" x14ac:dyDescent="0.2">
      <c r="B321" s="27"/>
      <c r="C321" s="27"/>
      <c r="D321" s="27"/>
      <c r="E321" s="27"/>
      <c r="F321" s="27"/>
      <c r="G321" s="27"/>
      <c r="H321" s="27"/>
      <c r="I321" s="27"/>
      <c r="J321" s="27"/>
      <c r="K321" s="27"/>
      <c r="L321" s="27"/>
      <c r="M321" s="27"/>
      <c r="N321" s="27"/>
      <c r="O321" s="27"/>
      <c r="P321" s="27"/>
      <c r="Q321" s="27"/>
      <c r="R321" s="27"/>
      <c r="S321" s="27"/>
      <c r="T321" s="27"/>
      <c r="U321" s="27"/>
      <c r="V321" s="27"/>
      <c r="W321" s="27"/>
      <c r="X321" s="27"/>
      <c r="Y321" s="27"/>
      <c r="Z321" s="27"/>
      <c r="AA321" s="27"/>
      <c r="AB321" s="27"/>
      <c r="AC321" s="27"/>
      <c r="AD321" s="27"/>
      <c r="AE321" s="27"/>
      <c r="AF321" s="27"/>
      <c r="AG321" s="27"/>
      <c r="AH321" s="27"/>
      <c r="AI321" s="27"/>
      <c r="AJ321" s="27"/>
      <c r="AK321" s="27"/>
      <c r="AL321" s="27"/>
      <c r="AM321" s="27"/>
      <c r="AN321" s="27"/>
      <c r="AO321" s="27"/>
      <c r="AP321" s="27"/>
      <c r="AQ321" s="27"/>
      <c r="AR321" s="27"/>
      <c r="AS321" s="27"/>
      <c r="AT321" s="27"/>
      <c r="AU321" s="27"/>
      <c r="AV321" s="27"/>
      <c r="AW321" s="27"/>
      <c r="AX321" s="27"/>
      <c r="AY321" s="27"/>
      <c r="AZ321" s="27"/>
      <c r="BA321" s="27"/>
      <c r="BB321" s="27"/>
      <c r="BC321" s="27"/>
      <c r="BD321" s="27"/>
      <c r="BE321" s="27"/>
      <c r="BF321" s="27"/>
      <c r="BG321" s="27"/>
      <c r="BH321" s="27"/>
      <c r="BI321" s="27"/>
      <c r="BJ321" s="27"/>
      <c r="BK321" s="27"/>
      <c r="BL321" s="27"/>
      <c r="BM321" s="27"/>
      <c r="BN321" s="27"/>
      <c r="BO321" s="27"/>
      <c r="BP321" s="27"/>
      <c r="BQ321" s="27"/>
      <c r="BR321" s="27"/>
      <c r="BS321" s="27"/>
      <c r="BT321" s="27"/>
      <c r="BU321" s="27"/>
      <c r="BV321" s="27"/>
      <c r="BW321" s="27"/>
      <c r="BX321" s="27"/>
      <c r="BY321" s="27"/>
      <c r="BZ321" s="27"/>
      <c r="CA321" s="27"/>
      <c r="CB321" s="27"/>
      <c r="CC321" s="27"/>
      <c r="CD321" s="27"/>
      <c r="CE321" s="27"/>
      <c r="CF321" s="27"/>
      <c r="CG321" s="27"/>
      <c r="CH321" s="27"/>
      <c r="CI321" s="27"/>
      <c r="CJ321" s="27"/>
      <c r="CK321" s="27"/>
      <c r="CL321" s="27"/>
      <c r="CM321" s="27"/>
      <c r="CN321" s="27"/>
      <c r="CO321" s="27"/>
      <c r="CP321" s="27"/>
      <c r="CQ321" s="27"/>
      <c r="CR321" s="27"/>
      <c r="CS321" s="27"/>
      <c r="CT321" s="27"/>
      <c r="CU321" s="27"/>
      <c r="CV321" s="27"/>
      <c r="CW321" s="27"/>
      <c r="CX321" s="27"/>
      <c r="CY321" s="27"/>
      <c r="CZ321" s="27"/>
      <c r="DA321" s="27"/>
      <c r="DB321" s="27"/>
      <c r="DC321" s="27"/>
      <c r="DD321" s="27"/>
      <c r="DE321" s="27"/>
      <c r="DF321" s="27"/>
      <c r="DG321" s="27"/>
      <c r="DH321" s="27"/>
      <c r="DI321" s="27"/>
      <c r="DJ321" s="27"/>
      <c r="DK321" s="27"/>
      <c r="DL321" s="27"/>
      <c r="DM321" s="27"/>
      <c r="DN321" s="27"/>
      <c r="DO321" s="27"/>
      <c r="DP321" s="27"/>
      <c r="DQ321" s="27"/>
      <c r="DR321" s="27"/>
      <c r="DS321" s="27"/>
      <c r="DT321" s="27"/>
    </row>
    <row r="322" spans="2:124" x14ac:dyDescent="0.2">
      <c r="B322" s="27"/>
      <c r="C322" s="27"/>
      <c r="D322" s="27"/>
      <c r="E322" s="27"/>
      <c r="F322" s="27"/>
      <c r="G322" s="27"/>
      <c r="H322" s="27"/>
      <c r="I322" s="27"/>
      <c r="J322" s="27"/>
      <c r="K322" s="27"/>
      <c r="L322" s="27"/>
      <c r="M322" s="27"/>
      <c r="N322" s="27"/>
      <c r="O322" s="27"/>
      <c r="P322" s="27"/>
      <c r="Q322" s="27"/>
      <c r="R322" s="27"/>
      <c r="S322" s="27"/>
      <c r="T322" s="27"/>
      <c r="U322" s="27"/>
      <c r="V322" s="27"/>
      <c r="W322" s="27"/>
      <c r="X322" s="27"/>
      <c r="Y322" s="27"/>
      <c r="Z322" s="27"/>
      <c r="AA322" s="27"/>
      <c r="AB322" s="27"/>
      <c r="AC322" s="27"/>
      <c r="AD322" s="27"/>
      <c r="AE322" s="27"/>
      <c r="AF322" s="27"/>
      <c r="AG322" s="27"/>
      <c r="AH322" s="27"/>
      <c r="AI322" s="27"/>
      <c r="AJ322" s="27"/>
      <c r="AK322" s="27"/>
      <c r="AL322" s="27"/>
      <c r="AM322" s="27"/>
      <c r="AN322" s="27"/>
      <c r="AO322" s="27"/>
      <c r="AP322" s="27"/>
      <c r="AQ322" s="27"/>
      <c r="AR322" s="27"/>
      <c r="AS322" s="27"/>
      <c r="AT322" s="27"/>
      <c r="AU322" s="27"/>
      <c r="AV322" s="27"/>
      <c r="AW322" s="27"/>
      <c r="AX322" s="27"/>
      <c r="AY322" s="27"/>
      <c r="AZ322" s="27"/>
      <c r="BA322" s="27"/>
      <c r="BB322" s="27"/>
      <c r="BC322" s="27"/>
      <c r="BD322" s="27"/>
      <c r="BE322" s="27"/>
      <c r="BF322" s="27"/>
      <c r="BG322" s="27"/>
      <c r="BH322" s="27"/>
      <c r="BI322" s="27"/>
      <c r="BJ322" s="27"/>
      <c r="BK322" s="27"/>
      <c r="BL322" s="27"/>
      <c r="BM322" s="27"/>
      <c r="BN322" s="27"/>
      <c r="BO322" s="27"/>
      <c r="BP322" s="27"/>
      <c r="BQ322" s="27"/>
      <c r="BR322" s="27"/>
      <c r="BS322" s="27"/>
      <c r="BT322" s="27"/>
      <c r="BU322" s="27"/>
      <c r="BV322" s="27"/>
      <c r="BW322" s="27"/>
      <c r="BX322" s="27"/>
      <c r="BY322" s="27"/>
      <c r="BZ322" s="27"/>
      <c r="CA322" s="27"/>
      <c r="CB322" s="27"/>
      <c r="CC322" s="27"/>
      <c r="CD322" s="27"/>
      <c r="CE322" s="27"/>
      <c r="CF322" s="27"/>
      <c r="CG322" s="27"/>
      <c r="CH322" s="27"/>
      <c r="CI322" s="27"/>
      <c r="CJ322" s="27"/>
      <c r="CK322" s="27"/>
      <c r="CL322" s="27"/>
      <c r="CM322" s="27"/>
      <c r="CN322" s="27"/>
      <c r="CO322" s="27"/>
      <c r="CP322" s="27"/>
      <c r="CQ322" s="27"/>
      <c r="CR322" s="27"/>
      <c r="CS322" s="27"/>
      <c r="CT322" s="27"/>
      <c r="CU322" s="27"/>
      <c r="CV322" s="27"/>
      <c r="CW322" s="27"/>
      <c r="CX322" s="27"/>
      <c r="CY322" s="27"/>
      <c r="CZ322" s="27"/>
      <c r="DA322" s="27"/>
      <c r="DB322" s="27"/>
      <c r="DC322" s="27"/>
      <c r="DD322" s="27"/>
      <c r="DE322" s="27"/>
      <c r="DF322" s="27"/>
      <c r="DG322" s="27"/>
      <c r="DH322" s="27"/>
      <c r="DI322" s="27"/>
      <c r="DJ322" s="27"/>
      <c r="DK322" s="27"/>
      <c r="DL322" s="27"/>
      <c r="DM322" s="27"/>
      <c r="DN322" s="27"/>
      <c r="DO322" s="27"/>
      <c r="DP322" s="27"/>
      <c r="DQ322" s="27"/>
      <c r="DR322" s="27"/>
      <c r="DS322" s="27"/>
      <c r="DT322" s="27"/>
    </row>
    <row r="323" spans="2:124" x14ac:dyDescent="0.2">
      <c r="B323" s="27"/>
      <c r="C323" s="27"/>
      <c r="D323" s="27"/>
      <c r="E323" s="27"/>
      <c r="F323" s="27"/>
      <c r="G323" s="27"/>
      <c r="H323" s="27"/>
      <c r="I323" s="27"/>
      <c r="J323" s="27"/>
      <c r="K323" s="27"/>
      <c r="L323" s="27"/>
      <c r="M323" s="27"/>
      <c r="N323" s="27"/>
      <c r="O323" s="27"/>
      <c r="P323" s="27"/>
      <c r="Q323" s="27"/>
      <c r="R323" s="27"/>
      <c r="S323" s="27"/>
      <c r="T323" s="27"/>
      <c r="U323" s="27"/>
      <c r="V323" s="27"/>
      <c r="W323" s="27"/>
      <c r="X323" s="27"/>
      <c r="Y323" s="27"/>
      <c r="Z323" s="27"/>
      <c r="AA323" s="27"/>
      <c r="AB323" s="27"/>
      <c r="AC323" s="27"/>
      <c r="AD323" s="27"/>
      <c r="AE323" s="27"/>
      <c r="AF323" s="27"/>
      <c r="AG323" s="27"/>
      <c r="AH323" s="27"/>
      <c r="AI323" s="27"/>
      <c r="AJ323" s="27"/>
      <c r="AK323" s="27"/>
      <c r="AL323" s="27"/>
      <c r="AM323" s="27"/>
      <c r="AN323" s="27"/>
      <c r="AO323" s="27"/>
      <c r="AP323" s="27"/>
      <c r="AQ323" s="27"/>
      <c r="AR323" s="27"/>
      <c r="AS323" s="27"/>
      <c r="AT323" s="27"/>
      <c r="AU323" s="27"/>
      <c r="AV323" s="27"/>
      <c r="AW323" s="27"/>
      <c r="AX323" s="27"/>
      <c r="AY323" s="27"/>
      <c r="AZ323" s="27"/>
      <c r="BA323" s="27"/>
      <c r="BB323" s="27"/>
      <c r="BC323" s="27"/>
      <c r="BD323" s="27"/>
      <c r="BE323" s="27"/>
      <c r="BF323" s="27"/>
      <c r="BG323" s="27"/>
      <c r="BH323" s="27"/>
      <c r="BI323" s="27"/>
      <c r="BJ323" s="27"/>
      <c r="BK323" s="27"/>
      <c r="BL323" s="27"/>
      <c r="BM323" s="27"/>
      <c r="BN323" s="27"/>
      <c r="BO323" s="27"/>
      <c r="BP323" s="27"/>
      <c r="BQ323" s="27"/>
      <c r="BR323" s="27"/>
      <c r="BS323" s="27"/>
      <c r="BT323" s="27"/>
      <c r="BU323" s="27"/>
      <c r="BV323" s="27"/>
      <c r="BW323" s="27"/>
      <c r="BX323" s="27"/>
      <c r="BY323" s="27"/>
      <c r="BZ323" s="27"/>
      <c r="CA323" s="27"/>
      <c r="CB323" s="27"/>
      <c r="CC323" s="27"/>
      <c r="CD323" s="27"/>
      <c r="CE323" s="27"/>
      <c r="CF323" s="27"/>
      <c r="CG323" s="27"/>
      <c r="CH323" s="27"/>
      <c r="CI323" s="27"/>
      <c r="CJ323" s="27"/>
      <c r="CK323" s="27"/>
      <c r="CL323" s="27"/>
      <c r="CM323" s="27"/>
      <c r="CN323" s="27"/>
      <c r="CO323" s="27"/>
      <c r="CP323" s="27"/>
      <c r="CQ323" s="27"/>
      <c r="CR323" s="27"/>
      <c r="CS323" s="27"/>
      <c r="CT323" s="27"/>
      <c r="CU323" s="27"/>
      <c r="CV323" s="27"/>
      <c r="CW323" s="27"/>
      <c r="CX323" s="27"/>
      <c r="CY323" s="27"/>
      <c r="CZ323" s="27"/>
      <c r="DA323" s="27"/>
      <c r="DB323" s="27"/>
      <c r="DC323" s="27"/>
      <c r="DD323" s="27"/>
      <c r="DE323" s="27"/>
      <c r="DF323" s="27"/>
      <c r="DG323" s="27"/>
      <c r="DH323" s="27"/>
      <c r="DI323" s="27"/>
      <c r="DJ323" s="27"/>
      <c r="DK323" s="27"/>
      <c r="DL323" s="27"/>
      <c r="DM323" s="27"/>
      <c r="DN323" s="27"/>
      <c r="DO323" s="27"/>
      <c r="DP323" s="27"/>
      <c r="DQ323" s="27"/>
      <c r="DR323" s="27"/>
      <c r="DS323" s="27"/>
      <c r="DT323" s="27"/>
    </row>
    <row r="324" spans="2:124" x14ac:dyDescent="0.2">
      <c r="B324" s="27"/>
      <c r="C324" s="27"/>
      <c r="D324" s="27"/>
      <c r="E324" s="27"/>
      <c r="F324" s="27"/>
      <c r="G324" s="27"/>
      <c r="H324" s="27"/>
      <c r="I324" s="27"/>
      <c r="J324" s="27"/>
      <c r="K324" s="27"/>
      <c r="L324" s="27"/>
      <c r="M324" s="27"/>
      <c r="N324" s="27"/>
      <c r="O324" s="27"/>
      <c r="P324" s="27"/>
      <c r="Q324" s="27"/>
      <c r="R324" s="27"/>
      <c r="S324" s="27"/>
      <c r="T324" s="27"/>
      <c r="U324" s="27"/>
      <c r="V324" s="27"/>
      <c r="W324" s="27"/>
      <c r="X324" s="27"/>
      <c r="Y324" s="27"/>
      <c r="Z324" s="27"/>
      <c r="AA324" s="27"/>
      <c r="AB324" s="27"/>
      <c r="AC324" s="27"/>
      <c r="AD324" s="27"/>
      <c r="AE324" s="27"/>
      <c r="AF324" s="27"/>
      <c r="AG324" s="27"/>
      <c r="AH324" s="27"/>
      <c r="AI324" s="27"/>
      <c r="AJ324" s="27"/>
      <c r="AK324" s="27"/>
      <c r="AL324" s="27"/>
      <c r="AM324" s="27"/>
      <c r="AN324" s="27"/>
      <c r="AO324" s="27"/>
      <c r="AP324" s="27"/>
      <c r="AQ324" s="27"/>
      <c r="AR324" s="27"/>
      <c r="AS324" s="27"/>
      <c r="AT324" s="27"/>
      <c r="AU324" s="27"/>
      <c r="AV324" s="27"/>
      <c r="AW324" s="27"/>
      <c r="AX324" s="27"/>
      <c r="AY324" s="27"/>
      <c r="AZ324" s="27"/>
      <c r="BA324" s="27"/>
      <c r="BB324" s="27"/>
      <c r="BC324" s="27"/>
      <c r="BD324" s="27"/>
      <c r="BE324" s="27"/>
      <c r="BF324" s="27"/>
      <c r="BG324" s="27"/>
      <c r="BH324" s="27"/>
      <c r="BI324" s="27"/>
      <c r="BJ324" s="27"/>
      <c r="BK324" s="27"/>
      <c r="BL324" s="27"/>
      <c r="BM324" s="27"/>
      <c r="BN324" s="27"/>
      <c r="BO324" s="27"/>
      <c r="BP324" s="27"/>
      <c r="BQ324" s="27"/>
      <c r="BR324" s="27"/>
      <c r="BS324" s="27"/>
      <c r="BT324" s="27"/>
      <c r="BU324" s="27"/>
      <c r="BV324" s="27"/>
      <c r="BW324" s="27"/>
      <c r="BX324" s="27"/>
      <c r="BY324" s="27"/>
      <c r="BZ324" s="27"/>
      <c r="CA324" s="27"/>
      <c r="CB324" s="27"/>
      <c r="CC324" s="27"/>
      <c r="CD324" s="27"/>
      <c r="CE324" s="27"/>
      <c r="CF324" s="27"/>
      <c r="CG324" s="27"/>
      <c r="CH324" s="27"/>
      <c r="CI324" s="27"/>
      <c r="CJ324" s="27"/>
      <c r="CK324" s="27"/>
      <c r="CL324" s="27"/>
      <c r="CM324" s="27"/>
      <c r="CN324" s="27"/>
      <c r="CO324" s="27"/>
      <c r="CP324" s="27"/>
      <c r="CQ324" s="27"/>
      <c r="CR324" s="27"/>
      <c r="CS324" s="27"/>
      <c r="CT324" s="27"/>
      <c r="CU324" s="27"/>
      <c r="CV324" s="27"/>
      <c r="CW324" s="27"/>
      <c r="CX324" s="27"/>
      <c r="CY324" s="27"/>
      <c r="CZ324" s="27"/>
      <c r="DA324" s="27"/>
      <c r="DB324" s="27"/>
      <c r="DC324" s="27"/>
      <c r="DD324" s="27"/>
      <c r="DE324" s="27"/>
      <c r="DF324" s="27"/>
      <c r="DG324" s="27"/>
      <c r="DH324" s="27"/>
      <c r="DI324" s="27"/>
      <c r="DJ324" s="27"/>
      <c r="DK324" s="27"/>
      <c r="DL324" s="27"/>
      <c r="DM324" s="27"/>
      <c r="DN324" s="27"/>
      <c r="DO324" s="27"/>
      <c r="DP324" s="27"/>
      <c r="DQ324" s="27"/>
      <c r="DR324" s="27"/>
      <c r="DS324" s="27"/>
      <c r="DT324" s="27"/>
    </row>
    <row r="325" spans="2:124" x14ac:dyDescent="0.2">
      <c r="B325" s="27"/>
      <c r="C325" s="27"/>
      <c r="D325" s="27"/>
      <c r="E325" s="27"/>
      <c r="F325" s="27"/>
      <c r="G325" s="27"/>
      <c r="H325" s="27"/>
      <c r="I325" s="27"/>
      <c r="J325" s="27"/>
      <c r="K325" s="27"/>
      <c r="L325" s="27"/>
      <c r="M325" s="27"/>
      <c r="N325" s="27"/>
      <c r="O325" s="27"/>
      <c r="P325" s="27"/>
      <c r="Q325" s="27"/>
      <c r="R325" s="27"/>
      <c r="S325" s="27"/>
      <c r="T325" s="27"/>
      <c r="U325" s="27"/>
      <c r="V325" s="27"/>
      <c r="W325" s="27"/>
      <c r="X325" s="27"/>
      <c r="Y325" s="27"/>
      <c r="Z325" s="27"/>
      <c r="AA325" s="27"/>
      <c r="AB325" s="27"/>
      <c r="AC325" s="27"/>
      <c r="AD325" s="27"/>
      <c r="AE325" s="27"/>
      <c r="AF325" s="27"/>
      <c r="AG325" s="27"/>
      <c r="AH325" s="27"/>
      <c r="AI325" s="27"/>
      <c r="AJ325" s="27"/>
      <c r="AK325" s="27"/>
      <c r="AL325" s="27"/>
      <c r="AM325" s="27"/>
      <c r="AN325" s="27"/>
      <c r="AO325" s="27"/>
      <c r="AP325" s="27"/>
      <c r="AQ325" s="27"/>
      <c r="AR325" s="27"/>
      <c r="AS325" s="27"/>
      <c r="AT325" s="27"/>
      <c r="AU325" s="27"/>
      <c r="AV325" s="27"/>
      <c r="AW325" s="27"/>
      <c r="AX325" s="27"/>
      <c r="AY325" s="27"/>
      <c r="AZ325" s="27"/>
      <c r="BA325" s="27"/>
      <c r="BB325" s="27"/>
      <c r="BC325" s="27"/>
      <c r="BD325" s="27"/>
      <c r="BE325" s="27"/>
      <c r="BF325" s="27"/>
      <c r="BG325" s="27"/>
      <c r="BH325" s="27"/>
      <c r="BI325" s="27"/>
      <c r="BJ325" s="27"/>
      <c r="BK325" s="27"/>
      <c r="BL325" s="27"/>
      <c r="BM325" s="27"/>
      <c r="BN325" s="27"/>
      <c r="BO325" s="27"/>
      <c r="BP325" s="27"/>
      <c r="BQ325" s="27"/>
      <c r="BR325" s="27"/>
      <c r="BS325" s="27"/>
      <c r="BT325" s="27"/>
      <c r="BU325" s="27"/>
      <c r="BV325" s="27"/>
      <c r="BW325" s="27"/>
      <c r="BX325" s="27"/>
      <c r="BY325" s="27"/>
      <c r="BZ325" s="27"/>
      <c r="CA325" s="27"/>
      <c r="CB325" s="27"/>
      <c r="CC325" s="27"/>
      <c r="CD325" s="27"/>
      <c r="CE325" s="27"/>
      <c r="CF325" s="27"/>
      <c r="CG325" s="27"/>
      <c r="CH325" s="27"/>
      <c r="CI325" s="27"/>
      <c r="CJ325" s="27"/>
      <c r="CK325" s="27"/>
      <c r="CL325" s="27"/>
      <c r="CM325" s="27"/>
      <c r="CN325" s="27"/>
      <c r="CO325" s="27"/>
      <c r="CP325" s="27"/>
      <c r="CQ325" s="27"/>
      <c r="CR325" s="27"/>
      <c r="CS325" s="27"/>
      <c r="CT325" s="27"/>
      <c r="CU325" s="27"/>
      <c r="CV325" s="27"/>
      <c r="CW325" s="27"/>
      <c r="CX325" s="27"/>
      <c r="CY325" s="27"/>
      <c r="CZ325" s="27"/>
      <c r="DA325" s="27"/>
      <c r="DB325" s="27"/>
      <c r="DC325" s="27"/>
      <c r="DD325" s="27"/>
      <c r="DE325" s="27"/>
      <c r="DF325" s="27"/>
      <c r="DG325" s="27"/>
      <c r="DH325" s="27"/>
      <c r="DI325" s="27"/>
      <c r="DJ325" s="27"/>
      <c r="DK325" s="27"/>
      <c r="DL325" s="27"/>
      <c r="DM325" s="27"/>
      <c r="DN325" s="27"/>
      <c r="DO325" s="27"/>
      <c r="DP325" s="27"/>
      <c r="DQ325" s="27"/>
      <c r="DR325" s="27"/>
      <c r="DS325" s="27"/>
      <c r="DT325" s="27"/>
    </row>
    <row r="326" spans="2:124" x14ac:dyDescent="0.2">
      <c r="B326" s="27"/>
      <c r="C326" s="27"/>
      <c r="D326" s="27"/>
      <c r="E326" s="27"/>
      <c r="F326" s="27"/>
      <c r="G326" s="27"/>
      <c r="H326" s="27"/>
      <c r="I326" s="27"/>
      <c r="J326" s="27"/>
      <c r="K326" s="27"/>
      <c r="L326" s="27"/>
      <c r="M326" s="27"/>
      <c r="N326" s="27"/>
      <c r="O326" s="27"/>
      <c r="P326" s="27"/>
      <c r="Q326" s="27"/>
      <c r="R326" s="27"/>
      <c r="S326" s="27"/>
      <c r="T326" s="27"/>
      <c r="U326" s="27"/>
      <c r="V326" s="27"/>
      <c r="W326" s="27"/>
      <c r="X326" s="27"/>
      <c r="Y326" s="27"/>
      <c r="Z326" s="27"/>
      <c r="AA326" s="27"/>
      <c r="AB326" s="27"/>
      <c r="AC326" s="27"/>
      <c r="AD326" s="27"/>
      <c r="AE326" s="27"/>
      <c r="AF326" s="27"/>
      <c r="AG326" s="27"/>
      <c r="AH326" s="27"/>
      <c r="AI326" s="27"/>
      <c r="AJ326" s="27"/>
      <c r="AK326" s="27"/>
      <c r="AL326" s="27"/>
      <c r="AM326" s="27"/>
      <c r="AN326" s="27"/>
      <c r="AO326" s="27"/>
      <c r="AP326" s="27"/>
      <c r="AQ326" s="27"/>
      <c r="AR326" s="27"/>
      <c r="AS326" s="27"/>
      <c r="AT326" s="27"/>
      <c r="AU326" s="27"/>
      <c r="AV326" s="27"/>
      <c r="AW326" s="27"/>
      <c r="AX326" s="27"/>
      <c r="AY326" s="27"/>
      <c r="AZ326" s="27"/>
      <c r="BA326" s="27"/>
      <c r="BB326" s="27"/>
      <c r="BC326" s="27"/>
      <c r="BD326" s="27"/>
      <c r="BE326" s="27"/>
      <c r="BF326" s="27"/>
      <c r="BG326" s="27"/>
      <c r="BH326" s="27"/>
      <c r="BI326" s="27"/>
      <c r="BJ326" s="27"/>
      <c r="BK326" s="27"/>
      <c r="BL326" s="27"/>
      <c r="BM326" s="27"/>
      <c r="BN326" s="27"/>
      <c r="BO326" s="27"/>
      <c r="BP326" s="27"/>
      <c r="BQ326" s="27"/>
      <c r="BR326" s="27"/>
      <c r="BS326" s="27"/>
      <c r="BT326" s="27"/>
      <c r="BU326" s="27"/>
      <c r="BV326" s="27"/>
      <c r="BW326" s="27"/>
      <c r="BX326" s="27"/>
      <c r="BY326" s="27"/>
      <c r="BZ326" s="27"/>
      <c r="CA326" s="27"/>
      <c r="CB326" s="27"/>
      <c r="CC326" s="27"/>
      <c r="CD326" s="27"/>
      <c r="CE326" s="27"/>
      <c r="CF326" s="27"/>
      <c r="CG326" s="27"/>
      <c r="CH326" s="27"/>
      <c r="CI326" s="27"/>
      <c r="CJ326" s="27"/>
      <c r="CK326" s="27"/>
      <c r="CL326" s="27"/>
      <c r="CM326" s="27"/>
      <c r="CN326" s="27"/>
      <c r="CO326" s="27"/>
      <c r="CP326" s="27"/>
      <c r="CQ326" s="27"/>
      <c r="CR326" s="27"/>
      <c r="CS326" s="27"/>
      <c r="CT326" s="27"/>
      <c r="CU326" s="27"/>
      <c r="CV326" s="27"/>
      <c r="CW326" s="27"/>
      <c r="CX326" s="27"/>
      <c r="CY326" s="27"/>
      <c r="CZ326" s="27"/>
      <c r="DA326" s="27"/>
      <c r="DB326" s="27"/>
      <c r="DC326" s="27"/>
      <c r="DD326" s="27"/>
      <c r="DE326" s="27"/>
      <c r="DF326" s="27"/>
      <c r="DG326" s="27"/>
      <c r="DH326" s="27"/>
      <c r="DI326" s="27"/>
      <c r="DJ326" s="27"/>
      <c r="DK326" s="27"/>
      <c r="DL326" s="27"/>
      <c r="DM326" s="27"/>
      <c r="DN326" s="27"/>
      <c r="DO326" s="27"/>
      <c r="DP326" s="27"/>
      <c r="DQ326" s="27"/>
      <c r="DR326" s="27"/>
      <c r="DS326" s="27"/>
      <c r="DT326" s="27"/>
    </row>
    <row r="327" spans="2:124" x14ac:dyDescent="0.2">
      <c r="B327" s="27"/>
      <c r="C327" s="27"/>
      <c r="D327" s="27"/>
      <c r="E327" s="27"/>
      <c r="F327" s="27"/>
      <c r="G327" s="27"/>
      <c r="H327" s="27"/>
      <c r="I327" s="27"/>
      <c r="J327" s="27"/>
      <c r="K327" s="27"/>
      <c r="L327" s="27"/>
      <c r="M327" s="27"/>
      <c r="N327" s="27"/>
      <c r="O327" s="27"/>
      <c r="P327" s="27"/>
      <c r="Q327" s="27"/>
      <c r="R327" s="27"/>
      <c r="S327" s="27"/>
      <c r="T327" s="27"/>
      <c r="U327" s="27"/>
      <c r="V327" s="27"/>
      <c r="W327" s="27"/>
      <c r="X327" s="27"/>
      <c r="Y327" s="27"/>
      <c r="Z327" s="27"/>
      <c r="AA327" s="27"/>
      <c r="AB327" s="27"/>
      <c r="AC327" s="27"/>
      <c r="AD327" s="27"/>
      <c r="AE327" s="27"/>
      <c r="AF327" s="27"/>
      <c r="AG327" s="27"/>
      <c r="AH327" s="27"/>
      <c r="AI327" s="27"/>
      <c r="AJ327" s="27"/>
      <c r="AK327" s="27"/>
      <c r="AL327" s="27"/>
      <c r="AM327" s="27"/>
      <c r="AN327" s="27"/>
      <c r="AO327" s="27"/>
      <c r="AP327" s="27"/>
      <c r="AQ327" s="27"/>
      <c r="AR327" s="27"/>
      <c r="AS327" s="27"/>
      <c r="AT327" s="27"/>
      <c r="AU327" s="27"/>
      <c r="AV327" s="27"/>
      <c r="AW327" s="27"/>
      <c r="AX327" s="27"/>
      <c r="AY327" s="27"/>
      <c r="AZ327" s="27"/>
      <c r="BA327" s="27"/>
      <c r="BB327" s="27"/>
      <c r="BC327" s="27"/>
      <c r="BD327" s="27"/>
      <c r="BE327" s="27"/>
      <c r="BF327" s="27"/>
      <c r="BG327" s="27"/>
      <c r="BH327" s="27"/>
      <c r="BI327" s="27"/>
      <c r="BJ327" s="27"/>
      <c r="BK327" s="27"/>
      <c r="BL327" s="27"/>
      <c r="BM327" s="27"/>
      <c r="BN327" s="27"/>
      <c r="BO327" s="27"/>
      <c r="BP327" s="27"/>
      <c r="BQ327" s="27"/>
      <c r="BR327" s="27"/>
      <c r="BS327" s="27"/>
      <c r="BT327" s="27"/>
      <c r="BU327" s="27"/>
      <c r="BV327" s="27"/>
      <c r="BW327" s="27"/>
      <c r="BX327" s="27"/>
      <c r="BY327" s="27"/>
      <c r="BZ327" s="27"/>
      <c r="CA327" s="27"/>
      <c r="CB327" s="27"/>
      <c r="CC327" s="27"/>
      <c r="CD327" s="27"/>
      <c r="CE327" s="27"/>
      <c r="CF327" s="27"/>
      <c r="CG327" s="27"/>
      <c r="CH327" s="27"/>
      <c r="CI327" s="27"/>
      <c r="CJ327" s="27"/>
      <c r="CK327" s="27"/>
      <c r="CL327" s="27"/>
      <c r="CM327" s="27"/>
      <c r="CN327" s="27"/>
      <c r="CO327" s="27"/>
      <c r="CP327" s="27"/>
      <c r="CQ327" s="27"/>
      <c r="CR327" s="27"/>
      <c r="CS327" s="27"/>
      <c r="CT327" s="27"/>
      <c r="CU327" s="27"/>
      <c r="CV327" s="27"/>
      <c r="CW327" s="27"/>
      <c r="CX327" s="27"/>
      <c r="CY327" s="27"/>
      <c r="CZ327" s="27"/>
      <c r="DA327" s="27"/>
      <c r="DB327" s="27"/>
      <c r="DC327" s="27"/>
      <c r="DD327" s="27"/>
      <c r="DE327" s="27"/>
      <c r="DF327" s="27"/>
      <c r="DG327" s="27"/>
      <c r="DH327" s="27"/>
      <c r="DI327" s="27"/>
      <c r="DJ327" s="27"/>
      <c r="DK327" s="27"/>
      <c r="DL327" s="27"/>
      <c r="DM327" s="27"/>
      <c r="DN327" s="27"/>
      <c r="DO327" s="27"/>
      <c r="DP327" s="27"/>
      <c r="DQ327" s="27"/>
      <c r="DR327" s="27"/>
      <c r="DS327" s="27"/>
      <c r="DT327" s="27"/>
    </row>
    <row r="328" spans="2:124" x14ac:dyDescent="0.2">
      <c r="B328" s="27"/>
      <c r="C328" s="27"/>
      <c r="D328" s="27"/>
      <c r="E328" s="27"/>
      <c r="F328" s="27"/>
      <c r="G328" s="27"/>
      <c r="H328" s="27"/>
      <c r="I328" s="27"/>
      <c r="J328" s="27"/>
      <c r="K328" s="27"/>
      <c r="L328" s="27"/>
      <c r="M328" s="27"/>
      <c r="N328" s="27"/>
      <c r="O328" s="27"/>
      <c r="P328" s="27"/>
      <c r="Q328" s="27"/>
      <c r="R328" s="27"/>
      <c r="S328" s="27"/>
      <c r="T328" s="27"/>
      <c r="U328" s="27"/>
      <c r="V328" s="27"/>
      <c r="W328" s="27"/>
      <c r="X328" s="27"/>
      <c r="Y328" s="27"/>
      <c r="Z328" s="27"/>
      <c r="AA328" s="27"/>
      <c r="AB328" s="27"/>
      <c r="AC328" s="27"/>
      <c r="AD328" s="27"/>
      <c r="AE328" s="27"/>
      <c r="AF328" s="27"/>
      <c r="AG328" s="27"/>
      <c r="AH328" s="27"/>
      <c r="AI328" s="27"/>
      <c r="AJ328" s="27"/>
      <c r="AK328" s="27"/>
      <c r="AL328" s="27"/>
      <c r="AM328" s="27"/>
      <c r="AN328" s="27"/>
      <c r="AO328" s="27"/>
      <c r="AP328" s="27"/>
      <c r="AQ328" s="27"/>
      <c r="AR328" s="27"/>
      <c r="AS328" s="27"/>
      <c r="AT328" s="27"/>
      <c r="AU328" s="27"/>
      <c r="AV328" s="27"/>
      <c r="AW328" s="27"/>
      <c r="AX328" s="27"/>
      <c r="AY328" s="27"/>
      <c r="AZ328" s="27"/>
      <c r="BA328" s="27"/>
      <c r="BB328" s="27"/>
      <c r="BC328" s="27"/>
      <c r="BD328" s="27"/>
      <c r="BE328" s="27"/>
      <c r="BF328" s="27"/>
      <c r="BG328" s="27"/>
      <c r="BH328" s="27"/>
      <c r="BI328" s="27"/>
      <c r="BJ328" s="27"/>
      <c r="BK328" s="27"/>
      <c r="BL328" s="27"/>
      <c r="BM328" s="27"/>
      <c r="BN328" s="27"/>
      <c r="BO328" s="27"/>
      <c r="BP328" s="27"/>
      <c r="BQ328" s="27"/>
      <c r="BR328" s="27"/>
      <c r="BS328" s="27"/>
      <c r="BT328" s="27"/>
      <c r="BU328" s="27"/>
      <c r="BV328" s="27"/>
      <c r="BW328" s="27"/>
      <c r="BX328" s="27"/>
      <c r="BY328" s="27"/>
      <c r="BZ328" s="27"/>
      <c r="CA328" s="27"/>
      <c r="CB328" s="27"/>
      <c r="CC328" s="27"/>
      <c r="CD328" s="27"/>
      <c r="CE328" s="27"/>
      <c r="CF328" s="27"/>
      <c r="CG328" s="27"/>
      <c r="CH328" s="27"/>
      <c r="CI328" s="27"/>
      <c r="CJ328" s="27"/>
      <c r="CK328" s="27"/>
      <c r="CL328" s="27"/>
      <c r="CM328" s="27"/>
      <c r="CN328" s="27"/>
      <c r="CO328" s="27"/>
      <c r="CP328" s="27"/>
      <c r="CQ328" s="27"/>
      <c r="CR328" s="27"/>
      <c r="CS328" s="27"/>
      <c r="CT328" s="27"/>
      <c r="CU328" s="27"/>
      <c r="CV328" s="27"/>
      <c r="CW328" s="27"/>
      <c r="CX328" s="27"/>
      <c r="CY328" s="27"/>
      <c r="CZ328" s="27"/>
      <c r="DA328" s="27"/>
      <c r="DB328" s="27"/>
      <c r="DC328" s="27"/>
      <c r="DD328" s="27"/>
      <c r="DE328" s="27"/>
      <c r="DF328" s="27"/>
      <c r="DG328" s="27"/>
      <c r="DH328" s="27"/>
      <c r="DI328" s="27"/>
      <c r="DJ328" s="27"/>
      <c r="DK328" s="27"/>
      <c r="DL328" s="27"/>
      <c r="DM328" s="27"/>
      <c r="DN328" s="27"/>
      <c r="DO328" s="27"/>
      <c r="DP328" s="27"/>
      <c r="DQ328" s="27"/>
      <c r="DR328" s="27"/>
      <c r="DS328" s="27"/>
      <c r="DT328" s="27"/>
    </row>
    <row r="329" spans="2:124" x14ac:dyDescent="0.2">
      <c r="B329" s="27"/>
      <c r="C329" s="27"/>
      <c r="D329" s="27"/>
      <c r="E329" s="27"/>
      <c r="F329" s="27"/>
      <c r="G329" s="27"/>
      <c r="H329" s="27"/>
      <c r="I329" s="27"/>
      <c r="J329" s="27"/>
      <c r="K329" s="27"/>
      <c r="L329" s="27"/>
      <c r="M329" s="27"/>
      <c r="N329" s="27"/>
      <c r="O329" s="27"/>
      <c r="P329" s="27"/>
      <c r="Q329" s="27"/>
      <c r="R329" s="27"/>
      <c r="S329" s="27"/>
      <c r="T329" s="27"/>
      <c r="U329" s="27"/>
      <c r="V329" s="27"/>
      <c r="W329" s="27"/>
      <c r="X329" s="27"/>
      <c r="Y329" s="27"/>
      <c r="Z329" s="27"/>
      <c r="AA329" s="27"/>
      <c r="AB329" s="27"/>
      <c r="AC329" s="27"/>
      <c r="AD329" s="27"/>
      <c r="AE329" s="27"/>
      <c r="AF329" s="27"/>
      <c r="AG329" s="27"/>
      <c r="AH329" s="27"/>
      <c r="AI329" s="27"/>
      <c r="AJ329" s="27"/>
      <c r="AK329" s="27"/>
      <c r="AL329" s="27"/>
      <c r="AM329" s="27"/>
      <c r="AN329" s="27"/>
      <c r="AO329" s="27"/>
      <c r="AP329" s="27"/>
      <c r="AQ329" s="27"/>
      <c r="AR329" s="27"/>
      <c r="AS329" s="27"/>
      <c r="AT329" s="27"/>
      <c r="AU329" s="27"/>
      <c r="AV329" s="27"/>
      <c r="AW329" s="27"/>
      <c r="AX329" s="27"/>
      <c r="AY329" s="27"/>
      <c r="AZ329" s="27"/>
      <c r="BA329" s="27"/>
      <c r="BB329" s="27"/>
      <c r="BC329" s="27"/>
      <c r="BD329" s="27"/>
      <c r="BE329" s="27"/>
      <c r="BF329" s="27"/>
      <c r="BG329" s="27"/>
      <c r="BH329" s="27"/>
      <c r="BI329" s="27"/>
      <c r="BJ329" s="27"/>
      <c r="BK329" s="27"/>
      <c r="BL329" s="27"/>
      <c r="BM329" s="27"/>
      <c r="BN329" s="27"/>
      <c r="BO329" s="27"/>
      <c r="BP329" s="27"/>
      <c r="BQ329" s="27"/>
      <c r="BR329" s="27"/>
      <c r="BS329" s="27"/>
      <c r="BT329" s="27"/>
      <c r="BU329" s="27"/>
      <c r="BV329" s="27"/>
      <c r="BW329" s="27"/>
      <c r="BX329" s="27"/>
      <c r="BY329" s="27"/>
      <c r="BZ329" s="27"/>
      <c r="CA329" s="27"/>
      <c r="CB329" s="27"/>
      <c r="CC329" s="27"/>
      <c r="CD329" s="27"/>
      <c r="CE329" s="27"/>
      <c r="CF329" s="27"/>
      <c r="CG329" s="27"/>
      <c r="CH329" s="27"/>
      <c r="CI329" s="27"/>
      <c r="CJ329" s="27"/>
      <c r="CK329" s="27"/>
      <c r="CL329" s="27"/>
      <c r="CM329" s="27"/>
      <c r="CN329" s="27"/>
      <c r="CO329" s="27"/>
      <c r="CP329" s="27"/>
      <c r="CQ329" s="27"/>
      <c r="CR329" s="27"/>
      <c r="CS329" s="27"/>
      <c r="CT329" s="27"/>
      <c r="CU329" s="27"/>
      <c r="CV329" s="27"/>
      <c r="CW329" s="27"/>
      <c r="CX329" s="27"/>
      <c r="CY329" s="27"/>
      <c r="CZ329" s="27"/>
      <c r="DA329" s="27"/>
      <c r="DB329" s="27"/>
      <c r="DC329" s="27"/>
      <c r="DD329" s="27"/>
      <c r="DE329" s="27"/>
      <c r="DF329" s="27"/>
      <c r="DG329" s="27"/>
      <c r="DH329" s="27"/>
      <c r="DI329" s="27"/>
      <c r="DJ329" s="27"/>
      <c r="DK329" s="27"/>
      <c r="DL329" s="27"/>
      <c r="DM329" s="27"/>
      <c r="DN329" s="27"/>
      <c r="DO329" s="27"/>
      <c r="DP329" s="27"/>
      <c r="DQ329" s="27"/>
      <c r="DR329" s="27"/>
      <c r="DS329" s="27"/>
      <c r="DT329" s="27"/>
    </row>
    <row r="330" spans="2:124" x14ac:dyDescent="0.2">
      <c r="B330" s="27"/>
      <c r="C330" s="27"/>
      <c r="D330" s="27"/>
      <c r="E330" s="27"/>
      <c r="F330" s="27"/>
      <c r="G330" s="27"/>
      <c r="H330" s="27"/>
      <c r="I330" s="27"/>
      <c r="J330" s="27"/>
      <c r="K330" s="27"/>
      <c r="L330" s="27"/>
      <c r="M330" s="27"/>
      <c r="N330" s="27"/>
      <c r="O330" s="27"/>
      <c r="P330" s="27"/>
      <c r="Q330" s="27"/>
      <c r="R330" s="27"/>
      <c r="S330" s="27"/>
      <c r="T330" s="27"/>
      <c r="U330" s="27"/>
      <c r="V330" s="27"/>
      <c r="W330" s="27"/>
      <c r="X330" s="27"/>
      <c r="Y330" s="27"/>
      <c r="Z330" s="27"/>
      <c r="AA330" s="27"/>
      <c r="AB330" s="27"/>
      <c r="AC330" s="27"/>
      <c r="AD330" s="27"/>
      <c r="AE330" s="27"/>
      <c r="AF330" s="27"/>
      <c r="AG330" s="27"/>
      <c r="AH330" s="27"/>
      <c r="AI330" s="27"/>
      <c r="AJ330" s="27"/>
      <c r="AK330" s="27"/>
      <c r="AL330" s="27"/>
      <c r="AM330" s="27"/>
      <c r="AN330" s="27"/>
      <c r="AO330" s="27"/>
      <c r="AP330" s="27"/>
      <c r="AQ330" s="27"/>
      <c r="AR330" s="27"/>
      <c r="AS330" s="27"/>
      <c r="AT330" s="27"/>
      <c r="AU330" s="27"/>
      <c r="AV330" s="27"/>
      <c r="AW330" s="27"/>
      <c r="AX330" s="27"/>
      <c r="AY330" s="27"/>
      <c r="AZ330" s="27"/>
      <c r="BA330" s="27"/>
      <c r="BB330" s="27"/>
      <c r="BC330" s="27"/>
      <c r="BD330" s="27"/>
      <c r="BE330" s="27"/>
      <c r="BF330" s="27"/>
      <c r="BG330" s="27"/>
      <c r="BH330" s="27"/>
      <c r="BI330" s="27"/>
      <c r="BJ330" s="27"/>
      <c r="BK330" s="27"/>
      <c r="BL330" s="27"/>
      <c r="BM330" s="27"/>
      <c r="BN330" s="27"/>
      <c r="BO330" s="27"/>
      <c r="BP330" s="27"/>
      <c r="BQ330" s="27"/>
      <c r="BR330" s="27"/>
      <c r="BS330" s="27"/>
      <c r="BT330" s="27"/>
      <c r="BU330" s="27"/>
      <c r="BV330" s="27"/>
      <c r="BW330" s="27"/>
      <c r="BX330" s="27"/>
      <c r="BY330" s="27"/>
      <c r="BZ330" s="27"/>
      <c r="CA330" s="27"/>
      <c r="CB330" s="27"/>
      <c r="CC330" s="27"/>
      <c r="CD330" s="27"/>
      <c r="CE330" s="27"/>
      <c r="CF330" s="27"/>
      <c r="CG330" s="27"/>
      <c r="CH330" s="27"/>
      <c r="CI330" s="27"/>
      <c r="CJ330" s="27"/>
      <c r="CK330" s="27"/>
      <c r="CL330" s="27"/>
      <c r="CM330" s="27"/>
      <c r="CN330" s="27"/>
      <c r="CO330" s="27"/>
      <c r="CP330" s="27"/>
      <c r="CQ330" s="27"/>
      <c r="CR330" s="27"/>
      <c r="CS330" s="27"/>
      <c r="CT330" s="27"/>
      <c r="CU330" s="27"/>
      <c r="CV330" s="27"/>
      <c r="CW330" s="27"/>
      <c r="CX330" s="27"/>
      <c r="CY330" s="27"/>
      <c r="CZ330" s="27"/>
      <c r="DA330" s="27"/>
      <c r="DB330" s="27"/>
      <c r="DC330" s="27"/>
      <c r="DD330" s="27"/>
      <c r="DE330" s="27"/>
      <c r="DF330" s="27"/>
      <c r="DG330" s="27"/>
      <c r="DH330" s="27"/>
      <c r="DI330" s="27"/>
      <c r="DJ330" s="27"/>
      <c r="DK330" s="27"/>
      <c r="DL330" s="27"/>
      <c r="DM330" s="27"/>
      <c r="DN330" s="27"/>
      <c r="DO330" s="27"/>
      <c r="DP330" s="27"/>
      <c r="DQ330" s="27"/>
      <c r="DR330" s="27"/>
      <c r="DS330" s="27"/>
      <c r="DT330" s="27"/>
    </row>
    <row r="331" spans="2:124" x14ac:dyDescent="0.2">
      <c r="B331" s="27"/>
      <c r="C331" s="27"/>
      <c r="D331" s="27"/>
      <c r="E331" s="27"/>
      <c r="F331" s="27"/>
      <c r="G331" s="27"/>
      <c r="H331" s="27"/>
      <c r="I331" s="27"/>
      <c r="J331" s="27"/>
      <c r="K331" s="27"/>
      <c r="L331" s="27"/>
      <c r="M331" s="27"/>
      <c r="N331" s="27"/>
      <c r="O331" s="27"/>
      <c r="P331" s="27"/>
      <c r="Q331" s="27"/>
      <c r="R331" s="27"/>
      <c r="S331" s="27"/>
      <c r="T331" s="27"/>
      <c r="U331" s="27"/>
      <c r="V331" s="27"/>
      <c r="W331" s="27"/>
      <c r="X331" s="27"/>
      <c r="Y331" s="27"/>
      <c r="Z331" s="27"/>
      <c r="AA331" s="27"/>
      <c r="AB331" s="27"/>
      <c r="AC331" s="27"/>
      <c r="AD331" s="27"/>
      <c r="AE331" s="27"/>
      <c r="AF331" s="27"/>
      <c r="AG331" s="27"/>
      <c r="AH331" s="27"/>
      <c r="AI331" s="27"/>
      <c r="AJ331" s="27"/>
      <c r="AK331" s="27"/>
      <c r="AL331" s="27"/>
      <c r="AM331" s="27"/>
      <c r="AN331" s="27"/>
      <c r="AO331" s="27"/>
      <c r="AP331" s="27"/>
      <c r="AQ331" s="27"/>
      <c r="AR331" s="27"/>
      <c r="AS331" s="27"/>
      <c r="AT331" s="27"/>
      <c r="AU331" s="27"/>
      <c r="AV331" s="27"/>
      <c r="AW331" s="27"/>
      <c r="AX331" s="27"/>
      <c r="AY331" s="27"/>
      <c r="AZ331" s="27"/>
      <c r="BA331" s="27"/>
      <c r="BB331" s="27"/>
      <c r="BC331" s="27"/>
      <c r="BD331" s="27"/>
      <c r="BE331" s="27"/>
      <c r="BF331" s="27"/>
      <c r="BG331" s="27"/>
      <c r="BH331" s="27"/>
      <c r="BI331" s="27"/>
      <c r="BJ331" s="27"/>
      <c r="BK331" s="27"/>
      <c r="BL331" s="27"/>
      <c r="BM331" s="27"/>
      <c r="BN331" s="27"/>
      <c r="BO331" s="27"/>
      <c r="BP331" s="27"/>
      <c r="BQ331" s="27"/>
      <c r="BR331" s="27"/>
      <c r="BS331" s="27"/>
      <c r="BT331" s="27"/>
      <c r="BU331" s="27"/>
      <c r="BV331" s="27"/>
      <c r="BW331" s="27"/>
      <c r="BX331" s="27"/>
      <c r="BY331" s="27"/>
      <c r="BZ331" s="27"/>
      <c r="CA331" s="27"/>
      <c r="CB331" s="27"/>
      <c r="CC331" s="27"/>
      <c r="CD331" s="27"/>
      <c r="CE331" s="27"/>
      <c r="CF331" s="27"/>
      <c r="CG331" s="27"/>
      <c r="CH331" s="27"/>
      <c r="CI331" s="27"/>
      <c r="CJ331" s="27"/>
      <c r="CK331" s="27"/>
      <c r="CL331" s="27"/>
      <c r="CM331" s="27"/>
      <c r="CN331" s="27"/>
      <c r="CO331" s="27"/>
      <c r="CP331" s="27"/>
      <c r="CQ331" s="27"/>
      <c r="CR331" s="27"/>
      <c r="CS331" s="27"/>
      <c r="CT331" s="27"/>
      <c r="CU331" s="27"/>
      <c r="CV331" s="27"/>
      <c r="CW331" s="27"/>
      <c r="CX331" s="27"/>
      <c r="CY331" s="27"/>
      <c r="CZ331" s="27"/>
      <c r="DA331" s="27"/>
      <c r="DB331" s="27"/>
      <c r="DC331" s="27"/>
      <c r="DD331" s="27"/>
      <c r="DE331" s="27"/>
      <c r="DF331" s="27"/>
      <c r="DG331" s="27"/>
      <c r="DH331" s="27"/>
      <c r="DI331" s="27"/>
      <c r="DJ331" s="27"/>
      <c r="DK331" s="27"/>
      <c r="DL331" s="27"/>
      <c r="DM331" s="27"/>
      <c r="DN331" s="27"/>
      <c r="DO331" s="27"/>
      <c r="DP331" s="27"/>
      <c r="DQ331" s="27"/>
      <c r="DR331" s="27"/>
      <c r="DS331" s="27"/>
      <c r="DT331" s="27"/>
    </row>
    <row r="332" spans="2:124" x14ac:dyDescent="0.2">
      <c r="B332" s="27"/>
      <c r="C332" s="27"/>
      <c r="D332" s="27"/>
      <c r="E332" s="27"/>
      <c r="F332" s="27"/>
      <c r="G332" s="27"/>
      <c r="H332" s="27"/>
      <c r="I332" s="27"/>
      <c r="J332" s="27"/>
      <c r="K332" s="27"/>
      <c r="L332" s="27"/>
      <c r="M332" s="27"/>
      <c r="N332" s="27"/>
      <c r="O332" s="27"/>
      <c r="P332" s="27"/>
      <c r="Q332" s="27"/>
      <c r="R332" s="27"/>
      <c r="S332" s="27"/>
      <c r="T332" s="27"/>
      <c r="U332" s="27"/>
      <c r="V332" s="27"/>
      <c r="W332" s="27"/>
      <c r="X332" s="27"/>
      <c r="Y332" s="27"/>
      <c r="Z332" s="27"/>
      <c r="AA332" s="27"/>
      <c r="AB332" s="27"/>
      <c r="AC332" s="27"/>
      <c r="AD332" s="27"/>
      <c r="AE332" s="27"/>
      <c r="AF332" s="27"/>
      <c r="AG332" s="27"/>
      <c r="AH332" s="27"/>
      <c r="AI332" s="27"/>
      <c r="AJ332" s="27"/>
      <c r="AK332" s="27"/>
      <c r="AL332" s="27"/>
      <c r="AM332" s="27"/>
      <c r="AN332" s="27"/>
      <c r="AO332" s="27"/>
      <c r="AP332" s="27"/>
      <c r="AQ332" s="27"/>
      <c r="AR332" s="27"/>
      <c r="AS332" s="27"/>
      <c r="AT332" s="27"/>
      <c r="AU332" s="27"/>
      <c r="AV332" s="27"/>
      <c r="AW332" s="27"/>
      <c r="AX332" s="27"/>
      <c r="AY332" s="27"/>
      <c r="AZ332" s="27"/>
      <c r="BA332" s="27"/>
      <c r="BB332" s="27"/>
      <c r="BC332" s="27"/>
      <c r="BD332" s="27"/>
      <c r="BE332" s="27"/>
      <c r="BF332" s="27"/>
      <c r="BG332" s="27"/>
      <c r="BH332" s="27"/>
      <c r="BI332" s="27"/>
      <c r="BJ332" s="27"/>
      <c r="BK332" s="27"/>
      <c r="BL332" s="27"/>
      <c r="BM332" s="27"/>
      <c r="BN332" s="27"/>
      <c r="BO332" s="27"/>
      <c r="BP332" s="27"/>
      <c r="BQ332" s="27"/>
      <c r="BR332" s="27"/>
      <c r="BS332" s="27"/>
      <c r="BT332" s="27"/>
      <c r="BU332" s="27"/>
      <c r="BV332" s="27"/>
      <c r="BW332" s="27"/>
      <c r="BX332" s="27"/>
      <c r="BY332" s="27"/>
      <c r="BZ332" s="27"/>
      <c r="CA332" s="27"/>
      <c r="CB332" s="27"/>
      <c r="CC332" s="27"/>
      <c r="CD332" s="27"/>
      <c r="CE332" s="27"/>
      <c r="CF332" s="27"/>
      <c r="CG332" s="27"/>
      <c r="CH332" s="27"/>
      <c r="CI332" s="27"/>
      <c r="CJ332" s="27"/>
      <c r="CK332" s="27"/>
      <c r="CL332" s="27"/>
      <c r="CM332" s="27"/>
      <c r="CN332" s="27"/>
      <c r="CO332" s="27"/>
      <c r="CP332" s="27"/>
      <c r="CQ332" s="27"/>
      <c r="CR332" s="27"/>
      <c r="CS332" s="27"/>
      <c r="CT332" s="27"/>
      <c r="CU332" s="27"/>
      <c r="CV332" s="27"/>
      <c r="CW332" s="27"/>
      <c r="CX332" s="27"/>
      <c r="CY332" s="27"/>
      <c r="CZ332" s="27"/>
      <c r="DA332" s="27"/>
      <c r="DB332" s="27"/>
      <c r="DC332" s="27"/>
      <c r="DD332" s="27"/>
      <c r="DE332" s="27"/>
      <c r="DF332" s="27"/>
      <c r="DG332" s="27"/>
      <c r="DH332" s="27"/>
      <c r="DI332" s="27"/>
      <c r="DJ332" s="27"/>
      <c r="DK332" s="27"/>
      <c r="DL332" s="27"/>
      <c r="DM332" s="27"/>
      <c r="DN332" s="27"/>
      <c r="DO332" s="27"/>
      <c r="DP332" s="27"/>
      <c r="DQ332" s="27"/>
      <c r="DR332" s="27"/>
      <c r="DS332" s="27"/>
      <c r="DT332" s="27"/>
    </row>
    <row r="333" spans="2:124" x14ac:dyDescent="0.2">
      <c r="B333" s="27"/>
      <c r="C333" s="27"/>
      <c r="D333" s="27"/>
      <c r="E333" s="27"/>
      <c r="F333" s="27"/>
      <c r="G333" s="27"/>
      <c r="H333" s="27"/>
      <c r="I333" s="27"/>
      <c r="J333" s="27"/>
      <c r="K333" s="27"/>
      <c r="L333" s="27"/>
      <c r="M333" s="27"/>
      <c r="N333" s="27"/>
      <c r="O333" s="27"/>
      <c r="P333" s="27"/>
      <c r="Q333" s="27"/>
      <c r="R333" s="27"/>
      <c r="S333" s="27"/>
      <c r="T333" s="27"/>
      <c r="U333" s="27"/>
      <c r="V333" s="27"/>
      <c r="W333" s="27"/>
      <c r="X333" s="27"/>
      <c r="Y333" s="27"/>
      <c r="Z333" s="27"/>
      <c r="AA333" s="27"/>
      <c r="AB333" s="27"/>
      <c r="AC333" s="27"/>
      <c r="AD333" s="27"/>
      <c r="AE333" s="27"/>
      <c r="AF333" s="27"/>
      <c r="AG333" s="27"/>
      <c r="AH333" s="27"/>
      <c r="AI333" s="27"/>
      <c r="AJ333" s="27"/>
      <c r="AK333" s="27"/>
      <c r="AL333" s="27"/>
      <c r="AM333" s="27"/>
      <c r="AN333" s="27"/>
      <c r="AO333" s="27"/>
      <c r="AP333" s="27"/>
      <c r="AQ333" s="27"/>
      <c r="AR333" s="27"/>
      <c r="AS333" s="27"/>
      <c r="AT333" s="27"/>
      <c r="AU333" s="27"/>
      <c r="AV333" s="27"/>
      <c r="AW333" s="27"/>
      <c r="AX333" s="27"/>
      <c r="AY333" s="27"/>
      <c r="AZ333" s="27"/>
      <c r="BA333" s="27"/>
      <c r="BB333" s="27"/>
      <c r="BC333" s="27"/>
      <c r="BD333" s="27"/>
      <c r="BE333" s="27"/>
      <c r="BF333" s="27"/>
      <c r="BG333" s="27"/>
      <c r="BH333" s="27"/>
      <c r="BI333" s="27"/>
      <c r="BJ333" s="27"/>
      <c r="BK333" s="27"/>
      <c r="BL333" s="27"/>
      <c r="BM333" s="27"/>
      <c r="BN333" s="27"/>
      <c r="BO333" s="27"/>
      <c r="BP333" s="27"/>
      <c r="BQ333" s="27"/>
      <c r="BR333" s="27"/>
      <c r="BS333" s="27"/>
      <c r="BT333" s="27"/>
      <c r="BU333" s="27"/>
      <c r="BV333" s="27"/>
      <c r="BW333" s="27"/>
      <c r="BX333" s="27"/>
      <c r="BY333" s="27"/>
      <c r="BZ333" s="27"/>
      <c r="CA333" s="27"/>
      <c r="CB333" s="27"/>
      <c r="CC333" s="27"/>
      <c r="CD333" s="27"/>
      <c r="CE333" s="27"/>
      <c r="CF333" s="27"/>
      <c r="CG333" s="27"/>
      <c r="CH333" s="27"/>
      <c r="CI333" s="27"/>
      <c r="CJ333" s="27"/>
      <c r="CK333" s="27"/>
      <c r="CL333" s="27"/>
      <c r="CM333" s="27"/>
      <c r="CN333" s="27"/>
      <c r="CO333" s="27"/>
      <c r="CP333" s="27"/>
      <c r="CQ333" s="27"/>
      <c r="CR333" s="27"/>
      <c r="CS333" s="27"/>
      <c r="CT333" s="27"/>
      <c r="CU333" s="27"/>
      <c r="CV333" s="27"/>
      <c r="CW333" s="27"/>
      <c r="CX333" s="27"/>
      <c r="CY333" s="27"/>
      <c r="CZ333" s="27"/>
      <c r="DA333" s="27"/>
      <c r="DB333" s="27"/>
      <c r="DC333" s="27"/>
      <c r="DD333" s="27"/>
      <c r="DE333" s="27"/>
      <c r="DF333" s="27"/>
      <c r="DG333" s="27"/>
      <c r="DH333" s="27"/>
      <c r="DI333" s="27"/>
      <c r="DJ333" s="27"/>
      <c r="DK333" s="27"/>
      <c r="DL333" s="27"/>
      <c r="DM333" s="27"/>
      <c r="DN333" s="27"/>
      <c r="DO333" s="27"/>
      <c r="DP333" s="27"/>
      <c r="DQ333" s="27"/>
      <c r="DR333" s="27"/>
      <c r="DS333" s="27"/>
      <c r="DT333" s="27"/>
    </row>
    <row r="334" spans="2:124" x14ac:dyDescent="0.2">
      <c r="B334" s="27"/>
      <c r="C334" s="27"/>
      <c r="D334" s="27"/>
      <c r="E334" s="27"/>
      <c r="F334" s="27"/>
      <c r="G334" s="27"/>
      <c r="H334" s="27"/>
      <c r="I334" s="27"/>
      <c r="J334" s="27"/>
      <c r="K334" s="27"/>
      <c r="L334" s="27"/>
      <c r="M334" s="27"/>
      <c r="N334" s="27"/>
      <c r="O334" s="27"/>
      <c r="P334" s="27"/>
      <c r="Q334" s="27"/>
      <c r="R334" s="27"/>
      <c r="S334" s="27"/>
      <c r="T334" s="27"/>
      <c r="U334" s="27"/>
      <c r="V334" s="27"/>
      <c r="W334" s="27"/>
      <c r="X334" s="27"/>
      <c r="Y334" s="27"/>
      <c r="Z334" s="27"/>
      <c r="AA334" s="27"/>
      <c r="AB334" s="27"/>
      <c r="AC334" s="27"/>
      <c r="AD334" s="27"/>
      <c r="AE334" s="27"/>
      <c r="AF334" s="27"/>
      <c r="AG334" s="27"/>
      <c r="AH334" s="27"/>
      <c r="AI334" s="27"/>
      <c r="AJ334" s="27"/>
      <c r="AK334" s="27"/>
      <c r="AL334" s="27"/>
      <c r="AM334" s="27"/>
      <c r="AN334" s="27"/>
      <c r="AO334" s="27"/>
      <c r="AP334" s="27"/>
      <c r="AQ334" s="27"/>
      <c r="AR334" s="27"/>
      <c r="AS334" s="27"/>
      <c r="AT334" s="27"/>
      <c r="AU334" s="27"/>
      <c r="AV334" s="27"/>
      <c r="AW334" s="27"/>
      <c r="AX334" s="27"/>
      <c r="AY334" s="27"/>
      <c r="AZ334" s="27"/>
      <c r="BA334" s="27"/>
      <c r="BB334" s="27"/>
      <c r="BC334" s="27"/>
      <c r="BD334" s="27"/>
      <c r="BE334" s="27"/>
      <c r="BF334" s="27"/>
      <c r="BG334" s="27"/>
      <c r="BH334" s="27"/>
      <c r="BI334" s="27"/>
      <c r="BJ334" s="27"/>
      <c r="BK334" s="27"/>
      <c r="BL334" s="27"/>
      <c r="BM334" s="27"/>
      <c r="BN334" s="27"/>
      <c r="BO334" s="27"/>
      <c r="BP334" s="27"/>
      <c r="BQ334" s="27"/>
      <c r="BR334" s="27"/>
      <c r="BS334" s="27"/>
      <c r="BT334" s="27"/>
      <c r="BU334" s="27"/>
      <c r="BV334" s="27"/>
      <c r="BW334" s="27"/>
      <c r="BX334" s="27"/>
      <c r="BY334" s="27"/>
      <c r="BZ334" s="27"/>
      <c r="CA334" s="27"/>
      <c r="CB334" s="27"/>
      <c r="CC334" s="27"/>
      <c r="CD334" s="27"/>
      <c r="CE334" s="27"/>
      <c r="CF334" s="27"/>
      <c r="CG334" s="27"/>
      <c r="CH334" s="27"/>
      <c r="CI334" s="27"/>
      <c r="CJ334" s="27"/>
      <c r="CK334" s="27"/>
      <c r="CL334" s="27"/>
      <c r="CM334" s="27"/>
      <c r="CN334" s="27"/>
      <c r="CO334" s="27"/>
      <c r="CP334" s="27"/>
      <c r="CQ334" s="27"/>
      <c r="CR334" s="27"/>
      <c r="CS334" s="27"/>
      <c r="CT334" s="27"/>
      <c r="CU334" s="27"/>
      <c r="CV334" s="27"/>
      <c r="CW334" s="27"/>
      <c r="CX334" s="27"/>
      <c r="CY334" s="27"/>
      <c r="CZ334" s="27"/>
      <c r="DA334" s="27"/>
      <c r="DB334" s="27"/>
      <c r="DC334" s="27"/>
      <c r="DD334" s="27"/>
      <c r="DE334" s="27"/>
      <c r="DF334" s="27"/>
      <c r="DG334" s="27"/>
      <c r="DH334" s="27"/>
      <c r="DI334" s="27"/>
      <c r="DJ334" s="27"/>
      <c r="DK334" s="27"/>
      <c r="DL334" s="27"/>
      <c r="DM334" s="27"/>
      <c r="DN334" s="27"/>
      <c r="DO334" s="27"/>
      <c r="DP334" s="27"/>
      <c r="DQ334" s="27"/>
      <c r="DR334" s="27"/>
      <c r="DS334" s="27"/>
      <c r="DT334" s="27"/>
    </row>
    <row r="335" spans="2:124" x14ac:dyDescent="0.2">
      <c r="B335" s="27"/>
      <c r="C335" s="27"/>
      <c r="D335" s="27"/>
      <c r="E335" s="27"/>
      <c r="F335" s="27"/>
      <c r="G335" s="27"/>
      <c r="H335" s="27"/>
      <c r="I335" s="27"/>
      <c r="J335" s="27"/>
      <c r="K335" s="27"/>
      <c r="L335" s="27"/>
      <c r="M335" s="27"/>
      <c r="N335" s="27"/>
      <c r="O335" s="27"/>
      <c r="P335" s="27"/>
      <c r="Q335" s="27"/>
      <c r="R335" s="27"/>
      <c r="S335" s="27"/>
      <c r="T335" s="27"/>
      <c r="U335" s="27"/>
      <c r="V335" s="27"/>
      <c r="W335" s="27"/>
      <c r="X335" s="27"/>
      <c r="Y335" s="27"/>
      <c r="Z335" s="27"/>
      <c r="AA335" s="27"/>
      <c r="AB335" s="27"/>
      <c r="AC335" s="27"/>
      <c r="AD335" s="27"/>
      <c r="AE335" s="27"/>
      <c r="AF335" s="27"/>
      <c r="AG335" s="27"/>
      <c r="AH335" s="27"/>
      <c r="AI335" s="27"/>
      <c r="AJ335" s="27"/>
      <c r="AK335" s="27"/>
      <c r="AL335" s="27"/>
      <c r="AM335" s="27"/>
      <c r="AN335" s="27"/>
      <c r="AO335" s="27"/>
      <c r="AP335" s="27"/>
      <c r="AQ335" s="27"/>
      <c r="AR335" s="27"/>
      <c r="AS335" s="27"/>
      <c r="AT335" s="27"/>
      <c r="AU335" s="27"/>
      <c r="AV335" s="27"/>
      <c r="AW335" s="27"/>
      <c r="AX335" s="27"/>
      <c r="AY335" s="27"/>
      <c r="AZ335" s="27"/>
      <c r="BA335" s="27"/>
      <c r="BB335" s="27"/>
      <c r="BC335" s="27"/>
      <c r="BD335" s="27"/>
      <c r="BE335" s="27"/>
      <c r="BF335" s="27"/>
      <c r="BG335" s="27"/>
      <c r="BH335" s="27"/>
      <c r="BI335" s="27"/>
      <c r="BJ335" s="27"/>
      <c r="BK335" s="27"/>
      <c r="BL335" s="27"/>
      <c r="BM335" s="27"/>
      <c r="BN335" s="27"/>
      <c r="BO335" s="27"/>
      <c r="BP335" s="27"/>
      <c r="BQ335" s="27"/>
      <c r="BR335" s="27"/>
      <c r="BS335" s="27"/>
      <c r="BT335" s="27"/>
      <c r="BU335" s="27"/>
      <c r="BV335" s="27"/>
      <c r="BW335" s="27"/>
      <c r="BX335" s="27"/>
      <c r="BY335" s="27"/>
      <c r="BZ335" s="27"/>
      <c r="CA335" s="27"/>
      <c r="CB335" s="27"/>
      <c r="CC335" s="27"/>
      <c r="CD335" s="27"/>
      <c r="CE335" s="27"/>
      <c r="CF335" s="27"/>
      <c r="CG335" s="27"/>
      <c r="CH335" s="27"/>
      <c r="CI335" s="27"/>
      <c r="CJ335" s="27"/>
      <c r="CK335" s="27"/>
      <c r="CL335" s="27"/>
      <c r="CM335" s="27"/>
      <c r="CN335" s="27"/>
      <c r="CO335" s="27"/>
      <c r="CP335" s="27"/>
      <c r="CQ335" s="27"/>
      <c r="CR335" s="27"/>
      <c r="CS335" s="27"/>
      <c r="CT335" s="27"/>
      <c r="CU335" s="27"/>
      <c r="CV335" s="27"/>
      <c r="CW335" s="27"/>
      <c r="CX335" s="27"/>
      <c r="CY335" s="27"/>
      <c r="CZ335" s="27"/>
      <c r="DA335" s="27"/>
      <c r="DB335" s="27"/>
      <c r="DC335" s="27"/>
      <c r="DD335" s="27"/>
      <c r="DE335" s="27"/>
      <c r="DF335" s="27"/>
      <c r="DG335" s="27"/>
      <c r="DH335" s="27"/>
      <c r="DI335" s="27"/>
      <c r="DJ335" s="27"/>
      <c r="DK335" s="27"/>
      <c r="DL335" s="27"/>
      <c r="DM335" s="27"/>
      <c r="DN335" s="27"/>
      <c r="DO335" s="27"/>
      <c r="DP335" s="27"/>
      <c r="DQ335" s="27"/>
      <c r="DR335" s="27"/>
      <c r="DS335" s="27"/>
      <c r="DT335" s="27"/>
    </row>
    <row r="336" spans="2:124" x14ac:dyDescent="0.2">
      <c r="B336" s="27"/>
      <c r="C336" s="27"/>
      <c r="D336" s="27"/>
      <c r="E336" s="27"/>
      <c r="F336" s="27"/>
      <c r="G336" s="27"/>
      <c r="H336" s="27"/>
      <c r="I336" s="27"/>
      <c r="J336" s="27"/>
      <c r="K336" s="27"/>
      <c r="L336" s="27"/>
      <c r="M336" s="27"/>
      <c r="N336" s="27"/>
      <c r="O336" s="27"/>
      <c r="P336" s="27"/>
      <c r="Q336" s="27"/>
      <c r="R336" s="27"/>
      <c r="S336" s="27"/>
      <c r="T336" s="27"/>
      <c r="U336" s="27"/>
      <c r="V336" s="27"/>
      <c r="W336" s="27"/>
      <c r="X336" s="27"/>
      <c r="Y336" s="27"/>
      <c r="Z336" s="27"/>
      <c r="AA336" s="27"/>
      <c r="AB336" s="27"/>
      <c r="AC336" s="27"/>
      <c r="AD336" s="27"/>
      <c r="AE336" s="27"/>
      <c r="AF336" s="27"/>
      <c r="AG336" s="27"/>
      <c r="AH336" s="27"/>
      <c r="AI336" s="27"/>
      <c r="AJ336" s="27"/>
      <c r="AK336" s="27"/>
      <c r="AL336" s="27"/>
      <c r="AM336" s="27"/>
      <c r="AN336" s="27"/>
      <c r="AO336" s="27"/>
      <c r="AP336" s="27"/>
      <c r="AQ336" s="27"/>
      <c r="AR336" s="27"/>
      <c r="AS336" s="27"/>
      <c r="AT336" s="27"/>
      <c r="AU336" s="27"/>
      <c r="AV336" s="27"/>
      <c r="AW336" s="27"/>
      <c r="AX336" s="27"/>
      <c r="AY336" s="27"/>
      <c r="AZ336" s="27"/>
      <c r="BA336" s="27"/>
      <c r="BB336" s="27"/>
      <c r="BC336" s="27"/>
      <c r="BD336" s="27"/>
      <c r="BE336" s="27"/>
      <c r="BF336" s="27"/>
      <c r="BG336" s="27"/>
      <c r="BH336" s="27"/>
      <c r="BI336" s="27"/>
      <c r="BJ336" s="27"/>
      <c r="BK336" s="27"/>
      <c r="BL336" s="27"/>
      <c r="BM336" s="27"/>
      <c r="BN336" s="27"/>
      <c r="BO336" s="27"/>
      <c r="BP336" s="27"/>
      <c r="BQ336" s="27"/>
      <c r="BR336" s="27"/>
      <c r="BS336" s="27"/>
      <c r="BT336" s="27"/>
      <c r="BU336" s="27"/>
      <c r="BV336" s="27"/>
      <c r="BW336" s="27"/>
      <c r="BX336" s="27"/>
      <c r="BY336" s="27"/>
      <c r="BZ336" s="27"/>
      <c r="CA336" s="27"/>
      <c r="CB336" s="27"/>
      <c r="CC336" s="27"/>
      <c r="CD336" s="27"/>
      <c r="CE336" s="27"/>
      <c r="CF336" s="27"/>
      <c r="CG336" s="27"/>
      <c r="CH336" s="27"/>
      <c r="CI336" s="27"/>
      <c r="CJ336" s="27"/>
      <c r="CK336" s="27"/>
      <c r="CL336" s="27"/>
      <c r="CM336" s="27"/>
      <c r="CN336" s="27"/>
      <c r="CO336" s="27"/>
      <c r="CP336" s="27"/>
      <c r="CQ336" s="27"/>
      <c r="CR336" s="27"/>
      <c r="CS336" s="27"/>
      <c r="CT336" s="27"/>
      <c r="CU336" s="27"/>
      <c r="CV336" s="27"/>
      <c r="CW336" s="27"/>
      <c r="CX336" s="27"/>
      <c r="CY336" s="27"/>
      <c r="CZ336" s="27"/>
      <c r="DA336" s="27"/>
      <c r="DB336" s="27"/>
      <c r="DC336" s="27"/>
      <c r="DD336" s="27"/>
      <c r="DE336" s="27"/>
      <c r="DF336" s="27"/>
      <c r="DG336" s="27"/>
      <c r="DH336" s="27"/>
      <c r="DI336" s="27"/>
      <c r="DJ336" s="27"/>
      <c r="DK336" s="27"/>
      <c r="DL336" s="27"/>
      <c r="DM336" s="27"/>
      <c r="DN336" s="27"/>
      <c r="DO336" s="27"/>
      <c r="DP336" s="27"/>
      <c r="DQ336" s="27"/>
      <c r="DR336" s="27"/>
      <c r="DS336" s="27"/>
      <c r="DT336" s="27"/>
    </row>
    <row r="337" spans="2:124" x14ac:dyDescent="0.2">
      <c r="B337" s="27"/>
      <c r="C337" s="27"/>
      <c r="D337" s="27"/>
      <c r="E337" s="27"/>
      <c r="F337" s="27"/>
      <c r="G337" s="27"/>
      <c r="H337" s="27"/>
      <c r="I337" s="27"/>
      <c r="J337" s="27"/>
      <c r="K337" s="27"/>
      <c r="L337" s="27"/>
      <c r="M337" s="27"/>
      <c r="N337" s="27"/>
      <c r="O337" s="27"/>
      <c r="P337" s="27"/>
      <c r="Q337" s="27"/>
      <c r="R337" s="27"/>
      <c r="S337" s="27"/>
      <c r="T337" s="27"/>
      <c r="U337" s="27"/>
      <c r="V337" s="27"/>
      <c r="W337" s="27"/>
      <c r="X337" s="27"/>
      <c r="Y337" s="27"/>
      <c r="Z337" s="27"/>
      <c r="AA337" s="27"/>
      <c r="AB337" s="27"/>
      <c r="AC337" s="27"/>
      <c r="AD337" s="27"/>
      <c r="AE337" s="27"/>
      <c r="AF337" s="27"/>
      <c r="AG337" s="27"/>
      <c r="AH337" s="27"/>
      <c r="AI337" s="27"/>
      <c r="AJ337" s="27"/>
      <c r="AK337" s="27"/>
      <c r="AL337" s="27"/>
      <c r="AM337" s="27"/>
      <c r="AN337" s="27"/>
      <c r="AO337" s="27"/>
      <c r="AP337" s="27"/>
      <c r="AQ337" s="27"/>
      <c r="AR337" s="27"/>
      <c r="AS337" s="27"/>
      <c r="AT337" s="27"/>
      <c r="AU337" s="27"/>
      <c r="AV337" s="27"/>
      <c r="AW337" s="27"/>
      <c r="AX337" s="27"/>
      <c r="AY337" s="27"/>
      <c r="AZ337" s="27"/>
      <c r="BA337" s="27"/>
      <c r="BB337" s="27"/>
      <c r="BC337" s="27"/>
      <c r="BD337" s="27"/>
      <c r="BE337" s="27"/>
      <c r="BF337" s="27"/>
      <c r="BG337" s="27"/>
      <c r="BH337" s="27"/>
      <c r="BI337" s="27"/>
      <c r="BJ337" s="27"/>
      <c r="BK337" s="27"/>
      <c r="BL337" s="27"/>
      <c r="BM337" s="27"/>
      <c r="BN337" s="27"/>
      <c r="BO337" s="27"/>
      <c r="BP337" s="27"/>
      <c r="BQ337" s="27"/>
      <c r="BR337" s="27"/>
      <c r="BS337" s="27"/>
      <c r="BT337" s="27"/>
      <c r="BU337" s="27"/>
      <c r="BV337" s="27"/>
      <c r="BW337" s="27"/>
      <c r="BX337" s="27"/>
      <c r="BY337" s="27"/>
      <c r="BZ337" s="27"/>
      <c r="CA337" s="27"/>
      <c r="CB337" s="27"/>
      <c r="CC337" s="27"/>
      <c r="CD337" s="27"/>
      <c r="CE337" s="27"/>
      <c r="CF337" s="27"/>
      <c r="CG337" s="27"/>
      <c r="CH337" s="27"/>
      <c r="CI337" s="27"/>
      <c r="CJ337" s="27"/>
      <c r="CK337" s="27"/>
      <c r="CL337" s="27"/>
      <c r="CM337" s="27"/>
      <c r="CN337" s="27"/>
      <c r="CO337" s="27"/>
      <c r="CP337" s="27"/>
      <c r="CQ337" s="27"/>
      <c r="CR337" s="27"/>
      <c r="CS337" s="27"/>
      <c r="CT337" s="27"/>
      <c r="CU337" s="27"/>
      <c r="CV337" s="27"/>
      <c r="CW337" s="27"/>
      <c r="CX337" s="27"/>
      <c r="CY337" s="27"/>
      <c r="CZ337" s="27"/>
      <c r="DA337" s="27"/>
      <c r="DB337" s="27"/>
      <c r="DC337" s="27"/>
      <c r="DD337" s="27"/>
      <c r="DE337" s="27"/>
      <c r="DF337" s="27"/>
      <c r="DG337" s="27"/>
      <c r="DH337" s="27"/>
      <c r="DI337" s="27"/>
      <c r="DJ337" s="27"/>
      <c r="DK337" s="27"/>
      <c r="DL337" s="27"/>
      <c r="DM337" s="27"/>
      <c r="DN337" s="27"/>
      <c r="DO337" s="27"/>
      <c r="DP337" s="27"/>
      <c r="DQ337" s="27"/>
      <c r="DR337" s="27"/>
      <c r="DS337" s="27"/>
      <c r="DT337" s="27"/>
    </row>
    <row r="338" spans="2:124" x14ac:dyDescent="0.2">
      <c r="B338" s="27"/>
      <c r="C338" s="27"/>
      <c r="D338" s="27"/>
      <c r="E338" s="27"/>
      <c r="F338" s="27"/>
      <c r="G338" s="27"/>
      <c r="H338" s="27"/>
      <c r="I338" s="27"/>
      <c r="J338" s="27"/>
      <c r="K338" s="27"/>
      <c r="L338" s="27"/>
      <c r="M338" s="27"/>
      <c r="N338" s="27"/>
      <c r="O338" s="27"/>
      <c r="P338" s="27"/>
      <c r="Q338" s="27"/>
      <c r="R338" s="27"/>
      <c r="S338" s="27"/>
      <c r="T338" s="27"/>
      <c r="U338" s="27"/>
      <c r="V338" s="27"/>
      <c r="W338" s="27"/>
      <c r="X338" s="27"/>
      <c r="Y338" s="27"/>
      <c r="Z338" s="27"/>
      <c r="AA338" s="27"/>
      <c r="AB338" s="27"/>
      <c r="AC338" s="27"/>
      <c r="AD338" s="27"/>
      <c r="AE338" s="27"/>
      <c r="AF338" s="27"/>
      <c r="AG338" s="27"/>
      <c r="AH338" s="27"/>
      <c r="AI338" s="27"/>
      <c r="AJ338" s="27"/>
      <c r="AK338" s="27"/>
      <c r="AL338" s="27"/>
      <c r="AM338" s="27"/>
      <c r="AN338" s="27"/>
      <c r="AO338" s="27"/>
      <c r="AP338" s="27"/>
      <c r="AQ338" s="27"/>
      <c r="AR338" s="27"/>
      <c r="AS338" s="27"/>
      <c r="AT338" s="27"/>
      <c r="AU338" s="27"/>
      <c r="AV338" s="27"/>
      <c r="AW338" s="27"/>
      <c r="AX338" s="27"/>
      <c r="AY338" s="27"/>
      <c r="AZ338" s="27"/>
      <c r="BA338" s="27"/>
      <c r="BB338" s="27"/>
      <c r="BC338" s="27"/>
      <c r="BD338" s="27"/>
      <c r="BE338" s="27"/>
      <c r="BF338" s="27"/>
      <c r="BG338" s="27"/>
      <c r="BH338" s="27"/>
      <c r="BI338" s="27"/>
      <c r="BJ338" s="27"/>
      <c r="BK338" s="27"/>
      <c r="BL338" s="27"/>
      <c r="BM338" s="27"/>
      <c r="BN338" s="27"/>
      <c r="BO338" s="27"/>
      <c r="BP338" s="27"/>
      <c r="BQ338" s="27"/>
      <c r="BR338" s="27"/>
      <c r="BS338" s="27"/>
      <c r="BT338" s="27"/>
      <c r="BU338" s="27"/>
      <c r="BV338" s="27"/>
      <c r="BW338" s="27"/>
      <c r="BX338" s="27"/>
      <c r="BY338" s="27"/>
      <c r="BZ338" s="27"/>
      <c r="CA338" s="27"/>
      <c r="CB338" s="27"/>
      <c r="CC338" s="27"/>
      <c r="CD338" s="27"/>
      <c r="CE338" s="27"/>
      <c r="CF338" s="27"/>
      <c r="CG338" s="27"/>
      <c r="CH338" s="27"/>
      <c r="CI338" s="27"/>
      <c r="CJ338" s="27"/>
      <c r="CK338" s="27"/>
      <c r="CL338" s="27"/>
      <c r="CM338" s="27"/>
      <c r="CN338" s="27"/>
      <c r="CO338" s="27"/>
      <c r="CP338" s="27"/>
      <c r="CQ338" s="27"/>
      <c r="CR338" s="27"/>
      <c r="CS338" s="27"/>
      <c r="CT338" s="27"/>
      <c r="CU338" s="27"/>
      <c r="CV338" s="27"/>
      <c r="CW338" s="27"/>
      <c r="CX338" s="27"/>
      <c r="CY338" s="27"/>
      <c r="CZ338" s="27"/>
      <c r="DA338" s="27"/>
      <c r="DB338" s="27"/>
      <c r="DC338" s="27"/>
      <c r="DD338" s="27"/>
      <c r="DE338" s="27"/>
      <c r="DF338" s="27"/>
      <c r="DG338" s="27"/>
      <c r="DH338" s="27"/>
      <c r="DI338" s="27"/>
      <c r="DJ338" s="27"/>
      <c r="DK338" s="27"/>
      <c r="DL338" s="27"/>
      <c r="DM338" s="27"/>
      <c r="DN338" s="27"/>
      <c r="DO338" s="27"/>
      <c r="DP338" s="27"/>
      <c r="DQ338" s="27"/>
      <c r="DR338" s="27"/>
      <c r="DS338" s="27"/>
      <c r="DT338" s="27"/>
    </row>
    <row r="339" spans="2:124" x14ac:dyDescent="0.2">
      <c r="B339" s="27"/>
      <c r="C339" s="27"/>
      <c r="D339" s="27"/>
      <c r="E339" s="27"/>
      <c r="F339" s="27"/>
      <c r="G339" s="27"/>
      <c r="H339" s="27"/>
      <c r="I339" s="27"/>
      <c r="J339" s="27"/>
      <c r="K339" s="27"/>
      <c r="L339" s="27"/>
      <c r="M339" s="27"/>
      <c r="N339" s="27"/>
      <c r="O339" s="27"/>
      <c r="P339" s="27"/>
      <c r="Q339" s="27"/>
      <c r="R339" s="27"/>
      <c r="S339" s="27"/>
      <c r="T339" s="27"/>
      <c r="U339" s="27"/>
      <c r="V339" s="27"/>
      <c r="W339" s="27"/>
      <c r="X339" s="27"/>
      <c r="Y339" s="27"/>
      <c r="Z339" s="27"/>
      <c r="AA339" s="27"/>
      <c r="AB339" s="27"/>
      <c r="AC339" s="27"/>
      <c r="AD339" s="27"/>
      <c r="AE339" s="27"/>
      <c r="AF339" s="27"/>
      <c r="AG339" s="27"/>
      <c r="AH339" s="27"/>
      <c r="AI339" s="27"/>
      <c r="AJ339" s="27"/>
      <c r="AK339" s="27"/>
      <c r="AL339" s="27"/>
      <c r="AM339" s="27"/>
      <c r="AN339" s="27"/>
      <c r="AO339" s="27"/>
      <c r="AP339" s="27"/>
      <c r="AQ339" s="27"/>
      <c r="AR339" s="27"/>
      <c r="AS339" s="27"/>
      <c r="AT339" s="27"/>
      <c r="AU339" s="27"/>
      <c r="AV339" s="27"/>
      <c r="AW339" s="27"/>
      <c r="AX339" s="27"/>
      <c r="AY339" s="27"/>
      <c r="AZ339" s="27"/>
      <c r="BA339" s="27"/>
      <c r="BB339" s="27"/>
      <c r="BC339" s="27"/>
      <c r="BD339" s="27"/>
      <c r="BE339" s="27"/>
      <c r="BF339" s="27"/>
      <c r="BG339" s="27"/>
      <c r="BH339" s="27"/>
      <c r="BI339" s="27"/>
      <c r="BJ339" s="27"/>
      <c r="BK339" s="27"/>
      <c r="BL339" s="27"/>
      <c r="BM339" s="27"/>
      <c r="BN339" s="27"/>
      <c r="BO339" s="27"/>
      <c r="BP339" s="27"/>
      <c r="BQ339" s="27"/>
      <c r="BR339" s="27"/>
      <c r="BS339" s="27"/>
      <c r="BT339" s="27"/>
      <c r="BU339" s="27"/>
      <c r="BV339" s="27"/>
      <c r="BW339" s="27"/>
      <c r="BX339" s="27"/>
      <c r="BY339" s="27"/>
      <c r="BZ339" s="27"/>
      <c r="CA339" s="27"/>
      <c r="CB339" s="27"/>
      <c r="CC339" s="27"/>
      <c r="CD339" s="27"/>
      <c r="CE339" s="27"/>
      <c r="CF339" s="27"/>
      <c r="CG339" s="27"/>
      <c r="CH339" s="27"/>
      <c r="CI339" s="27"/>
      <c r="CJ339" s="27"/>
      <c r="CK339" s="27"/>
      <c r="CL339" s="27"/>
      <c r="CM339" s="27"/>
      <c r="CN339" s="27"/>
      <c r="CO339" s="27"/>
      <c r="CP339" s="27"/>
      <c r="CQ339" s="27"/>
      <c r="CR339" s="27"/>
      <c r="CS339" s="27"/>
      <c r="CT339" s="27"/>
      <c r="CU339" s="27"/>
      <c r="CV339" s="27"/>
      <c r="CW339" s="27"/>
      <c r="CX339" s="27"/>
      <c r="CY339" s="27"/>
      <c r="CZ339" s="27"/>
      <c r="DA339" s="27"/>
      <c r="DB339" s="27"/>
      <c r="DC339" s="27"/>
      <c r="DD339" s="27"/>
      <c r="DE339" s="27"/>
      <c r="DF339" s="27"/>
      <c r="DG339" s="27"/>
      <c r="DH339" s="27"/>
      <c r="DI339" s="27"/>
      <c r="DJ339" s="27"/>
      <c r="DK339" s="27"/>
      <c r="DL339" s="27"/>
      <c r="DM339" s="27"/>
      <c r="DN339" s="27"/>
      <c r="DO339" s="27"/>
      <c r="DP339" s="27"/>
      <c r="DQ339" s="27"/>
      <c r="DR339" s="27"/>
      <c r="DS339" s="27"/>
      <c r="DT339" s="27"/>
    </row>
    <row r="340" spans="2:124" x14ac:dyDescent="0.2">
      <c r="B340" s="27"/>
      <c r="C340" s="27"/>
      <c r="D340" s="27"/>
      <c r="E340" s="27"/>
      <c r="F340" s="27"/>
      <c r="G340" s="27"/>
      <c r="H340" s="27"/>
      <c r="I340" s="27"/>
      <c r="J340" s="27"/>
      <c r="K340" s="27"/>
      <c r="L340" s="27"/>
      <c r="M340" s="27"/>
      <c r="N340" s="27"/>
      <c r="O340" s="27"/>
      <c r="P340" s="27"/>
      <c r="Q340" s="27"/>
      <c r="R340" s="27"/>
      <c r="S340" s="27"/>
      <c r="T340" s="27"/>
      <c r="U340" s="27"/>
      <c r="V340" s="27"/>
      <c r="W340" s="27"/>
      <c r="X340" s="27"/>
      <c r="Y340" s="27"/>
      <c r="Z340" s="27"/>
      <c r="AA340" s="27"/>
      <c r="AB340" s="27"/>
      <c r="AC340" s="27"/>
      <c r="AD340" s="27"/>
      <c r="AE340" s="27"/>
      <c r="AF340" s="27"/>
      <c r="AG340" s="27"/>
      <c r="AH340" s="27"/>
      <c r="AI340" s="27"/>
      <c r="AJ340" s="27"/>
      <c r="AK340" s="27"/>
      <c r="AL340" s="27"/>
      <c r="AM340" s="27"/>
      <c r="AN340" s="27"/>
      <c r="AO340" s="27"/>
      <c r="AP340" s="27"/>
      <c r="AQ340" s="27"/>
      <c r="AR340" s="27"/>
      <c r="AS340" s="27"/>
      <c r="AT340" s="27"/>
      <c r="AU340" s="27"/>
      <c r="AV340" s="27"/>
      <c r="AW340" s="27"/>
      <c r="AX340" s="27"/>
      <c r="AY340" s="27"/>
      <c r="AZ340" s="27"/>
      <c r="BA340" s="27"/>
      <c r="BB340" s="27"/>
      <c r="BC340" s="27"/>
      <c r="BD340" s="27"/>
      <c r="BE340" s="27"/>
      <c r="BF340" s="27"/>
      <c r="BG340" s="27"/>
      <c r="BH340" s="27"/>
      <c r="BI340" s="27"/>
      <c r="BJ340" s="27"/>
      <c r="BK340" s="27"/>
      <c r="BL340" s="27"/>
      <c r="BM340" s="27"/>
      <c r="BN340" s="27"/>
      <c r="BO340" s="27"/>
      <c r="BP340" s="27"/>
      <c r="BQ340" s="27"/>
      <c r="BR340" s="27"/>
      <c r="BS340" s="27"/>
      <c r="BT340" s="27"/>
      <c r="BU340" s="27"/>
      <c r="BV340" s="27"/>
      <c r="BW340" s="27"/>
      <c r="BX340" s="27"/>
      <c r="BY340" s="27"/>
      <c r="BZ340" s="27"/>
      <c r="CA340" s="27"/>
      <c r="CB340" s="27"/>
      <c r="CC340" s="27"/>
      <c r="CD340" s="27"/>
      <c r="CE340" s="27"/>
      <c r="CF340" s="27"/>
      <c r="CG340" s="27"/>
      <c r="CH340" s="27"/>
      <c r="CI340" s="27"/>
      <c r="CJ340" s="27"/>
      <c r="CK340" s="27"/>
      <c r="CL340" s="27"/>
      <c r="CM340" s="27"/>
      <c r="CN340" s="27"/>
      <c r="CO340" s="27"/>
      <c r="CP340" s="27"/>
      <c r="CQ340" s="27"/>
      <c r="CR340" s="27"/>
      <c r="CS340" s="27"/>
      <c r="CT340" s="27"/>
      <c r="CU340" s="27"/>
      <c r="CV340" s="27"/>
      <c r="CW340" s="27"/>
      <c r="CX340" s="27"/>
      <c r="CY340" s="27"/>
      <c r="CZ340" s="27"/>
      <c r="DA340" s="27"/>
      <c r="DB340" s="27"/>
      <c r="DC340" s="27"/>
      <c r="DD340" s="27"/>
      <c r="DE340" s="27"/>
      <c r="DF340" s="27"/>
      <c r="DG340" s="27"/>
      <c r="DH340" s="27"/>
      <c r="DI340" s="27"/>
      <c r="DJ340" s="27"/>
      <c r="DK340" s="27"/>
      <c r="DL340" s="27"/>
      <c r="DM340" s="27"/>
      <c r="DN340" s="27"/>
      <c r="DO340" s="27"/>
      <c r="DP340" s="27"/>
      <c r="DQ340" s="27"/>
      <c r="DR340" s="27"/>
      <c r="DS340" s="27"/>
      <c r="DT340" s="27"/>
    </row>
    <row r="341" spans="2:124" x14ac:dyDescent="0.2">
      <c r="B341" s="27"/>
      <c r="C341" s="27"/>
      <c r="D341" s="27"/>
      <c r="E341" s="27"/>
      <c r="F341" s="27"/>
      <c r="G341" s="27"/>
      <c r="H341" s="27"/>
      <c r="I341" s="27"/>
      <c r="J341" s="27"/>
      <c r="K341" s="27"/>
      <c r="L341" s="27"/>
      <c r="M341" s="27"/>
      <c r="N341" s="27"/>
      <c r="O341" s="27"/>
      <c r="P341" s="27"/>
      <c r="Q341" s="27"/>
      <c r="R341" s="27"/>
      <c r="S341" s="27"/>
      <c r="T341" s="27"/>
      <c r="U341" s="27"/>
      <c r="V341" s="27"/>
      <c r="W341" s="27"/>
      <c r="X341" s="27"/>
      <c r="Y341" s="27"/>
      <c r="Z341" s="27"/>
      <c r="AA341" s="27"/>
      <c r="AB341" s="27"/>
      <c r="AC341" s="27"/>
      <c r="AD341" s="27"/>
      <c r="AE341" s="27"/>
      <c r="AF341" s="27"/>
      <c r="AG341" s="27"/>
      <c r="AH341" s="27"/>
      <c r="AI341" s="27"/>
      <c r="AJ341" s="27"/>
      <c r="AK341" s="27"/>
      <c r="AL341" s="27"/>
      <c r="AM341" s="27"/>
      <c r="AN341" s="27"/>
      <c r="AO341" s="27"/>
      <c r="AP341" s="27"/>
      <c r="AQ341" s="27"/>
      <c r="AR341" s="27"/>
      <c r="AS341" s="27"/>
      <c r="AT341" s="27"/>
      <c r="AU341" s="27"/>
      <c r="AV341" s="27"/>
      <c r="AW341" s="27"/>
      <c r="AX341" s="27"/>
      <c r="AY341" s="27"/>
      <c r="AZ341" s="27"/>
      <c r="BA341" s="27"/>
      <c r="BB341" s="27"/>
      <c r="BC341" s="27"/>
      <c r="BD341" s="27"/>
      <c r="BE341" s="27"/>
      <c r="BF341" s="27"/>
      <c r="BG341" s="27"/>
      <c r="BH341" s="27"/>
      <c r="BI341" s="27"/>
      <c r="BJ341" s="27"/>
      <c r="BK341" s="27"/>
      <c r="BL341" s="27"/>
      <c r="BM341" s="27"/>
      <c r="BN341" s="27"/>
      <c r="BO341" s="27"/>
      <c r="BP341" s="27"/>
      <c r="BQ341" s="27"/>
      <c r="BR341" s="27"/>
      <c r="BS341" s="27"/>
      <c r="BT341" s="27"/>
      <c r="BU341" s="27"/>
      <c r="BV341" s="27"/>
      <c r="BW341" s="27"/>
      <c r="BX341" s="27"/>
      <c r="BY341" s="27"/>
      <c r="BZ341" s="27"/>
      <c r="CA341" s="27"/>
      <c r="CB341" s="27"/>
      <c r="CC341" s="27"/>
      <c r="CD341" s="27"/>
      <c r="CE341" s="27"/>
      <c r="CF341" s="27"/>
      <c r="CG341" s="27"/>
      <c r="CH341" s="27"/>
      <c r="CI341" s="27"/>
      <c r="CJ341" s="27"/>
      <c r="CK341" s="27"/>
      <c r="CL341" s="27"/>
      <c r="CM341" s="27"/>
      <c r="CN341" s="27"/>
      <c r="CO341" s="27"/>
      <c r="CP341" s="27"/>
      <c r="CQ341" s="27"/>
      <c r="CR341" s="27"/>
      <c r="CS341" s="27"/>
      <c r="CT341" s="27"/>
      <c r="CU341" s="27"/>
      <c r="CV341" s="27"/>
      <c r="CW341" s="27"/>
      <c r="CX341" s="27"/>
      <c r="CY341" s="27"/>
      <c r="CZ341" s="27"/>
      <c r="DA341" s="27"/>
      <c r="DB341" s="27"/>
      <c r="DC341" s="27"/>
      <c r="DD341" s="27"/>
      <c r="DE341" s="27"/>
      <c r="DF341" s="27"/>
      <c r="DG341" s="27"/>
      <c r="DH341" s="27"/>
      <c r="DI341" s="27"/>
      <c r="DJ341" s="27"/>
      <c r="DK341" s="27"/>
      <c r="DL341" s="27"/>
      <c r="DM341" s="27"/>
      <c r="DN341" s="27"/>
      <c r="DO341" s="27"/>
      <c r="DP341" s="27"/>
      <c r="DQ341" s="27"/>
      <c r="DR341" s="27"/>
      <c r="DS341" s="27"/>
      <c r="DT341" s="27"/>
    </row>
    <row r="342" spans="2:124" x14ac:dyDescent="0.2">
      <c r="B342" s="27"/>
      <c r="C342" s="27"/>
      <c r="D342" s="27"/>
      <c r="E342" s="27"/>
      <c r="F342" s="27"/>
      <c r="G342" s="27"/>
      <c r="H342" s="27"/>
      <c r="I342" s="27"/>
      <c r="J342" s="27"/>
      <c r="K342" s="27"/>
      <c r="L342" s="27"/>
      <c r="M342" s="27"/>
      <c r="N342" s="27"/>
      <c r="O342" s="27"/>
      <c r="P342" s="27"/>
      <c r="Q342" s="27"/>
      <c r="R342" s="27"/>
      <c r="S342" s="27"/>
      <c r="T342" s="27"/>
      <c r="U342" s="27"/>
      <c r="V342" s="27"/>
      <c r="W342" s="27"/>
      <c r="X342" s="27"/>
      <c r="Y342" s="27"/>
      <c r="Z342" s="27"/>
      <c r="AA342" s="27"/>
      <c r="AB342" s="27"/>
      <c r="AC342" s="27"/>
      <c r="AD342" s="27"/>
      <c r="AE342" s="27"/>
      <c r="AF342" s="27"/>
      <c r="AG342" s="27"/>
      <c r="AH342" s="27"/>
      <c r="AI342" s="27"/>
      <c r="AJ342" s="27"/>
      <c r="AK342" s="27"/>
      <c r="AL342" s="27"/>
      <c r="AM342" s="27"/>
      <c r="AN342" s="27"/>
      <c r="AO342" s="27"/>
      <c r="AP342" s="27"/>
      <c r="AQ342" s="27"/>
      <c r="AR342" s="27"/>
      <c r="AS342" s="27"/>
      <c r="AT342" s="27"/>
      <c r="AU342" s="27"/>
      <c r="AV342" s="27"/>
      <c r="AW342" s="27"/>
      <c r="AX342" s="27"/>
      <c r="AY342" s="27"/>
      <c r="AZ342" s="27"/>
      <c r="BA342" s="27"/>
      <c r="BB342" s="27"/>
      <c r="BC342" s="27"/>
      <c r="BD342" s="27"/>
      <c r="BE342" s="27"/>
      <c r="BF342" s="27"/>
      <c r="BG342" s="27"/>
      <c r="BH342" s="27"/>
      <c r="BI342" s="27"/>
      <c r="BJ342" s="27"/>
      <c r="BK342" s="27"/>
      <c r="BL342" s="27"/>
      <c r="BM342" s="27"/>
      <c r="BN342" s="27"/>
      <c r="BO342" s="27"/>
      <c r="BP342" s="27"/>
      <c r="BQ342" s="27"/>
      <c r="BR342" s="27"/>
      <c r="BS342" s="27"/>
      <c r="BT342" s="27"/>
      <c r="BU342" s="27"/>
      <c r="BV342" s="27"/>
      <c r="BW342" s="27"/>
      <c r="BX342" s="27"/>
      <c r="BY342" s="27"/>
      <c r="BZ342" s="27"/>
      <c r="CA342" s="27"/>
      <c r="CB342" s="27"/>
      <c r="CC342" s="27"/>
      <c r="CD342" s="27"/>
      <c r="CE342" s="27"/>
      <c r="CF342" s="27"/>
      <c r="CG342" s="27"/>
      <c r="CH342" s="27"/>
      <c r="CI342" s="27"/>
      <c r="CJ342" s="27"/>
      <c r="CK342" s="27"/>
      <c r="CL342" s="27"/>
      <c r="CM342" s="27"/>
      <c r="CN342" s="27"/>
      <c r="CO342" s="27"/>
      <c r="CP342" s="27"/>
      <c r="CQ342" s="27"/>
      <c r="CR342" s="27"/>
      <c r="CS342" s="27"/>
      <c r="CT342" s="27"/>
      <c r="CU342" s="27"/>
      <c r="CV342" s="27"/>
      <c r="CW342" s="27"/>
      <c r="CX342" s="27"/>
      <c r="CY342" s="27"/>
      <c r="CZ342" s="27"/>
      <c r="DA342" s="27"/>
      <c r="DB342" s="27"/>
      <c r="DC342" s="27"/>
      <c r="DD342" s="27"/>
      <c r="DE342" s="27"/>
      <c r="DF342" s="27"/>
      <c r="DG342" s="27"/>
      <c r="DH342" s="27"/>
      <c r="DI342" s="27"/>
      <c r="DJ342" s="27"/>
      <c r="DK342" s="27"/>
      <c r="DL342" s="27"/>
      <c r="DM342" s="27"/>
      <c r="DN342" s="27"/>
      <c r="DO342" s="27"/>
      <c r="DP342" s="27"/>
      <c r="DQ342" s="27"/>
      <c r="DR342" s="27"/>
      <c r="DS342" s="27"/>
      <c r="DT342" s="27"/>
    </row>
    <row r="343" spans="2:124" x14ac:dyDescent="0.2">
      <c r="B343" s="27"/>
      <c r="C343" s="27"/>
      <c r="D343" s="27"/>
      <c r="E343" s="27"/>
      <c r="F343" s="27"/>
      <c r="G343" s="27"/>
      <c r="H343" s="27"/>
      <c r="I343" s="27"/>
      <c r="J343" s="27"/>
      <c r="K343" s="27"/>
      <c r="L343" s="27"/>
      <c r="M343" s="27"/>
      <c r="N343" s="27"/>
      <c r="O343" s="27"/>
      <c r="P343" s="27"/>
      <c r="Q343" s="27"/>
      <c r="R343" s="27"/>
      <c r="S343" s="27"/>
      <c r="T343" s="27"/>
      <c r="U343" s="27"/>
      <c r="V343" s="27"/>
      <c r="W343" s="27"/>
      <c r="X343" s="27"/>
      <c r="Y343" s="27"/>
      <c r="Z343" s="27"/>
      <c r="AA343" s="27"/>
      <c r="AB343" s="27"/>
      <c r="AC343" s="27"/>
      <c r="AD343" s="27"/>
      <c r="AE343" s="27"/>
      <c r="AF343" s="27"/>
      <c r="AG343" s="27"/>
      <c r="AH343" s="27"/>
      <c r="AI343" s="27"/>
      <c r="AJ343" s="27"/>
      <c r="AK343" s="27"/>
      <c r="AL343" s="27"/>
      <c r="AM343" s="27"/>
      <c r="AN343" s="27"/>
      <c r="AO343" s="27"/>
      <c r="AP343" s="27"/>
      <c r="AQ343" s="27"/>
      <c r="AR343" s="27"/>
      <c r="AS343" s="27"/>
      <c r="AT343" s="27"/>
      <c r="AU343" s="27"/>
      <c r="AV343" s="27"/>
      <c r="AW343" s="27"/>
      <c r="AX343" s="27"/>
      <c r="AY343" s="27"/>
      <c r="AZ343" s="27"/>
      <c r="BA343" s="27"/>
      <c r="BB343" s="27"/>
      <c r="BC343" s="27"/>
      <c r="BD343" s="27"/>
      <c r="BE343" s="27"/>
      <c r="BF343" s="27"/>
      <c r="BG343" s="27"/>
      <c r="BH343" s="27"/>
      <c r="BI343" s="27"/>
      <c r="BJ343" s="27"/>
      <c r="BK343" s="27"/>
      <c r="BL343" s="27"/>
      <c r="BM343" s="27"/>
      <c r="BN343" s="27"/>
      <c r="BO343" s="27"/>
      <c r="BP343" s="27"/>
      <c r="BQ343" s="27"/>
      <c r="BR343" s="27"/>
      <c r="BS343" s="27"/>
      <c r="BT343" s="27"/>
      <c r="BU343" s="27"/>
      <c r="BV343" s="27"/>
      <c r="BW343" s="27"/>
      <c r="BX343" s="27"/>
      <c r="BY343" s="27"/>
      <c r="BZ343" s="27"/>
      <c r="CA343" s="27"/>
      <c r="CB343" s="27"/>
      <c r="CC343" s="27"/>
      <c r="CD343" s="27"/>
      <c r="CE343" s="27"/>
      <c r="CF343" s="27"/>
      <c r="CG343" s="27"/>
      <c r="CH343" s="27"/>
      <c r="CI343" s="27"/>
      <c r="CJ343" s="27"/>
      <c r="CK343" s="27"/>
      <c r="CL343" s="27"/>
      <c r="CM343" s="27"/>
      <c r="CN343" s="27"/>
      <c r="CO343" s="27"/>
      <c r="CP343" s="27"/>
      <c r="CQ343" s="27"/>
      <c r="CR343" s="27"/>
      <c r="CS343" s="27"/>
      <c r="CT343" s="27"/>
      <c r="CU343" s="27"/>
      <c r="CV343" s="27"/>
      <c r="CW343" s="27"/>
      <c r="CX343" s="27"/>
      <c r="CY343" s="27"/>
      <c r="CZ343" s="27"/>
      <c r="DA343" s="27"/>
      <c r="DB343" s="27"/>
      <c r="DC343" s="27"/>
      <c r="DD343" s="27"/>
      <c r="DE343" s="27"/>
      <c r="DF343" s="27"/>
      <c r="DG343" s="27"/>
      <c r="DH343" s="27"/>
      <c r="DI343" s="27"/>
      <c r="DJ343" s="27"/>
      <c r="DK343" s="27"/>
      <c r="DL343" s="27"/>
      <c r="DM343" s="27"/>
      <c r="DN343" s="27"/>
      <c r="DO343" s="27"/>
      <c r="DP343" s="27"/>
      <c r="DQ343" s="27"/>
      <c r="DR343" s="27"/>
      <c r="DS343" s="27"/>
      <c r="DT343" s="27"/>
    </row>
    <row r="344" spans="2:124" x14ac:dyDescent="0.2">
      <c r="B344" s="27"/>
      <c r="C344" s="27"/>
      <c r="D344" s="27"/>
      <c r="E344" s="27"/>
      <c r="F344" s="27"/>
      <c r="G344" s="27"/>
      <c r="H344" s="27"/>
      <c r="I344" s="27"/>
      <c r="J344" s="27"/>
      <c r="K344" s="27"/>
      <c r="L344" s="27"/>
      <c r="M344" s="27"/>
      <c r="N344" s="27"/>
      <c r="O344" s="27"/>
      <c r="P344" s="27"/>
      <c r="Q344" s="27"/>
      <c r="R344" s="27"/>
      <c r="S344" s="27"/>
      <c r="T344" s="27"/>
      <c r="U344" s="27"/>
      <c r="V344" s="27"/>
      <c r="W344" s="27"/>
      <c r="X344" s="27"/>
      <c r="Y344" s="27"/>
      <c r="Z344" s="27"/>
      <c r="AA344" s="27"/>
      <c r="AB344" s="27"/>
      <c r="AC344" s="27"/>
      <c r="AD344" s="27"/>
      <c r="AE344" s="27"/>
      <c r="AF344" s="27"/>
      <c r="AG344" s="27"/>
      <c r="AH344" s="27"/>
      <c r="AI344" s="27"/>
      <c r="AJ344" s="27"/>
      <c r="AK344" s="27"/>
      <c r="AL344" s="27"/>
      <c r="AM344" s="27"/>
      <c r="AN344" s="27"/>
      <c r="AO344" s="27"/>
      <c r="AP344" s="27"/>
      <c r="AQ344" s="27"/>
      <c r="AR344" s="27"/>
      <c r="AS344" s="27"/>
      <c r="AT344" s="27"/>
      <c r="AU344" s="27"/>
      <c r="AV344" s="27"/>
      <c r="AW344" s="27"/>
      <c r="AX344" s="27"/>
      <c r="AY344" s="27"/>
      <c r="AZ344" s="27"/>
      <c r="BA344" s="27"/>
      <c r="BB344" s="27"/>
      <c r="BC344" s="27"/>
      <c r="BD344" s="27"/>
      <c r="BE344" s="27"/>
      <c r="BF344" s="27"/>
      <c r="BG344" s="27"/>
      <c r="BH344" s="27"/>
      <c r="BI344" s="27"/>
      <c r="BJ344" s="27"/>
      <c r="BK344" s="27"/>
      <c r="BL344" s="27"/>
      <c r="BM344" s="27"/>
      <c r="BN344" s="27"/>
      <c r="BO344" s="27"/>
      <c r="BP344" s="27"/>
      <c r="BQ344" s="27"/>
      <c r="BR344" s="27"/>
      <c r="BS344" s="27"/>
      <c r="BT344" s="27"/>
      <c r="BU344" s="27"/>
      <c r="BV344" s="27"/>
      <c r="BW344" s="27"/>
      <c r="BX344" s="27"/>
      <c r="BY344" s="27"/>
      <c r="BZ344" s="27"/>
      <c r="CA344" s="27"/>
      <c r="CB344" s="27"/>
      <c r="CC344" s="27"/>
      <c r="CD344" s="27"/>
      <c r="CE344" s="27"/>
      <c r="CF344" s="27"/>
      <c r="CG344" s="27"/>
      <c r="CH344" s="27"/>
      <c r="CI344" s="27"/>
      <c r="CJ344" s="27"/>
      <c r="CK344" s="27"/>
      <c r="CL344" s="27"/>
      <c r="CM344" s="27"/>
      <c r="CN344" s="27"/>
      <c r="CO344" s="27"/>
      <c r="CP344" s="27"/>
      <c r="CQ344" s="27"/>
      <c r="CR344" s="27"/>
      <c r="CS344" s="27"/>
      <c r="CT344" s="27"/>
      <c r="CU344" s="27"/>
      <c r="CV344" s="27"/>
      <c r="CW344" s="27"/>
      <c r="CX344" s="27"/>
      <c r="CY344" s="27"/>
      <c r="CZ344" s="27"/>
      <c r="DA344" s="27"/>
      <c r="DB344" s="27"/>
      <c r="DC344" s="27"/>
      <c r="DD344" s="27"/>
      <c r="DE344" s="27"/>
      <c r="DF344" s="27"/>
      <c r="DG344" s="27"/>
      <c r="DH344" s="27"/>
      <c r="DI344" s="27"/>
      <c r="DJ344" s="27"/>
      <c r="DK344" s="27"/>
      <c r="DL344" s="27"/>
      <c r="DM344" s="27"/>
      <c r="DN344" s="27"/>
      <c r="DO344" s="27"/>
      <c r="DP344" s="27"/>
      <c r="DQ344" s="27"/>
      <c r="DR344" s="27"/>
      <c r="DS344" s="27"/>
      <c r="DT344" s="27"/>
    </row>
    <row r="345" spans="2:124" x14ac:dyDescent="0.2">
      <c r="B345" s="27"/>
      <c r="C345" s="27"/>
      <c r="D345" s="27"/>
      <c r="E345" s="27"/>
      <c r="F345" s="27"/>
      <c r="G345" s="27"/>
      <c r="H345" s="27"/>
      <c r="I345" s="27"/>
      <c r="J345" s="27"/>
      <c r="K345" s="27"/>
      <c r="L345" s="27"/>
      <c r="M345" s="27"/>
      <c r="N345" s="27"/>
      <c r="O345" s="27"/>
      <c r="P345" s="27"/>
      <c r="Q345" s="27"/>
      <c r="R345" s="27"/>
      <c r="S345" s="27"/>
      <c r="T345" s="27"/>
      <c r="U345" s="27"/>
      <c r="V345" s="27"/>
      <c r="W345" s="27"/>
      <c r="X345" s="27"/>
      <c r="Y345" s="27"/>
      <c r="Z345" s="27"/>
      <c r="AA345" s="27"/>
      <c r="AB345" s="27"/>
      <c r="AC345" s="27"/>
      <c r="AD345" s="27"/>
      <c r="AE345" s="27"/>
      <c r="AF345" s="27"/>
      <c r="AG345" s="27"/>
      <c r="AH345" s="27"/>
      <c r="AI345" s="27"/>
      <c r="AJ345" s="27"/>
      <c r="AK345" s="27"/>
      <c r="AL345" s="27"/>
      <c r="AM345" s="27"/>
      <c r="AN345" s="27"/>
      <c r="AO345" s="27"/>
      <c r="AP345" s="27"/>
      <c r="AQ345" s="27"/>
      <c r="AR345" s="27"/>
      <c r="AS345" s="27"/>
      <c r="AT345" s="27"/>
      <c r="AU345" s="27"/>
      <c r="AV345" s="27"/>
      <c r="AW345" s="27"/>
      <c r="AX345" s="27"/>
      <c r="AY345" s="27"/>
      <c r="AZ345" s="27"/>
      <c r="BA345" s="27"/>
      <c r="BB345" s="27"/>
      <c r="BC345" s="27"/>
      <c r="BD345" s="27"/>
      <c r="BE345" s="27"/>
      <c r="BF345" s="27"/>
      <c r="BG345" s="27"/>
      <c r="BH345" s="27"/>
      <c r="BI345" s="27"/>
      <c r="BJ345" s="27"/>
      <c r="BK345" s="27"/>
      <c r="BL345" s="27"/>
      <c r="BM345" s="27"/>
      <c r="BN345" s="27"/>
      <c r="BO345" s="27"/>
      <c r="BP345" s="27"/>
      <c r="BQ345" s="27"/>
      <c r="BR345" s="27"/>
      <c r="BS345" s="27"/>
      <c r="BT345" s="27"/>
      <c r="BU345" s="27"/>
      <c r="BV345" s="27"/>
      <c r="BW345" s="27"/>
      <c r="BX345" s="27"/>
      <c r="BY345" s="27"/>
      <c r="BZ345" s="27"/>
      <c r="CA345" s="27"/>
      <c r="CB345" s="27"/>
      <c r="CC345" s="27"/>
      <c r="CD345" s="27"/>
      <c r="CE345" s="27"/>
      <c r="CF345" s="27"/>
      <c r="CG345" s="27"/>
      <c r="CH345" s="27"/>
      <c r="CI345" s="27"/>
      <c r="CJ345" s="27"/>
      <c r="CK345" s="27"/>
      <c r="CL345" s="27"/>
      <c r="CM345" s="27"/>
      <c r="CN345" s="27"/>
      <c r="CO345" s="27"/>
      <c r="CP345" s="27"/>
      <c r="CQ345" s="27"/>
      <c r="CR345" s="27"/>
      <c r="CS345" s="27"/>
      <c r="CT345" s="27"/>
      <c r="CU345" s="27"/>
      <c r="CV345" s="27"/>
      <c r="CW345" s="27"/>
      <c r="CX345" s="27"/>
      <c r="CY345" s="27"/>
      <c r="CZ345" s="27"/>
      <c r="DA345" s="27"/>
      <c r="DB345" s="27"/>
      <c r="DC345" s="27"/>
      <c r="DD345" s="27"/>
      <c r="DE345" s="27"/>
      <c r="DF345" s="27"/>
      <c r="DG345" s="27"/>
      <c r="DH345" s="27"/>
      <c r="DI345" s="27"/>
      <c r="DJ345" s="27"/>
      <c r="DK345" s="27"/>
      <c r="DL345" s="27"/>
      <c r="DM345" s="27"/>
      <c r="DN345" s="27"/>
      <c r="DO345" s="27"/>
      <c r="DP345" s="27"/>
      <c r="DQ345" s="27"/>
      <c r="DR345" s="27"/>
      <c r="DS345" s="27"/>
      <c r="DT345" s="27"/>
    </row>
    <row r="346" spans="2:124" x14ac:dyDescent="0.2">
      <c r="B346" s="27"/>
      <c r="C346" s="27"/>
      <c r="D346" s="27"/>
      <c r="E346" s="27"/>
      <c r="F346" s="27"/>
      <c r="G346" s="27"/>
      <c r="H346" s="27"/>
      <c r="I346" s="27"/>
      <c r="J346" s="27"/>
      <c r="K346" s="27"/>
      <c r="L346" s="27"/>
      <c r="M346" s="27"/>
      <c r="N346" s="27"/>
      <c r="O346" s="27"/>
      <c r="P346" s="27"/>
      <c r="Q346" s="27"/>
      <c r="R346" s="27"/>
      <c r="S346" s="27"/>
      <c r="T346" s="27"/>
      <c r="U346" s="27"/>
      <c r="V346" s="27"/>
      <c r="W346" s="27"/>
      <c r="X346" s="27"/>
      <c r="Y346" s="27"/>
      <c r="Z346" s="27"/>
      <c r="AA346" s="27"/>
      <c r="AB346" s="27"/>
      <c r="AC346" s="27"/>
      <c r="AD346" s="27"/>
      <c r="AE346" s="27"/>
      <c r="AF346" s="27"/>
      <c r="AG346" s="27"/>
      <c r="AH346" s="27"/>
      <c r="AI346" s="27"/>
      <c r="AJ346" s="27"/>
      <c r="AK346" s="27"/>
      <c r="AL346" s="27"/>
      <c r="AM346" s="27"/>
      <c r="AN346" s="27"/>
      <c r="AO346" s="27"/>
      <c r="AP346" s="27"/>
      <c r="AQ346" s="27"/>
      <c r="AR346" s="27"/>
      <c r="AS346" s="27"/>
      <c r="AT346" s="27"/>
      <c r="AU346" s="27"/>
      <c r="AV346" s="27"/>
      <c r="AW346" s="27"/>
      <c r="AX346" s="27"/>
      <c r="AY346" s="27"/>
      <c r="AZ346" s="27"/>
      <c r="BA346" s="27"/>
      <c r="BB346" s="27"/>
      <c r="BC346" s="27"/>
      <c r="BD346" s="27"/>
      <c r="BE346" s="27"/>
      <c r="BF346" s="27"/>
      <c r="BG346" s="27"/>
      <c r="BH346" s="27"/>
      <c r="BI346" s="27"/>
      <c r="BJ346" s="27"/>
      <c r="BK346" s="27"/>
      <c r="BL346" s="27"/>
      <c r="BM346" s="27"/>
      <c r="BN346" s="27"/>
      <c r="BO346" s="27"/>
      <c r="BP346" s="27"/>
      <c r="BQ346" s="27"/>
      <c r="BR346" s="27"/>
      <c r="BS346" s="27"/>
      <c r="BT346" s="27"/>
      <c r="BU346" s="27"/>
      <c r="BV346" s="27"/>
      <c r="BW346" s="27"/>
      <c r="BX346" s="27"/>
      <c r="BY346" s="27"/>
      <c r="BZ346" s="27"/>
      <c r="CA346" s="27"/>
      <c r="CB346" s="27"/>
      <c r="CC346" s="27"/>
      <c r="CD346" s="27"/>
      <c r="CE346" s="27"/>
      <c r="CF346" s="27"/>
      <c r="CG346" s="27"/>
      <c r="CH346" s="27"/>
      <c r="CI346" s="27"/>
      <c r="CJ346" s="27"/>
      <c r="CK346" s="27"/>
      <c r="CL346" s="27"/>
      <c r="CM346" s="27"/>
      <c r="CN346" s="27"/>
      <c r="CO346" s="27"/>
      <c r="CP346" s="27"/>
      <c r="CQ346" s="27"/>
      <c r="CR346" s="27"/>
      <c r="CS346" s="27"/>
      <c r="CT346" s="27"/>
      <c r="CU346" s="27"/>
      <c r="CV346" s="27"/>
      <c r="CW346" s="27"/>
      <c r="CX346" s="27"/>
      <c r="CY346" s="27"/>
      <c r="CZ346" s="27"/>
      <c r="DA346" s="27"/>
      <c r="DB346" s="27"/>
      <c r="DC346" s="27"/>
      <c r="DD346" s="27"/>
      <c r="DE346" s="27"/>
      <c r="DF346" s="27"/>
      <c r="DG346" s="27"/>
      <c r="DH346" s="27"/>
      <c r="DI346" s="27"/>
      <c r="DJ346" s="27"/>
      <c r="DK346" s="27"/>
      <c r="DL346" s="27"/>
      <c r="DM346" s="27"/>
      <c r="DN346" s="27"/>
      <c r="DO346" s="27"/>
      <c r="DP346" s="27"/>
      <c r="DQ346" s="27"/>
      <c r="DR346" s="27"/>
      <c r="DS346" s="27"/>
      <c r="DT346" s="27"/>
    </row>
    <row r="347" spans="2:124" x14ac:dyDescent="0.2">
      <c r="B347" s="27"/>
      <c r="C347" s="27"/>
      <c r="D347" s="27"/>
      <c r="E347" s="27"/>
      <c r="F347" s="27"/>
      <c r="G347" s="27"/>
      <c r="H347" s="27"/>
      <c r="I347" s="27"/>
      <c r="J347" s="27"/>
      <c r="K347" s="27"/>
      <c r="L347" s="27"/>
      <c r="M347" s="27"/>
      <c r="N347" s="27"/>
      <c r="O347" s="27"/>
      <c r="P347" s="27"/>
      <c r="Q347" s="27"/>
      <c r="R347" s="27"/>
      <c r="S347" s="27"/>
      <c r="T347" s="27"/>
      <c r="U347" s="27"/>
      <c r="V347" s="27"/>
      <c r="W347" s="27"/>
      <c r="X347" s="27"/>
      <c r="Y347" s="27"/>
      <c r="Z347" s="27"/>
      <c r="AA347" s="27"/>
      <c r="AB347" s="27"/>
      <c r="AC347" s="27"/>
      <c r="AD347" s="27"/>
      <c r="AE347" s="27"/>
      <c r="AF347" s="27"/>
      <c r="AG347" s="27"/>
      <c r="AH347" s="27"/>
      <c r="AI347" s="27"/>
      <c r="AJ347" s="27"/>
      <c r="AK347" s="27"/>
      <c r="AL347" s="27"/>
      <c r="AM347" s="27"/>
      <c r="AN347" s="27"/>
      <c r="AO347" s="27"/>
      <c r="AP347" s="27"/>
      <c r="AQ347" s="27"/>
      <c r="AR347" s="27"/>
      <c r="AS347" s="27"/>
      <c r="AT347" s="27"/>
      <c r="AU347" s="27"/>
      <c r="AV347" s="27"/>
      <c r="AW347" s="27"/>
      <c r="AX347" s="27"/>
      <c r="AY347" s="27"/>
      <c r="AZ347" s="27"/>
      <c r="BA347" s="27"/>
      <c r="BB347" s="27"/>
      <c r="BC347" s="27"/>
      <c r="BD347" s="27"/>
      <c r="BE347" s="27"/>
      <c r="BF347" s="27"/>
      <c r="BG347" s="27"/>
      <c r="BH347" s="27"/>
      <c r="BI347" s="27"/>
      <c r="BJ347" s="27"/>
      <c r="BK347" s="27"/>
      <c r="BL347" s="27"/>
      <c r="BM347" s="27"/>
      <c r="BN347" s="27"/>
      <c r="BO347" s="27"/>
      <c r="BP347" s="27"/>
      <c r="BQ347" s="27"/>
      <c r="BR347" s="27"/>
      <c r="BS347" s="27"/>
      <c r="BT347" s="27"/>
      <c r="BU347" s="27"/>
      <c r="BV347" s="27"/>
      <c r="BW347" s="27"/>
      <c r="BX347" s="27"/>
      <c r="BY347" s="27"/>
      <c r="BZ347" s="27"/>
      <c r="CA347" s="27"/>
      <c r="CB347" s="27"/>
      <c r="CC347" s="27"/>
      <c r="CD347" s="27"/>
      <c r="CE347" s="27"/>
      <c r="CF347" s="27"/>
      <c r="CG347" s="27"/>
      <c r="CH347" s="27"/>
      <c r="CI347" s="27"/>
      <c r="CJ347" s="27"/>
      <c r="CK347" s="27"/>
      <c r="CL347" s="27"/>
      <c r="CM347" s="27"/>
      <c r="CN347" s="27"/>
      <c r="CO347" s="27"/>
      <c r="CP347" s="27"/>
      <c r="CQ347" s="27"/>
      <c r="CR347" s="27"/>
      <c r="CS347" s="27"/>
      <c r="CT347" s="27"/>
      <c r="CU347" s="27"/>
      <c r="CV347" s="27"/>
      <c r="CW347" s="27"/>
      <c r="CX347" s="27"/>
      <c r="CY347" s="27"/>
      <c r="CZ347" s="27"/>
      <c r="DA347" s="27"/>
      <c r="DB347" s="27"/>
      <c r="DC347" s="27"/>
      <c r="DD347" s="27"/>
      <c r="DE347" s="27"/>
      <c r="DF347" s="27"/>
      <c r="DG347" s="27"/>
      <c r="DH347" s="27"/>
      <c r="DI347" s="27"/>
      <c r="DJ347" s="27"/>
      <c r="DK347" s="27"/>
      <c r="DL347" s="27"/>
      <c r="DM347" s="27"/>
      <c r="DN347" s="27"/>
      <c r="DO347" s="27"/>
      <c r="DP347" s="27"/>
      <c r="DQ347" s="27"/>
      <c r="DR347" s="27"/>
      <c r="DS347" s="27"/>
      <c r="DT347" s="27"/>
    </row>
    <row r="348" spans="2:124" x14ac:dyDescent="0.2">
      <c r="B348" s="27"/>
      <c r="C348" s="27"/>
      <c r="D348" s="27"/>
      <c r="E348" s="27"/>
      <c r="F348" s="27"/>
      <c r="G348" s="27"/>
      <c r="H348" s="27"/>
      <c r="I348" s="27"/>
      <c r="J348" s="27"/>
      <c r="K348" s="27"/>
      <c r="L348" s="27"/>
      <c r="M348" s="27"/>
      <c r="N348" s="27"/>
      <c r="O348" s="27"/>
      <c r="P348" s="27"/>
      <c r="Q348" s="27"/>
      <c r="R348" s="27"/>
      <c r="S348" s="27"/>
      <c r="T348" s="27"/>
      <c r="U348" s="27"/>
      <c r="V348" s="27"/>
      <c r="W348" s="27"/>
      <c r="X348" s="27"/>
      <c r="Y348" s="27"/>
      <c r="Z348" s="27"/>
      <c r="AA348" s="27"/>
      <c r="AB348" s="27"/>
      <c r="AC348" s="27"/>
      <c r="AD348" s="27"/>
      <c r="AE348" s="27"/>
      <c r="AF348" s="27"/>
      <c r="AG348" s="27"/>
      <c r="AH348" s="27"/>
      <c r="AI348" s="27"/>
      <c r="AJ348" s="27"/>
      <c r="AK348" s="27"/>
      <c r="AL348" s="27"/>
      <c r="AM348" s="27"/>
      <c r="AN348" s="27"/>
      <c r="AO348" s="27"/>
      <c r="AP348" s="27"/>
      <c r="AQ348" s="27"/>
      <c r="AR348" s="27"/>
      <c r="AS348" s="27"/>
      <c r="AT348" s="27"/>
      <c r="AU348" s="27"/>
      <c r="AV348" s="27"/>
      <c r="AW348" s="27"/>
      <c r="AX348" s="27"/>
      <c r="AY348" s="27"/>
      <c r="AZ348" s="27"/>
      <c r="BA348" s="27"/>
      <c r="BB348" s="27"/>
      <c r="BC348" s="27"/>
      <c r="BD348" s="27"/>
      <c r="BE348" s="27"/>
      <c r="BF348" s="27"/>
      <c r="BG348" s="27"/>
      <c r="BH348" s="27"/>
      <c r="BI348" s="27"/>
      <c r="BJ348" s="27"/>
      <c r="BK348" s="27"/>
      <c r="BL348" s="27"/>
      <c r="BM348" s="27"/>
      <c r="BN348" s="27"/>
      <c r="BO348" s="27"/>
      <c r="BP348" s="27"/>
      <c r="BQ348" s="27"/>
      <c r="BR348" s="27"/>
      <c r="BS348" s="27"/>
      <c r="BT348" s="27"/>
      <c r="BU348" s="27"/>
      <c r="BV348" s="27"/>
      <c r="BW348" s="27"/>
      <c r="BX348" s="27"/>
      <c r="BY348" s="27"/>
      <c r="BZ348" s="27"/>
      <c r="CA348" s="27"/>
      <c r="CB348" s="27"/>
      <c r="CC348" s="27"/>
      <c r="CD348" s="27"/>
      <c r="CE348" s="27"/>
      <c r="CF348" s="27"/>
      <c r="CG348" s="27"/>
      <c r="CH348" s="27"/>
      <c r="CI348" s="27"/>
      <c r="CJ348" s="27"/>
      <c r="CK348" s="27"/>
      <c r="CL348" s="27"/>
      <c r="CM348" s="27"/>
      <c r="CN348" s="27"/>
      <c r="CO348" s="27"/>
      <c r="CP348" s="27"/>
      <c r="CQ348" s="27"/>
      <c r="CR348" s="27"/>
      <c r="CS348" s="27"/>
      <c r="CT348" s="27"/>
      <c r="CU348" s="27"/>
      <c r="CV348" s="27"/>
      <c r="CW348" s="27"/>
      <c r="CX348" s="27"/>
      <c r="CY348" s="27"/>
      <c r="CZ348" s="27"/>
      <c r="DA348" s="27"/>
      <c r="DB348" s="27"/>
      <c r="DC348" s="27"/>
      <c r="DD348" s="27"/>
      <c r="DE348" s="27"/>
      <c r="DF348" s="27"/>
      <c r="DG348" s="27"/>
      <c r="DH348" s="27"/>
      <c r="DI348" s="27"/>
      <c r="DJ348" s="27"/>
      <c r="DK348" s="27"/>
      <c r="DL348" s="27"/>
      <c r="DM348" s="27"/>
      <c r="DN348" s="27"/>
      <c r="DO348" s="27"/>
      <c r="DP348" s="27"/>
      <c r="DQ348" s="27"/>
      <c r="DR348" s="27"/>
      <c r="DS348" s="27"/>
      <c r="DT348" s="27"/>
    </row>
    <row r="349" spans="2:124" x14ac:dyDescent="0.2">
      <c r="B349" s="27"/>
      <c r="C349" s="27"/>
      <c r="D349" s="27"/>
      <c r="E349" s="27"/>
      <c r="F349" s="27"/>
      <c r="G349" s="27"/>
      <c r="H349" s="27"/>
      <c r="I349" s="27"/>
      <c r="J349" s="27"/>
      <c r="K349" s="27"/>
      <c r="L349" s="27"/>
      <c r="M349" s="27"/>
      <c r="N349" s="27"/>
      <c r="O349" s="27"/>
      <c r="P349" s="27"/>
      <c r="Q349" s="27"/>
      <c r="R349" s="27"/>
      <c r="S349" s="27"/>
      <c r="T349" s="27"/>
      <c r="U349" s="27"/>
      <c r="V349" s="27"/>
      <c r="W349" s="27"/>
      <c r="X349" s="27"/>
      <c r="Y349" s="27"/>
      <c r="Z349" s="27"/>
      <c r="AA349" s="27"/>
      <c r="AB349" s="27"/>
      <c r="AC349" s="27"/>
      <c r="AD349" s="27"/>
      <c r="AE349" s="27"/>
      <c r="AF349" s="27"/>
      <c r="AG349" s="27"/>
      <c r="AH349" s="27"/>
      <c r="AI349" s="27"/>
      <c r="AJ349" s="27"/>
      <c r="AK349" s="27"/>
      <c r="AL349" s="27"/>
      <c r="AM349" s="27"/>
      <c r="AN349" s="27"/>
      <c r="AO349" s="27"/>
      <c r="AP349" s="27"/>
      <c r="AQ349" s="27"/>
      <c r="AR349" s="27"/>
      <c r="AS349" s="27"/>
      <c r="AT349" s="27"/>
      <c r="AU349" s="27"/>
      <c r="AV349" s="27"/>
      <c r="AW349" s="27"/>
      <c r="AX349" s="27"/>
      <c r="AY349" s="27"/>
      <c r="AZ349" s="27"/>
      <c r="BA349" s="27"/>
      <c r="BB349" s="27"/>
      <c r="BC349" s="27"/>
      <c r="BD349" s="27"/>
      <c r="BE349" s="27"/>
      <c r="BF349" s="27"/>
      <c r="BG349" s="27"/>
      <c r="BH349" s="27"/>
      <c r="BI349" s="27"/>
      <c r="BJ349" s="27"/>
      <c r="BK349" s="27"/>
      <c r="BL349" s="27"/>
      <c r="BM349" s="27"/>
      <c r="BN349" s="27"/>
      <c r="BO349" s="27"/>
      <c r="BP349" s="27"/>
      <c r="BQ349" s="27"/>
      <c r="BR349" s="27"/>
      <c r="BS349" s="27"/>
      <c r="BT349" s="27"/>
      <c r="BU349" s="27"/>
      <c r="BV349" s="27"/>
      <c r="BW349" s="27"/>
      <c r="BX349" s="27"/>
      <c r="BY349" s="27"/>
      <c r="BZ349" s="27"/>
      <c r="CA349" s="27"/>
      <c r="CB349" s="27"/>
      <c r="CC349" s="27"/>
      <c r="CD349" s="27"/>
      <c r="CE349" s="27"/>
      <c r="CF349" s="27"/>
      <c r="CG349" s="27"/>
      <c r="CH349" s="27"/>
      <c r="CI349" s="27"/>
      <c r="CJ349" s="27"/>
      <c r="CK349" s="27"/>
      <c r="CL349" s="27"/>
      <c r="CM349" s="27"/>
      <c r="CN349" s="27"/>
      <c r="CO349" s="27"/>
      <c r="CP349" s="27"/>
      <c r="CQ349" s="27"/>
      <c r="CR349" s="27"/>
      <c r="CS349" s="27"/>
      <c r="CT349" s="27"/>
      <c r="CU349" s="27"/>
      <c r="CV349" s="27"/>
      <c r="CW349" s="27"/>
      <c r="CX349" s="27"/>
      <c r="CY349" s="27"/>
      <c r="CZ349" s="27"/>
      <c r="DA349" s="27"/>
      <c r="DB349" s="27"/>
      <c r="DC349" s="27"/>
      <c r="DD349" s="27"/>
      <c r="DE349" s="27"/>
      <c r="DF349" s="27"/>
      <c r="DG349" s="27"/>
      <c r="DH349" s="27"/>
      <c r="DI349" s="27"/>
      <c r="DJ349" s="27"/>
      <c r="DK349" s="27"/>
      <c r="DL349" s="27"/>
      <c r="DM349" s="27"/>
      <c r="DN349" s="27"/>
      <c r="DO349" s="27"/>
      <c r="DP349" s="27"/>
      <c r="DQ349" s="27"/>
      <c r="DR349" s="27"/>
      <c r="DS349" s="27"/>
      <c r="DT349" s="27"/>
    </row>
    <row r="350" spans="2:124" x14ac:dyDescent="0.2">
      <c r="B350" s="27"/>
      <c r="C350" s="27"/>
      <c r="D350" s="27"/>
      <c r="E350" s="27"/>
      <c r="F350" s="27"/>
      <c r="G350" s="27"/>
      <c r="H350" s="27"/>
      <c r="I350" s="27"/>
      <c r="J350" s="27"/>
      <c r="K350" s="27"/>
      <c r="L350" s="27"/>
      <c r="M350" s="27"/>
      <c r="N350" s="27"/>
      <c r="O350" s="27"/>
      <c r="P350" s="27"/>
      <c r="Q350" s="27"/>
      <c r="R350" s="27"/>
      <c r="S350" s="27"/>
      <c r="T350" s="27"/>
      <c r="U350" s="27"/>
      <c r="V350" s="27"/>
      <c r="W350" s="27"/>
      <c r="X350" s="27"/>
      <c r="Y350" s="27"/>
      <c r="Z350" s="27"/>
      <c r="AA350" s="27"/>
      <c r="AB350" s="27"/>
      <c r="AC350" s="27"/>
      <c r="AD350" s="27"/>
      <c r="AE350" s="27"/>
      <c r="AF350" s="27"/>
      <c r="AG350" s="27"/>
      <c r="AH350" s="27"/>
      <c r="AI350" s="27"/>
      <c r="AJ350" s="27"/>
      <c r="AK350" s="27"/>
      <c r="AL350" s="27"/>
      <c r="AM350" s="27"/>
      <c r="AN350" s="27"/>
      <c r="AO350" s="27"/>
      <c r="AP350" s="27"/>
      <c r="AQ350" s="27"/>
      <c r="AR350" s="27"/>
      <c r="AS350" s="27"/>
      <c r="AT350" s="27"/>
      <c r="AU350" s="27"/>
      <c r="AV350" s="27"/>
      <c r="AW350" s="27"/>
      <c r="AX350" s="27"/>
      <c r="AY350" s="27"/>
      <c r="AZ350" s="27"/>
      <c r="BA350" s="27"/>
      <c r="BB350" s="27"/>
      <c r="BC350" s="27"/>
      <c r="BD350" s="27"/>
      <c r="BE350" s="27"/>
      <c r="BF350" s="27"/>
      <c r="BG350" s="27"/>
      <c r="BH350" s="27"/>
      <c r="BI350" s="27"/>
      <c r="BJ350" s="27"/>
      <c r="BK350" s="27"/>
      <c r="BL350" s="27"/>
      <c r="BM350" s="27"/>
      <c r="BN350" s="27"/>
      <c r="BO350" s="27"/>
      <c r="BP350" s="27"/>
      <c r="BQ350" s="27"/>
      <c r="BR350" s="27"/>
      <c r="BS350" s="27"/>
      <c r="BT350" s="27"/>
      <c r="BU350" s="27"/>
      <c r="BV350" s="27"/>
      <c r="BW350" s="27"/>
      <c r="BX350" s="27"/>
      <c r="BY350" s="27"/>
      <c r="BZ350" s="27"/>
      <c r="CA350" s="27"/>
      <c r="CB350" s="27"/>
      <c r="CC350" s="27"/>
      <c r="CD350" s="27"/>
      <c r="CE350" s="27"/>
      <c r="CF350" s="27"/>
      <c r="CG350" s="27"/>
      <c r="CH350" s="27"/>
      <c r="CI350" s="27"/>
      <c r="CJ350" s="27"/>
      <c r="CK350" s="27"/>
      <c r="CL350" s="27"/>
      <c r="CM350" s="27"/>
      <c r="CN350" s="27"/>
      <c r="CO350" s="27"/>
      <c r="CP350" s="27"/>
      <c r="CQ350" s="27"/>
      <c r="CR350" s="27"/>
      <c r="CS350" s="27"/>
      <c r="CT350" s="27"/>
      <c r="CU350" s="27"/>
      <c r="CV350" s="27"/>
      <c r="CW350" s="27"/>
      <c r="CX350" s="27"/>
      <c r="CY350" s="27"/>
      <c r="CZ350" s="27"/>
      <c r="DA350" s="27"/>
      <c r="DB350" s="27"/>
      <c r="DC350" s="27"/>
      <c r="DD350" s="27"/>
      <c r="DE350" s="27"/>
      <c r="DF350" s="27"/>
      <c r="DG350" s="27"/>
      <c r="DH350" s="27"/>
      <c r="DI350" s="27"/>
      <c r="DJ350" s="27"/>
      <c r="DK350" s="27"/>
      <c r="DL350" s="27"/>
      <c r="DM350" s="27"/>
      <c r="DN350" s="27"/>
      <c r="DO350" s="27"/>
      <c r="DP350" s="27"/>
      <c r="DQ350" s="27"/>
      <c r="DR350" s="27"/>
      <c r="DS350" s="27"/>
      <c r="DT350" s="27"/>
    </row>
    <row r="351" spans="2:124" x14ac:dyDescent="0.2">
      <c r="B351" s="27"/>
      <c r="C351" s="27"/>
      <c r="D351" s="27"/>
      <c r="E351" s="27"/>
      <c r="F351" s="27"/>
      <c r="G351" s="27"/>
      <c r="H351" s="27"/>
      <c r="I351" s="27"/>
      <c r="J351" s="27"/>
      <c r="K351" s="27"/>
      <c r="L351" s="27"/>
      <c r="M351" s="27"/>
      <c r="N351" s="27"/>
      <c r="O351" s="27"/>
      <c r="P351" s="27"/>
      <c r="Q351" s="27"/>
      <c r="R351" s="27"/>
      <c r="S351" s="27"/>
      <c r="T351" s="27"/>
      <c r="U351" s="27"/>
      <c r="V351" s="27"/>
      <c r="W351" s="27"/>
      <c r="X351" s="27"/>
      <c r="Y351" s="27"/>
      <c r="Z351" s="27"/>
      <c r="AA351" s="27"/>
      <c r="AB351" s="27"/>
      <c r="AC351" s="27"/>
      <c r="AD351" s="27"/>
      <c r="AE351" s="27"/>
      <c r="AF351" s="27"/>
      <c r="AG351" s="27"/>
      <c r="AH351" s="27"/>
      <c r="AI351" s="27"/>
      <c r="AJ351" s="27"/>
      <c r="AK351" s="27"/>
      <c r="AL351" s="27"/>
      <c r="AM351" s="27"/>
      <c r="AN351" s="27"/>
      <c r="AO351" s="27"/>
      <c r="AP351" s="27"/>
      <c r="AQ351" s="27"/>
      <c r="AR351" s="27"/>
      <c r="AS351" s="27"/>
      <c r="AT351" s="27"/>
      <c r="AU351" s="27"/>
      <c r="AV351" s="27"/>
      <c r="AW351" s="27"/>
      <c r="AX351" s="27"/>
      <c r="AY351" s="27"/>
      <c r="AZ351" s="27"/>
      <c r="BA351" s="27"/>
      <c r="BB351" s="27"/>
      <c r="BC351" s="27"/>
      <c r="BD351" s="27"/>
      <c r="BE351" s="27"/>
      <c r="BF351" s="27"/>
      <c r="BG351" s="27"/>
      <c r="BH351" s="27"/>
      <c r="BI351" s="27"/>
      <c r="BJ351" s="27"/>
      <c r="BK351" s="27"/>
      <c r="BL351" s="27"/>
      <c r="BM351" s="27"/>
      <c r="BN351" s="27"/>
      <c r="BO351" s="27"/>
      <c r="BP351" s="27"/>
      <c r="BQ351" s="27"/>
      <c r="BR351" s="27"/>
      <c r="BS351" s="27"/>
      <c r="BT351" s="27"/>
      <c r="BU351" s="27"/>
      <c r="BV351" s="27"/>
      <c r="BW351" s="27"/>
      <c r="BX351" s="27"/>
      <c r="BY351" s="27"/>
      <c r="BZ351" s="27"/>
      <c r="CA351" s="27"/>
      <c r="CB351" s="27"/>
      <c r="CC351" s="27"/>
      <c r="CD351" s="27"/>
      <c r="CE351" s="27"/>
      <c r="CF351" s="27"/>
      <c r="CG351" s="27"/>
      <c r="CH351" s="27"/>
      <c r="CI351" s="27"/>
      <c r="CJ351" s="27"/>
      <c r="CK351" s="27"/>
      <c r="CL351" s="27"/>
      <c r="CM351" s="27"/>
      <c r="CN351" s="27"/>
      <c r="CO351" s="27"/>
      <c r="CP351" s="27"/>
      <c r="CQ351" s="27"/>
      <c r="CR351" s="27"/>
      <c r="CS351" s="27"/>
      <c r="CT351" s="27"/>
      <c r="CU351" s="27"/>
      <c r="CV351" s="27"/>
      <c r="CW351" s="27"/>
      <c r="CX351" s="27"/>
      <c r="CY351" s="27"/>
      <c r="CZ351" s="27"/>
      <c r="DA351" s="27"/>
      <c r="DB351" s="27"/>
      <c r="DC351" s="27"/>
      <c r="DD351" s="27"/>
      <c r="DE351" s="27"/>
      <c r="DF351" s="27"/>
      <c r="DG351" s="27"/>
      <c r="DH351" s="27"/>
      <c r="DI351" s="27"/>
      <c r="DJ351" s="27"/>
      <c r="DK351" s="27"/>
      <c r="DL351" s="27"/>
      <c r="DM351" s="27"/>
      <c r="DN351" s="27"/>
      <c r="DO351" s="27"/>
      <c r="DP351" s="27"/>
      <c r="DQ351" s="27"/>
      <c r="DR351" s="27"/>
      <c r="DS351" s="27"/>
      <c r="DT351" s="27"/>
    </row>
    <row r="352" spans="2:124" x14ac:dyDescent="0.2">
      <c r="B352" s="27"/>
      <c r="C352" s="27"/>
      <c r="D352" s="27"/>
      <c r="E352" s="27"/>
      <c r="F352" s="27"/>
      <c r="G352" s="27"/>
      <c r="H352" s="27"/>
      <c r="I352" s="27"/>
      <c r="J352" s="27"/>
      <c r="K352" s="27"/>
      <c r="L352" s="27"/>
      <c r="M352" s="27"/>
      <c r="N352" s="27"/>
      <c r="O352" s="27"/>
      <c r="P352" s="27"/>
      <c r="Q352" s="27"/>
      <c r="R352" s="27"/>
      <c r="S352" s="27"/>
      <c r="T352" s="27"/>
      <c r="U352" s="27"/>
      <c r="V352" s="27"/>
      <c r="W352" s="27"/>
      <c r="X352" s="27"/>
      <c r="Y352" s="27"/>
      <c r="Z352" s="27"/>
      <c r="AA352" s="27"/>
      <c r="AB352" s="27"/>
      <c r="AC352" s="27"/>
      <c r="AD352" s="27"/>
      <c r="AE352" s="27"/>
      <c r="AF352" s="27"/>
      <c r="AG352" s="27"/>
      <c r="AH352" s="27"/>
      <c r="AI352" s="27"/>
      <c r="AJ352" s="27"/>
      <c r="AK352" s="27"/>
      <c r="AL352" s="27"/>
      <c r="AM352" s="27"/>
      <c r="AN352" s="27"/>
      <c r="AO352" s="27"/>
      <c r="AP352" s="27"/>
      <c r="AQ352" s="27"/>
      <c r="AR352" s="27"/>
      <c r="AS352" s="27"/>
      <c r="AT352" s="27"/>
      <c r="AU352" s="27"/>
      <c r="AV352" s="27"/>
      <c r="AW352" s="27"/>
      <c r="AX352" s="27"/>
      <c r="AY352" s="27"/>
      <c r="AZ352" s="27"/>
      <c r="BA352" s="27"/>
      <c r="BB352" s="27"/>
      <c r="BC352" s="27"/>
      <c r="BD352" s="27"/>
      <c r="BE352" s="27"/>
      <c r="BF352" s="27"/>
      <c r="BG352" s="27"/>
      <c r="BH352" s="27"/>
      <c r="BI352" s="27"/>
      <c r="BJ352" s="27"/>
      <c r="BK352" s="27"/>
      <c r="BL352" s="27"/>
      <c r="BM352" s="27"/>
      <c r="BN352" s="27"/>
      <c r="BO352" s="27"/>
      <c r="BP352" s="27"/>
      <c r="BQ352" s="27"/>
      <c r="BR352" s="27"/>
      <c r="BS352" s="27"/>
      <c r="BT352" s="27"/>
      <c r="BU352" s="27"/>
      <c r="BV352" s="27"/>
      <c r="BW352" s="27"/>
      <c r="BX352" s="27"/>
      <c r="BY352" s="27"/>
      <c r="BZ352" s="27"/>
      <c r="CA352" s="27"/>
      <c r="CB352" s="27"/>
      <c r="CC352" s="27"/>
      <c r="CD352" s="27"/>
      <c r="CE352" s="27"/>
      <c r="CF352" s="27"/>
      <c r="CG352" s="27"/>
      <c r="CH352" s="27"/>
      <c r="CI352" s="27"/>
      <c r="CJ352" s="27"/>
      <c r="CK352" s="27"/>
      <c r="CL352" s="27"/>
      <c r="CM352" s="27"/>
      <c r="CN352" s="27"/>
      <c r="CO352" s="27"/>
      <c r="CP352" s="27"/>
      <c r="CQ352" s="27"/>
      <c r="CR352" s="27"/>
      <c r="CS352" s="27"/>
      <c r="CT352" s="27"/>
      <c r="CU352" s="27"/>
      <c r="CV352" s="27"/>
      <c r="CW352" s="27"/>
      <c r="CX352" s="27"/>
      <c r="CY352" s="27"/>
      <c r="CZ352" s="27"/>
      <c r="DA352" s="27"/>
      <c r="DB352" s="27"/>
      <c r="DC352" s="27"/>
      <c r="DD352" s="27"/>
      <c r="DE352" s="27"/>
      <c r="DF352" s="27"/>
      <c r="DG352" s="27"/>
      <c r="DH352" s="27"/>
      <c r="DI352" s="27"/>
      <c r="DJ352" s="27"/>
      <c r="DK352" s="27"/>
      <c r="DL352" s="27"/>
      <c r="DM352" s="27"/>
      <c r="DN352" s="27"/>
      <c r="DO352" s="27"/>
      <c r="DP352" s="27"/>
      <c r="DQ352" s="27"/>
      <c r="DR352" s="27"/>
      <c r="DS352" s="27"/>
      <c r="DT352" s="27"/>
    </row>
    <row r="353" spans="2:124" x14ac:dyDescent="0.2">
      <c r="B353" s="27"/>
      <c r="C353" s="27"/>
      <c r="D353" s="27"/>
      <c r="E353" s="27"/>
      <c r="F353" s="27"/>
      <c r="G353" s="27"/>
      <c r="H353" s="27"/>
      <c r="I353" s="27"/>
      <c r="J353" s="27"/>
      <c r="K353" s="27"/>
      <c r="L353" s="27"/>
      <c r="M353" s="27"/>
      <c r="N353" s="27"/>
      <c r="O353" s="27"/>
      <c r="P353" s="27"/>
      <c r="Q353" s="27"/>
      <c r="R353" s="27"/>
      <c r="S353" s="27"/>
      <c r="T353" s="27"/>
      <c r="U353" s="27"/>
      <c r="V353" s="27"/>
      <c r="W353" s="27"/>
      <c r="X353" s="27"/>
      <c r="Y353" s="27"/>
      <c r="Z353" s="27"/>
      <c r="AA353" s="27"/>
      <c r="AB353" s="27"/>
      <c r="AC353" s="27"/>
      <c r="AD353" s="27"/>
      <c r="AE353" s="27"/>
      <c r="AF353" s="27"/>
      <c r="AG353" s="27"/>
      <c r="AH353" s="27"/>
      <c r="AI353" s="27"/>
      <c r="AJ353" s="27"/>
      <c r="AK353" s="27"/>
      <c r="AL353" s="27"/>
      <c r="AM353" s="27"/>
      <c r="AN353" s="27"/>
      <c r="AO353" s="27"/>
      <c r="AP353" s="27"/>
      <c r="AQ353" s="27"/>
      <c r="AR353" s="27"/>
      <c r="AS353" s="27"/>
      <c r="AT353" s="27"/>
      <c r="AU353" s="27"/>
      <c r="AV353" s="27"/>
      <c r="AW353" s="27"/>
      <c r="AX353" s="27"/>
      <c r="AY353" s="27"/>
      <c r="AZ353" s="27"/>
      <c r="BA353" s="27"/>
      <c r="BB353" s="27"/>
      <c r="BC353" s="27"/>
      <c r="BD353" s="27"/>
      <c r="BE353" s="27"/>
      <c r="BF353" s="27"/>
      <c r="BG353" s="27"/>
      <c r="BH353" s="27"/>
      <c r="BI353" s="27"/>
      <c r="BJ353" s="27"/>
      <c r="BK353" s="27"/>
      <c r="BL353" s="27"/>
      <c r="BM353" s="27"/>
      <c r="BN353" s="27"/>
      <c r="BO353" s="27"/>
      <c r="BP353" s="27"/>
      <c r="BQ353" s="27"/>
      <c r="BR353" s="27"/>
      <c r="BS353" s="27"/>
      <c r="BT353" s="27"/>
      <c r="BU353" s="27"/>
      <c r="BV353" s="27"/>
      <c r="BW353" s="27"/>
      <c r="BX353" s="27"/>
      <c r="BY353" s="27"/>
      <c r="BZ353" s="27"/>
      <c r="CA353" s="27"/>
      <c r="CB353" s="27"/>
      <c r="CC353" s="27"/>
      <c r="CD353" s="27"/>
      <c r="CE353" s="27"/>
      <c r="CF353" s="27"/>
      <c r="CG353" s="27"/>
      <c r="CH353" s="27"/>
      <c r="CI353" s="27"/>
      <c r="CJ353" s="27"/>
      <c r="CK353" s="27"/>
      <c r="CL353" s="27"/>
      <c r="CM353" s="27"/>
      <c r="CN353" s="27"/>
      <c r="CO353" s="27"/>
      <c r="CP353" s="27"/>
      <c r="CQ353" s="27"/>
      <c r="CR353" s="27"/>
      <c r="CS353" s="27"/>
      <c r="CT353" s="27"/>
      <c r="CU353" s="27"/>
      <c r="CV353" s="27"/>
      <c r="CW353" s="27"/>
      <c r="CX353" s="27"/>
      <c r="CY353" s="27"/>
      <c r="CZ353" s="27"/>
      <c r="DA353" s="27"/>
      <c r="DB353" s="27"/>
      <c r="DC353" s="27"/>
      <c r="DD353" s="27"/>
      <c r="DE353" s="27"/>
      <c r="DF353" s="27"/>
      <c r="DG353" s="27"/>
      <c r="DH353" s="27"/>
      <c r="DI353" s="27"/>
      <c r="DJ353" s="27"/>
      <c r="DK353" s="27"/>
      <c r="DL353" s="27"/>
      <c r="DM353" s="27"/>
      <c r="DN353" s="27"/>
      <c r="DO353" s="27"/>
      <c r="DP353" s="27"/>
      <c r="DQ353" s="27"/>
      <c r="DR353" s="27"/>
      <c r="DS353" s="27"/>
      <c r="DT353" s="27"/>
    </row>
    <row r="354" spans="2:124" x14ac:dyDescent="0.2">
      <c r="B354" s="27"/>
      <c r="C354" s="27"/>
      <c r="D354" s="27"/>
      <c r="E354" s="27"/>
      <c r="F354" s="27"/>
      <c r="G354" s="27"/>
      <c r="H354" s="27"/>
      <c r="I354" s="27"/>
      <c r="J354" s="27"/>
      <c r="K354" s="27"/>
      <c r="L354" s="27"/>
      <c r="M354" s="27"/>
      <c r="N354" s="27"/>
      <c r="O354" s="27"/>
      <c r="P354" s="27"/>
      <c r="Q354" s="27"/>
      <c r="R354" s="27"/>
      <c r="S354" s="27"/>
      <c r="T354" s="27"/>
      <c r="U354" s="27"/>
      <c r="V354" s="27"/>
      <c r="W354" s="27"/>
      <c r="X354" s="27"/>
      <c r="Y354" s="27"/>
      <c r="Z354" s="27"/>
      <c r="AA354" s="27"/>
      <c r="AB354" s="27"/>
      <c r="AC354" s="27"/>
      <c r="AD354" s="27"/>
      <c r="AE354" s="27"/>
      <c r="AF354" s="27"/>
      <c r="AG354" s="27"/>
      <c r="AH354" s="27"/>
      <c r="AI354" s="27"/>
      <c r="AJ354" s="27"/>
      <c r="AK354" s="27"/>
      <c r="AL354" s="27"/>
      <c r="AM354" s="27"/>
      <c r="AN354" s="27"/>
      <c r="AO354" s="27"/>
      <c r="AP354" s="27"/>
      <c r="AQ354" s="27"/>
      <c r="AR354" s="27"/>
      <c r="AS354" s="27"/>
      <c r="AT354" s="27"/>
      <c r="AU354" s="27"/>
      <c r="AV354" s="27"/>
      <c r="AW354" s="27"/>
      <c r="AX354" s="27"/>
      <c r="AY354" s="27"/>
      <c r="AZ354" s="27"/>
      <c r="BA354" s="27"/>
      <c r="BB354" s="27"/>
      <c r="BC354" s="27"/>
      <c r="BD354" s="27"/>
      <c r="BE354" s="27"/>
      <c r="BF354" s="27"/>
      <c r="BG354" s="27"/>
      <c r="BH354" s="27"/>
      <c r="BI354" s="27"/>
      <c r="BJ354" s="27"/>
      <c r="BK354" s="27"/>
      <c r="BL354" s="27"/>
      <c r="BM354" s="27"/>
      <c r="BN354" s="27"/>
      <c r="BO354" s="27"/>
      <c r="BP354" s="27"/>
      <c r="BQ354" s="27"/>
      <c r="BR354" s="27"/>
      <c r="BS354" s="27"/>
      <c r="BT354" s="27"/>
      <c r="BU354" s="27"/>
      <c r="BV354" s="27"/>
      <c r="BW354" s="27"/>
      <c r="BX354" s="27"/>
      <c r="BY354" s="27"/>
      <c r="BZ354" s="27"/>
      <c r="CA354" s="27"/>
      <c r="CB354" s="27"/>
      <c r="CC354" s="27"/>
      <c r="CD354" s="27"/>
      <c r="CE354" s="27"/>
      <c r="CF354" s="27"/>
      <c r="CG354" s="27"/>
      <c r="CH354" s="27"/>
      <c r="CI354" s="27"/>
      <c r="CJ354" s="27"/>
      <c r="CK354" s="27"/>
      <c r="CL354" s="27"/>
      <c r="CM354" s="27"/>
      <c r="CN354" s="27"/>
      <c r="CO354" s="27"/>
      <c r="CP354" s="27"/>
      <c r="CQ354" s="27"/>
      <c r="CR354" s="27"/>
      <c r="CS354" s="27"/>
      <c r="CT354" s="27"/>
      <c r="CU354" s="27"/>
      <c r="CV354" s="27"/>
      <c r="CW354" s="27"/>
      <c r="CX354" s="27"/>
      <c r="CY354" s="27"/>
      <c r="CZ354" s="27"/>
      <c r="DA354" s="27"/>
      <c r="DB354" s="27"/>
      <c r="DC354" s="27"/>
      <c r="DD354" s="27"/>
      <c r="DE354" s="27"/>
      <c r="DF354" s="27"/>
      <c r="DG354" s="27"/>
      <c r="DH354" s="27"/>
      <c r="DI354" s="27"/>
      <c r="DJ354" s="27"/>
      <c r="DK354" s="27"/>
      <c r="DL354" s="27"/>
      <c r="DM354" s="27"/>
      <c r="DN354" s="27"/>
      <c r="DO354" s="27"/>
      <c r="DP354" s="27"/>
      <c r="DQ354" s="27"/>
      <c r="DR354" s="27"/>
      <c r="DS354" s="27"/>
      <c r="DT354" s="27"/>
    </row>
    <row r="355" spans="2:124" x14ac:dyDescent="0.2">
      <c r="B355" s="27"/>
      <c r="C355" s="27"/>
      <c r="D355" s="27"/>
      <c r="E355" s="27"/>
      <c r="F355" s="27"/>
      <c r="G355" s="27"/>
      <c r="H355" s="27"/>
      <c r="I355" s="27"/>
      <c r="J355" s="27"/>
      <c r="K355" s="27"/>
      <c r="L355" s="27"/>
      <c r="M355" s="27"/>
      <c r="N355" s="27"/>
      <c r="O355" s="27"/>
      <c r="P355" s="27"/>
      <c r="Q355" s="27"/>
      <c r="R355" s="27"/>
      <c r="S355" s="27"/>
      <c r="T355" s="27"/>
      <c r="U355" s="27"/>
      <c r="V355" s="27"/>
      <c r="W355" s="27"/>
      <c r="X355" s="27"/>
      <c r="Y355" s="27"/>
      <c r="Z355" s="27"/>
      <c r="AA355" s="27"/>
      <c r="AB355" s="27"/>
      <c r="AC355" s="27"/>
      <c r="AD355" s="27"/>
      <c r="AE355" s="27"/>
      <c r="AF355" s="27"/>
      <c r="AG355" s="27"/>
      <c r="AH355" s="27"/>
      <c r="AI355" s="27"/>
      <c r="AJ355" s="27"/>
      <c r="AK355" s="27"/>
      <c r="AL355" s="27"/>
      <c r="AM355" s="27"/>
      <c r="AN355" s="27"/>
      <c r="AO355" s="27"/>
      <c r="AP355" s="27"/>
      <c r="AQ355" s="27"/>
      <c r="AR355" s="27"/>
      <c r="AS355" s="27"/>
      <c r="AT355" s="27"/>
      <c r="AU355" s="27"/>
      <c r="AV355" s="27"/>
      <c r="AW355" s="27"/>
      <c r="AX355" s="27"/>
      <c r="AY355" s="27"/>
      <c r="AZ355" s="27"/>
      <c r="BA355" s="27"/>
      <c r="BB355" s="27"/>
      <c r="BC355" s="27"/>
      <c r="BD355" s="27"/>
      <c r="BE355" s="27"/>
      <c r="BF355" s="27"/>
      <c r="BG355" s="27"/>
      <c r="BH355" s="27"/>
      <c r="BI355" s="27"/>
      <c r="BJ355" s="27"/>
      <c r="BK355" s="27"/>
      <c r="BL355" s="27"/>
      <c r="BM355" s="27"/>
      <c r="BN355" s="27"/>
      <c r="BO355" s="27"/>
      <c r="BP355" s="27"/>
      <c r="BQ355" s="27"/>
      <c r="BR355" s="27"/>
      <c r="BS355" s="27"/>
      <c r="BT355" s="27"/>
      <c r="BU355" s="27"/>
      <c r="BV355" s="27"/>
      <c r="BW355" s="27"/>
      <c r="BX355" s="27"/>
      <c r="BY355" s="27"/>
      <c r="BZ355" s="27"/>
      <c r="CA355" s="27"/>
      <c r="CB355" s="27"/>
      <c r="CC355" s="27"/>
      <c r="CD355" s="27"/>
      <c r="CE355" s="27"/>
      <c r="CF355" s="27"/>
      <c r="CG355" s="27"/>
      <c r="CH355" s="27"/>
      <c r="CI355" s="27"/>
      <c r="CJ355" s="27"/>
      <c r="CK355" s="27"/>
      <c r="CL355" s="27"/>
      <c r="CM355" s="27"/>
      <c r="CN355" s="27"/>
      <c r="CO355" s="27"/>
      <c r="CP355" s="27"/>
      <c r="CQ355" s="27"/>
      <c r="CR355" s="27"/>
      <c r="CS355" s="27"/>
      <c r="CT355" s="27"/>
      <c r="CU355" s="27"/>
      <c r="CV355" s="27"/>
      <c r="CW355" s="27"/>
      <c r="CX355" s="27"/>
      <c r="CY355" s="27"/>
      <c r="CZ355" s="27"/>
      <c r="DA355" s="27"/>
      <c r="DB355" s="27"/>
      <c r="DC355" s="27"/>
      <c r="DD355" s="27"/>
      <c r="DE355" s="27"/>
      <c r="DF355" s="27"/>
      <c r="DG355" s="27"/>
      <c r="DH355" s="27"/>
      <c r="DI355" s="27"/>
      <c r="DJ355" s="27"/>
      <c r="DK355" s="27"/>
      <c r="DL355" s="27"/>
      <c r="DM355" s="27"/>
      <c r="DN355" s="27"/>
      <c r="DO355" s="27"/>
      <c r="DP355" s="27"/>
      <c r="DQ355" s="27"/>
      <c r="DR355" s="27"/>
      <c r="DS355" s="27"/>
      <c r="DT355" s="27"/>
    </row>
    <row r="356" spans="2:124" x14ac:dyDescent="0.2">
      <c r="B356" s="27"/>
      <c r="C356" s="27"/>
      <c r="D356" s="27"/>
      <c r="E356" s="27"/>
      <c r="F356" s="27"/>
      <c r="G356" s="27"/>
      <c r="H356" s="27"/>
      <c r="I356" s="27"/>
      <c r="J356" s="27"/>
      <c r="K356" s="27"/>
      <c r="L356" s="27"/>
      <c r="M356" s="27"/>
      <c r="N356" s="27"/>
      <c r="O356" s="27"/>
      <c r="P356" s="27"/>
      <c r="Q356" s="27"/>
      <c r="R356" s="27"/>
      <c r="S356" s="27"/>
      <c r="T356" s="27"/>
      <c r="U356" s="27"/>
      <c r="V356" s="27"/>
      <c r="W356" s="27"/>
      <c r="X356" s="27"/>
      <c r="Y356" s="27"/>
      <c r="Z356" s="27"/>
      <c r="AA356" s="27"/>
      <c r="AB356" s="27"/>
      <c r="AC356" s="27"/>
      <c r="AD356" s="27"/>
      <c r="AE356" s="27"/>
      <c r="AF356" s="27"/>
      <c r="AG356" s="27"/>
      <c r="AH356" s="27"/>
      <c r="AI356" s="27"/>
      <c r="AJ356" s="27"/>
      <c r="AK356" s="27"/>
      <c r="AL356" s="27"/>
      <c r="AM356" s="27"/>
      <c r="AN356" s="27"/>
      <c r="AO356" s="27"/>
      <c r="AP356" s="27"/>
      <c r="AQ356" s="27"/>
      <c r="AR356" s="27"/>
      <c r="AS356" s="27"/>
      <c r="AT356" s="27"/>
      <c r="AU356" s="27"/>
      <c r="AV356" s="27"/>
      <c r="AW356" s="27"/>
      <c r="AX356" s="27"/>
      <c r="AY356" s="27"/>
      <c r="AZ356" s="27"/>
      <c r="BA356" s="27"/>
      <c r="BB356" s="27"/>
      <c r="BC356" s="27"/>
      <c r="BD356" s="27"/>
      <c r="BE356" s="27"/>
      <c r="BF356" s="27"/>
      <c r="BG356" s="27"/>
      <c r="BH356" s="27"/>
      <c r="BI356" s="27"/>
      <c r="BJ356" s="27"/>
      <c r="BK356" s="27"/>
      <c r="BL356" s="27"/>
      <c r="BM356" s="27"/>
      <c r="BN356" s="27"/>
      <c r="BO356" s="27"/>
      <c r="BP356" s="27"/>
      <c r="BQ356" s="27"/>
      <c r="BR356" s="27"/>
      <c r="BS356" s="27"/>
      <c r="BT356" s="27"/>
      <c r="BU356" s="27"/>
      <c r="BV356" s="27"/>
      <c r="BW356" s="27"/>
      <c r="BX356" s="27"/>
      <c r="BY356" s="27"/>
      <c r="BZ356" s="27"/>
      <c r="CA356" s="27"/>
      <c r="CB356" s="27"/>
      <c r="CC356" s="27"/>
      <c r="CD356" s="27"/>
      <c r="CE356" s="27"/>
      <c r="CF356" s="27"/>
      <c r="CG356" s="27"/>
      <c r="CH356" s="27"/>
      <c r="CI356" s="27"/>
      <c r="CJ356" s="27"/>
      <c r="CK356" s="27"/>
      <c r="CL356" s="27"/>
      <c r="CM356" s="27"/>
      <c r="CN356" s="27"/>
      <c r="CO356" s="27"/>
      <c r="CP356" s="27"/>
      <c r="CQ356" s="27"/>
      <c r="CR356" s="27"/>
      <c r="CS356" s="27"/>
      <c r="CT356" s="27"/>
      <c r="CU356" s="27"/>
      <c r="CV356" s="27"/>
      <c r="CW356" s="27"/>
      <c r="CX356" s="27"/>
      <c r="CY356" s="27"/>
      <c r="CZ356" s="27"/>
      <c r="DA356" s="27"/>
      <c r="DB356" s="27"/>
      <c r="DC356" s="27"/>
      <c r="DD356" s="27"/>
      <c r="DE356" s="27"/>
      <c r="DF356" s="27"/>
      <c r="DG356" s="27"/>
      <c r="DH356" s="27"/>
      <c r="DI356" s="27"/>
      <c r="DJ356" s="27"/>
      <c r="DK356" s="27"/>
      <c r="DL356" s="27"/>
      <c r="DM356" s="27"/>
      <c r="DN356" s="27"/>
      <c r="DO356" s="27"/>
      <c r="DP356" s="27"/>
      <c r="DQ356" s="27"/>
      <c r="DR356" s="27"/>
      <c r="DS356" s="27"/>
      <c r="DT356" s="27"/>
    </row>
    <row r="357" spans="2:124" x14ac:dyDescent="0.2">
      <c r="B357" s="27"/>
      <c r="C357" s="27"/>
      <c r="D357" s="27"/>
      <c r="E357" s="27"/>
      <c r="F357" s="27"/>
      <c r="G357" s="27"/>
      <c r="H357" s="27"/>
      <c r="I357" s="27"/>
      <c r="J357" s="27"/>
      <c r="K357" s="27"/>
      <c r="L357" s="27"/>
      <c r="M357" s="27"/>
      <c r="N357" s="27"/>
      <c r="O357" s="27"/>
      <c r="P357" s="27"/>
      <c r="Q357" s="27"/>
      <c r="R357" s="27"/>
      <c r="S357" s="27"/>
      <c r="T357" s="27"/>
      <c r="U357" s="27"/>
      <c r="V357" s="27"/>
      <c r="W357" s="27"/>
      <c r="X357" s="27"/>
      <c r="Y357" s="27"/>
      <c r="Z357" s="27"/>
      <c r="AA357" s="27"/>
      <c r="AB357" s="27"/>
      <c r="AC357" s="27"/>
      <c r="AD357" s="27"/>
      <c r="AE357" s="27"/>
      <c r="AF357" s="27"/>
      <c r="AG357" s="27"/>
      <c r="AH357" s="27"/>
      <c r="AI357" s="27"/>
      <c r="AJ357" s="27"/>
      <c r="AK357" s="27"/>
      <c r="AL357" s="27"/>
      <c r="AM357" s="27"/>
      <c r="AN357" s="27"/>
      <c r="AO357" s="27"/>
      <c r="AP357" s="27"/>
      <c r="AQ357" s="27"/>
      <c r="AR357" s="27"/>
      <c r="AS357" s="27"/>
      <c r="AT357" s="27"/>
      <c r="AU357" s="27"/>
      <c r="AV357" s="27"/>
      <c r="AW357" s="27"/>
      <c r="AX357" s="27"/>
      <c r="AY357" s="27"/>
      <c r="AZ357" s="27"/>
      <c r="BA357" s="27"/>
      <c r="BB357" s="27"/>
      <c r="BC357" s="27"/>
      <c r="BD357" s="27"/>
      <c r="BE357" s="27"/>
      <c r="BF357" s="27"/>
      <c r="BG357" s="27"/>
      <c r="BH357" s="27"/>
      <c r="BI357" s="27"/>
      <c r="BJ357" s="27"/>
      <c r="BK357" s="27"/>
      <c r="BL357" s="27"/>
      <c r="BM357" s="27"/>
      <c r="BN357" s="27"/>
      <c r="BO357" s="27"/>
      <c r="BP357" s="27"/>
      <c r="BQ357" s="27"/>
      <c r="BR357" s="27"/>
      <c r="BS357" s="27"/>
      <c r="BT357" s="27"/>
      <c r="BU357" s="27"/>
      <c r="BV357" s="27"/>
      <c r="BW357" s="27"/>
      <c r="BX357" s="27"/>
      <c r="BY357" s="27"/>
      <c r="BZ357" s="27"/>
      <c r="CA357" s="27"/>
      <c r="CB357" s="27"/>
      <c r="CC357" s="27"/>
      <c r="CD357" s="27"/>
      <c r="CE357" s="27"/>
      <c r="CF357" s="27"/>
      <c r="CG357" s="27"/>
      <c r="CH357" s="27"/>
      <c r="CI357" s="27"/>
      <c r="CJ357" s="27"/>
      <c r="CK357" s="27"/>
      <c r="CL357" s="27"/>
      <c r="CM357" s="27"/>
      <c r="CN357" s="27"/>
      <c r="CO357" s="27"/>
      <c r="CP357" s="27"/>
      <c r="CQ357" s="27"/>
      <c r="CR357" s="27"/>
      <c r="CS357" s="27"/>
      <c r="CT357" s="27"/>
      <c r="CU357" s="27"/>
      <c r="CV357" s="27"/>
      <c r="CW357" s="27"/>
      <c r="CX357" s="27"/>
      <c r="CY357" s="27"/>
      <c r="CZ357" s="27"/>
      <c r="DA357" s="27"/>
      <c r="DB357" s="27"/>
      <c r="DC357" s="27"/>
      <c r="DD357" s="27"/>
      <c r="DE357" s="27"/>
      <c r="DF357" s="27"/>
      <c r="DG357" s="27"/>
      <c r="DH357" s="27"/>
      <c r="DI357" s="27"/>
      <c r="DJ357" s="27"/>
      <c r="DK357" s="27"/>
      <c r="DL357" s="27"/>
      <c r="DM357" s="27"/>
      <c r="DN357" s="27"/>
      <c r="DO357" s="27"/>
      <c r="DP357" s="27"/>
      <c r="DQ357" s="27"/>
      <c r="DR357" s="27"/>
      <c r="DS357" s="27"/>
      <c r="DT357" s="27"/>
    </row>
    <row r="358" spans="2:124" x14ac:dyDescent="0.2">
      <c r="B358" s="27"/>
      <c r="C358" s="27"/>
      <c r="D358" s="27"/>
      <c r="E358" s="27"/>
      <c r="F358" s="27"/>
      <c r="G358" s="27"/>
      <c r="H358" s="27"/>
      <c r="I358" s="27"/>
      <c r="J358" s="27"/>
      <c r="K358" s="27"/>
      <c r="L358" s="27"/>
      <c r="M358" s="27"/>
      <c r="N358" s="27"/>
      <c r="O358" s="27"/>
      <c r="P358" s="27"/>
      <c r="Q358" s="27"/>
      <c r="R358" s="27"/>
      <c r="S358" s="27"/>
      <c r="T358" s="27"/>
      <c r="U358" s="27"/>
      <c r="V358" s="27"/>
      <c r="W358" s="27"/>
      <c r="X358" s="27"/>
      <c r="Y358" s="27"/>
      <c r="Z358" s="27"/>
      <c r="AA358" s="27"/>
      <c r="AB358" s="27"/>
      <c r="AC358" s="27"/>
      <c r="AD358" s="27"/>
      <c r="AE358" s="27"/>
      <c r="AF358" s="27"/>
      <c r="AG358" s="27"/>
      <c r="AH358" s="27"/>
      <c r="AI358" s="27"/>
      <c r="AJ358" s="27"/>
      <c r="AK358" s="27"/>
      <c r="AL358" s="27"/>
      <c r="AM358" s="27"/>
      <c r="AN358" s="27"/>
      <c r="AO358" s="27"/>
      <c r="AP358" s="27"/>
      <c r="AQ358" s="27"/>
      <c r="AR358" s="27"/>
      <c r="AS358" s="27"/>
      <c r="AT358" s="27"/>
      <c r="AU358" s="27"/>
      <c r="AV358" s="27"/>
      <c r="AW358" s="27"/>
      <c r="AX358" s="27"/>
      <c r="AY358" s="27"/>
      <c r="AZ358" s="27"/>
      <c r="BA358" s="27"/>
      <c r="BB358" s="27"/>
      <c r="BC358" s="27"/>
      <c r="BD358" s="27"/>
      <c r="BE358" s="27"/>
      <c r="BF358" s="27"/>
      <c r="BG358" s="27"/>
      <c r="BH358" s="27"/>
      <c r="BI358" s="27"/>
      <c r="BJ358" s="27"/>
      <c r="BK358" s="27"/>
      <c r="BL358" s="27"/>
      <c r="BM358" s="27"/>
      <c r="BN358" s="27"/>
      <c r="BO358" s="27"/>
      <c r="BP358" s="27"/>
      <c r="BQ358" s="27"/>
      <c r="BR358" s="27"/>
      <c r="BS358" s="27"/>
      <c r="BT358" s="27"/>
      <c r="BU358" s="27"/>
      <c r="BV358" s="27"/>
      <c r="BW358" s="27"/>
      <c r="BX358" s="27"/>
      <c r="BY358" s="27"/>
      <c r="BZ358" s="27"/>
      <c r="CA358" s="27"/>
      <c r="CB358" s="27"/>
      <c r="CC358" s="27"/>
      <c r="CD358" s="27"/>
      <c r="CE358" s="27"/>
      <c r="CF358" s="27"/>
      <c r="CG358" s="27"/>
      <c r="CH358" s="27"/>
      <c r="CI358" s="27"/>
      <c r="CJ358" s="27"/>
      <c r="CK358" s="27"/>
      <c r="CL358" s="27"/>
      <c r="CM358" s="27"/>
      <c r="CN358" s="27"/>
      <c r="CO358" s="27"/>
      <c r="CP358" s="27"/>
      <c r="CQ358" s="27"/>
      <c r="CR358" s="27"/>
      <c r="CS358" s="27"/>
      <c r="CT358" s="27"/>
      <c r="CU358" s="27"/>
      <c r="CV358" s="27"/>
      <c r="CW358" s="27"/>
      <c r="CX358" s="27"/>
      <c r="CY358" s="27"/>
      <c r="CZ358" s="27"/>
      <c r="DA358" s="27"/>
      <c r="DB358" s="27"/>
      <c r="DC358" s="27"/>
      <c r="DD358" s="27"/>
      <c r="DE358" s="27"/>
      <c r="DF358" s="27"/>
      <c r="DG358" s="27"/>
      <c r="DH358" s="27"/>
      <c r="DI358" s="27"/>
      <c r="DJ358" s="27"/>
      <c r="DK358" s="27"/>
      <c r="DL358" s="27"/>
      <c r="DM358" s="27"/>
      <c r="DN358" s="27"/>
      <c r="DO358" s="27"/>
      <c r="DP358" s="27"/>
      <c r="DQ358" s="27"/>
      <c r="DR358" s="27"/>
      <c r="DS358" s="27"/>
      <c r="DT358" s="27"/>
    </row>
    <row r="359" spans="2:124" x14ac:dyDescent="0.2">
      <c r="B359" s="27"/>
      <c r="C359" s="27"/>
      <c r="D359" s="27"/>
      <c r="E359" s="27"/>
      <c r="F359" s="27"/>
      <c r="G359" s="27"/>
      <c r="H359" s="27"/>
      <c r="I359" s="27"/>
      <c r="J359" s="27"/>
      <c r="K359" s="27"/>
      <c r="L359" s="27"/>
      <c r="M359" s="27"/>
      <c r="N359" s="27"/>
      <c r="O359" s="27"/>
      <c r="P359" s="27"/>
      <c r="Q359" s="27"/>
      <c r="R359" s="27"/>
      <c r="S359" s="27"/>
      <c r="T359" s="27"/>
      <c r="U359" s="27"/>
      <c r="V359" s="27"/>
      <c r="W359" s="27"/>
      <c r="X359" s="27"/>
      <c r="Y359" s="27"/>
      <c r="Z359" s="27"/>
      <c r="AA359" s="27"/>
      <c r="AB359" s="27"/>
      <c r="AC359" s="27"/>
      <c r="AD359" s="27"/>
      <c r="AE359" s="27"/>
      <c r="AF359" s="27"/>
      <c r="AG359" s="27"/>
      <c r="AH359" s="27"/>
      <c r="AI359" s="27"/>
      <c r="AJ359" s="27"/>
      <c r="AK359" s="27"/>
      <c r="AL359" s="27"/>
      <c r="AM359" s="27"/>
      <c r="AN359" s="27"/>
      <c r="AO359" s="27"/>
      <c r="AP359" s="27"/>
      <c r="AQ359" s="27"/>
      <c r="AR359" s="27"/>
      <c r="AS359" s="27"/>
      <c r="AT359" s="27"/>
      <c r="AU359" s="27"/>
      <c r="AV359" s="27"/>
      <c r="AW359" s="27"/>
      <c r="AX359" s="27"/>
      <c r="AY359" s="27"/>
      <c r="AZ359" s="27"/>
      <c r="BA359" s="27"/>
      <c r="BB359" s="27"/>
      <c r="BC359" s="27"/>
      <c r="BD359" s="27"/>
      <c r="BE359" s="27"/>
      <c r="BF359" s="27"/>
      <c r="BG359" s="27"/>
      <c r="BH359" s="27"/>
      <c r="BI359" s="27"/>
      <c r="BJ359" s="27"/>
      <c r="BK359" s="27"/>
      <c r="BL359" s="27"/>
      <c r="BM359" s="27"/>
      <c r="BN359" s="27"/>
      <c r="BO359" s="27"/>
      <c r="BP359" s="27"/>
      <c r="BQ359" s="27"/>
      <c r="BR359" s="27"/>
      <c r="BS359" s="27"/>
      <c r="BT359" s="27"/>
      <c r="BU359" s="27"/>
      <c r="BV359" s="27"/>
      <c r="BW359" s="27"/>
      <c r="BX359" s="27"/>
      <c r="BY359" s="27"/>
      <c r="BZ359" s="27"/>
      <c r="CA359" s="27"/>
      <c r="CB359" s="27"/>
      <c r="CC359" s="27"/>
      <c r="CD359" s="27"/>
      <c r="CE359" s="27"/>
      <c r="CF359" s="27"/>
      <c r="CG359" s="27"/>
      <c r="CH359" s="27"/>
      <c r="CI359" s="27"/>
      <c r="CJ359" s="27"/>
      <c r="CK359" s="27"/>
      <c r="CL359" s="27"/>
      <c r="CM359" s="27"/>
      <c r="CN359" s="27"/>
      <c r="CO359" s="27"/>
      <c r="CP359" s="27"/>
      <c r="CQ359" s="27"/>
      <c r="CR359" s="27"/>
      <c r="CS359" s="27"/>
      <c r="CT359" s="27"/>
      <c r="CU359" s="27"/>
      <c r="CV359" s="27"/>
      <c r="CW359" s="27"/>
      <c r="CX359" s="27"/>
      <c r="CY359" s="27"/>
      <c r="CZ359" s="27"/>
      <c r="DA359" s="27"/>
      <c r="DB359" s="27"/>
      <c r="DC359" s="27"/>
      <c r="DD359" s="27"/>
      <c r="DE359" s="27"/>
      <c r="DF359" s="27"/>
      <c r="DG359" s="27"/>
      <c r="DH359" s="27"/>
      <c r="DI359" s="27"/>
      <c r="DJ359" s="27"/>
      <c r="DK359" s="27"/>
      <c r="DL359" s="27"/>
      <c r="DM359" s="27"/>
      <c r="DN359" s="27"/>
      <c r="DO359" s="27"/>
      <c r="DP359" s="27"/>
      <c r="DQ359" s="27"/>
      <c r="DR359" s="27"/>
      <c r="DS359" s="27"/>
      <c r="DT359" s="27"/>
    </row>
    <row r="360" spans="2:124" x14ac:dyDescent="0.2">
      <c r="B360" s="27"/>
      <c r="C360" s="27"/>
      <c r="D360" s="27"/>
      <c r="E360" s="27"/>
      <c r="F360" s="27"/>
      <c r="G360" s="27"/>
      <c r="H360" s="27"/>
      <c r="I360" s="27"/>
      <c r="J360" s="27"/>
      <c r="K360" s="27"/>
      <c r="L360" s="27"/>
      <c r="M360" s="27"/>
      <c r="N360" s="27"/>
      <c r="O360" s="27"/>
      <c r="P360" s="27"/>
      <c r="Q360" s="27"/>
      <c r="R360" s="27"/>
      <c r="S360" s="27"/>
      <c r="T360" s="27"/>
      <c r="U360" s="27"/>
      <c r="V360" s="27"/>
      <c r="W360" s="27"/>
      <c r="X360" s="27"/>
      <c r="Y360" s="27"/>
      <c r="Z360" s="27"/>
      <c r="AA360" s="27"/>
      <c r="AB360" s="27"/>
      <c r="AC360" s="27"/>
      <c r="AD360" s="27"/>
      <c r="AE360" s="27"/>
      <c r="AF360" s="27"/>
      <c r="AG360" s="27"/>
      <c r="AH360" s="27"/>
      <c r="AI360" s="27"/>
      <c r="AJ360" s="27"/>
      <c r="AK360" s="27"/>
      <c r="AL360" s="27"/>
      <c r="AM360" s="27"/>
      <c r="AN360" s="27"/>
      <c r="AO360" s="27"/>
      <c r="AP360" s="27"/>
      <c r="AQ360" s="27"/>
      <c r="AR360" s="27"/>
      <c r="AS360" s="27"/>
      <c r="AT360" s="27"/>
      <c r="AU360" s="27"/>
      <c r="AV360" s="27"/>
      <c r="AW360" s="27"/>
      <c r="AX360" s="27"/>
      <c r="AY360" s="27"/>
      <c r="AZ360" s="27"/>
      <c r="BA360" s="27"/>
      <c r="BB360" s="27"/>
      <c r="BC360" s="27"/>
      <c r="BD360" s="27"/>
      <c r="BE360" s="27"/>
      <c r="BF360" s="27"/>
      <c r="BG360" s="27"/>
      <c r="BH360" s="27"/>
      <c r="BI360" s="27"/>
      <c r="BJ360" s="27"/>
      <c r="BK360" s="27"/>
      <c r="BL360" s="27"/>
      <c r="BM360" s="27"/>
      <c r="BN360" s="27"/>
      <c r="BO360" s="27"/>
      <c r="BP360" s="27"/>
      <c r="BQ360" s="27"/>
      <c r="BR360" s="27"/>
      <c r="BS360" s="27"/>
      <c r="BT360" s="27"/>
      <c r="BU360" s="27"/>
      <c r="BV360" s="27"/>
      <c r="BW360" s="27"/>
      <c r="BX360" s="27"/>
      <c r="BY360" s="27"/>
      <c r="BZ360" s="27"/>
      <c r="CA360" s="27"/>
      <c r="CB360" s="27"/>
      <c r="CC360" s="27"/>
      <c r="CD360" s="27"/>
      <c r="CE360" s="27"/>
      <c r="CF360" s="27"/>
      <c r="CG360" s="27"/>
      <c r="CH360" s="27"/>
      <c r="CI360" s="27"/>
      <c r="CJ360" s="27"/>
      <c r="CK360" s="27"/>
      <c r="CL360" s="27"/>
      <c r="CM360" s="27"/>
      <c r="CN360" s="27"/>
      <c r="CO360" s="27"/>
      <c r="CP360" s="27"/>
      <c r="CQ360" s="27"/>
      <c r="CR360" s="27"/>
      <c r="CS360" s="27"/>
      <c r="CT360" s="27"/>
      <c r="CU360" s="27"/>
      <c r="CV360" s="27"/>
      <c r="CW360" s="27"/>
      <c r="CX360" s="27"/>
      <c r="CY360" s="27"/>
      <c r="CZ360" s="27"/>
      <c r="DA360" s="27"/>
      <c r="DB360" s="27"/>
      <c r="DC360" s="27"/>
      <c r="DD360" s="27"/>
      <c r="DE360" s="27"/>
      <c r="DF360" s="27"/>
      <c r="DG360" s="27"/>
      <c r="DH360" s="27"/>
      <c r="DI360" s="27"/>
      <c r="DJ360" s="27"/>
      <c r="DK360" s="27"/>
      <c r="DL360" s="27"/>
      <c r="DM360" s="27"/>
      <c r="DN360" s="27"/>
      <c r="DO360" s="27"/>
      <c r="DP360" s="27"/>
      <c r="DQ360" s="27"/>
      <c r="DR360" s="27"/>
      <c r="DS360" s="27"/>
      <c r="DT360" s="27"/>
    </row>
    <row r="361" spans="2:124" x14ac:dyDescent="0.2">
      <c r="B361" s="27"/>
      <c r="C361" s="27"/>
      <c r="D361" s="27"/>
      <c r="E361" s="27"/>
      <c r="F361" s="27"/>
      <c r="G361" s="27"/>
      <c r="H361" s="27"/>
      <c r="I361" s="27"/>
      <c r="J361" s="27"/>
      <c r="K361" s="27"/>
      <c r="L361" s="27"/>
      <c r="M361" s="27"/>
      <c r="N361" s="27"/>
      <c r="O361" s="27"/>
      <c r="P361" s="27"/>
      <c r="Q361" s="27"/>
      <c r="R361" s="27"/>
      <c r="S361" s="27"/>
      <c r="T361" s="27"/>
      <c r="U361" s="27"/>
      <c r="V361" s="27"/>
      <c r="W361" s="27"/>
      <c r="X361" s="27"/>
      <c r="Y361" s="27"/>
      <c r="Z361" s="27"/>
      <c r="AA361" s="27"/>
      <c r="AB361" s="27"/>
      <c r="AC361" s="27"/>
      <c r="AD361" s="27"/>
      <c r="AE361" s="27"/>
      <c r="AF361" s="27"/>
      <c r="AG361" s="27"/>
      <c r="AH361" s="27"/>
      <c r="AI361" s="27"/>
      <c r="AJ361" s="27"/>
      <c r="AK361" s="27"/>
      <c r="AL361" s="27"/>
      <c r="AM361" s="27"/>
      <c r="AN361" s="27"/>
      <c r="AO361" s="27"/>
      <c r="AP361" s="27"/>
      <c r="AQ361" s="27"/>
      <c r="AR361" s="27"/>
      <c r="AS361" s="27"/>
      <c r="AT361" s="27"/>
      <c r="AU361" s="27"/>
      <c r="AV361" s="27"/>
      <c r="AW361" s="27"/>
      <c r="AX361" s="27"/>
      <c r="AY361" s="27"/>
      <c r="AZ361" s="27"/>
      <c r="BA361" s="27"/>
      <c r="BB361" s="27"/>
      <c r="BC361" s="27"/>
      <c r="BD361" s="27"/>
      <c r="BE361" s="27"/>
      <c r="BF361" s="27"/>
      <c r="BG361" s="27"/>
      <c r="BH361" s="27"/>
      <c r="BI361" s="27"/>
      <c r="BJ361" s="27"/>
      <c r="BK361" s="27"/>
      <c r="BL361" s="27"/>
      <c r="BM361" s="27"/>
      <c r="BN361" s="27"/>
      <c r="BO361" s="27"/>
      <c r="BP361" s="27"/>
      <c r="BQ361" s="27"/>
      <c r="BR361" s="27"/>
      <c r="BS361" s="27"/>
      <c r="BT361" s="27"/>
      <c r="BU361" s="27"/>
      <c r="BV361" s="27"/>
      <c r="BW361" s="27"/>
      <c r="BX361" s="27"/>
      <c r="BY361" s="27"/>
      <c r="BZ361" s="27"/>
      <c r="CA361" s="27"/>
      <c r="CB361" s="27"/>
      <c r="CC361" s="27"/>
      <c r="CD361" s="27"/>
      <c r="CE361" s="27"/>
      <c r="CF361" s="27"/>
      <c r="CG361" s="27"/>
      <c r="CH361" s="27"/>
      <c r="CI361" s="27"/>
      <c r="CJ361" s="27"/>
      <c r="CK361" s="27"/>
      <c r="CL361" s="27"/>
      <c r="CM361" s="27"/>
      <c r="CN361" s="27"/>
      <c r="CO361" s="27"/>
      <c r="CP361" s="27"/>
      <c r="CQ361" s="27"/>
      <c r="CR361" s="27"/>
      <c r="CS361" s="27"/>
      <c r="CT361" s="27"/>
      <c r="CU361" s="27"/>
      <c r="CV361" s="27"/>
      <c r="CW361" s="27"/>
      <c r="CX361" s="27"/>
      <c r="CY361" s="27"/>
      <c r="CZ361" s="27"/>
      <c r="DA361" s="27"/>
      <c r="DB361" s="27"/>
      <c r="DC361" s="27"/>
      <c r="DD361" s="27"/>
      <c r="DE361" s="27"/>
      <c r="DF361" s="27"/>
      <c r="DG361" s="27"/>
      <c r="DH361" s="27"/>
      <c r="DI361" s="27"/>
      <c r="DJ361" s="27"/>
      <c r="DK361" s="27"/>
      <c r="DL361" s="27"/>
      <c r="DM361" s="27"/>
      <c r="DN361" s="27"/>
      <c r="DO361" s="27"/>
      <c r="DP361" s="27"/>
      <c r="DQ361" s="27"/>
      <c r="DR361" s="27"/>
      <c r="DS361" s="27"/>
      <c r="DT361" s="27"/>
    </row>
    <row r="362" spans="2:124" x14ac:dyDescent="0.2">
      <c r="B362" s="27"/>
      <c r="C362" s="27"/>
      <c r="D362" s="27"/>
      <c r="E362" s="27"/>
      <c r="F362" s="27"/>
      <c r="G362" s="27"/>
      <c r="H362" s="27"/>
      <c r="I362" s="27"/>
      <c r="J362" s="27"/>
      <c r="K362" s="27"/>
      <c r="L362" s="27"/>
      <c r="M362" s="27"/>
      <c r="N362" s="27"/>
      <c r="O362" s="27"/>
      <c r="P362" s="27"/>
      <c r="Q362" s="27"/>
      <c r="R362" s="27"/>
      <c r="S362" s="27"/>
      <c r="T362" s="27"/>
      <c r="U362" s="27"/>
      <c r="V362" s="27"/>
      <c r="W362" s="27"/>
      <c r="X362" s="27"/>
      <c r="Y362" s="27"/>
      <c r="Z362" s="27"/>
      <c r="AA362" s="27"/>
      <c r="AB362" s="27"/>
      <c r="AC362" s="27"/>
      <c r="AD362" s="27"/>
      <c r="AE362" s="27"/>
      <c r="AF362" s="27"/>
      <c r="AG362" s="27"/>
      <c r="AH362" s="27"/>
      <c r="AI362" s="27"/>
      <c r="AJ362" s="27"/>
      <c r="AK362" s="27"/>
      <c r="AL362" s="27"/>
      <c r="AM362" s="27"/>
      <c r="AN362" s="27"/>
      <c r="AO362" s="27"/>
      <c r="AP362" s="27"/>
      <c r="AQ362" s="27"/>
      <c r="AR362" s="27"/>
      <c r="AS362" s="27"/>
      <c r="AT362" s="27"/>
      <c r="AU362" s="27"/>
      <c r="AV362" s="27"/>
      <c r="AW362" s="27"/>
      <c r="AX362" s="27"/>
      <c r="AY362" s="27"/>
      <c r="AZ362" s="27"/>
      <c r="BA362" s="27"/>
      <c r="BB362" s="27"/>
      <c r="BC362" s="27"/>
      <c r="BD362" s="27"/>
      <c r="BE362" s="27"/>
      <c r="BF362" s="27"/>
      <c r="BG362" s="27"/>
      <c r="BH362" s="27"/>
      <c r="BI362" s="27"/>
      <c r="BJ362" s="27"/>
      <c r="BK362" s="27"/>
      <c r="BL362" s="27"/>
      <c r="BM362" s="27"/>
      <c r="BN362" s="27"/>
      <c r="BO362" s="27"/>
      <c r="BP362" s="27"/>
      <c r="BQ362" s="27"/>
      <c r="BR362" s="27"/>
      <c r="BS362" s="27"/>
      <c r="BT362" s="27"/>
      <c r="BU362" s="27"/>
      <c r="BV362" s="27"/>
      <c r="BW362" s="27"/>
      <c r="BX362" s="27"/>
      <c r="BY362" s="27"/>
      <c r="BZ362" s="27"/>
      <c r="CA362" s="27"/>
      <c r="CB362" s="27"/>
      <c r="CC362" s="27"/>
      <c r="CD362" s="27"/>
      <c r="CE362" s="27"/>
      <c r="CF362" s="27"/>
      <c r="CG362" s="27"/>
      <c r="CH362" s="27"/>
      <c r="CI362" s="27"/>
      <c r="CJ362" s="27"/>
      <c r="CK362" s="27"/>
      <c r="CL362" s="27"/>
      <c r="CM362" s="27"/>
      <c r="CN362" s="27"/>
      <c r="CO362" s="27"/>
      <c r="CP362" s="27"/>
      <c r="CQ362" s="27"/>
      <c r="CR362" s="27"/>
      <c r="CS362" s="27"/>
      <c r="CT362" s="27"/>
      <c r="CU362" s="27"/>
      <c r="CV362" s="27"/>
      <c r="CW362" s="27"/>
      <c r="CX362" s="27"/>
      <c r="CY362" s="27"/>
      <c r="CZ362" s="27"/>
      <c r="DA362" s="27"/>
      <c r="DB362" s="27"/>
      <c r="DC362" s="27"/>
      <c r="DD362" s="27"/>
      <c r="DE362" s="27"/>
      <c r="DF362" s="27"/>
      <c r="DG362" s="27"/>
      <c r="DH362" s="27"/>
      <c r="DI362" s="27"/>
      <c r="DJ362" s="27"/>
      <c r="DK362" s="27"/>
      <c r="DL362" s="27"/>
      <c r="DM362" s="27"/>
      <c r="DN362" s="27"/>
      <c r="DO362" s="27"/>
      <c r="DP362" s="27"/>
      <c r="DQ362" s="27"/>
      <c r="DR362" s="27"/>
      <c r="DS362" s="27"/>
      <c r="DT362" s="27"/>
    </row>
    <row r="363" spans="2:124" x14ac:dyDescent="0.2">
      <c r="B363" s="27"/>
      <c r="C363" s="27"/>
      <c r="D363" s="27"/>
      <c r="E363" s="27"/>
      <c r="F363" s="27"/>
      <c r="G363" s="27"/>
      <c r="H363" s="27"/>
      <c r="I363" s="27"/>
      <c r="J363" s="27"/>
      <c r="K363" s="27"/>
      <c r="L363" s="27"/>
      <c r="M363" s="27"/>
      <c r="N363" s="27"/>
      <c r="O363" s="27"/>
      <c r="P363" s="27"/>
      <c r="Q363" s="27"/>
      <c r="R363" s="27"/>
      <c r="S363" s="27"/>
      <c r="T363" s="27"/>
      <c r="U363" s="27"/>
      <c r="V363" s="27"/>
      <c r="W363" s="27"/>
      <c r="X363" s="27"/>
      <c r="Y363" s="27"/>
      <c r="Z363" s="27"/>
      <c r="AA363" s="27"/>
      <c r="AB363" s="27"/>
      <c r="AC363" s="27"/>
      <c r="AD363" s="27"/>
      <c r="AE363" s="27"/>
      <c r="AF363" s="27"/>
      <c r="AG363" s="27"/>
      <c r="AH363" s="27"/>
      <c r="AI363" s="27"/>
      <c r="AJ363" s="27"/>
      <c r="AK363" s="27"/>
      <c r="AL363" s="27"/>
      <c r="AM363" s="27"/>
      <c r="AN363" s="27"/>
      <c r="AO363" s="27"/>
      <c r="AP363" s="27"/>
      <c r="AQ363" s="27"/>
      <c r="AR363" s="27"/>
      <c r="AS363" s="27"/>
      <c r="AT363" s="27"/>
      <c r="AU363" s="27"/>
      <c r="AV363" s="27"/>
      <c r="AW363" s="27"/>
      <c r="AX363" s="27"/>
      <c r="AY363" s="27"/>
      <c r="AZ363" s="27"/>
      <c r="BA363" s="27"/>
      <c r="BB363" s="27"/>
      <c r="BC363" s="27"/>
      <c r="BD363" s="27"/>
      <c r="BE363" s="27"/>
      <c r="BF363" s="27"/>
      <c r="BG363" s="27"/>
      <c r="BH363" s="27"/>
      <c r="BI363" s="27"/>
      <c r="BJ363" s="27"/>
      <c r="BK363" s="27"/>
      <c r="BL363" s="27"/>
      <c r="BM363" s="27"/>
      <c r="BN363" s="27"/>
      <c r="BO363" s="27"/>
      <c r="BP363" s="27"/>
      <c r="BQ363" s="27"/>
      <c r="BR363" s="27"/>
      <c r="BS363" s="27"/>
      <c r="BT363" s="27"/>
      <c r="BU363" s="27"/>
      <c r="BV363" s="27"/>
      <c r="BW363" s="27"/>
      <c r="BX363" s="27"/>
      <c r="BY363" s="27"/>
      <c r="BZ363" s="27"/>
      <c r="CA363" s="27"/>
      <c r="CB363" s="27"/>
      <c r="CC363" s="27"/>
      <c r="CD363" s="27"/>
      <c r="CE363" s="27"/>
      <c r="CF363" s="27"/>
      <c r="CG363" s="27"/>
      <c r="CH363" s="27"/>
      <c r="CI363" s="27"/>
      <c r="CJ363" s="27"/>
      <c r="CK363" s="27"/>
      <c r="CL363" s="27"/>
      <c r="CM363" s="27"/>
      <c r="CN363" s="27"/>
      <c r="CO363" s="27"/>
      <c r="CP363" s="27"/>
      <c r="CQ363" s="27"/>
      <c r="CR363" s="27"/>
      <c r="CS363" s="27"/>
      <c r="CT363" s="27"/>
      <c r="CU363" s="27"/>
      <c r="CV363" s="27"/>
      <c r="CW363" s="27"/>
      <c r="CX363" s="27"/>
      <c r="CY363" s="27"/>
      <c r="CZ363" s="27"/>
      <c r="DA363" s="27"/>
      <c r="DB363" s="27"/>
      <c r="DC363" s="27"/>
      <c r="DD363" s="27"/>
      <c r="DE363" s="27"/>
      <c r="DF363" s="27"/>
      <c r="DG363" s="27"/>
      <c r="DH363" s="27"/>
      <c r="DI363" s="27"/>
      <c r="DJ363" s="27"/>
      <c r="DK363" s="27"/>
      <c r="DL363" s="27"/>
      <c r="DM363" s="27"/>
      <c r="DN363" s="27"/>
      <c r="DO363" s="27"/>
      <c r="DP363" s="27"/>
      <c r="DQ363" s="27"/>
      <c r="DR363" s="27"/>
      <c r="DS363" s="27"/>
      <c r="DT363" s="27"/>
    </row>
    <row r="364" spans="2:124" x14ac:dyDescent="0.2">
      <c r="B364" s="27"/>
      <c r="C364" s="27"/>
      <c r="D364" s="27"/>
      <c r="E364" s="27"/>
      <c r="F364" s="27"/>
      <c r="G364" s="27"/>
      <c r="H364" s="27"/>
      <c r="I364" s="27"/>
      <c r="J364" s="27"/>
      <c r="K364" s="27"/>
      <c r="L364" s="27"/>
      <c r="M364" s="27"/>
      <c r="N364" s="27"/>
      <c r="O364" s="27"/>
      <c r="P364" s="27"/>
      <c r="Q364" s="27"/>
      <c r="R364" s="27"/>
      <c r="S364" s="27"/>
      <c r="T364" s="27"/>
      <c r="U364" s="27"/>
      <c r="V364" s="27"/>
      <c r="W364" s="27"/>
      <c r="X364" s="27"/>
      <c r="Y364" s="27"/>
      <c r="Z364" s="27"/>
      <c r="AA364" s="27"/>
      <c r="AB364" s="27"/>
      <c r="AC364" s="27"/>
      <c r="AD364" s="27"/>
      <c r="AE364" s="27"/>
      <c r="AF364" s="27"/>
      <c r="AG364" s="27"/>
      <c r="AH364" s="27"/>
      <c r="AI364" s="27"/>
      <c r="AJ364" s="27"/>
      <c r="AK364" s="27"/>
      <c r="AL364" s="27"/>
      <c r="AM364" s="27"/>
      <c r="AN364" s="27"/>
      <c r="AO364" s="27"/>
      <c r="AP364" s="27"/>
      <c r="AQ364" s="27"/>
      <c r="AR364" s="27"/>
      <c r="AS364" s="27"/>
      <c r="AT364" s="27"/>
      <c r="AU364" s="27"/>
      <c r="AV364" s="27"/>
      <c r="AW364" s="27"/>
      <c r="AX364" s="27"/>
      <c r="AY364" s="27"/>
      <c r="AZ364" s="27"/>
      <c r="BA364" s="27"/>
      <c r="BB364" s="27"/>
      <c r="BC364" s="27"/>
      <c r="BD364" s="27"/>
      <c r="BE364" s="27"/>
      <c r="BF364" s="27"/>
      <c r="BG364" s="27"/>
      <c r="BH364" s="27"/>
      <c r="BI364" s="27"/>
      <c r="BJ364" s="27"/>
      <c r="BK364" s="27"/>
      <c r="BL364" s="27"/>
      <c r="BM364" s="27"/>
      <c r="BN364" s="27"/>
      <c r="BO364" s="27"/>
      <c r="BP364" s="27"/>
      <c r="BQ364" s="27"/>
      <c r="BR364" s="27"/>
      <c r="BS364" s="27"/>
      <c r="BT364" s="27"/>
      <c r="BU364" s="27"/>
      <c r="BV364" s="27"/>
      <c r="BW364" s="27"/>
      <c r="BX364" s="27"/>
      <c r="BY364" s="27"/>
      <c r="BZ364" s="27"/>
      <c r="CA364" s="27"/>
      <c r="CB364" s="27"/>
      <c r="CC364" s="27"/>
      <c r="CD364" s="27"/>
      <c r="CE364" s="27"/>
      <c r="CF364" s="27"/>
      <c r="CG364" s="27"/>
      <c r="CH364" s="27"/>
      <c r="CI364" s="27"/>
      <c r="CJ364" s="27"/>
      <c r="CK364" s="27"/>
      <c r="CL364" s="27"/>
      <c r="CM364" s="27"/>
      <c r="CN364" s="27"/>
      <c r="CO364" s="27"/>
      <c r="CP364" s="27"/>
      <c r="CQ364" s="27"/>
      <c r="CR364" s="27"/>
      <c r="CS364" s="27"/>
      <c r="CT364" s="27"/>
      <c r="CU364" s="27"/>
      <c r="CV364" s="27"/>
      <c r="CW364" s="27"/>
      <c r="CX364" s="27"/>
      <c r="CY364" s="27"/>
      <c r="CZ364" s="27"/>
      <c r="DA364" s="27"/>
      <c r="DB364" s="27"/>
      <c r="DC364" s="27"/>
      <c r="DD364" s="27"/>
      <c r="DE364" s="27"/>
      <c r="DF364" s="27"/>
      <c r="DG364" s="27"/>
      <c r="DH364" s="27"/>
      <c r="DI364" s="27"/>
      <c r="DJ364" s="27"/>
      <c r="DK364" s="27"/>
      <c r="DL364" s="27"/>
      <c r="DM364" s="27"/>
      <c r="DN364" s="27"/>
      <c r="DO364" s="27"/>
      <c r="DP364" s="27"/>
      <c r="DQ364" s="27"/>
      <c r="DR364" s="27"/>
      <c r="DS364" s="27"/>
      <c r="DT364" s="27"/>
    </row>
    <row r="365" spans="2:124" x14ac:dyDescent="0.2">
      <c r="B365" s="27"/>
      <c r="C365" s="27"/>
      <c r="D365" s="27"/>
      <c r="E365" s="27"/>
      <c r="F365" s="27"/>
      <c r="G365" s="27"/>
      <c r="H365" s="27"/>
      <c r="I365" s="27"/>
      <c r="J365" s="27"/>
      <c r="K365" s="27"/>
      <c r="L365" s="27"/>
      <c r="M365" s="27"/>
      <c r="N365" s="27"/>
      <c r="O365" s="27"/>
      <c r="P365" s="27"/>
      <c r="Q365" s="27"/>
      <c r="R365" s="27"/>
      <c r="S365" s="27"/>
      <c r="T365" s="27"/>
      <c r="U365" s="27"/>
      <c r="V365" s="27"/>
      <c r="W365" s="27"/>
      <c r="X365" s="27"/>
      <c r="Y365" s="27"/>
      <c r="Z365" s="27"/>
      <c r="AA365" s="27"/>
      <c r="AB365" s="27"/>
      <c r="AC365" s="27"/>
      <c r="AD365" s="27"/>
      <c r="AE365" s="27"/>
      <c r="AF365" s="27"/>
      <c r="AG365" s="27"/>
      <c r="AH365" s="27"/>
      <c r="AI365" s="27"/>
      <c r="AJ365" s="27"/>
      <c r="AK365" s="27"/>
      <c r="AL365" s="27"/>
      <c r="AM365" s="27"/>
      <c r="AN365" s="27"/>
      <c r="AO365" s="27"/>
      <c r="AP365" s="27"/>
      <c r="AQ365" s="27"/>
      <c r="AR365" s="27"/>
      <c r="AS365" s="27"/>
      <c r="AT365" s="27"/>
      <c r="AU365" s="27"/>
      <c r="AV365" s="27"/>
      <c r="AW365" s="27"/>
      <c r="AX365" s="27"/>
      <c r="AY365" s="27"/>
      <c r="AZ365" s="27"/>
      <c r="BA365" s="27"/>
      <c r="BB365" s="27"/>
      <c r="BC365" s="27"/>
      <c r="BD365" s="27"/>
      <c r="BE365" s="27"/>
      <c r="BF365" s="27"/>
      <c r="BG365" s="27"/>
      <c r="BH365" s="27"/>
      <c r="BI365" s="27"/>
      <c r="BJ365" s="27"/>
      <c r="BK365" s="27"/>
      <c r="BL365" s="27"/>
      <c r="BM365" s="27"/>
      <c r="BN365" s="27"/>
      <c r="BO365" s="27"/>
      <c r="BP365" s="27"/>
      <c r="BQ365" s="27"/>
      <c r="BR365" s="27"/>
      <c r="BS365" s="27"/>
      <c r="BT365" s="27"/>
      <c r="BU365" s="27"/>
      <c r="BV365" s="27"/>
      <c r="BW365" s="27"/>
      <c r="BX365" s="27"/>
      <c r="BY365" s="27"/>
      <c r="BZ365" s="27"/>
      <c r="CA365" s="27"/>
      <c r="CB365" s="27"/>
      <c r="CC365" s="27"/>
      <c r="CD365" s="27"/>
      <c r="CE365" s="27"/>
      <c r="CF365" s="27"/>
      <c r="CG365" s="27"/>
      <c r="CH365" s="27"/>
      <c r="CI365" s="27"/>
      <c r="CJ365" s="27"/>
      <c r="CK365" s="27"/>
      <c r="CL365" s="27"/>
      <c r="CM365" s="27"/>
      <c r="CN365" s="27"/>
      <c r="CO365" s="27"/>
      <c r="CP365" s="27"/>
      <c r="CQ365" s="27"/>
      <c r="CR365" s="27"/>
      <c r="CS365" s="27"/>
      <c r="CT365" s="27"/>
      <c r="CU365" s="27"/>
      <c r="CV365" s="27"/>
      <c r="CW365" s="27"/>
      <c r="CX365" s="27"/>
      <c r="CY365" s="27"/>
      <c r="CZ365" s="27"/>
      <c r="DA365" s="27"/>
      <c r="DB365" s="27"/>
      <c r="DC365" s="27"/>
      <c r="DD365" s="27"/>
      <c r="DE365" s="27"/>
      <c r="DF365" s="27"/>
      <c r="DG365" s="27"/>
      <c r="DH365" s="27"/>
      <c r="DI365" s="27"/>
      <c r="DJ365" s="27"/>
      <c r="DK365" s="27"/>
      <c r="DL365" s="27"/>
      <c r="DM365" s="27"/>
      <c r="DN365" s="27"/>
      <c r="DO365" s="27"/>
      <c r="DP365" s="27"/>
      <c r="DQ365" s="27"/>
      <c r="DR365" s="27"/>
      <c r="DS365" s="27"/>
      <c r="DT365" s="27"/>
    </row>
    <row r="366" spans="2:124" x14ac:dyDescent="0.2">
      <c r="B366" s="27"/>
      <c r="C366" s="27"/>
      <c r="D366" s="27"/>
      <c r="E366" s="27"/>
      <c r="F366" s="27"/>
      <c r="G366" s="27"/>
      <c r="H366" s="27"/>
      <c r="I366" s="27"/>
      <c r="J366" s="27"/>
      <c r="K366" s="27"/>
      <c r="L366" s="27"/>
      <c r="M366" s="27"/>
      <c r="N366" s="27"/>
      <c r="O366" s="27"/>
      <c r="P366" s="27"/>
      <c r="Q366" s="27"/>
      <c r="R366" s="27"/>
      <c r="S366" s="27"/>
      <c r="T366" s="27"/>
      <c r="U366" s="27"/>
      <c r="V366" s="27"/>
      <c r="W366" s="27"/>
      <c r="X366" s="27"/>
      <c r="Y366" s="27"/>
      <c r="Z366" s="27"/>
      <c r="AA366" s="27"/>
      <c r="AB366" s="27"/>
      <c r="AC366" s="27"/>
      <c r="AD366" s="27"/>
      <c r="AE366" s="27"/>
      <c r="AF366" s="27"/>
      <c r="AG366" s="27"/>
      <c r="AH366" s="27"/>
      <c r="AI366" s="27"/>
      <c r="AJ366" s="27"/>
      <c r="AK366" s="27"/>
      <c r="AL366" s="27"/>
      <c r="AM366" s="27"/>
      <c r="AN366" s="27"/>
      <c r="AO366" s="27"/>
      <c r="AP366" s="27"/>
      <c r="AQ366" s="27"/>
      <c r="AR366" s="27"/>
      <c r="AS366" s="27"/>
      <c r="AT366" s="27"/>
      <c r="AU366" s="27"/>
      <c r="AV366" s="27"/>
      <c r="AW366" s="27"/>
      <c r="AX366" s="27"/>
      <c r="AY366" s="27"/>
      <c r="AZ366" s="27"/>
      <c r="BA366" s="27"/>
      <c r="BB366" s="27"/>
      <c r="BC366" s="27"/>
      <c r="BD366" s="27"/>
      <c r="BE366" s="27"/>
      <c r="BF366" s="27"/>
      <c r="BG366" s="27"/>
      <c r="BH366" s="27"/>
      <c r="BI366" s="27"/>
      <c r="BJ366" s="27"/>
      <c r="BK366" s="27"/>
      <c r="BL366" s="27"/>
      <c r="BM366" s="27"/>
      <c r="BN366" s="27"/>
      <c r="BO366" s="27"/>
      <c r="BP366" s="27"/>
      <c r="BQ366" s="27"/>
      <c r="BR366" s="27"/>
      <c r="BS366" s="27"/>
      <c r="BT366" s="27"/>
      <c r="BU366" s="27"/>
      <c r="BV366" s="27"/>
      <c r="BW366" s="27"/>
      <c r="BX366" s="27"/>
      <c r="BY366" s="27"/>
      <c r="BZ366" s="27"/>
      <c r="CA366" s="27"/>
      <c r="CB366" s="27"/>
      <c r="CC366" s="27"/>
      <c r="CD366" s="27"/>
      <c r="CE366" s="27"/>
      <c r="CF366" s="27"/>
      <c r="CG366" s="27"/>
      <c r="CH366" s="27"/>
      <c r="CI366" s="27"/>
      <c r="CJ366" s="27"/>
      <c r="CK366" s="27"/>
      <c r="CL366" s="27"/>
      <c r="CM366" s="27"/>
      <c r="CN366" s="27"/>
      <c r="CO366" s="27"/>
      <c r="CP366" s="27"/>
      <c r="CQ366" s="27"/>
      <c r="CR366" s="27"/>
      <c r="CS366" s="27"/>
      <c r="CT366" s="27"/>
      <c r="CU366" s="27"/>
      <c r="CV366" s="27"/>
      <c r="CW366" s="27"/>
      <c r="CX366" s="27"/>
      <c r="CY366" s="27"/>
      <c r="CZ366" s="27"/>
      <c r="DA366" s="27"/>
      <c r="DB366" s="27"/>
      <c r="DC366" s="27"/>
      <c r="DD366" s="27"/>
      <c r="DE366" s="27"/>
      <c r="DF366" s="27"/>
      <c r="DG366" s="27"/>
      <c r="DH366" s="27"/>
      <c r="DI366" s="27"/>
      <c r="DJ366" s="27"/>
      <c r="DK366" s="27"/>
      <c r="DL366" s="27"/>
      <c r="DM366" s="27"/>
      <c r="DN366" s="27"/>
      <c r="DO366" s="27"/>
      <c r="DP366" s="27"/>
      <c r="DQ366" s="27"/>
      <c r="DR366" s="27"/>
      <c r="DS366" s="27"/>
      <c r="DT366" s="27"/>
    </row>
    <row r="367" spans="2:124" x14ac:dyDescent="0.2">
      <c r="B367" s="27"/>
      <c r="C367" s="27"/>
      <c r="D367" s="27"/>
      <c r="E367" s="27"/>
      <c r="F367" s="27"/>
      <c r="G367" s="27"/>
      <c r="H367" s="27"/>
      <c r="I367" s="27"/>
      <c r="J367" s="27"/>
      <c r="K367" s="27"/>
      <c r="L367" s="27"/>
      <c r="M367" s="27"/>
      <c r="N367" s="27"/>
      <c r="O367" s="27"/>
      <c r="P367" s="27"/>
      <c r="Q367" s="27"/>
      <c r="R367" s="27"/>
      <c r="S367" s="27"/>
      <c r="T367" s="27"/>
      <c r="U367" s="27"/>
      <c r="V367" s="27"/>
      <c r="W367" s="27"/>
      <c r="X367" s="27"/>
      <c r="Y367" s="27"/>
      <c r="Z367" s="27"/>
      <c r="AA367" s="27"/>
      <c r="AB367" s="27"/>
      <c r="AC367" s="27"/>
      <c r="AD367" s="27"/>
      <c r="AE367" s="27"/>
      <c r="AF367" s="27"/>
      <c r="AG367" s="27"/>
      <c r="AH367" s="27"/>
      <c r="AI367" s="27"/>
      <c r="AJ367" s="27"/>
      <c r="AK367" s="27"/>
      <c r="AL367" s="27"/>
      <c r="AM367" s="27"/>
      <c r="AN367" s="27"/>
      <c r="AO367" s="27"/>
      <c r="AP367" s="27"/>
      <c r="AQ367" s="27"/>
      <c r="AR367" s="27"/>
      <c r="AS367" s="27"/>
      <c r="AT367" s="27"/>
      <c r="AU367" s="27"/>
      <c r="AV367" s="27"/>
      <c r="AW367" s="27"/>
      <c r="AX367" s="27"/>
      <c r="AY367" s="27"/>
      <c r="AZ367" s="27"/>
      <c r="BA367" s="27"/>
      <c r="BB367" s="27"/>
      <c r="BC367" s="27"/>
      <c r="BD367" s="27"/>
      <c r="BE367" s="27"/>
      <c r="BF367" s="27"/>
      <c r="BG367" s="27"/>
      <c r="BH367" s="27"/>
      <c r="BI367" s="27"/>
      <c r="BJ367" s="27"/>
      <c r="BK367" s="27"/>
      <c r="BL367" s="27"/>
      <c r="BM367" s="27"/>
      <c r="BN367" s="27"/>
      <c r="BO367" s="27"/>
      <c r="BP367" s="27"/>
      <c r="BQ367" s="27"/>
      <c r="BR367" s="27"/>
      <c r="BS367" s="27"/>
      <c r="BT367" s="27"/>
      <c r="BU367" s="27"/>
      <c r="BV367" s="27"/>
      <c r="BW367" s="27"/>
      <c r="BX367" s="27"/>
      <c r="BY367" s="27"/>
      <c r="BZ367" s="27"/>
      <c r="CA367" s="27"/>
      <c r="CB367" s="27"/>
      <c r="CC367" s="27"/>
      <c r="CD367" s="27"/>
      <c r="CE367" s="27"/>
      <c r="CF367" s="27"/>
      <c r="CG367" s="27"/>
      <c r="CH367" s="27"/>
      <c r="CI367" s="27"/>
      <c r="CJ367" s="27"/>
      <c r="CK367" s="27"/>
      <c r="CL367" s="27"/>
      <c r="CM367" s="27"/>
      <c r="CN367" s="27"/>
      <c r="CO367" s="27"/>
      <c r="CP367" s="27"/>
      <c r="CQ367" s="27"/>
      <c r="CR367" s="27"/>
      <c r="CS367" s="27"/>
      <c r="CT367" s="27"/>
      <c r="CU367" s="27"/>
      <c r="CV367" s="27"/>
      <c r="CW367" s="27"/>
      <c r="CX367" s="27"/>
      <c r="CY367" s="27"/>
      <c r="CZ367" s="27"/>
      <c r="DA367" s="27"/>
      <c r="DB367" s="27"/>
      <c r="DC367" s="27"/>
      <c r="DD367" s="27"/>
      <c r="DE367" s="27"/>
      <c r="DF367" s="27"/>
      <c r="DG367" s="27"/>
      <c r="DH367" s="27"/>
      <c r="DI367" s="27"/>
      <c r="DJ367" s="27"/>
      <c r="DK367" s="27"/>
      <c r="DL367" s="27"/>
      <c r="DM367" s="27"/>
      <c r="DN367" s="27"/>
      <c r="DO367" s="27"/>
      <c r="DP367" s="27"/>
      <c r="DQ367" s="27"/>
      <c r="DR367" s="27"/>
      <c r="DS367" s="27"/>
      <c r="DT367" s="27"/>
    </row>
    <row r="368" spans="2:124" x14ac:dyDescent="0.2">
      <c r="B368" s="27"/>
      <c r="C368" s="27"/>
      <c r="D368" s="27"/>
      <c r="E368" s="27"/>
      <c r="F368" s="27"/>
      <c r="G368" s="27"/>
      <c r="H368" s="27"/>
      <c r="I368" s="27"/>
      <c r="J368" s="27"/>
      <c r="K368" s="27"/>
      <c r="L368" s="27"/>
      <c r="M368" s="27"/>
      <c r="N368" s="27"/>
      <c r="O368" s="27"/>
      <c r="P368" s="27"/>
      <c r="Q368" s="27"/>
      <c r="R368" s="27"/>
      <c r="S368" s="27"/>
      <c r="T368" s="27"/>
      <c r="U368" s="27"/>
      <c r="V368" s="27"/>
      <c r="W368" s="27"/>
      <c r="X368" s="27"/>
      <c r="Y368" s="27"/>
      <c r="Z368" s="27"/>
      <c r="AA368" s="27"/>
      <c r="AB368" s="27"/>
      <c r="AC368" s="27"/>
      <c r="AD368" s="27"/>
      <c r="AE368" s="27"/>
      <c r="AF368" s="27"/>
      <c r="AG368" s="27"/>
      <c r="AH368" s="27"/>
      <c r="AI368" s="27"/>
      <c r="AJ368" s="27"/>
      <c r="AK368" s="27"/>
      <c r="AL368" s="27"/>
      <c r="AM368" s="27"/>
      <c r="AN368" s="27"/>
      <c r="AO368" s="27"/>
      <c r="AP368" s="27"/>
      <c r="AQ368" s="27"/>
      <c r="AR368" s="27"/>
      <c r="AS368" s="27"/>
      <c r="AT368" s="27"/>
      <c r="AU368" s="27"/>
      <c r="AV368" s="27"/>
      <c r="AW368" s="27"/>
      <c r="AX368" s="27"/>
      <c r="AY368" s="27"/>
      <c r="AZ368" s="27"/>
      <c r="BA368" s="27"/>
      <c r="BB368" s="27"/>
      <c r="BC368" s="27"/>
      <c r="BD368" s="27"/>
      <c r="BE368" s="27"/>
      <c r="BF368" s="27"/>
      <c r="BG368" s="27"/>
      <c r="BH368" s="27"/>
      <c r="BI368" s="27"/>
      <c r="BJ368" s="27"/>
      <c r="BK368" s="27"/>
      <c r="BL368" s="27"/>
      <c r="BM368" s="27"/>
      <c r="BN368" s="27"/>
      <c r="BO368" s="27"/>
      <c r="BP368" s="27"/>
      <c r="BQ368" s="27"/>
      <c r="BR368" s="27"/>
      <c r="BS368" s="27"/>
      <c r="BT368" s="27"/>
      <c r="BU368" s="27"/>
      <c r="BV368" s="27"/>
      <c r="BW368" s="27"/>
      <c r="BX368" s="27"/>
      <c r="BY368" s="27"/>
      <c r="BZ368" s="27"/>
      <c r="CA368" s="27"/>
      <c r="CB368" s="27"/>
      <c r="CC368" s="27"/>
      <c r="CD368" s="27"/>
      <c r="CE368" s="27"/>
      <c r="CF368" s="27"/>
      <c r="CG368" s="27"/>
      <c r="CH368" s="27"/>
      <c r="CI368" s="27"/>
      <c r="CJ368" s="27"/>
      <c r="CK368" s="27"/>
      <c r="CL368" s="27"/>
      <c r="CM368" s="27"/>
      <c r="CN368" s="27"/>
      <c r="CO368" s="27"/>
      <c r="CP368" s="27"/>
      <c r="CQ368" s="27"/>
      <c r="CR368" s="27"/>
      <c r="CS368" s="27"/>
      <c r="CT368" s="27"/>
      <c r="CU368" s="27"/>
      <c r="CV368" s="27"/>
      <c r="CW368" s="27"/>
      <c r="CX368" s="27"/>
      <c r="CY368" s="27"/>
      <c r="CZ368" s="27"/>
      <c r="DA368" s="27"/>
      <c r="DB368" s="27"/>
      <c r="DC368" s="27"/>
      <c r="DD368" s="27"/>
      <c r="DE368" s="27"/>
      <c r="DF368" s="27"/>
      <c r="DG368" s="27"/>
      <c r="DH368" s="27"/>
      <c r="DI368" s="27"/>
      <c r="DJ368" s="27"/>
      <c r="DK368" s="27"/>
      <c r="DL368" s="27"/>
      <c r="DM368" s="27"/>
      <c r="DN368" s="27"/>
      <c r="DO368" s="27"/>
      <c r="DP368" s="27"/>
      <c r="DQ368" s="27"/>
      <c r="DR368" s="27"/>
      <c r="DS368" s="27"/>
      <c r="DT368" s="27"/>
    </row>
    <row r="369" spans="2:124" x14ac:dyDescent="0.2">
      <c r="B369" s="27"/>
      <c r="C369" s="27"/>
      <c r="D369" s="27"/>
      <c r="E369" s="27"/>
      <c r="F369" s="27"/>
      <c r="G369" s="27"/>
      <c r="H369" s="27"/>
      <c r="I369" s="27"/>
      <c r="J369" s="27"/>
      <c r="K369" s="27"/>
      <c r="L369" s="27"/>
      <c r="M369" s="27"/>
      <c r="N369" s="27"/>
      <c r="O369" s="27"/>
      <c r="P369" s="27"/>
      <c r="Q369" s="27"/>
      <c r="R369" s="27"/>
      <c r="S369" s="27"/>
      <c r="T369" s="27"/>
      <c r="U369" s="27"/>
      <c r="V369" s="27"/>
      <c r="W369" s="27"/>
      <c r="X369" s="27"/>
      <c r="Y369" s="27"/>
      <c r="Z369" s="27"/>
      <c r="AA369" s="27"/>
      <c r="AB369" s="27"/>
      <c r="AC369" s="27"/>
      <c r="AD369" s="27"/>
      <c r="AE369" s="27"/>
      <c r="AF369" s="27"/>
      <c r="AG369" s="27"/>
      <c r="AH369" s="27"/>
      <c r="AI369" s="27"/>
      <c r="AJ369" s="27"/>
      <c r="AK369" s="27"/>
      <c r="AL369" s="27"/>
      <c r="AM369" s="27"/>
      <c r="AN369" s="27"/>
      <c r="AO369" s="27"/>
      <c r="AP369" s="27"/>
      <c r="AQ369" s="27"/>
      <c r="AR369" s="27"/>
      <c r="AS369" s="27"/>
      <c r="AT369" s="27"/>
      <c r="AU369" s="27"/>
      <c r="AV369" s="27"/>
      <c r="AW369" s="27"/>
      <c r="AX369" s="27"/>
      <c r="AY369" s="27"/>
      <c r="AZ369" s="27"/>
      <c r="BA369" s="27"/>
      <c r="BB369" s="27"/>
      <c r="BC369" s="27"/>
      <c r="BD369" s="27"/>
      <c r="BE369" s="27"/>
      <c r="BF369" s="27"/>
      <c r="BG369" s="27"/>
      <c r="BH369" s="27"/>
      <c r="BI369" s="27"/>
      <c r="BJ369" s="27"/>
      <c r="BK369" s="27"/>
      <c r="BL369" s="27"/>
      <c r="BM369" s="27"/>
      <c r="BN369" s="27"/>
      <c r="BO369" s="27"/>
      <c r="BP369" s="27"/>
      <c r="BQ369" s="27"/>
      <c r="BR369" s="27"/>
      <c r="BS369" s="27"/>
      <c r="BT369" s="27"/>
      <c r="BU369" s="27"/>
      <c r="BV369" s="27"/>
      <c r="BW369" s="27"/>
      <c r="BX369" s="27"/>
      <c r="BY369" s="27"/>
      <c r="BZ369" s="27"/>
      <c r="CA369" s="27"/>
      <c r="CB369" s="27"/>
      <c r="CC369" s="27"/>
      <c r="CD369" s="27"/>
      <c r="CE369" s="27"/>
      <c r="CF369" s="27"/>
      <c r="CG369" s="27"/>
      <c r="CH369" s="27"/>
      <c r="CI369" s="27"/>
      <c r="CJ369" s="27"/>
      <c r="CK369" s="27"/>
      <c r="CL369" s="27"/>
      <c r="CM369" s="27"/>
      <c r="CN369" s="27"/>
      <c r="CO369" s="27"/>
      <c r="CP369" s="27"/>
      <c r="CQ369" s="27"/>
      <c r="CR369" s="27"/>
      <c r="CS369" s="27"/>
      <c r="CT369" s="27"/>
      <c r="CU369" s="27"/>
      <c r="CV369" s="27"/>
      <c r="CW369" s="27"/>
      <c r="CX369" s="27"/>
      <c r="CY369" s="27"/>
      <c r="CZ369" s="27"/>
      <c r="DA369" s="27"/>
      <c r="DB369" s="27"/>
      <c r="DC369" s="27"/>
      <c r="DD369" s="27"/>
      <c r="DE369" s="27"/>
      <c r="DF369" s="27"/>
      <c r="DG369" s="27"/>
      <c r="DH369" s="27"/>
      <c r="DI369" s="27"/>
      <c r="DJ369" s="27"/>
      <c r="DK369" s="27"/>
      <c r="DL369" s="27"/>
      <c r="DM369" s="27"/>
      <c r="DN369" s="27"/>
      <c r="DO369" s="27"/>
      <c r="DP369" s="27"/>
      <c r="DQ369" s="27"/>
      <c r="DR369" s="27"/>
      <c r="DS369" s="27"/>
      <c r="DT369" s="27"/>
    </row>
    <row r="370" spans="2:124" x14ac:dyDescent="0.2">
      <c r="B370" s="27"/>
      <c r="C370" s="27"/>
      <c r="D370" s="27"/>
      <c r="E370" s="27"/>
      <c r="F370" s="27"/>
      <c r="G370" s="27"/>
      <c r="H370" s="27"/>
      <c r="I370" s="27"/>
      <c r="J370" s="27"/>
      <c r="K370" s="27"/>
      <c r="L370" s="27"/>
      <c r="M370" s="27"/>
      <c r="N370" s="27"/>
      <c r="O370" s="27"/>
      <c r="P370" s="27"/>
      <c r="Q370" s="27"/>
      <c r="R370" s="27"/>
      <c r="S370" s="27"/>
      <c r="T370" s="27"/>
      <c r="U370" s="27"/>
      <c r="V370" s="27"/>
      <c r="W370" s="27"/>
      <c r="X370" s="27"/>
      <c r="Y370" s="27"/>
      <c r="Z370" s="27"/>
      <c r="AA370" s="27"/>
      <c r="AB370" s="27"/>
      <c r="AC370" s="27"/>
      <c r="AD370" s="27"/>
      <c r="AE370" s="27"/>
      <c r="AF370" s="27"/>
      <c r="AG370" s="27"/>
      <c r="AH370" s="27"/>
      <c r="AI370" s="27"/>
      <c r="AJ370" s="27"/>
      <c r="AK370" s="27"/>
      <c r="AL370" s="27"/>
      <c r="AM370" s="27"/>
      <c r="AN370" s="27"/>
      <c r="AO370" s="27"/>
      <c r="AP370" s="27"/>
      <c r="AQ370" s="27"/>
      <c r="AR370" s="27"/>
      <c r="AS370" s="27"/>
      <c r="AT370" s="27"/>
      <c r="AU370" s="27"/>
      <c r="AV370" s="27"/>
      <c r="AW370" s="27"/>
      <c r="AX370" s="27"/>
      <c r="AY370" s="27"/>
      <c r="AZ370" s="27"/>
      <c r="BA370" s="27"/>
      <c r="BB370" s="27"/>
      <c r="BC370" s="27"/>
      <c r="BD370" s="27"/>
      <c r="BE370" s="27"/>
      <c r="BF370" s="27"/>
      <c r="BG370" s="27"/>
      <c r="BH370" s="27"/>
      <c r="BI370" s="27"/>
      <c r="BJ370" s="27"/>
      <c r="BK370" s="27"/>
      <c r="BL370" s="27"/>
      <c r="BM370" s="27"/>
      <c r="BN370" s="27"/>
      <c r="BO370" s="27"/>
      <c r="BP370" s="27"/>
      <c r="BQ370" s="27"/>
      <c r="BR370" s="27"/>
      <c r="BS370" s="27"/>
      <c r="BT370" s="27"/>
      <c r="BU370" s="27"/>
      <c r="BV370" s="27"/>
      <c r="BW370" s="27"/>
      <c r="BX370" s="27"/>
      <c r="BY370" s="27"/>
      <c r="BZ370" s="27"/>
      <c r="CA370" s="27"/>
      <c r="CB370" s="27"/>
      <c r="CC370" s="27"/>
      <c r="CD370" s="27"/>
      <c r="CE370" s="27"/>
      <c r="CF370" s="27"/>
      <c r="CG370" s="27"/>
      <c r="CH370" s="27"/>
      <c r="CI370" s="27"/>
      <c r="CJ370" s="27"/>
      <c r="CK370" s="27"/>
      <c r="CL370" s="27"/>
      <c r="CM370" s="27"/>
      <c r="CN370" s="27"/>
      <c r="CO370" s="27"/>
      <c r="CP370" s="27"/>
      <c r="CQ370" s="27"/>
      <c r="CR370" s="27"/>
      <c r="CS370" s="27"/>
      <c r="CT370" s="27"/>
      <c r="CU370" s="27"/>
      <c r="CV370" s="27"/>
      <c r="CW370" s="27"/>
      <c r="CX370" s="27"/>
      <c r="CY370" s="27"/>
      <c r="CZ370" s="27"/>
      <c r="DA370" s="27"/>
      <c r="DB370" s="27"/>
      <c r="DC370" s="27"/>
      <c r="DD370" s="27"/>
      <c r="DE370" s="27"/>
      <c r="DF370" s="27"/>
      <c r="DG370" s="27"/>
      <c r="DH370" s="27"/>
      <c r="DI370" s="27"/>
      <c r="DJ370" s="27"/>
      <c r="DK370" s="27"/>
      <c r="DL370" s="27"/>
      <c r="DM370" s="27"/>
      <c r="DN370" s="27"/>
      <c r="DO370" s="27"/>
      <c r="DP370" s="27"/>
      <c r="DQ370" s="27"/>
      <c r="DR370" s="27"/>
      <c r="DS370" s="27"/>
      <c r="DT370" s="27"/>
    </row>
    <row r="371" spans="2:124" x14ac:dyDescent="0.2">
      <c r="B371" s="27"/>
      <c r="C371" s="27"/>
      <c r="D371" s="27"/>
      <c r="E371" s="27"/>
      <c r="F371" s="27"/>
      <c r="G371" s="27"/>
      <c r="H371" s="27"/>
      <c r="I371" s="27"/>
      <c r="J371" s="27"/>
      <c r="K371" s="27"/>
      <c r="L371" s="27"/>
      <c r="M371" s="27"/>
      <c r="N371" s="27"/>
      <c r="O371" s="27"/>
      <c r="P371" s="27"/>
      <c r="Q371" s="27"/>
      <c r="R371" s="27"/>
      <c r="S371" s="27"/>
      <c r="T371" s="27"/>
      <c r="U371" s="27"/>
      <c r="V371" s="27"/>
      <c r="W371" s="27"/>
      <c r="X371" s="27"/>
      <c r="Y371" s="27"/>
      <c r="Z371" s="27"/>
      <c r="AA371" s="27"/>
      <c r="AB371" s="27"/>
      <c r="AC371" s="27"/>
      <c r="AD371" s="27"/>
      <c r="AE371" s="27"/>
      <c r="AF371" s="27"/>
      <c r="AG371" s="27"/>
      <c r="AH371" s="27"/>
      <c r="AI371" s="27"/>
      <c r="AJ371" s="27"/>
      <c r="AK371" s="27"/>
      <c r="AL371" s="27"/>
      <c r="AM371" s="27"/>
      <c r="AN371" s="27"/>
      <c r="AO371" s="27"/>
      <c r="AP371" s="27"/>
      <c r="AQ371" s="27"/>
      <c r="AR371" s="27"/>
      <c r="AS371" s="27"/>
      <c r="AT371" s="27"/>
      <c r="AU371" s="27"/>
      <c r="AV371" s="27"/>
      <c r="AW371" s="27"/>
      <c r="AX371" s="27"/>
      <c r="AY371" s="27"/>
      <c r="AZ371" s="27"/>
      <c r="BA371" s="27"/>
      <c r="BB371" s="27"/>
      <c r="BC371" s="27"/>
      <c r="BD371" s="27"/>
      <c r="BE371" s="27"/>
      <c r="BF371" s="27"/>
      <c r="BG371" s="27"/>
      <c r="BH371" s="27"/>
      <c r="BI371" s="27"/>
      <c r="BJ371" s="27"/>
      <c r="BK371" s="27"/>
      <c r="BL371" s="27"/>
      <c r="BM371" s="27"/>
      <c r="BN371" s="27"/>
      <c r="BO371" s="27"/>
      <c r="BP371" s="27"/>
      <c r="BQ371" s="27"/>
      <c r="BR371" s="27"/>
      <c r="BS371" s="27"/>
      <c r="BT371" s="27"/>
      <c r="BU371" s="27"/>
      <c r="BV371" s="27"/>
      <c r="BW371" s="27"/>
      <c r="BX371" s="27"/>
      <c r="BY371" s="27"/>
      <c r="BZ371" s="27"/>
      <c r="CA371" s="27"/>
      <c r="CB371" s="27"/>
      <c r="CC371" s="27"/>
      <c r="CD371" s="27"/>
      <c r="CE371" s="27"/>
      <c r="CF371" s="27"/>
      <c r="CG371" s="27"/>
      <c r="CH371" s="27"/>
      <c r="CI371" s="27"/>
      <c r="CJ371" s="27"/>
      <c r="CK371" s="27"/>
      <c r="CL371" s="27"/>
      <c r="CM371" s="27"/>
      <c r="CN371" s="27"/>
      <c r="CO371" s="27"/>
      <c r="CP371" s="27"/>
      <c r="CQ371" s="27"/>
      <c r="CR371" s="27"/>
      <c r="CS371" s="27"/>
      <c r="CT371" s="27"/>
      <c r="CU371" s="27"/>
      <c r="CV371" s="27"/>
      <c r="CW371" s="27"/>
      <c r="CX371" s="27"/>
      <c r="CY371" s="27"/>
      <c r="CZ371" s="27"/>
      <c r="DA371" s="27"/>
      <c r="DB371" s="27"/>
      <c r="DC371" s="27"/>
      <c r="DD371" s="27"/>
      <c r="DE371" s="27"/>
      <c r="DF371" s="27"/>
      <c r="DG371" s="27"/>
      <c r="DH371" s="27"/>
      <c r="DI371" s="27"/>
      <c r="DJ371" s="27"/>
      <c r="DK371" s="27"/>
      <c r="DL371" s="27"/>
      <c r="DM371" s="27"/>
      <c r="DN371" s="27"/>
      <c r="DO371" s="27"/>
      <c r="DP371" s="27"/>
      <c r="DQ371" s="27"/>
      <c r="DR371" s="27"/>
      <c r="DS371" s="27"/>
      <c r="DT371" s="27"/>
    </row>
    <row r="372" spans="2:124" x14ac:dyDescent="0.2">
      <c r="B372" s="27"/>
      <c r="C372" s="27"/>
      <c r="D372" s="27"/>
      <c r="E372" s="27"/>
      <c r="F372" s="27"/>
      <c r="G372" s="27"/>
      <c r="H372" s="27"/>
      <c r="I372" s="27"/>
      <c r="J372" s="27"/>
      <c r="K372" s="27"/>
      <c r="L372" s="27"/>
      <c r="M372" s="27"/>
      <c r="N372" s="27"/>
      <c r="O372" s="27"/>
      <c r="P372" s="27"/>
      <c r="Q372" s="27"/>
      <c r="R372" s="27"/>
      <c r="S372" s="27"/>
      <c r="T372" s="27"/>
      <c r="U372" s="27"/>
      <c r="V372" s="27"/>
      <c r="W372" s="27"/>
      <c r="X372" s="27"/>
      <c r="Y372" s="27"/>
      <c r="Z372" s="27"/>
      <c r="AA372" s="27"/>
      <c r="AB372" s="27"/>
      <c r="AC372" s="27"/>
      <c r="AD372" s="27"/>
      <c r="AE372" s="27"/>
      <c r="AF372" s="27"/>
      <c r="AG372" s="27"/>
      <c r="AH372" s="27"/>
      <c r="AI372" s="27"/>
      <c r="AJ372" s="27"/>
      <c r="AK372" s="27"/>
      <c r="AL372" s="27"/>
      <c r="AM372" s="27"/>
      <c r="AN372" s="27"/>
      <c r="AO372" s="27"/>
      <c r="AP372" s="27"/>
      <c r="AQ372" s="27"/>
      <c r="AR372" s="27"/>
      <c r="AS372" s="27"/>
      <c r="AT372" s="27"/>
      <c r="AU372" s="27"/>
      <c r="AV372" s="27"/>
      <c r="AW372" s="27"/>
      <c r="AX372" s="27"/>
      <c r="AY372" s="27"/>
      <c r="AZ372" s="27"/>
      <c r="BA372" s="27"/>
      <c r="BB372" s="27"/>
      <c r="BC372" s="27"/>
      <c r="BD372" s="27"/>
      <c r="BE372" s="27"/>
      <c r="BF372" s="27"/>
      <c r="BG372" s="27"/>
      <c r="BH372" s="27"/>
      <c r="BI372" s="27"/>
      <c r="BJ372" s="27"/>
      <c r="BK372" s="27"/>
      <c r="BL372" s="27"/>
      <c r="BM372" s="27"/>
      <c r="BN372" s="27"/>
      <c r="BO372" s="27"/>
      <c r="BP372" s="27"/>
      <c r="BQ372" s="27"/>
      <c r="BR372" s="27"/>
      <c r="BS372" s="27"/>
      <c r="BT372" s="27"/>
      <c r="BU372" s="27"/>
      <c r="BV372" s="27"/>
      <c r="BW372" s="27"/>
      <c r="BX372" s="27"/>
      <c r="BY372" s="27"/>
      <c r="BZ372" s="27"/>
      <c r="CA372" s="27"/>
      <c r="CB372" s="27"/>
      <c r="CC372" s="27"/>
      <c r="CD372" s="27"/>
      <c r="CE372" s="27"/>
      <c r="CF372" s="27"/>
      <c r="CG372" s="27"/>
      <c r="CH372" s="27"/>
      <c r="CI372" s="27"/>
      <c r="CJ372" s="27"/>
      <c r="CK372" s="27"/>
      <c r="CL372" s="27"/>
      <c r="CM372" s="27"/>
      <c r="CN372" s="27"/>
      <c r="CO372" s="27"/>
      <c r="CP372" s="27"/>
      <c r="CQ372" s="27"/>
      <c r="CR372" s="27"/>
      <c r="CS372" s="27"/>
      <c r="CT372" s="27"/>
      <c r="CU372" s="27"/>
      <c r="CV372" s="27"/>
      <c r="CW372" s="27"/>
      <c r="CX372" s="27"/>
      <c r="CY372" s="27"/>
      <c r="CZ372" s="27"/>
      <c r="DA372" s="27"/>
      <c r="DB372" s="27"/>
      <c r="DC372" s="27"/>
      <c r="DD372" s="27"/>
      <c r="DE372" s="27"/>
      <c r="DF372" s="27"/>
      <c r="DG372" s="27"/>
      <c r="DH372" s="27"/>
      <c r="DI372" s="27"/>
      <c r="DJ372" s="27"/>
      <c r="DK372" s="27"/>
      <c r="DL372" s="27"/>
      <c r="DM372" s="27"/>
      <c r="DN372" s="27"/>
      <c r="DO372" s="27"/>
      <c r="DP372" s="27"/>
      <c r="DQ372" s="27"/>
      <c r="DR372" s="27"/>
      <c r="DS372" s="27"/>
      <c r="DT372" s="27"/>
    </row>
    <row r="373" spans="2:124" x14ac:dyDescent="0.2">
      <c r="B373" s="27"/>
      <c r="C373" s="27"/>
      <c r="D373" s="27"/>
      <c r="E373" s="27"/>
      <c r="F373" s="27"/>
      <c r="G373" s="27"/>
      <c r="H373" s="27"/>
      <c r="I373" s="27"/>
      <c r="J373" s="27"/>
      <c r="K373" s="27"/>
      <c r="L373" s="27"/>
      <c r="M373" s="27"/>
      <c r="N373" s="27"/>
      <c r="O373" s="27"/>
      <c r="P373" s="27"/>
      <c r="Q373" s="27"/>
      <c r="R373" s="27"/>
      <c r="S373" s="27"/>
      <c r="T373" s="27"/>
      <c r="U373" s="27"/>
      <c r="V373" s="27"/>
      <c r="W373" s="27"/>
      <c r="X373" s="27"/>
      <c r="Y373" s="27"/>
      <c r="Z373" s="27"/>
      <c r="AA373" s="27"/>
      <c r="AB373" s="27"/>
      <c r="AC373" s="27"/>
      <c r="AD373" s="27"/>
      <c r="AE373" s="27"/>
      <c r="AF373" s="27"/>
      <c r="AG373" s="27"/>
      <c r="AH373" s="27"/>
      <c r="AI373" s="27"/>
      <c r="AJ373" s="27"/>
      <c r="AK373" s="27"/>
      <c r="AL373" s="27"/>
      <c r="AM373" s="27"/>
      <c r="AN373" s="27"/>
      <c r="AO373" s="27"/>
      <c r="AP373" s="27"/>
      <c r="AQ373" s="27"/>
      <c r="AR373" s="27"/>
      <c r="AS373" s="27"/>
      <c r="AT373" s="27"/>
      <c r="AU373" s="27"/>
      <c r="AV373" s="27"/>
      <c r="AW373" s="27"/>
      <c r="AX373" s="27"/>
      <c r="AY373" s="27"/>
      <c r="AZ373" s="27"/>
      <c r="BA373" s="27"/>
      <c r="BB373" s="27"/>
      <c r="BC373" s="27"/>
      <c r="BD373" s="27"/>
      <c r="BE373" s="27"/>
      <c r="BF373" s="27"/>
      <c r="BG373" s="27"/>
      <c r="BH373" s="27"/>
      <c r="BI373" s="27"/>
      <c r="BJ373" s="27"/>
      <c r="BK373" s="27"/>
      <c r="BL373" s="27"/>
      <c r="BM373" s="27"/>
      <c r="BN373" s="27"/>
      <c r="BO373" s="27"/>
      <c r="BP373" s="27"/>
      <c r="BQ373" s="27"/>
      <c r="BR373" s="27"/>
      <c r="BS373" s="27"/>
      <c r="BT373" s="27"/>
      <c r="BU373" s="27"/>
      <c r="BV373" s="27"/>
      <c r="BW373" s="27"/>
      <c r="BX373" s="27"/>
      <c r="BY373" s="27"/>
      <c r="BZ373" s="27"/>
      <c r="CA373" s="27"/>
      <c r="CB373" s="27"/>
      <c r="CC373" s="27"/>
      <c r="CD373" s="27"/>
      <c r="CE373" s="27"/>
      <c r="CF373" s="27"/>
      <c r="CG373" s="27"/>
      <c r="CH373" s="27"/>
      <c r="CI373" s="27"/>
      <c r="CJ373" s="27"/>
      <c r="CK373" s="27"/>
      <c r="CL373" s="27"/>
      <c r="CM373" s="27"/>
      <c r="CN373" s="27"/>
      <c r="CO373" s="27"/>
      <c r="CP373" s="27"/>
      <c r="CQ373" s="27"/>
      <c r="CR373" s="27"/>
      <c r="CS373" s="27"/>
      <c r="CT373" s="27"/>
      <c r="CU373" s="27"/>
      <c r="CV373" s="27"/>
      <c r="CW373" s="27"/>
      <c r="CX373" s="27"/>
      <c r="CY373" s="27"/>
      <c r="CZ373" s="27"/>
      <c r="DA373" s="27"/>
      <c r="DB373" s="27"/>
      <c r="DC373" s="27"/>
      <c r="DD373" s="27"/>
      <c r="DE373" s="27"/>
      <c r="DF373" s="27"/>
      <c r="DG373" s="27"/>
      <c r="DH373" s="27"/>
      <c r="DI373" s="27"/>
      <c r="DJ373" s="27"/>
      <c r="DK373" s="27"/>
      <c r="DL373" s="27"/>
      <c r="DM373" s="27"/>
      <c r="DN373" s="27"/>
      <c r="DO373" s="27"/>
      <c r="DP373" s="27"/>
      <c r="DQ373" s="27"/>
      <c r="DR373" s="27"/>
      <c r="DS373" s="27"/>
      <c r="DT373" s="27"/>
    </row>
    <row r="374" spans="2:124" x14ac:dyDescent="0.2">
      <c r="B374" s="27"/>
      <c r="C374" s="27"/>
      <c r="D374" s="27"/>
      <c r="E374" s="27"/>
      <c r="F374" s="27"/>
      <c r="G374" s="27"/>
      <c r="H374" s="27"/>
      <c r="I374" s="27"/>
      <c r="J374" s="27"/>
      <c r="K374" s="27"/>
      <c r="L374" s="27"/>
      <c r="M374" s="27"/>
      <c r="N374" s="27"/>
      <c r="O374" s="27"/>
      <c r="P374" s="27"/>
      <c r="Q374" s="27"/>
      <c r="R374" s="27"/>
      <c r="S374" s="27"/>
      <c r="T374" s="27"/>
      <c r="U374" s="27"/>
      <c r="V374" s="27"/>
      <c r="W374" s="27"/>
      <c r="X374" s="27"/>
      <c r="Y374" s="27"/>
      <c r="Z374" s="27"/>
      <c r="AA374" s="27"/>
      <c r="AB374" s="27"/>
      <c r="AC374" s="27"/>
      <c r="AD374" s="27"/>
      <c r="AE374" s="27"/>
      <c r="AF374" s="27"/>
      <c r="AG374" s="27"/>
      <c r="AH374" s="27"/>
      <c r="AI374" s="27"/>
      <c r="AJ374" s="27"/>
      <c r="AK374" s="27"/>
      <c r="AL374" s="27"/>
      <c r="AM374" s="27"/>
      <c r="AN374" s="27"/>
      <c r="AO374" s="27"/>
      <c r="AP374" s="27"/>
      <c r="AQ374" s="27"/>
      <c r="AR374" s="27"/>
      <c r="AS374" s="27"/>
      <c r="AT374" s="27"/>
      <c r="AU374" s="27"/>
      <c r="AV374" s="27"/>
      <c r="AW374" s="27"/>
      <c r="AX374" s="27"/>
      <c r="AY374" s="27"/>
      <c r="AZ374" s="27"/>
      <c r="BA374" s="27"/>
      <c r="BB374" s="27"/>
      <c r="BC374" s="27"/>
      <c r="BD374" s="27"/>
      <c r="BE374" s="27"/>
      <c r="BF374" s="27"/>
      <c r="BG374" s="27"/>
      <c r="BH374" s="27"/>
      <c r="BI374" s="27"/>
      <c r="BJ374" s="27"/>
      <c r="BK374" s="27"/>
      <c r="BL374" s="27"/>
      <c r="BM374" s="27"/>
      <c r="BN374" s="27"/>
      <c r="BO374" s="27"/>
      <c r="BP374" s="27"/>
      <c r="BQ374" s="27"/>
      <c r="BR374" s="27"/>
      <c r="BS374" s="27"/>
      <c r="BT374" s="27"/>
      <c r="BU374" s="27"/>
      <c r="BV374" s="27"/>
      <c r="BW374" s="27"/>
      <c r="BX374" s="27"/>
      <c r="BY374" s="27"/>
      <c r="BZ374" s="27"/>
      <c r="CA374" s="27"/>
      <c r="CB374" s="27"/>
      <c r="CC374" s="27"/>
      <c r="CD374" s="27"/>
      <c r="CE374" s="27"/>
      <c r="CF374" s="27"/>
      <c r="CG374" s="27"/>
      <c r="CH374" s="27"/>
      <c r="CI374" s="27"/>
      <c r="CJ374" s="27"/>
      <c r="CK374" s="27"/>
      <c r="CL374" s="27"/>
      <c r="CM374" s="27"/>
      <c r="CN374" s="27"/>
      <c r="CO374" s="27"/>
      <c r="CP374" s="27"/>
      <c r="CQ374" s="27"/>
      <c r="CR374" s="27"/>
      <c r="CS374" s="27"/>
      <c r="CT374" s="27"/>
      <c r="CU374" s="27"/>
      <c r="CV374" s="27"/>
      <c r="CW374" s="27"/>
      <c r="CX374" s="27"/>
      <c r="CY374" s="27"/>
      <c r="CZ374" s="27"/>
      <c r="DA374" s="27"/>
      <c r="DB374" s="27"/>
      <c r="DC374" s="27"/>
      <c r="DD374" s="27"/>
      <c r="DE374" s="27"/>
      <c r="DF374" s="27"/>
      <c r="DG374" s="27"/>
      <c r="DH374" s="27"/>
      <c r="DI374" s="27"/>
      <c r="DJ374" s="27"/>
      <c r="DK374" s="27"/>
      <c r="DL374" s="27"/>
      <c r="DM374" s="27"/>
      <c r="DN374" s="27"/>
      <c r="DO374" s="27"/>
      <c r="DP374" s="27"/>
      <c r="DQ374" s="27"/>
      <c r="DR374" s="27"/>
      <c r="DS374" s="27"/>
      <c r="DT374" s="27"/>
    </row>
    <row r="375" spans="2:124" x14ac:dyDescent="0.2">
      <c r="B375" s="27"/>
      <c r="C375" s="27"/>
      <c r="D375" s="27"/>
      <c r="E375" s="27"/>
      <c r="F375" s="27"/>
      <c r="G375" s="27"/>
      <c r="H375" s="27"/>
      <c r="I375" s="27"/>
      <c r="J375" s="27"/>
      <c r="K375" s="27"/>
      <c r="L375" s="27"/>
      <c r="M375" s="27"/>
      <c r="N375" s="27"/>
      <c r="O375" s="27"/>
      <c r="P375" s="27"/>
      <c r="Q375" s="27"/>
      <c r="R375" s="27"/>
      <c r="S375" s="27"/>
      <c r="T375" s="27"/>
      <c r="U375" s="27"/>
      <c r="V375" s="27"/>
      <c r="W375" s="27"/>
      <c r="X375" s="27"/>
      <c r="Y375" s="27"/>
      <c r="Z375" s="27"/>
      <c r="AA375" s="27"/>
      <c r="AB375" s="27"/>
      <c r="AC375" s="27"/>
      <c r="AD375" s="27"/>
      <c r="AE375" s="27"/>
      <c r="AF375" s="27"/>
      <c r="AG375" s="27"/>
      <c r="AH375" s="27"/>
      <c r="AI375" s="27"/>
      <c r="AJ375" s="27"/>
      <c r="AK375" s="27"/>
      <c r="AL375" s="27"/>
      <c r="AM375" s="27"/>
      <c r="AN375" s="27"/>
      <c r="AO375" s="27"/>
      <c r="AP375" s="27"/>
      <c r="AQ375" s="27"/>
      <c r="AR375" s="27"/>
      <c r="AS375" s="27"/>
      <c r="AT375" s="27"/>
      <c r="AU375" s="27"/>
      <c r="AV375" s="27"/>
      <c r="AW375" s="27"/>
      <c r="AX375" s="27"/>
      <c r="AY375" s="27"/>
      <c r="AZ375" s="27"/>
      <c r="BA375" s="27"/>
      <c r="BB375" s="27"/>
      <c r="BC375" s="27"/>
      <c r="BD375" s="27"/>
      <c r="BE375" s="27"/>
      <c r="BF375" s="27"/>
      <c r="BG375" s="27"/>
      <c r="BH375" s="27"/>
      <c r="BI375" s="27"/>
      <c r="BJ375" s="27"/>
      <c r="BK375" s="27"/>
      <c r="BL375" s="27"/>
      <c r="BM375" s="27"/>
      <c r="BN375" s="27"/>
      <c r="BO375" s="27"/>
      <c r="BP375" s="27"/>
      <c r="BQ375" s="27"/>
      <c r="BR375" s="27"/>
      <c r="BS375" s="27"/>
      <c r="BT375" s="27"/>
      <c r="BU375" s="27"/>
      <c r="BV375" s="27"/>
      <c r="BW375" s="27"/>
      <c r="BX375" s="27"/>
      <c r="BY375" s="27"/>
      <c r="BZ375" s="27"/>
      <c r="CA375" s="27"/>
      <c r="CB375" s="27"/>
      <c r="CC375" s="27"/>
      <c r="CD375" s="27"/>
      <c r="CE375" s="27"/>
      <c r="CF375" s="27"/>
      <c r="CG375" s="27"/>
      <c r="CH375" s="27"/>
      <c r="CI375" s="27"/>
      <c r="CJ375" s="27"/>
      <c r="CK375" s="27"/>
      <c r="CL375" s="27"/>
      <c r="CM375" s="27"/>
      <c r="CN375" s="27"/>
      <c r="CO375" s="27"/>
      <c r="CP375" s="27"/>
      <c r="CQ375" s="27"/>
      <c r="CR375" s="27"/>
      <c r="CS375" s="27"/>
      <c r="CT375" s="27"/>
      <c r="CU375" s="27"/>
      <c r="CV375" s="27"/>
      <c r="CW375" s="27"/>
      <c r="CX375" s="27"/>
      <c r="CY375" s="27"/>
      <c r="CZ375" s="27"/>
      <c r="DA375" s="27"/>
      <c r="DB375" s="27"/>
      <c r="DC375" s="27"/>
      <c r="DD375" s="27"/>
      <c r="DE375" s="27"/>
      <c r="DF375" s="27"/>
      <c r="DG375" s="27"/>
      <c r="DH375" s="27"/>
      <c r="DI375" s="27"/>
      <c r="DJ375" s="27"/>
      <c r="DK375" s="27"/>
      <c r="DL375" s="27"/>
      <c r="DM375" s="27"/>
      <c r="DN375" s="27"/>
      <c r="DO375" s="27"/>
      <c r="DP375" s="27"/>
      <c r="DQ375" s="27"/>
      <c r="DR375" s="27"/>
      <c r="DS375" s="27"/>
      <c r="DT375" s="27"/>
    </row>
    <row r="376" spans="2:124" x14ac:dyDescent="0.2">
      <c r="B376" s="27"/>
      <c r="C376" s="27"/>
      <c r="D376" s="27"/>
      <c r="E376" s="27"/>
      <c r="F376" s="27"/>
      <c r="G376" s="27"/>
      <c r="H376" s="27"/>
      <c r="I376" s="27"/>
      <c r="J376" s="27"/>
      <c r="K376" s="27"/>
      <c r="L376" s="27"/>
      <c r="M376" s="27"/>
      <c r="N376" s="27"/>
      <c r="O376" s="27"/>
      <c r="P376" s="27"/>
      <c r="Q376" s="27"/>
      <c r="R376" s="27"/>
      <c r="S376" s="27"/>
      <c r="T376" s="27"/>
      <c r="U376" s="27"/>
      <c r="V376" s="27"/>
      <c r="W376" s="27"/>
      <c r="X376" s="27"/>
      <c r="Y376" s="27"/>
      <c r="Z376" s="27"/>
      <c r="AA376" s="27"/>
      <c r="AB376" s="27"/>
      <c r="AC376" s="27"/>
      <c r="AD376" s="27"/>
      <c r="AE376" s="27"/>
      <c r="AF376" s="27"/>
      <c r="AG376" s="27"/>
      <c r="AH376" s="27"/>
      <c r="AI376" s="27"/>
      <c r="AJ376" s="27"/>
      <c r="AK376" s="27"/>
      <c r="AL376" s="27"/>
      <c r="AM376" s="27"/>
      <c r="AN376" s="27"/>
      <c r="AO376" s="27"/>
      <c r="AP376" s="27"/>
      <c r="AQ376" s="27"/>
      <c r="AR376" s="27"/>
      <c r="AS376" s="27"/>
      <c r="AT376" s="27"/>
      <c r="AU376" s="27"/>
      <c r="AV376" s="27"/>
      <c r="AW376" s="27"/>
      <c r="AX376" s="27"/>
      <c r="AY376" s="27"/>
      <c r="AZ376" s="27"/>
      <c r="BA376" s="27"/>
      <c r="BB376" s="27"/>
      <c r="BC376" s="27"/>
      <c r="BD376" s="27"/>
      <c r="BE376" s="27"/>
      <c r="BF376" s="27"/>
      <c r="BG376" s="27"/>
      <c r="BH376" s="27"/>
      <c r="BI376" s="27"/>
      <c r="BJ376" s="27"/>
      <c r="BK376" s="27"/>
      <c r="BL376" s="27"/>
      <c r="BM376" s="27"/>
      <c r="BN376" s="27"/>
      <c r="BO376" s="27"/>
      <c r="BP376" s="27"/>
      <c r="BQ376" s="27"/>
      <c r="BR376" s="27"/>
      <c r="BS376" s="27"/>
      <c r="BT376" s="27"/>
      <c r="BU376" s="27"/>
      <c r="BV376" s="27"/>
      <c r="BW376" s="27"/>
      <c r="BX376" s="27"/>
      <c r="BY376" s="27"/>
      <c r="BZ376" s="27"/>
      <c r="CA376" s="27"/>
      <c r="CB376" s="27"/>
      <c r="CC376" s="27"/>
      <c r="CD376" s="27"/>
      <c r="CE376" s="27"/>
      <c r="CF376" s="27"/>
      <c r="CG376" s="27"/>
      <c r="CH376" s="27"/>
      <c r="CI376" s="27"/>
      <c r="CJ376" s="27"/>
      <c r="CK376" s="27"/>
      <c r="CL376" s="27"/>
      <c r="CM376" s="27"/>
      <c r="CN376" s="27"/>
      <c r="CO376" s="27"/>
      <c r="CP376" s="27"/>
      <c r="CQ376" s="27"/>
      <c r="CR376" s="27"/>
      <c r="CS376" s="27"/>
      <c r="CT376" s="27"/>
      <c r="CU376" s="27"/>
      <c r="CV376" s="27"/>
      <c r="CW376" s="27"/>
      <c r="CX376" s="27"/>
      <c r="CY376" s="27"/>
      <c r="CZ376" s="27"/>
      <c r="DA376" s="27"/>
      <c r="DB376" s="27"/>
      <c r="DC376" s="27"/>
      <c r="DD376" s="27"/>
      <c r="DE376" s="27"/>
      <c r="DF376" s="27"/>
      <c r="DG376" s="27"/>
      <c r="DH376" s="27"/>
      <c r="DI376" s="27"/>
      <c r="DJ376" s="27"/>
      <c r="DK376" s="27"/>
      <c r="DL376" s="27"/>
      <c r="DM376" s="27"/>
      <c r="DN376" s="27"/>
      <c r="DO376" s="27"/>
      <c r="DP376" s="27"/>
      <c r="DQ376" s="27"/>
      <c r="DR376" s="27"/>
      <c r="DS376" s="27"/>
      <c r="DT376" s="27"/>
    </row>
    <row r="377" spans="2:124" x14ac:dyDescent="0.2">
      <c r="B377" s="27"/>
      <c r="C377" s="27"/>
      <c r="D377" s="27"/>
      <c r="E377" s="27"/>
      <c r="F377" s="27"/>
      <c r="G377" s="27"/>
      <c r="H377" s="27"/>
      <c r="I377" s="27"/>
      <c r="J377" s="27"/>
      <c r="K377" s="27"/>
      <c r="L377" s="27"/>
      <c r="M377" s="27"/>
      <c r="N377" s="27"/>
      <c r="O377" s="27"/>
      <c r="P377" s="27"/>
      <c r="Q377" s="27"/>
      <c r="R377" s="27"/>
      <c r="S377" s="27"/>
      <c r="T377" s="27"/>
      <c r="U377" s="27"/>
      <c r="V377" s="27"/>
      <c r="W377" s="27"/>
      <c r="X377" s="27"/>
      <c r="Y377" s="27"/>
      <c r="Z377" s="27"/>
      <c r="AA377" s="27"/>
      <c r="AB377" s="27"/>
      <c r="AC377" s="27"/>
      <c r="AD377" s="27"/>
      <c r="AE377" s="27"/>
      <c r="AF377" s="27"/>
      <c r="AG377" s="27"/>
      <c r="AH377" s="27"/>
      <c r="AI377" s="27"/>
      <c r="AJ377" s="27"/>
      <c r="AK377" s="27"/>
      <c r="AL377" s="27"/>
      <c r="AM377" s="27"/>
      <c r="AN377" s="27"/>
      <c r="AO377" s="27"/>
      <c r="AP377" s="27"/>
      <c r="AQ377" s="27"/>
      <c r="AR377" s="27"/>
      <c r="AS377" s="27"/>
      <c r="AT377" s="27"/>
      <c r="AU377" s="27"/>
      <c r="AV377" s="27"/>
      <c r="AW377" s="27"/>
      <c r="AX377" s="27"/>
      <c r="AY377" s="27"/>
      <c r="AZ377" s="27"/>
      <c r="BA377" s="27"/>
      <c r="BB377" s="27"/>
      <c r="BC377" s="27"/>
      <c r="BD377" s="27"/>
      <c r="BE377" s="27"/>
      <c r="BF377" s="27"/>
      <c r="BG377" s="27"/>
      <c r="BH377" s="27"/>
      <c r="BI377" s="27"/>
      <c r="BJ377" s="27"/>
      <c r="BK377" s="27"/>
      <c r="BL377" s="27"/>
      <c r="BM377" s="27"/>
      <c r="BN377" s="27"/>
      <c r="BO377" s="27"/>
      <c r="BP377" s="27"/>
      <c r="BQ377" s="27"/>
      <c r="BR377" s="27"/>
      <c r="BS377" s="27"/>
      <c r="BT377" s="27"/>
      <c r="BU377" s="27"/>
      <c r="BV377" s="27"/>
      <c r="BW377" s="27"/>
      <c r="BX377" s="27"/>
      <c r="BY377" s="27"/>
      <c r="BZ377" s="27"/>
      <c r="CA377" s="27"/>
      <c r="CB377" s="27"/>
      <c r="CC377" s="27"/>
      <c r="CD377" s="27"/>
      <c r="CE377" s="27"/>
      <c r="CF377" s="27"/>
      <c r="CG377" s="27"/>
      <c r="CH377" s="27"/>
      <c r="CI377" s="27"/>
      <c r="CJ377" s="27"/>
      <c r="CK377" s="27"/>
      <c r="CL377" s="27"/>
      <c r="CM377" s="27"/>
      <c r="CN377" s="27"/>
      <c r="CO377" s="27"/>
      <c r="CP377" s="27"/>
      <c r="CQ377" s="27"/>
      <c r="CR377" s="27"/>
      <c r="CS377" s="27"/>
      <c r="CT377" s="27"/>
      <c r="CU377" s="27"/>
      <c r="CV377" s="27"/>
      <c r="CW377" s="27"/>
      <c r="CX377" s="27"/>
      <c r="CY377" s="27"/>
      <c r="CZ377" s="27"/>
      <c r="DA377" s="27"/>
      <c r="DB377" s="27"/>
      <c r="DC377" s="27"/>
      <c r="DD377" s="27"/>
      <c r="DE377" s="27"/>
      <c r="DF377" s="27"/>
      <c r="DG377" s="27"/>
      <c r="DH377" s="27"/>
      <c r="DI377" s="27"/>
      <c r="DJ377" s="27"/>
      <c r="DK377" s="27"/>
      <c r="DL377" s="27"/>
      <c r="DM377" s="27"/>
      <c r="DN377" s="27"/>
      <c r="DO377" s="27"/>
      <c r="DP377" s="27"/>
      <c r="DQ377" s="27"/>
      <c r="DR377" s="27"/>
      <c r="DS377" s="27"/>
      <c r="DT377" s="27"/>
    </row>
    <row r="378" spans="2:124" x14ac:dyDescent="0.2">
      <c r="B378" s="27"/>
      <c r="C378" s="27"/>
      <c r="D378" s="27"/>
      <c r="E378" s="27"/>
      <c r="F378" s="27"/>
      <c r="G378" s="27"/>
      <c r="H378" s="27"/>
      <c r="I378" s="27"/>
      <c r="J378" s="27"/>
      <c r="K378" s="27"/>
      <c r="L378" s="27"/>
      <c r="M378" s="27"/>
      <c r="N378" s="27"/>
      <c r="O378" s="27"/>
      <c r="P378" s="27"/>
      <c r="Q378" s="27"/>
      <c r="R378" s="27"/>
      <c r="S378" s="27"/>
      <c r="T378" s="27"/>
      <c r="U378" s="27"/>
      <c r="V378" s="27"/>
      <c r="W378" s="27"/>
      <c r="X378" s="27"/>
      <c r="Y378" s="27"/>
      <c r="Z378" s="27"/>
      <c r="AA378" s="27"/>
      <c r="AB378" s="27"/>
      <c r="AC378" s="27"/>
      <c r="AD378" s="27"/>
      <c r="AE378" s="27"/>
      <c r="AF378" s="27"/>
      <c r="AG378" s="27"/>
      <c r="AH378" s="27"/>
      <c r="AI378" s="27"/>
      <c r="AJ378" s="27"/>
      <c r="AK378" s="27"/>
      <c r="AL378" s="27"/>
      <c r="AM378" s="27"/>
      <c r="AN378" s="27"/>
      <c r="AO378" s="27"/>
      <c r="AP378" s="27"/>
      <c r="AQ378" s="27"/>
      <c r="AR378" s="27"/>
      <c r="AS378" s="27"/>
      <c r="AT378" s="27"/>
      <c r="AU378" s="27"/>
      <c r="AV378" s="27"/>
      <c r="AW378" s="27"/>
      <c r="AX378" s="27"/>
      <c r="AY378" s="27"/>
      <c r="AZ378" s="27"/>
      <c r="BA378" s="27"/>
      <c r="BB378" s="27"/>
      <c r="BC378" s="27"/>
      <c r="BD378" s="27"/>
      <c r="BE378" s="27"/>
      <c r="BF378" s="27"/>
      <c r="BG378" s="27"/>
      <c r="BH378" s="27"/>
      <c r="BI378" s="27"/>
      <c r="BJ378" s="27"/>
      <c r="BK378" s="27"/>
      <c r="BL378" s="27"/>
      <c r="BM378" s="27"/>
      <c r="BN378" s="27"/>
      <c r="BO378" s="27"/>
      <c r="BP378" s="27"/>
      <c r="BQ378" s="27"/>
      <c r="BR378" s="27"/>
      <c r="BS378" s="27"/>
      <c r="BT378" s="27"/>
      <c r="BU378" s="27"/>
      <c r="BV378" s="27"/>
      <c r="BW378" s="27"/>
      <c r="BX378" s="27"/>
      <c r="BY378" s="27"/>
      <c r="BZ378" s="27"/>
      <c r="CA378" s="27"/>
      <c r="CB378" s="27"/>
      <c r="CC378" s="27"/>
      <c r="CD378" s="27"/>
      <c r="CE378" s="27"/>
      <c r="CF378" s="27"/>
      <c r="CG378" s="27"/>
      <c r="CH378" s="27"/>
      <c r="CI378" s="27"/>
      <c r="CJ378" s="27"/>
      <c r="CK378" s="27"/>
      <c r="CL378" s="27"/>
      <c r="CM378" s="27"/>
      <c r="CN378" s="27"/>
      <c r="CO378" s="27"/>
      <c r="CP378" s="27"/>
      <c r="CQ378" s="27"/>
      <c r="CR378" s="27"/>
      <c r="CS378" s="27"/>
      <c r="CT378" s="27"/>
      <c r="CU378" s="27"/>
      <c r="CV378" s="27"/>
      <c r="CW378" s="27"/>
      <c r="CX378" s="27"/>
      <c r="CY378" s="27"/>
      <c r="CZ378" s="27"/>
      <c r="DA378" s="27"/>
      <c r="DB378" s="27"/>
      <c r="DC378" s="27"/>
      <c r="DD378" s="27"/>
      <c r="DE378" s="27"/>
      <c r="DF378" s="27"/>
      <c r="DG378" s="27"/>
      <c r="DH378" s="27"/>
      <c r="DI378" s="27"/>
      <c r="DJ378" s="27"/>
      <c r="DK378" s="27"/>
      <c r="DL378" s="27"/>
      <c r="DM378" s="27"/>
      <c r="DN378" s="27"/>
      <c r="DO378" s="27"/>
      <c r="DP378" s="27"/>
      <c r="DQ378" s="27"/>
      <c r="DR378" s="27"/>
      <c r="DS378" s="27"/>
      <c r="DT378" s="27"/>
    </row>
    <row r="379" spans="2:124" x14ac:dyDescent="0.2">
      <c r="B379" s="27"/>
      <c r="C379" s="27"/>
      <c r="D379" s="27"/>
      <c r="E379" s="27"/>
      <c r="F379" s="27"/>
      <c r="G379" s="27"/>
      <c r="H379" s="27"/>
      <c r="I379" s="27"/>
      <c r="J379" s="27"/>
      <c r="K379" s="27"/>
      <c r="L379" s="27"/>
      <c r="M379" s="27"/>
      <c r="N379" s="27"/>
      <c r="O379" s="27"/>
      <c r="P379" s="27"/>
      <c r="Q379" s="27"/>
      <c r="R379" s="27"/>
      <c r="S379" s="27"/>
      <c r="T379" s="27"/>
      <c r="U379" s="27"/>
      <c r="V379" s="27"/>
      <c r="W379" s="27"/>
      <c r="X379" s="27"/>
      <c r="Y379" s="27"/>
      <c r="Z379" s="27"/>
      <c r="AA379" s="27"/>
      <c r="AB379" s="27"/>
      <c r="AC379" s="27"/>
      <c r="AD379" s="27"/>
      <c r="AE379" s="27"/>
      <c r="AF379" s="27"/>
      <c r="AG379" s="27"/>
      <c r="AH379" s="27"/>
      <c r="AI379" s="27"/>
      <c r="AJ379" s="27"/>
      <c r="AK379" s="27"/>
      <c r="AL379" s="27"/>
      <c r="AM379" s="27"/>
      <c r="AN379" s="27"/>
      <c r="AO379" s="27"/>
      <c r="AP379" s="27"/>
      <c r="AQ379" s="27"/>
      <c r="AR379" s="27"/>
      <c r="AS379" s="27"/>
      <c r="AT379" s="27"/>
      <c r="AU379" s="27"/>
      <c r="AV379" s="27"/>
      <c r="AW379" s="27"/>
      <c r="AX379" s="27"/>
      <c r="AY379" s="27"/>
      <c r="AZ379" s="27"/>
      <c r="BA379" s="27"/>
      <c r="BB379" s="27"/>
      <c r="BC379" s="27"/>
      <c r="BD379" s="27"/>
      <c r="BE379" s="27"/>
      <c r="BF379" s="27"/>
      <c r="BG379" s="27"/>
      <c r="BH379" s="27"/>
      <c r="BI379" s="27"/>
      <c r="BJ379" s="27"/>
      <c r="BK379" s="27"/>
      <c r="BL379" s="27"/>
      <c r="BM379" s="27"/>
      <c r="BN379" s="27"/>
      <c r="BO379" s="27"/>
      <c r="BP379" s="27"/>
      <c r="BQ379" s="27"/>
      <c r="BR379" s="27"/>
      <c r="BS379" s="27"/>
      <c r="BT379" s="27"/>
      <c r="BU379" s="27"/>
      <c r="BV379" s="27"/>
      <c r="BW379" s="27"/>
      <c r="BX379" s="27"/>
      <c r="BY379" s="27"/>
      <c r="BZ379" s="27"/>
      <c r="CA379" s="27"/>
      <c r="CB379" s="27"/>
      <c r="CC379" s="27"/>
      <c r="CD379" s="27"/>
      <c r="CE379" s="27"/>
      <c r="CF379" s="27"/>
      <c r="CG379" s="27"/>
      <c r="CH379" s="27"/>
      <c r="CI379" s="27"/>
      <c r="CJ379" s="27"/>
      <c r="CK379" s="27"/>
      <c r="CL379" s="27"/>
      <c r="CM379" s="27"/>
      <c r="CN379" s="27"/>
      <c r="CO379" s="27"/>
      <c r="CP379" s="27"/>
      <c r="CQ379" s="27"/>
      <c r="CR379" s="27"/>
      <c r="CS379" s="27"/>
      <c r="CT379" s="27"/>
      <c r="CU379" s="27"/>
      <c r="CV379" s="27"/>
      <c r="CW379" s="27"/>
      <c r="CX379" s="27"/>
      <c r="CY379" s="27"/>
      <c r="CZ379" s="27"/>
      <c r="DA379" s="27"/>
      <c r="DB379" s="27"/>
      <c r="DC379" s="27"/>
      <c r="DD379" s="27"/>
      <c r="DE379" s="27"/>
      <c r="DF379" s="27"/>
      <c r="DG379" s="27"/>
      <c r="DH379" s="27"/>
      <c r="DI379" s="27"/>
      <c r="DJ379" s="27"/>
      <c r="DK379" s="27"/>
      <c r="DL379" s="27"/>
      <c r="DM379" s="27"/>
      <c r="DN379" s="27"/>
      <c r="DO379" s="27"/>
      <c r="DP379" s="27"/>
      <c r="DQ379" s="27"/>
      <c r="DR379" s="27"/>
      <c r="DS379" s="27"/>
      <c r="DT379" s="27"/>
    </row>
    <row r="380" spans="2:124" x14ac:dyDescent="0.2">
      <c r="B380" s="27"/>
      <c r="C380" s="27"/>
      <c r="D380" s="27"/>
      <c r="E380" s="27"/>
      <c r="F380" s="27"/>
      <c r="G380" s="27"/>
      <c r="H380" s="27"/>
      <c r="I380" s="27"/>
      <c r="J380" s="27"/>
      <c r="K380" s="27"/>
      <c r="L380" s="27"/>
      <c r="M380" s="27"/>
      <c r="N380" s="27"/>
      <c r="O380" s="27"/>
      <c r="P380" s="27"/>
      <c r="Q380" s="27"/>
      <c r="R380" s="27"/>
      <c r="S380" s="27"/>
      <c r="T380" s="27"/>
      <c r="U380" s="27"/>
      <c r="V380" s="27"/>
      <c r="W380" s="27"/>
      <c r="X380" s="27"/>
      <c r="Y380" s="27"/>
      <c r="Z380" s="27"/>
      <c r="AA380" s="27"/>
      <c r="AB380" s="27"/>
      <c r="AC380" s="27"/>
      <c r="AD380" s="27"/>
      <c r="AE380" s="27"/>
      <c r="AF380" s="27"/>
      <c r="AG380" s="27"/>
      <c r="AH380" s="27"/>
      <c r="AI380" s="27"/>
      <c r="AJ380" s="27"/>
      <c r="AK380" s="27"/>
      <c r="AL380" s="27"/>
      <c r="AM380" s="27"/>
      <c r="AN380" s="27"/>
      <c r="AO380" s="27"/>
      <c r="AP380" s="27"/>
      <c r="AQ380" s="27"/>
      <c r="AR380" s="27"/>
      <c r="AS380" s="27"/>
      <c r="AT380" s="27"/>
      <c r="AU380" s="27"/>
      <c r="AV380" s="27"/>
      <c r="AW380" s="27"/>
      <c r="AX380" s="27"/>
      <c r="AY380" s="27"/>
      <c r="AZ380" s="27"/>
      <c r="BA380" s="27"/>
      <c r="BB380" s="27"/>
      <c r="BC380" s="27"/>
      <c r="BD380" s="27"/>
      <c r="BE380" s="27"/>
      <c r="BF380" s="27"/>
      <c r="BG380" s="27"/>
      <c r="BH380" s="27"/>
      <c r="BI380" s="27"/>
      <c r="BJ380" s="27"/>
      <c r="BK380" s="27"/>
      <c r="BL380" s="27"/>
      <c r="BM380" s="27"/>
      <c r="BN380" s="27"/>
      <c r="BO380" s="27"/>
      <c r="BP380" s="27"/>
      <c r="BQ380" s="27"/>
      <c r="BR380" s="27"/>
      <c r="BS380" s="27"/>
      <c r="BT380" s="27"/>
      <c r="BU380" s="27"/>
      <c r="BV380" s="27"/>
      <c r="BW380" s="27"/>
      <c r="BX380" s="27"/>
      <c r="BY380" s="27"/>
      <c r="BZ380" s="27"/>
      <c r="CA380" s="27"/>
      <c r="CB380" s="27"/>
      <c r="CC380" s="27"/>
      <c r="CD380" s="27"/>
      <c r="CE380" s="27"/>
      <c r="CF380" s="27"/>
      <c r="CG380" s="27"/>
      <c r="CH380" s="27"/>
      <c r="CI380" s="27"/>
      <c r="CJ380" s="27"/>
      <c r="CK380" s="27"/>
      <c r="CL380" s="27"/>
      <c r="CM380" s="27"/>
      <c r="CN380" s="27"/>
      <c r="CO380" s="27"/>
      <c r="CP380" s="27"/>
      <c r="CQ380" s="27"/>
      <c r="CR380" s="27"/>
      <c r="CS380" s="27"/>
      <c r="CT380" s="27"/>
      <c r="CU380" s="27"/>
      <c r="CV380" s="27"/>
      <c r="CW380" s="27"/>
      <c r="CX380" s="27"/>
      <c r="CY380" s="27"/>
      <c r="CZ380" s="27"/>
      <c r="DA380" s="27"/>
      <c r="DB380" s="27"/>
      <c r="DC380" s="27"/>
      <c r="DD380" s="27"/>
      <c r="DE380" s="27"/>
      <c r="DF380" s="27"/>
      <c r="DG380" s="27"/>
      <c r="DH380" s="27"/>
      <c r="DI380" s="27"/>
      <c r="DJ380" s="27"/>
      <c r="DK380" s="27"/>
      <c r="DL380" s="27"/>
      <c r="DM380" s="27"/>
      <c r="DN380" s="27"/>
      <c r="DO380" s="27"/>
      <c r="DP380" s="27"/>
      <c r="DQ380" s="27"/>
      <c r="DR380" s="27"/>
      <c r="DS380" s="27"/>
      <c r="DT380" s="27"/>
    </row>
    <row r="381" spans="2:124" x14ac:dyDescent="0.2">
      <c r="B381" s="27"/>
      <c r="C381" s="27"/>
      <c r="D381" s="27"/>
      <c r="E381" s="27"/>
      <c r="F381" s="27"/>
      <c r="G381" s="27"/>
      <c r="H381" s="27"/>
      <c r="I381" s="27"/>
      <c r="J381" s="27"/>
      <c r="K381" s="27"/>
      <c r="L381" s="27"/>
      <c r="M381" s="27"/>
      <c r="N381" s="27"/>
      <c r="O381" s="27"/>
      <c r="P381" s="27"/>
      <c r="Q381" s="27"/>
      <c r="R381" s="27"/>
      <c r="S381" s="27"/>
      <c r="T381" s="27"/>
      <c r="U381" s="27"/>
      <c r="V381" s="27"/>
      <c r="W381" s="27"/>
      <c r="X381" s="27"/>
      <c r="Y381" s="27"/>
      <c r="Z381" s="27"/>
      <c r="AA381" s="27"/>
      <c r="AB381" s="27"/>
      <c r="AC381" s="27"/>
      <c r="AD381" s="27"/>
      <c r="AE381" s="27"/>
      <c r="AF381" s="27"/>
      <c r="AG381" s="27"/>
      <c r="AH381" s="27"/>
      <c r="AI381" s="27"/>
      <c r="AJ381" s="27"/>
      <c r="AK381" s="27"/>
      <c r="AL381" s="27"/>
      <c r="AM381" s="27"/>
      <c r="AN381" s="27"/>
      <c r="AO381" s="27"/>
      <c r="AP381" s="27"/>
      <c r="AQ381" s="27"/>
      <c r="AR381" s="27"/>
      <c r="AS381" s="27"/>
      <c r="AT381" s="27"/>
      <c r="AU381" s="27"/>
      <c r="AV381" s="27"/>
      <c r="AW381" s="27"/>
      <c r="AX381" s="27"/>
      <c r="AY381" s="27"/>
      <c r="AZ381" s="27"/>
      <c r="BA381" s="27"/>
      <c r="BB381" s="27"/>
      <c r="BC381" s="27"/>
      <c r="BD381" s="27"/>
      <c r="BE381" s="27"/>
      <c r="BF381" s="27"/>
      <c r="BG381" s="27"/>
      <c r="BH381" s="27"/>
      <c r="BI381" s="27"/>
      <c r="BJ381" s="27"/>
      <c r="BK381" s="27"/>
      <c r="BL381" s="27"/>
      <c r="BM381" s="27"/>
      <c r="BN381" s="27"/>
      <c r="BO381" s="27"/>
      <c r="BP381" s="27"/>
      <c r="BQ381" s="27"/>
      <c r="BR381" s="27"/>
      <c r="BS381" s="27"/>
      <c r="BT381" s="27"/>
      <c r="BU381" s="27"/>
      <c r="BV381" s="27"/>
      <c r="BW381" s="27"/>
      <c r="BX381" s="27"/>
      <c r="BY381" s="27"/>
      <c r="BZ381" s="27"/>
      <c r="CA381" s="27"/>
      <c r="CB381" s="27"/>
      <c r="CC381" s="27"/>
      <c r="CD381" s="27"/>
      <c r="CE381" s="27"/>
      <c r="CF381" s="27"/>
      <c r="CG381" s="27"/>
      <c r="CH381" s="27"/>
      <c r="CI381" s="27"/>
      <c r="CJ381" s="27"/>
      <c r="CK381" s="27"/>
      <c r="CL381" s="27"/>
      <c r="CM381" s="27"/>
      <c r="CN381" s="27"/>
      <c r="CO381" s="27"/>
      <c r="CP381" s="27"/>
      <c r="CQ381" s="27"/>
      <c r="CR381" s="27"/>
      <c r="CS381" s="27"/>
      <c r="CT381" s="27"/>
      <c r="CU381" s="27"/>
      <c r="CV381" s="27"/>
      <c r="CW381" s="27"/>
      <c r="CX381" s="27"/>
      <c r="CY381" s="27"/>
      <c r="CZ381" s="27"/>
      <c r="DA381" s="27"/>
      <c r="DB381" s="27"/>
      <c r="DC381" s="27"/>
      <c r="DD381" s="27"/>
      <c r="DE381" s="27"/>
      <c r="DF381" s="27"/>
      <c r="DG381" s="27"/>
      <c r="DH381" s="27"/>
      <c r="DI381" s="27"/>
      <c r="DJ381" s="27"/>
      <c r="DK381" s="27"/>
      <c r="DL381" s="27"/>
      <c r="DM381" s="27"/>
      <c r="DN381" s="27"/>
      <c r="DO381" s="27"/>
      <c r="DP381" s="27"/>
      <c r="DQ381" s="27"/>
      <c r="DR381" s="27"/>
      <c r="DS381" s="27"/>
      <c r="DT381" s="27"/>
    </row>
    <row r="382" spans="2:124" x14ac:dyDescent="0.2">
      <c r="B382" s="27"/>
      <c r="C382" s="27"/>
      <c r="D382" s="27"/>
      <c r="E382" s="27"/>
      <c r="F382" s="27"/>
      <c r="G382" s="27"/>
      <c r="H382" s="27"/>
      <c r="I382" s="27"/>
      <c r="J382" s="27"/>
      <c r="K382" s="27"/>
      <c r="L382" s="27"/>
      <c r="M382" s="27"/>
      <c r="N382" s="27"/>
      <c r="O382" s="27"/>
      <c r="P382" s="27"/>
      <c r="Q382" s="27"/>
      <c r="R382" s="27"/>
      <c r="S382" s="27"/>
      <c r="T382" s="27"/>
      <c r="U382" s="27"/>
      <c r="V382" s="27"/>
      <c r="W382" s="27"/>
      <c r="X382" s="27"/>
      <c r="Y382" s="27"/>
      <c r="Z382" s="27"/>
      <c r="AA382" s="27"/>
      <c r="AB382" s="27"/>
      <c r="AC382" s="27"/>
      <c r="AD382" s="27"/>
      <c r="AE382" s="27"/>
      <c r="AF382" s="27"/>
      <c r="AG382" s="27"/>
      <c r="AH382" s="27"/>
      <c r="AI382" s="27"/>
      <c r="AJ382" s="27"/>
      <c r="AK382" s="27"/>
      <c r="AL382" s="27"/>
      <c r="AM382" s="27"/>
      <c r="AN382" s="27"/>
      <c r="AO382" s="27"/>
      <c r="AP382" s="27"/>
      <c r="AQ382" s="27"/>
      <c r="AR382" s="27"/>
      <c r="AS382" s="27"/>
      <c r="AT382" s="27"/>
      <c r="AU382" s="27"/>
      <c r="AV382" s="27"/>
      <c r="AW382" s="27"/>
      <c r="AX382" s="27"/>
      <c r="AY382" s="27"/>
      <c r="AZ382" s="27"/>
      <c r="BA382" s="27"/>
      <c r="BB382" s="27"/>
      <c r="BC382" s="27"/>
      <c r="BD382" s="27"/>
      <c r="BE382" s="27"/>
      <c r="BF382" s="27"/>
      <c r="BG382" s="27"/>
      <c r="BH382" s="27"/>
      <c r="BI382" s="27"/>
      <c r="BJ382" s="27"/>
      <c r="BK382" s="27"/>
      <c r="BL382" s="27"/>
      <c r="BM382" s="27"/>
      <c r="BN382" s="27"/>
      <c r="BO382" s="27"/>
      <c r="BP382" s="27"/>
      <c r="BQ382" s="27"/>
      <c r="BR382" s="27"/>
      <c r="BS382" s="27"/>
      <c r="BT382" s="27"/>
      <c r="BU382" s="27"/>
      <c r="BV382" s="27"/>
      <c r="BW382" s="27"/>
      <c r="BX382" s="27"/>
      <c r="BY382" s="27"/>
      <c r="BZ382" s="27"/>
      <c r="CA382" s="27"/>
      <c r="CB382" s="27"/>
      <c r="CC382" s="27"/>
      <c r="CD382" s="27"/>
      <c r="CE382" s="27"/>
      <c r="CF382" s="27"/>
      <c r="CG382" s="27"/>
      <c r="CH382" s="27"/>
      <c r="CI382" s="27"/>
      <c r="CJ382" s="27"/>
      <c r="CK382" s="27"/>
      <c r="CL382" s="27"/>
      <c r="CM382" s="27"/>
      <c r="CN382" s="27"/>
      <c r="CO382" s="27"/>
      <c r="CP382" s="27"/>
      <c r="CQ382" s="27"/>
      <c r="CR382" s="27"/>
      <c r="CS382" s="27"/>
      <c r="CT382" s="27"/>
      <c r="CU382" s="27"/>
      <c r="CV382" s="27"/>
      <c r="CW382" s="27"/>
      <c r="CX382" s="27"/>
      <c r="CY382" s="27"/>
      <c r="CZ382" s="27"/>
      <c r="DA382" s="27"/>
      <c r="DB382" s="27"/>
      <c r="DC382" s="27"/>
      <c r="DD382" s="27"/>
      <c r="DE382" s="27"/>
      <c r="DF382" s="27"/>
      <c r="DG382" s="27"/>
      <c r="DH382" s="27"/>
      <c r="DI382" s="27"/>
      <c r="DJ382" s="27"/>
      <c r="DK382" s="27"/>
      <c r="DL382" s="27"/>
      <c r="DM382" s="27"/>
      <c r="DN382" s="27"/>
      <c r="DO382" s="27"/>
      <c r="DP382" s="27"/>
      <c r="DQ382" s="27"/>
      <c r="DR382" s="27"/>
      <c r="DS382" s="27"/>
      <c r="DT382" s="27"/>
    </row>
    <row r="383" spans="2:124" x14ac:dyDescent="0.2">
      <c r="B383" s="27"/>
      <c r="C383" s="27"/>
      <c r="D383" s="27"/>
      <c r="E383" s="27"/>
      <c r="F383" s="27"/>
      <c r="G383" s="27"/>
      <c r="H383" s="27"/>
      <c r="I383" s="27"/>
      <c r="J383" s="27"/>
      <c r="K383" s="27"/>
      <c r="L383" s="27"/>
      <c r="M383" s="27"/>
      <c r="N383" s="27"/>
      <c r="O383" s="27"/>
      <c r="P383" s="27"/>
      <c r="Q383" s="27"/>
      <c r="R383" s="27"/>
      <c r="S383" s="27"/>
      <c r="T383" s="27"/>
      <c r="U383" s="27"/>
      <c r="V383" s="27"/>
      <c r="W383" s="27"/>
      <c r="X383" s="27"/>
      <c r="Y383" s="27"/>
      <c r="Z383" s="27"/>
      <c r="AA383" s="27"/>
      <c r="AB383" s="27"/>
      <c r="AC383" s="27"/>
      <c r="AD383" s="27"/>
      <c r="AE383" s="27"/>
      <c r="AF383" s="27"/>
      <c r="AG383" s="27"/>
      <c r="AH383" s="27"/>
      <c r="AI383" s="27"/>
      <c r="AJ383" s="27"/>
      <c r="AK383" s="27"/>
      <c r="AL383" s="27"/>
      <c r="AM383" s="27"/>
      <c r="AN383" s="27"/>
      <c r="AO383" s="27"/>
      <c r="AP383" s="27"/>
      <c r="AQ383" s="27"/>
      <c r="AR383" s="27"/>
      <c r="AS383" s="27"/>
      <c r="AT383" s="27"/>
      <c r="AU383" s="27"/>
      <c r="AV383" s="27"/>
      <c r="AW383" s="27"/>
      <c r="AX383" s="27"/>
      <c r="AY383" s="27"/>
      <c r="AZ383" s="27"/>
      <c r="BA383" s="27"/>
      <c r="BB383" s="27"/>
      <c r="BC383" s="27"/>
      <c r="BD383" s="27"/>
      <c r="BE383" s="27"/>
      <c r="BF383" s="27"/>
      <c r="BG383" s="27"/>
      <c r="BH383" s="27"/>
      <c r="BI383" s="27"/>
      <c r="BJ383" s="27"/>
      <c r="BK383" s="27"/>
      <c r="BL383" s="27"/>
      <c r="BM383" s="27"/>
      <c r="BN383" s="27"/>
      <c r="BO383" s="27"/>
      <c r="BP383" s="27"/>
      <c r="BQ383" s="27"/>
      <c r="BR383" s="27"/>
      <c r="BS383" s="27"/>
      <c r="BT383" s="27"/>
      <c r="BU383" s="27"/>
      <c r="BV383" s="27"/>
      <c r="BW383" s="27"/>
      <c r="BX383" s="27"/>
      <c r="BY383" s="27"/>
      <c r="BZ383" s="27"/>
      <c r="CA383" s="27"/>
      <c r="CB383" s="27"/>
      <c r="CC383" s="27"/>
      <c r="CD383" s="27"/>
      <c r="CE383" s="27"/>
      <c r="CF383" s="27"/>
      <c r="CG383" s="27"/>
      <c r="CH383" s="27"/>
      <c r="CI383" s="27"/>
      <c r="CJ383" s="27"/>
      <c r="CK383" s="27"/>
      <c r="CL383" s="27"/>
      <c r="CM383" s="27"/>
      <c r="CN383" s="27"/>
      <c r="CO383" s="27"/>
      <c r="CP383" s="27"/>
      <c r="CQ383" s="27"/>
      <c r="CR383" s="27"/>
      <c r="CS383" s="27"/>
      <c r="CT383" s="27"/>
      <c r="CU383" s="27"/>
      <c r="CV383" s="27"/>
      <c r="CW383" s="27"/>
      <c r="CX383" s="27"/>
      <c r="CY383" s="27"/>
      <c r="CZ383" s="27"/>
      <c r="DA383" s="27"/>
      <c r="DB383" s="27"/>
      <c r="DC383" s="27"/>
      <c r="DD383" s="27"/>
      <c r="DE383" s="27"/>
      <c r="DF383" s="27"/>
      <c r="DG383" s="27"/>
      <c r="DH383" s="27"/>
      <c r="DI383" s="27"/>
      <c r="DJ383" s="27"/>
      <c r="DK383" s="27"/>
      <c r="DL383" s="27"/>
      <c r="DM383" s="27"/>
      <c r="DN383" s="27"/>
      <c r="DO383" s="27"/>
      <c r="DP383" s="27"/>
      <c r="DQ383" s="27"/>
      <c r="DR383" s="27"/>
      <c r="DS383" s="27"/>
      <c r="DT383" s="27"/>
    </row>
    <row r="384" spans="2:124" x14ac:dyDescent="0.2">
      <c r="B384" s="27"/>
      <c r="C384" s="27"/>
      <c r="D384" s="27"/>
      <c r="E384" s="27"/>
      <c r="F384" s="27"/>
      <c r="G384" s="27"/>
      <c r="H384" s="27"/>
      <c r="I384" s="27"/>
      <c r="J384" s="27"/>
      <c r="K384" s="27"/>
      <c r="L384" s="27"/>
      <c r="M384" s="27"/>
      <c r="N384" s="27"/>
      <c r="O384" s="27"/>
      <c r="P384" s="27"/>
      <c r="Q384" s="27"/>
      <c r="R384" s="27"/>
      <c r="S384" s="27"/>
      <c r="T384" s="27"/>
      <c r="U384" s="27"/>
      <c r="V384" s="27"/>
      <c r="W384" s="27"/>
      <c r="X384" s="27"/>
      <c r="Y384" s="27"/>
      <c r="Z384" s="27"/>
      <c r="AA384" s="27"/>
      <c r="AB384" s="27"/>
      <c r="AC384" s="27"/>
      <c r="AD384" s="27"/>
      <c r="AE384" s="27"/>
      <c r="AF384" s="27"/>
      <c r="AG384" s="27"/>
      <c r="AH384" s="27"/>
      <c r="AI384" s="27"/>
      <c r="AJ384" s="27"/>
      <c r="AK384" s="27"/>
      <c r="AL384" s="27"/>
      <c r="AM384" s="27"/>
      <c r="AN384" s="27"/>
      <c r="AO384" s="27"/>
      <c r="AP384" s="27"/>
      <c r="AQ384" s="27"/>
      <c r="AR384" s="27"/>
      <c r="AS384" s="27"/>
      <c r="AT384" s="27"/>
      <c r="AU384" s="27"/>
      <c r="AV384" s="27"/>
      <c r="AW384" s="27"/>
      <c r="AX384" s="27"/>
      <c r="AY384" s="27"/>
      <c r="AZ384" s="27"/>
      <c r="BA384" s="27"/>
      <c r="BB384" s="27"/>
      <c r="BC384" s="27"/>
      <c r="BD384" s="27"/>
      <c r="BE384" s="27"/>
      <c r="BF384" s="27"/>
      <c r="BG384" s="27"/>
      <c r="BH384" s="27"/>
      <c r="BI384" s="27"/>
      <c r="BJ384" s="27"/>
      <c r="BK384" s="27"/>
      <c r="BL384" s="27"/>
      <c r="BM384" s="27"/>
      <c r="BN384" s="27"/>
      <c r="BO384" s="27"/>
      <c r="BP384" s="27"/>
      <c r="BQ384" s="27"/>
      <c r="BR384" s="27"/>
      <c r="BS384" s="27"/>
      <c r="BT384" s="27"/>
      <c r="BU384" s="27"/>
      <c r="BV384" s="27"/>
      <c r="BW384" s="27"/>
      <c r="BX384" s="27"/>
      <c r="BY384" s="27"/>
      <c r="BZ384" s="27"/>
      <c r="CA384" s="27"/>
      <c r="CB384" s="27"/>
      <c r="CC384" s="27"/>
      <c r="CD384" s="27"/>
      <c r="CE384" s="27"/>
      <c r="CF384" s="27"/>
      <c r="CG384" s="27"/>
      <c r="CH384" s="27"/>
      <c r="CI384" s="27"/>
      <c r="CJ384" s="27"/>
      <c r="CK384" s="27"/>
      <c r="CL384" s="27"/>
      <c r="CM384" s="27"/>
      <c r="CN384" s="27"/>
      <c r="CO384" s="27"/>
      <c r="CP384" s="27"/>
      <c r="CQ384" s="27"/>
      <c r="CR384" s="27"/>
      <c r="CS384" s="27"/>
      <c r="CT384" s="27"/>
      <c r="CU384" s="27"/>
      <c r="CV384" s="27"/>
      <c r="CW384" s="27"/>
      <c r="CX384" s="27"/>
      <c r="CY384" s="27"/>
      <c r="CZ384" s="27"/>
      <c r="DA384" s="27"/>
      <c r="DB384" s="27"/>
      <c r="DC384" s="27"/>
      <c r="DD384" s="27"/>
      <c r="DE384" s="27"/>
      <c r="DF384" s="27"/>
      <c r="DG384" s="27"/>
      <c r="DH384" s="27"/>
      <c r="DI384" s="27"/>
      <c r="DJ384" s="27"/>
      <c r="DK384" s="27"/>
      <c r="DL384" s="27"/>
      <c r="DM384" s="27"/>
      <c r="DN384" s="27"/>
      <c r="DO384" s="27"/>
      <c r="DP384" s="27"/>
      <c r="DQ384" s="27"/>
      <c r="DR384" s="27"/>
      <c r="DS384" s="27"/>
      <c r="DT384" s="27"/>
    </row>
    <row r="385" spans="2:124" x14ac:dyDescent="0.2">
      <c r="B385" s="27"/>
      <c r="C385" s="27"/>
      <c r="D385" s="27"/>
      <c r="E385" s="27"/>
      <c r="F385" s="27"/>
      <c r="G385" s="27"/>
      <c r="H385" s="27"/>
      <c r="I385" s="27"/>
      <c r="J385" s="27"/>
      <c r="K385" s="27"/>
      <c r="L385" s="27"/>
      <c r="M385" s="27"/>
      <c r="N385" s="27"/>
      <c r="O385" s="27"/>
      <c r="P385" s="27"/>
      <c r="Q385" s="27"/>
      <c r="R385" s="27"/>
      <c r="S385" s="27"/>
      <c r="T385" s="27"/>
      <c r="U385" s="27"/>
      <c r="V385" s="27"/>
      <c r="W385" s="27"/>
      <c r="X385" s="27"/>
      <c r="Y385" s="27"/>
      <c r="Z385" s="27"/>
      <c r="AA385" s="27"/>
      <c r="AB385" s="27"/>
      <c r="AC385" s="27"/>
      <c r="AD385" s="27"/>
      <c r="AE385" s="27"/>
      <c r="AF385" s="27"/>
      <c r="AG385" s="27"/>
      <c r="AH385" s="27"/>
      <c r="AI385" s="27"/>
      <c r="AJ385" s="27"/>
      <c r="AK385" s="27"/>
      <c r="AL385" s="27"/>
      <c r="AM385" s="27"/>
      <c r="AN385" s="27"/>
      <c r="AO385" s="27"/>
      <c r="AP385" s="27"/>
      <c r="AQ385" s="27"/>
      <c r="AR385" s="27"/>
      <c r="AS385" s="27"/>
      <c r="AT385" s="27"/>
      <c r="AU385" s="27"/>
      <c r="AV385" s="27"/>
      <c r="AW385" s="27"/>
      <c r="AX385" s="27"/>
      <c r="AY385" s="27"/>
      <c r="AZ385" s="27"/>
      <c r="BA385" s="27"/>
      <c r="BB385" s="27"/>
      <c r="BC385" s="27"/>
      <c r="BD385" s="27"/>
      <c r="BE385" s="27"/>
      <c r="BF385" s="27"/>
      <c r="BG385" s="27"/>
      <c r="BH385" s="27"/>
      <c r="BI385" s="27"/>
      <c r="BJ385" s="27"/>
      <c r="BK385" s="27"/>
      <c r="BL385" s="27"/>
      <c r="BM385" s="27"/>
      <c r="BN385" s="27"/>
      <c r="BO385" s="27"/>
      <c r="BP385" s="27"/>
      <c r="BQ385" s="27"/>
      <c r="BR385" s="27"/>
      <c r="BS385" s="27"/>
      <c r="BT385" s="27"/>
      <c r="BU385" s="27"/>
      <c r="BV385" s="27"/>
      <c r="BW385" s="27"/>
      <c r="BX385" s="27"/>
      <c r="BY385" s="27"/>
      <c r="BZ385" s="27"/>
      <c r="CA385" s="27"/>
      <c r="CB385" s="27"/>
      <c r="CC385" s="27"/>
      <c r="CD385" s="27"/>
      <c r="CE385" s="27"/>
      <c r="CF385" s="27"/>
      <c r="CG385" s="27"/>
      <c r="CH385" s="27"/>
      <c r="CI385" s="27"/>
      <c r="CJ385" s="27"/>
      <c r="CK385" s="27"/>
      <c r="CL385" s="27"/>
      <c r="CM385" s="27"/>
      <c r="CN385" s="27"/>
      <c r="CO385" s="27"/>
      <c r="CP385" s="27"/>
      <c r="CQ385" s="27"/>
      <c r="CR385" s="27"/>
      <c r="CS385" s="27"/>
      <c r="CT385" s="27"/>
      <c r="CU385" s="27"/>
      <c r="CV385" s="27"/>
      <c r="CW385" s="27"/>
      <c r="CX385" s="27"/>
      <c r="CY385" s="27"/>
      <c r="CZ385" s="27"/>
      <c r="DA385" s="27"/>
      <c r="DB385" s="27"/>
      <c r="DC385" s="27"/>
      <c r="DD385" s="27"/>
      <c r="DE385" s="27"/>
      <c r="DF385" s="27"/>
      <c r="DG385" s="27"/>
      <c r="DH385" s="27"/>
      <c r="DI385" s="27"/>
      <c r="DJ385" s="27"/>
      <c r="DK385" s="27"/>
      <c r="DL385" s="27"/>
      <c r="DM385" s="27"/>
      <c r="DN385" s="27"/>
      <c r="DO385" s="27"/>
      <c r="DP385" s="27"/>
      <c r="DQ385" s="27"/>
      <c r="DR385" s="27"/>
      <c r="DS385" s="27"/>
      <c r="DT385" s="27"/>
    </row>
    <row r="386" spans="2:124" x14ac:dyDescent="0.2">
      <c r="B386" s="27"/>
      <c r="C386" s="27"/>
      <c r="D386" s="27"/>
      <c r="E386" s="27"/>
      <c r="F386" s="27"/>
      <c r="G386" s="27"/>
      <c r="H386" s="27"/>
      <c r="I386" s="27"/>
      <c r="J386" s="27"/>
      <c r="K386" s="27"/>
      <c r="L386" s="27"/>
      <c r="M386" s="27"/>
      <c r="N386" s="27"/>
      <c r="O386" s="27"/>
      <c r="P386" s="27"/>
      <c r="Q386" s="27"/>
      <c r="R386" s="27"/>
      <c r="S386" s="27"/>
      <c r="T386" s="27"/>
      <c r="U386" s="27"/>
      <c r="V386" s="27"/>
      <c r="W386" s="27"/>
      <c r="X386" s="27"/>
      <c r="Y386" s="27"/>
      <c r="Z386" s="27"/>
      <c r="AA386" s="27"/>
      <c r="AB386" s="27"/>
      <c r="AC386" s="27"/>
      <c r="AD386" s="27"/>
      <c r="AE386" s="27"/>
      <c r="AF386" s="27"/>
      <c r="AG386" s="27"/>
      <c r="AH386" s="27"/>
      <c r="AI386" s="27"/>
      <c r="AJ386" s="27"/>
      <c r="AK386" s="27"/>
      <c r="AL386" s="27"/>
      <c r="AM386" s="27"/>
      <c r="AN386" s="27"/>
      <c r="AO386" s="27"/>
      <c r="AP386" s="27"/>
      <c r="AQ386" s="27"/>
      <c r="AR386" s="27"/>
      <c r="AS386" s="27"/>
      <c r="AT386" s="27"/>
      <c r="AU386" s="27"/>
      <c r="AV386" s="27"/>
      <c r="AW386" s="27"/>
      <c r="AX386" s="27"/>
      <c r="AY386" s="27"/>
      <c r="AZ386" s="27"/>
      <c r="BA386" s="27"/>
      <c r="BB386" s="27"/>
      <c r="BC386" s="27"/>
      <c r="BD386" s="27"/>
      <c r="BE386" s="27"/>
      <c r="BF386" s="27"/>
      <c r="BG386" s="27"/>
      <c r="BH386" s="27"/>
      <c r="BI386" s="27"/>
      <c r="BJ386" s="27"/>
      <c r="BK386" s="27"/>
      <c r="BL386" s="27"/>
      <c r="BM386" s="27"/>
      <c r="BN386" s="27"/>
      <c r="BO386" s="27"/>
      <c r="BP386" s="27"/>
      <c r="BQ386" s="27"/>
      <c r="BR386" s="27"/>
      <c r="BS386" s="27"/>
      <c r="BT386" s="27"/>
      <c r="BU386" s="27"/>
      <c r="BV386" s="27"/>
      <c r="BW386" s="27"/>
      <c r="BX386" s="27"/>
      <c r="BY386" s="27"/>
      <c r="BZ386" s="27"/>
      <c r="CA386" s="27"/>
      <c r="CB386" s="27"/>
      <c r="CC386" s="27"/>
      <c r="CD386" s="27"/>
      <c r="CE386" s="27"/>
      <c r="CF386" s="27"/>
      <c r="CG386" s="27"/>
      <c r="CH386" s="27"/>
      <c r="CI386" s="27"/>
      <c r="CJ386" s="27"/>
      <c r="CK386" s="27"/>
      <c r="CL386" s="27"/>
      <c r="CM386" s="27"/>
      <c r="CN386" s="27"/>
      <c r="CO386" s="27"/>
      <c r="CP386" s="27"/>
      <c r="CQ386" s="27"/>
      <c r="CR386" s="27"/>
      <c r="CS386" s="27"/>
      <c r="CT386" s="27"/>
      <c r="CU386" s="27"/>
      <c r="CV386" s="27"/>
      <c r="CW386" s="27"/>
      <c r="CX386" s="27"/>
      <c r="CY386" s="27"/>
      <c r="CZ386" s="27"/>
      <c r="DA386" s="27"/>
      <c r="DB386" s="27"/>
      <c r="DC386" s="27"/>
      <c r="DD386" s="27"/>
      <c r="DE386" s="27"/>
      <c r="DF386" s="27"/>
      <c r="DG386" s="27"/>
      <c r="DH386" s="27"/>
      <c r="DI386" s="27"/>
      <c r="DJ386" s="27"/>
      <c r="DK386" s="27"/>
      <c r="DL386" s="27"/>
      <c r="DM386" s="27"/>
      <c r="DN386" s="27"/>
      <c r="DO386" s="27"/>
      <c r="DP386" s="27"/>
      <c r="DQ386" s="27"/>
      <c r="DR386" s="27"/>
      <c r="DS386" s="27"/>
      <c r="DT386" s="27"/>
    </row>
    <row r="387" spans="2:124" x14ac:dyDescent="0.2">
      <c r="B387" s="27"/>
      <c r="C387" s="27"/>
      <c r="D387" s="27"/>
      <c r="E387" s="27"/>
      <c r="F387" s="27"/>
      <c r="G387" s="27"/>
      <c r="H387" s="27"/>
      <c r="I387" s="27"/>
      <c r="J387" s="27"/>
      <c r="K387" s="27"/>
      <c r="L387" s="27"/>
      <c r="M387" s="27"/>
      <c r="N387" s="27"/>
      <c r="O387" s="27"/>
      <c r="P387" s="27"/>
      <c r="Q387" s="27"/>
      <c r="R387" s="27"/>
      <c r="S387" s="27"/>
      <c r="T387" s="27"/>
      <c r="U387" s="27"/>
      <c r="V387" s="27"/>
      <c r="W387" s="27"/>
      <c r="X387" s="27"/>
      <c r="Y387" s="27"/>
      <c r="Z387" s="27"/>
      <c r="AA387" s="27"/>
      <c r="AB387" s="27"/>
      <c r="AC387" s="27"/>
      <c r="AD387" s="27"/>
      <c r="AE387" s="27"/>
      <c r="AF387" s="27"/>
      <c r="AG387" s="27"/>
      <c r="AH387" s="27"/>
      <c r="AI387" s="27"/>
      <c r="AJ387" s="27"/>
      <c r="AK387" s="27"/>
      <c r="AL387" s="27"/>
      <c r="AM387" s="27"/>
      <c r="AN387" s="27"/>
      <c r="AO387" s="27"/>
      <c r="AP387" s="27"/>
      <c r="AQ387" s="27"/>
      <c r="AR387" s="27"/>
      <c r="AS387" s="27"/>
      <c r="AT387" s="27"/>
      <c r="AU387" s="27"/>
      <c r="AV387" s="27"/>
      <c r="AW387" s="27"/>
      <c r="AX387" s="27"/>
      <c r="AY387" s="27"/>
      <c r="AZ387" s="27"/>
      <c r="BA387" s="27"/>
      <c r="BB387" s="27"/>
      <c r="BC387" s="27"/>
      <c r="BD387" s="27"/>
      <c r="BE387" s="27"/>
      <c r="BF387" s="27"/>
      <c r="BG387" s="27"/>
      <c r="BH387" s="27"/>
      <c r="BI387" s="27"/>
      <c r="BJ387" s="27"/>
      <c r="BK387" s="27"/>
      <c r="BL387" s="27"/>
      <c r="BM387" s="27"/>
      <c r="BN387" s="27"/>
      <c r="BO387" s="27"/>
      <c r="BP387" s="27"/>
      <c r="BQ387" s="27"/>
      <c r="BR387" s="27"/>
      <c r="BS387" s="27"/>
      <c r="BT387" s="27"/>
      <c r="BU387" s="27"/>
      <c r="BV387" s="27"/>
      <c r="BW387" s="27"/>
      <c r="BX387" s="27"/>
      <c r="BY387" s="27"/>
      <c r="BZ387" s="27"/>
      <c r="CA387" s="27"/>
      <c r="CB387" s="27"/>
      <c r="CC387" s="27"/>
      <c r="CD387" s="27"/>
      <c r="CE387" s="27"/>
      <c r="CF387" s="27"/>
      <c r="CG387" s="27"/>
      <c r="CH387" s="27"/>
      <c r="CI387" s="27"/>
      <c r="CJ387" s="27"/>
      <c r="CK387" s="27"/>
      <c r="CL387" s="27"/>
      <c r="CM387" s="27"/>
      <c r="CN387" s="27"/>
      <c r="CO387" s="27"/>
      <c r="CP387" s="27"/>
      <c r="CQ387" s="27"/>
      <c r="CR387" s="27"/>
      <c r="CS387" s="27"/>
      <c r="CT387" s="27"/>
      <c r="CU387" s="27"/>
      <c r="CV387" s="27"/>
      <c r="CW387" s="27"/>
      <c r="CX387" s="27"/>
      <c r="CY387" s="27"/>
      <c r="CZ387" s="27"/>
      <c r="DA387" s="27"/>
      <c r="DB387" s="27"/>
      <c r="DC387" s="27"/>
      <c r="DD387" s="27"/>
      <c r="DE387" s="27"/>
      <c r="DF387" s="27"/>
      <c r="DG387" s="27"/>
      <c r="DH387" s="27"/>
      <c r="DI387" s="27"/>
      <c r="DJ387" s="27"/>
      <c r="DK387" s="27"/>
      <c r="DL387" s="27"/>
      <c r="DM387" s="27"/>
      <c r="DN387" s="27"/>
      <c r="DO387" s="27"/>
      <c r="DP387" s="27"/>
      <c r="DQ387" s="27"/>
      <c r="DR387" s="27"/>
      <c r="DS387" s="27"/>
      <c r="DT387" s="27"/>
    </row>
    <row r="388" spans="2:124" x14ac:dyDescent="0.2">
      <c r="B388" s="27"/>
      <c r="C388" s="27"/>
      <c r="D388" s="27"/>
      <c r="E388" s="27"/>
      <c r="F388" s="27"/>
      <c r="G388" s="27"/>
      <c r="H388" s="27"/>
      <c r="I388" s="27"/>
      <c r="J388" s="27"/>
      <c r="K388" s="27"/>
      <c r="L388" s="27"/>
      <c r="M388" s="27"/>
      <c r="N388" s="27"/>
      <c r="O388" s="27"/>
      <c r="P388" s="27"/>
      <c r="Q388" s="27"/>
      <c r="R388" s="27"/>
      <c r="S388" s="27"/>
      <c r="T388" s="27"/>
      <c r="U388" s="27"/>
      <c r="V388" s="27"/>
      <c r="W388" s="27"/>
      <c r="X388" s="27"/>
      <c r="Y388" s="27"/>
      <c r="Z388" s="27"/>
      <c r="AA388" s="27"/>
      <c r="AB388" s="27"/>
      <c r="AC388" s="27"/>
      <c r="AD388" s="27"/>
      <c r="AE388" s="27"/>
      <c r="AF388" s="27"/>
      <c r="AG388" s="27"/>
      <c r="AH388" s="27"/>
      <c r="AI388" s="27"/>
      <c r="AJ388" s="27"/>
      <c r="AK388" s="27"/>
      <c r="AL388" s="27"/>
      <c r="AM388" s="27"/>
      <c r="AN388" s="27"/>
      <c r="AO388" s="27"/>
      <c r="AP388" s="27"/>
      <c r="AQ388" s="27"/>
      <c r="AR388" s="27"/>
      <c r="AS388" s="27"/>
      <c r="AT388" s="27"/>
      <c r="AU388" s="27"/>
      <c r="AV388" s="27"/>
      <c r="AW388" s="27"/>
      <c r="AX388" s="27"/>
      <c r="AY388" s="27"/>
      <c r="AZ388" s="27"/>
      <c r="BA388" s="27"/>
      <c r="BB388" s="27"/>
      <c r="BC388" s="27"/>
      <c r="BD388" s="27"/>
      <c r="BE388" s="27"/>
      <c r="BF388" s="27"/>
      <c r="BG388" s="27"/>
      <c r="BH388" s="27"/>
      <c r="BI388" s="27"/>
      <c r="BJ388" s="27"/>
      <c r="BK388" s="27"/>
      <c r="BL388" s="27"/>
      <c r="BM388" s="27"/>
      <c r="BN388" s="27"/>
      <c r="BO388" s="27"/>
      <c r="BP388" s="27"/>
      <c r="BQ388" s="27"/>
      <c r="BR388" s="27"/>
      <c r="BS388" s="27"/>
      <c r="BT388" s="27"/>
      <c r="BU388" s="27"/>
      <c r="BV388" s="27"/>
      <c r="BW388" s="27"/>
      <c r="BX388" s="27"/>
      <c r="BY388" s="27"/>
      <c r="BZ388" s="27"/>
      <c r="CA388" s="27"/>
      <c r="CB388" s="27"/>
      <c r="CC388" s="27"/>
      <c r="CD388" s="27"/>
      <c r="CE388" s="27"/>
      <c r="CF388" s="27"/>
      <c r="CG388" s="27"/>
      <c r="CH388" s="27"/>
      <c r="CI388" s="27"/>
      <c r="CJ388" s="27"/>
      <c r="CK388" s="27"/>
      <c r="CL388" s="27"/>
      <c r="CM388" s="27"/>
      <c r="CN388" s="27"/>
      <c r="CO388" s="27"/>
      <c r="CP388" s="27"/>
      <c r="CQ388" s="27"/>
      <c r="CR388" s="27"/>
      <c r="CS388" s="27"/>
      <c r="CT388" s="27"/>
      <c r="CU388" s="27"/>
      <c r="CV388" s="27"/>
      <c r="CW388" s="27"/>
      <c r="CX388" s="27"/>
      <c r="CY388" s="27"/>
      <c r="CZ388" s="27"/>
      <c r="DA388" s="27"/>
      <c r="DB388" s="27"/>
      <c r="DC388" s="27"/>
      <c r="DD388" s="27"/>
      <c r="DE388" s="27"/>
      <c r="DF388" s="27"/>
      <c r="DG388" s="27"/>
      <c r="DH388" s="27"/>
      <c r="DI388" s="27"/>
      <c r="DJ388" s="27"/>
      <c r="DK388" s="27"/>
      <c r="DL388" s="27"/>
      <c r="DM388" s="27"/>
      <c r="DN388" s="27"/>
      <c r="DO388" s="27"/>
      <c r="DP388" s="27"/>
      <c r="DQ388" s="27"/>
      <c r="DR388" s="27"/>
      <c r="DS388" s="27"/>
      <c r="DT388" s="27"/>
    </row>
    <row r="389" spans="2:124" x14ac:dyDescent="0.2">
      <c r="B389" s="27"/>
      <c r="C389" s="27"/>
      <c r="D389" s="27"/>
      <c r="E389" s="27"/>
      <c r="F389" s="27"/>
      <c r="G389" s="27"/>
      <c r="H389" s="27"/>
      <c r="I389" s="27"/>
      <c r="J389" s="27"/>
      <c r="K389" s="27"/>
      <c r="L389" s="27"/>
      <c r="M389" s="27"/>
      <c r="N389" s="27"/>
      <c r="O389" s="27"/>
      <c r="P389" s="27"/>
      <c r="Q389" s="27"/>
      <c r="R389" s="27"/>
      <c r="S389" s="27"/>
      <c r="T389" s="27"/>
      <c r="U389" s="27"/>
      <c r="V389" s="27"/>
      <c r="W389" s="27"/>
      <c r="X389" s="27"/>
      <c r="Y389" s="27"/>
      <c r="Z389" s="27"/>
      <c r="AA389" s="27"/>
      <c r="AB389" s="27"/>
      <c r="AC389" s="27"/>
      <c r="AD389" s="27"/>
      <c r="AE389" s="27"/>
      <c r="AF389" s="27"/>
      <c r="AG389" s="27"/>
      <c r="AH389" s="27"/>
      <c r="AI389" s="27"/>
      <c r="AJ389" s="27"/>
      <c r="AK389" s="27"/>
      <c r="AL389" s="27"/>
      <c r="AM389" s="27"/>
      <c r="AN389" s="27"/>
      <c r="AO389" s="27"/>
      <c r="AP389" s="27"/>
      <c r="AQ389" s="27"/>
      <c r="AR389" s="27"/>
      <c r="AS389" s="27"/>
      <c r="AT389" s="27"/>
      <c r="AU389" s="27"/>
      <c r="AV389" s="27"/>
      <c r="AW389" s="27"/>
      <c r="AX389" s="27"/>
      <c r="AY389" s="27"/>
      <c r="AZ389" s="27"/>
      <c r="BA389" s="27"/>
      <c r="BB389" s="27"/>
      <c r="BC389" s="27"/>
      <c r="BD389" s="27"/>
      <c r="BE389" s="27"/>
      <c r="BF389" s="27"/>
      <c r="BG389" s="27"/>
      <c r="BH389" s="27"/>
      <c r="BI389" s="27"/>
      <c r="BJ389" s="27"/>
      <c r="BK389" s="27"/>
      <c r="BL389" s="27"/>
      <c r="BM389" s="27"/>
      <c r="BN389" s="27"/>
      <c r="BO389" s="27"/>
      <c r="BP389" s="27"/>
      <c r="BQ389" s="27"/>
      <c r="BR389" s="27"/>
      <c r="BS389" s="27"/>
      <c r="BT389" s="27"/>
      <c r="BU389" s="27"/>
      <c r="BV389" s="27"/>
      <c r="BW389" s="27"/>
      <c r="BX389" s="27"/>
      <c r="BY389" s="27"/>
      <c r="BZ389" s="27"/>
      <c r="CA389" s="27"/>
      <c r="CB389" s="27"/>
      <c r="CC389" s="27"/>
      <c r="CD389" s="27"/>
      <c r="CE389" s="27"/>
      <c r="CF389" s="27"/>
      <c r="CG389" s="27"/>
      <c r="CH389" s="27"/>
      <c r="CI389" s="27"/>
      <c r="CJ389" s="27"/>
      <c r="CK389" s="27"/>
      <c r="CL389" s="27"/>
      <c r="CM389" s="27"/>
      <c r="CN389" s="27"/>
      <c r="CO389" s="27"/>
      <c r="CP389" s="27"/>
      <c r="CQ389" s="27"/>
      <c r="CR389" s="27"/>
      <c r="CS389" s="27"/>
      <c r="CT389" s="27"/>
      <c r="CU389" s="27"/>
      <c r="CV389" s="27"/>
      <c r="CW389" s="27"/>
      <c r="CX389" s="27"/>
      <c r="CY389" s="27"/>
      <c r="CZ389" s="27"/>
      <c r="DA389" s="27"/>
      <c r="DB389" s="27"/>
      <c r="DC389" s="27"/>
      <c r="DD389" s="27"/>
      <c r="DE389" s="27"/>
      <c r="DF389" s="27"/>
      <c r="DG389" s="27"/>
      <c r="DH389" s="27"/>
      <c r="DI389" s="27"/>
      <c r="DJ389" s="27"/>
      <c r="DK389" s="27"/>
      <c r="DL389" s="27"/>
      <c r="DM389" s="27"/>
      <c r="DN389" s="27"/>
      <c r="DO389" s="27"/>
      <c r="DP389" s="27"/>
      <c r="DQ389" s="27"/>
      <c r="DR389" s="27"/>
      <c r="DS389" s="27"/>
      <c r="DT389" s="27"/>
    </row>
    <row r="390" spans="2:124" x14ac:dyDescent="0.2">
      <c r="B390" s="27"/>
      <c r="C390" s="27"/>
      <c r="D390" s="27"/>
      <c r="E390" s="27"/>
      <c r="F390" s="27"/>
      <c r="G390" s="27"/>
      <c r="H390" s="27"/>
      <c r="I390" s="27"/>
      <c r="J390" s="27"/>
      <c r="K390" s="27"/>
      <c r="L390" s="27"/>
      <c r="M390" s="27"/>
      <c r="N390" s="27"/>
      <c r="O390" s="27"/>
      <c r="P390" s="27"/>
      <c r="Q390" s="27"/>
      <c r="R390" s="27"/>
      <c r="S390" s="27"/>
      <c r="T390" s="27"/>
      <c r="U390" s="27"/>
      <c r="V390" s="27"/>
      <c r="W390" s="27"/>
      <c r="X390" s="27"/>
      <c r="Y390" s="27"/>
      <c r="Z390" s="27"/>
      <c r="AA390" s="27"/>
      <c r="AB390" s="27"/>
      <c r="AC390" s="27"/>
      <c r="AD390" s="27"/>
      <c r="AE390" s="27"/>
      <c r="AF390" s="27"/>
      <c r="AG390" s="27"/>
      <c r="AH390" s="27"/>
      <c r="AI390" s="27"/>
      <c r="AJ390" s="27"/>
      <c r="AK390" s="27"/>
      <c r="AL390" s="27"/>
      <c r="AM390" s="27"/>
      <c r="AN390" s="27"/>
      <c r="AO390" s="27"/>
      <c r="AP390" s="27"/>
      <c r="AQ390" s="27"/>
      <c r="AR390" s="27"/>
      <c r="AS390" s="27"/>
      <c r="AT390" s="27"/>
      <c r="AU390" s="27"/>
      <c r="AV390" s="27"/>
      <c r="AW390" s="27"/>
      <c r="AX390" s="27"/>
      <c r="AY390" s="27"/>
      <c r="AZ390" s="27"/>
      <c r="BA390" s="27"/>
      <c r="BB390" s="27"/>
      <c r="BC390" s="27"/>
      <c r="BD390" s="27"/>
      <c r="BE390" s="27"/>
      <c r="BF390" s="27"/>
      <c r="BG390" s="27"/>
      <c r="BH390" s="27"/>
      <c r="BI390" s="27"/>
      <c r="BJ390" s="27"/>
      <c r="BK390" s="27"/>
      <c r="BL390" s="27"/>
      <c r="BM390" s="27"/>
      <c r="BN390" s="27"/>
      <c r="BO390" s="27"/>
      <c r="BP390" s="27"/>
      <c r="BQ390" s="27"/>
      <c r="BR390" s="27"/>
      <c r="BS390" s="27"/>
      <c r="BT390" s="27"/>
      <c r="BU390" s="27"/>
      <c r="BV390" s="27"/>
      <c r="BW390" s="27"/>
      <c r="BX390" s="27"/>
      <c r="BY390" s="27"/>
      <c r="BZ390" s="27"/>
      <c r="CA390" s="27"/>
      <c r="CB390" s="27"/>
      <c r="CC390" s="27"/>
      <c r="CD390" s="27"/>
      <c r="CE390" s="27"/>
      <c r="CF390" s="27"/>
      <c r="CG390" s="27"/>
      <c r="CH390" s="27"/>
      <c r="CI390" s="27"/>
      <c r="CJ390" s="27"/>
      <c r="CK390" s="27"/>
      <c r="CL390" s="27"/>
      <c r="CM390" s="27"/>
      <c r="CN390" s="27"/>
      <c r="CO390" s="27"/>
      <c r="CP390" s="27"/>
      <c r="CQ390" s="27"/>
      <c r="CR390" s="27"/>
      <c r="CS390" s="27"/>
      <c r="CT390" s="27"/>
      <c r="CU390" s="27"/>
      <c r="CV390" s="27"/>
      <c r="CW390" s="27"/>
      <c r="CX390" s="27"/>
      <c r="CY390" s="27"/>
      <c r="CZ390" s="27"/>
      <c r="DA390" s="27"/>
      <c r="DB390" s="27"/>
      <c r="DC390" s="27"/>
      <c r="DD390" s="27"/>
      <c r="DE390" s="27"/>
      <c r="DF390" s="27"/>
      <c r="DG390" s="27"/>
      <c r="DH390" s="27"/>
      <c r="DI390" s="27"/>
      <c r="DJ390" s="27"/>
      <c r="DK390" s="27"/>
      <c r="DL390" s="27"/>
      <c r="DM390" s="27"/>
      <c r="DN390" s="27"/>
      <c r="DO390" s="27"/>
      <c r="DP390" s="27"/>
      <c r="DQ390" s="27"/>
      <c r="DR390" s="27"/>
      <c r="DS390" s="27"/>
      <c r="DT390" s="27"/>
    </row>
    <row r="391" spans="2:124" x14ac:dyDescent="0.2">
      <c r="B391" s="27"/>
      <c r="C391" s="27"/>
      <c r="D391" s="27"/>
      <c r="E391" s="27"/>
      <c r="F391" s="27"/>
      <c r="G391" s="27"/>
      <c r="H391" s="27"/>
      <c r="I391" s="27"/>
      <c r="J391" s="27"/>
      <c r="K391" s="27"/>
      <c r="L391" s="27"/>
      <c r="M391" s="27"/>
      <c r="N391" s="27"/>
      <c r="O391" s="27"/>
      <c r="P391" s="27"/>
      <c r="Q391" s="27"/>
      <c r="R391" s="27"/>
      <c r="S391" s="27"/>
      <c r="T391" s="27"/>
      <c r="U391" s="27"/>
      <c r="V391" s="27"/>
      <c r="W391" s="27"/>
      <c r="X391" s="27"/>
      <c r="Y391" s="27"/>
      <c r="Z391" s="27"/>
      <c r="AA391" s="27"/>
      <c r="AB391" s="27"/>
      <c r="AC391" s="27"/>
      <c r="AD391" s="27"/>
      <c r="AE391" s="27"/>
      <c r="AF391" s="27"/>
      <c r="AG391" s="27"/>
      <c r="AH391" s="27"/>
      <c r="AI391" s="27"/>
      <c r="AJ391" s="27"/>
      <c r="AK391" s="27"/>
      <c r="AL391" s="27"/>
      <c r="AM391" s="27"/>
      <c r="AN391" s="27"/>
      <c r="AO391" s="27"/>
      <c r="AP391" s="27"/>
      <c r="AQ391" s="27"/>
      <c r="AR391" s="27"/>
      <c r="AS391" s="27"/>
      <c r="AT391" s="27"/>
      <c r="AU391" s="27"/>
      <c r="AV391" s="27"/>
      <c r="AW391" s="27"/>
      <c r="AX391" s="27"/>
      <c r="AY391" s="27"/>
      <c r="AZ391" s="27"/>
      <c r="BA391" s="27"/>
      <c r="BB391" s="27"/>
      <c r="BC391" s="27"/>
      <c r="BD391" s="27"/>
      <c r="BE391" s="27"/>
      <c r="BF391" s="27"/>
      <c r="BG391" s="27"/>
      <c r="BH391" s="27"/>
      <c r="BI391" s="27"/>
      <c r="BJ391" s="27"/>
      <c r="BK391" s="27"/>
      <c r="BL391" s="27"/>
      <c r="BM391" s="27"/>
      <c r="BN391" s="27"/>
      <c r="BO391" s="27"/>
      <c r="BP391" s="27"/>
      <c r="BQ391" s="27"/>
      <c r="BR391" s="27"/>
      <c r="BS391" s="27"/>
      <c r="BT391" s="27"/>
      <c r="BU391" s="27"/>
      <c r="BV391" s="27"/>
      <c r="BW391" s="27"/>
      <c r="BX391" s="27"/>
      <c r="BY391" s="27"/>
      <c r="BZ391" s="27"/>
      <c r="CA391" s="27"/>
      <c r="CB391" s="27"/>
      <c r="CC391" s="27"/>
      <c r="CD391" s="27"/>
      <c r="CE391" s="27"/>
      <c r="CF391" s="27"/>
      <c r="CG391" s="27"/>
      <c r="CH391" s="27"/>
      <c r="CI391" s="27"/>
      <c r="CJ391" s="27"/>
      <c r="CK391" s="27"/>
      <c r="CL391" s="27"/>
      <c r="CM391" s="27"/>
      <c r="CN391" s="27"/>
      <c r="CO391" s="27"/>
      <c r="CP391" s="27"/>
      <c r="CQ391" s="27"/>
      <c r="CR391" s="27"/>
      <c r="CS391" s="27"/>
      <c r="CT391" s="27"/>
      <c r="CU391" s="27"/>
      <c r="CV391" s="27"/>
      <c r="CW391" s="27"/>
      <c r="CX391" s="27"/>
      <c r="CY391" s="27"/>
      <c r="CZ391" s="27"/>
      <c r="DA391" s="27"/>
      <c r="DB391" s="27"/>
      <c r="DC391" s="27"/>
      <c r="DD391" s="27"/>
      <c r="DE391" s="27"/>
      <c r="DF391" s="27"/>
      <c r="DG391" s="27"/>
      <c r="DH391" s="27"/>
      <c r="DI391" s="27"/>
      <c r="DJ391" s="27"/>
      <c r="DK391" s="27"/>
      <c r="DL391" s="27"/>
      <c r="DM391" s="27"/>
      <c r="DN391" s="27"/>
      <c r="DO391" s="27"/>
      <c r="DP391" s="27"/>
      <c r="DQ391" s="27"/>
      <c r="DR391" s="27"/>
      <c r="DS391" s="27"/>
      <c r="DT391" s="27"/>
    </row>
    <row r="392" spans="2:124" x14ac:dyDescent="0.2">
      <c r="B392" s="27"/>
      <c r="C392" s="27"/>
      <c r="D392" s="27"/>
      <c r="E392" s="27"/>
      <c r="F392" s="27"/>
      <c r="G392" s="27"/>
      <c r="H392" s="27"/>
      <c r="I392" s="27"/>
      <c r="J392" s="27"/>
      <c r="K392" s="27"/>
      <c r="L392" s="27"/>
      <c r="M392" s="27"/>
      <c r="N392" s="27"/>
      <c r="O392" s="27"/>
      <c r="P392" s="27"/>
      <c r="Q392" s="27"/>
      <c r="R392" s="27"/>
      <c r="S392" s="27"/>
      <c r="T392" s="27"/>
      <c r="U392" s="27"/>
      <c r="V392" s="27"/>
      <c r="W392" s="27"/>
      <c r="X392" s="27"/>
      <c r="Y392" s="27"/>
      <c r="Z392" s="27"/>
      <c r="AA392" s="27"/>
      <c r="AB392" s="27"/>
      <c r="AC392" s="27"/>
      <c r="AD392" s="27"/>
      <c r="AE392" s="27"/>
      <c r="AF392" s="27"/>
      <c r="AG392" s="27"/>
      <c r="AH392" s="27"/>
      <c r="AI392" s="27"/>
      <c r="AJ392" s="27"/>
      <c r="AK392" s="27"/>
      <c r="AL392" s="27"/>
      <c r="AM392" s="27"/>
      <c r="AN392" s="27"/>
      <c r="AO392" s="27"/>
      <c r="AP392" s="27"/>
      <c r="AQ392" s="27"/>
      <c r="AR392" s="27"/>
      <c r="AS392" s="27"/>
      <c r="AT392" s="27"/>
      <c r="AU392" s="27"/>
      <c r="AV392" s="27"/>
      <c r="AW392" s="27"/>
      <c r="AX392" s="27"/>
      <c r="AY392" s="27"/>
      <c r="AZ392" s="27"/>
      <c r="BA392" s="27"/>
      <c r="BB392" s="27"/>
      <c r="BC392" s="27"/>
      <c r="BD392" s="27"/>
      <c r="BE392" s="27"/>
      <c r="BF392" s="27"/>
      <c r="BG392" s="27"/>
      <c r="BH392" s="27"/>
      <c r="BI392" s="27"/>
      <c r="BJ392" s="27"/>
      <c r="BK392" s="27"/>
      <c r="BL392" s="27"/>
      <c r="BM392" s="27"/>
      <c r="BN392" s="27"/>
      <c r="BO392" s="27"/>
      <c r="BP392" s="27"/>
      <c r="BQ392" s="27"/>
      <c r="BR392" s="27"/>
      <c r="BS392" s="27"/>
      <c r="BT392" s="27"/>
      <c r="BU392" s="27"/>
      <c r="BV392" s="27"/>
      <c r="BW392" s="27"/>
      <c r="BX392" s="27"/>
      <c r="BY392" s="27"/>
      <c r="BZ392" s="27"/>
      <c r="CA392" s="27"/>
      <c r="CB392" s="27"/>
      <c r="CC392" s="27"/>
      <c r="CD392" s="27"/>
      <c r="CE392" s="27"/>
      <c r="CF392" s="27"/>
      <c r="CG392" s="27"/>
      <c r="CH392" s="27"/>
      <c r="CI392" s="27"/>
      <c r="CJ392" s="27"/>
      <c r="CK392" s="27"/>
      <c r="CL392" s="27"/>
      <c r="CM392" s="27"/>
      <c r="CN392" s="27"/>
      <c r="CO392" s="27"/>
      <c r="CP392" s="27"/>
      <c r="CQ392" s="27"/>
      <c r="CR392" s="27"/>
      <c r="CS392" s="27"/>
      <c r="CT392" s="27"/>
      <c r="CU392" s="27"/>
      <c r="CV392" s="27"/>
      <c r="CW392" s="27"/>
      <c r="CX392" s="27"/>
      <c r="CY392" s="27"/>
      <c r="CZ392" s="27"/>
      <c r="DA392" s="27"/>
      <c r="DB392" s="27"/>
      <c r="DC392" s="27"/>
      <c r="DD392" s="27"/>
      <c r="DE392" s="27"/>
      <c r="DF392" s="27"/>
      <c r="DG392" s="27"/>
      <c r="DH392" s="27"/>
      <c r="DI392" s="27"/>
      <c r="DJ392" s="27"/>
      <c r="DK392" s="27"/>
      <c r="DL392" s="27"/>
      <c r="DM392" s="27"/>
      <c r="DN392" s="27"/>
      <c r="DO392" s="27"/>
      <c r="DP392" s="27"/>
      <c r="DQ392" s="27"/>
      <c r="DR392" s="27"/>
      <c r="DS392" s="27"/>
      <c r="DT392" s="27"/>
    </row>
    <row r="393" spans="2:124" x14ac:dyDescent="0.2">
      <c r="B393" s="27"/>
      <c r="C393" s="27"/>
      <c r="D393" s="27"/>
      <c r="E393" s="27"/>
      <c r="F393" s="27"/>
      <c r="G393" s="27"/>
      <c r="H393" s="27"/>
      <c r="I393" s="27"/>
      <c r="J393" s="27"/>
      <c r="K393" s="27"/>
      <c r="L393" s="27"/>
      <c r="M393" s="27"/>
      <c r="N393" s="27"/>
      <c r="O393" s="27"/>
      <c r="P393" s="27"/>
      <c r="Q393" s="27"/>
      <c r="R393" s="27"/>
      <c r="S393" s="27"/>
      <c r="T393" s="27"/>
      <c r="U393" s="27"/>
      <c r="V393" s="27"/>
      <c r="W393" s="27"/>
      <c r="X393" s="27"/>
      <c r="Y393" s="27"/>
      <c r="Z393" s="27"/>
      <c r="AA393" s="27"/>
      <c r="AB393" s="27"/>
      <c r="AC393" s="27"/>
      <c r="AD393" s="27"/>
      <c r="AE393" s="27"/>
      <c r="AF393" s="27"/>
      <c r="AG393" s="27"/>
      <c r="AH393" s="27"/>
      <c r="AI393" s="27"/>
      <c r="AJ393" s="27"/>
      <c r="AK393" s="27"/>
      <c r="AL393" s="27"/>
      <c r="AM393" s="27"/>
      <c r="AN393" s="27"/>
      <c r="AO393" s="27"/>
      <c r="AP393" s="27"/>
      <c r="AQ393" s="27"/>
      <c r="AR393" s="27"/>
      <c r="AS393" s="27"/>
      <c r="AT393" s="27"/>
      <c r="AU393" s="27"/>
      <c r="AV393" s="27"/>
      <c r="AW393" s="27"/>
      <c r="AX393" s="27"/>
      <c r="AY393" s="27"/>
      <c r="AZ393" s="27"/>
      <c r="BA393" s="27"/>
      <c r="BB393" s="27"/>
      <c r="BC393" s="27"/>
      <c r="BD393" s="27"/>
      <c r="BE393" s="27"/>
      <c r="BF393" s="27"/>
      <c r="BG393" s="27"/>
      <c r="BH393" s="27"/>
      <c r="BI393" s="27"/>
      <c r="BJ393" s="27"/>
      <c r="BK393" s="27"/>
      <c r="BL393" s="27"/>
      <c r="BM393" s="27"/>
      <c r="BN393" s="27"/>
      <c r="BO393" s="27"/>
      <c r="BP393" s="27"/>
      <c r="BQ393" s="27"/>
      <c r="BR393" s="27"/>
      <c r="BS393" s="27"/>
      <c r="BT393" s="27"/>
      <c r="BU393" s="27"/>
      <c r="BV393" s="27"/>
      <c r="BW393" s="27"/>
      <c r="BX393" s="27"/>
      <c r="BY393" s="27"/>
      <c r="BZ393" s="27"/>
      <c r="CA393" s="27"/>
      <c r="CB393" s="27"/>
      <c r="CC393" s="27"/>
      <c r="CD393" s="27"/>
      <c r="CE393" s="27"/>
      <c r="CF393" s="27"/>
      <c r="CG393" s="27"/>
      <c r="CH393" s="27"/>
      <c r="CI393" s="27"/>
      <c r="CJ393" s="27"/>
      <c r="CK393" s="27"/>
      <c r="CL393" s="27"/>
      <c r="CM393" s="27"/>
      <c r="CN393" s="27"/>
      <c r="CO393" s="27"/>
      <c r="CP393" s="27"/>
      <c r="CQ393" s="27"/>
      <c r="CR393" s="27"/>
      <c r="CS393" s="27"/>
      <c r="CT393" s="27"/>
      <c r="CU393" s="27"/>
      <c r="CV393" s="27"/>
      <c r="CW393" s="27"/>
      <c r="CX393" s="27"/>
      <c r="CY393" s="27"/>
      <c r="CZ393" s="27"/>
      <c r="DA393" s="27"/>
      <c r="DB393" s="27"/>
      <c r="DC393" s="27"/>
      <c r="DD393" s="27"/>
      <c r="DE393" s="27"/>
      <c r="DF393" s="27"/>
      <c r="DG393" s="27"/>
      <c r="DH393" s="27"/>
      <c r="DI393" s="27"/>
      <c r="DJ393" s="27"/>
      <c r="DK393" s="27"/>
      <c r="DL393" s="27"/>
      <c r="DM393" s="27"/>
      <c r="DN393" s="27"/>
      <c r="DO393" s="27"/>
      <c r="DP393" s="27"/>
      <c r="DQ393" s="27"/>
      <c r="DR393" s="27"/>
      <c r="DS393" s="27"/>
      <c r="DT393" s="27"/>
    </row>
    <row r="394" spans="2:124" x14ac:dyDescent="0.2">
      <c r="B394" s="27"/>
      <c r="C394" s="27"/>
      <c r="D394" s="27"/>
      <c r="E394" s="27"/>
      <c r="F394" s="27"/>
      <c r="G394" s="27"/>
      <c r="H394" s="27"/>
      <c r="I394" s="27"/>
      <c r="J394" s="27"/>
      <c r="K394" s="27"/>
      <c r="L394" s="27"/>
      <c r="M394" s="27"/>
      <c r="N394" s="27"/>
      <c r="O394" s="27"/>
      <c r="P394" s="27"/>
      <c r="Q394" s="27"/>
      <c r="R394" s="27"/>
      <c r="S394" s="27"/>
      <c r="T394" s="27"/>
      <c r="U394" s="27"/>
      <c r="V394" s="27"/>
      <c r="W394" s="27"/>
      <c r="X394" s="27"/>
      <c r="Y394" s="27"/>
      <c r="Z394" s="27"/>
      <c r="AA394" s="27"/>
      <c r="AB394" s="27"/>
      <c r="AC394" s="27"/>
      <c r="AD394" s="27"/>
      <c r="AE394" s="27"/>
      <c r="AF394" s="27"/>
      <c r="AG394" s="27"/>
      <c r="AH394" s="27"/>
      <c r="AI394" s="27"/>
      <c r="AJ394" s="27"/>
      <c r="AK394" s="27"/>
      <c r="AL394" s="27"/>
      <c r="AM394" s="27"/>
      <c r="AN394" s="27"/>
      <c r="AO394" s="27"/>
      <c r="AP394" s="27"/>
      <c r="AQ394" s="27"/>
      <c r="AR394" s="27"/>
      <c r="AS394" s="27"/>
      <c r="AT394" s="27"/>
      <c r="AU394" s="27"/>
      <c r="AV394" s="27"/>
      <c r="AW394" s="27"/>
      <c r="AX394" s="27"/>
      <c r="AY394" s="27"/>
      <c r="AZ394" s="27"/>
      <c r="BA394" s="27"/>
      <c r="BB394" s="27"/>
      <c r="BC394" s="27"/>
      <c r="BD394" s="27"/>
      <c r="BE394" s="27"/>
      <c r="BF394" s="27"/>
      <c r="BG394" s="27"/>
      <c r="BH394" s="27"/>
      <c r="BI394" s="27"/>
      <c r="BJ394" s="27"/>
      <c r="BK394" s="27"/>
      <c r="BL394" s="27"/>
      <c r="BM394" s="27"/>
      <c r="BN394" s="27"/>
      <c r="BO394" s="27"/>
      <c r="BP394" s="27"/>
      <c r="BQ394" s="27"/>
      <c r="BR394" s="27"/>
      <c r="BS394" s="27"/>
      <c r="BT394" s="27"/>
      <c r="BU394" s="27"/>
      <c r="BV394" s="27"/>
      <c r="BW394" s="27"/>
      <c r="BX394" s="27"/>
      <c r="BY394" s="27"/>
      <c r="BZ394" s="27"/>
      <c r="CA394" s="27"/>
      <c r="CB394" s="27"/>
      <c r="CC394" s="27"/>
      <c r="CD394" s="27"/>
      <c r="CE394" s="27"/>
      <c r="CF394" s="27"/>
      <c r="CG394" s="27"/>
      <c r="CH394" s="27"/>
      <c r="CI394" s="27"/>
      <c r="CJ394" s="27"/>
      <c r="CK394" s="27"/>
      <c r="CL394" s="27"/>
      <c r="CM394" s="27"/>
      <c r="CN394" s="27"/>
      <c r="CO394" s="27"/>
      <c r="CP394" s="27"/>
      <c r="CQ394" s="27"/>
      <c r="CR394" s="27"/>
      <c r="CS394" s="27"/>
      <c r="CT394" s="27"/>
      <c r="CU394" s="27"/>
      <c r="CV394" s="27"/>
      <c r="CW394" s="27"/>
      <c r="CX394" s="27"/>
      <c r="CY394" s="27"/>
      <c r="CZ394" s="27"/>
      <c r="DA394" s="27"/>
      <c r="DB394" s="27"/>
      <c r="DC394" s="27"/>
      <c r="DD394" s="27"/>
      <c r="DE394" s="27"/>
      <c r="DF394" s="27"/>
      <c r="DG394" s="27"/>
      <c r="DH394" s="27"/>
      <c r="DI394" s="27"/>
      <c r="DJ394" s="27"/>
      <c r="DK394" s="27"/>
      <c r="DL394" s="27"/>
      <c r="DM394" s="27"/>
      <c r="DN394" s="27"/>
      <c r="DO394" s="27"/>
      <c r="DP394" s="27"/>
      <c r="DQ394" s="27"/>
      <c r="DR394" s="27"/>
      <c r="DS394" s="27"/>
      <c r="DT394" s="27"/>
    </row>
    <row r="395" spans="2:124" x14ac:dyDescent="0.2">
      <c r="B395" s="27"/>
      <c r="C395" s="27"/>
      <c r="D395" s="27"/>
      <c r="E395" s="27"/>
      <c r="F395" s="27"/>
      <c r="G395" s="27"/>
      <c r="H395" s="27"/>
      <c r="I395" s="27"/>
      <c r="J395" s="27"/>
      <c r="K395" s="27"/>
      <c r="L395" s="27"/>
      <c r="M395" s="27"/>
      <c r="N395" s="27"/>
      <c r="O395" s="27"/>
      <c r="P395" s="27"/>
      <c r="Q395" s="27"/>
      <c r="R395" s="27"/>
      <c r="S395" s="27"/>
      <c r="T395" s="27"/>
      <c r="U395" s="27"/>
      <c r="V395" s="27"/>
      <c r="W395" s="27"/>
      <c r="X395" s="27"/>
      <c r="Y395" s="27"/>
      <c r="Z395" s="27"/>
      <c r="AA395" s="27"/>
      <c r="AB395" s="27"/>
      <c r="AC395" s="27"/>
      <c r="AD395" s="27"/>
      <c r="AE395" s="27"/>
      <c r="AF395" s="27"/>
      <c r="AG395" s="27"/>
      <c r="AH395" s="27"/>
      <c r="AI395" s="27"/>
      <c r="AJ395" s="27"/>
      <c r="AK395" s="27"/>
      <c r="AL395" s="27"/>
      <c r="AM395" s="27"/>
      <c r="AN395" s="27"/>
      <c r="AO395" s="27"/>
      <c r="AP395" s="27"/>
      <c r="AQ395" s="27"/>
      <c r="AR395" s="27"/>
      <c r="AS395" s="27"/>
      <c r="AT395" s="27"/>
      <c r="AU395" s="27"/>
      <c r="AV395" s="27"/>
      <c r="AW395" s="27"/>
      <c r="AX395" s="27"/>
      <c r="AY395" s="27"/>
      <c r="AZ395" s="27"/>
      <c r="BA395" s="27"/>
      <c r="BB395" s="27"/>
      <c r="BC395" s="27"/>
      <c r="BD395" s="27"/>
      <c r="BE395" s="27"/>
      <c r="BF395" s="27"/>
      <c r="BG395" s="27"/>
      <c r="BH395" s="27"/>
      <c r="BI395" s="27"/>
      <c r="BJ395" s="27"/>
      <c r="BK395" s="27"/>
      <c r="BL395" s="27"/>
      <c r="BM395" s="27"/>
      <c r="BN395" s="27"/>
      <c r="BO395" s="27"/>
      <c r="BP395" s="27"/>
      <c r="BQ395" s="27"/>
      <c r="BR395" s="27"/>
      <c r="BS395" s="27"/>
      <c r="BT395" s="27"/>
      <c r="BU395" s="27"/>
      <c r="BV395" s="27"/>
      <c r="BW395" s="27"/>
      <c r="BX395" s="27"/>
      <c r="BY395" s="27"/>
      <c r="BZ395" s="27"/>
      <c r="CA395" s="27"/>
      <c r="CB395" s="27"/>
      <c r="CC395" s="27"/>
      <c r="CD395" s="27"/>
      <c r="CE395" s="27"/>
      <c r="CF395" s="27"/>
      <c r="CG395" s="27"/>
      <c r="CH395" s="27"/>
      <c r="CI395" s="27"/>
      <c r="CJ395" s="27"/>
      <c r="CK395" s="27"/>
      <c r="CL395" s="27"/>
      <c r="CM395" s="27"/>
      <c r="CN395" s="27"/>
      <c r="CO395" s="27"/>
      <c r="CP395" s="27"/>
      <c r="CQ395" s="27"/>
      <c r="CR395" s="27"/>
      <c r="CS395" s="27"/>
      <c r="CT395" s="27"/>
      <c r="CU395" s="27"/>
      <c r="CV395" s="27"/>
      <c r="CW395" s="27"/>
      <c r="CX395" s="27"/>
      <c r="CY395" s="27"/>
      <c r="CZ395" s="27"/>
      <c r="DA395" s="27"/>
      <c r="DB395" s="27"/>
      <c r="DC395" s="27"/>
      <c r="DD395" s="27"/>
      <c r="DE395" s="27"/>
      <c r="DF395" s="27"/>
      <c r="DG395" s="27"/>
      <c r="DH395" s="27"/>
      <c r="DI395" s="27"/>
      <c r="DJ395" s="27"/>
      <c r="DK395" s="27"/>
      <c r="DL395" s="27"/>
      <c r="DM395" s="27"/>
      <c r="DN395" s="27"/>
      <c r="DO395" s="27"/>
      <c r="DP395" s="27"/>
      <c r="DQ395" s="27"/>
      <c r="DR395" s="27"/>
      <c r="DS395" s="27"/>
      <c r="DT395" s="27"/>
    </row>
    <row r="396" spans="2:124" x14ac:dyDescent="0.2">
      <c r="B396" s="27"/>
      <c r="C396" s="27"/>
      <c r="D396" s="27"/>
      <c r="E396" s="27"/>
      <c r="F396" s="27"/>
      <c r="G396" s="27"/>
      <c r="H396" s="27"/>
      <c r="I396" s="27"/>
      <c r="J396" s="27"/>
      <c r="K396" s="27"/>
      <c r="L396" s="27"/>
      <c r="M396" s="27"/>
      <c r="N396" s="27"/>
      <c r="O396" s="27"/>
      <c r="P396" s="27"/>
      <c r="Q396" s="27"/>
      <c r="R396" s="27"/>
      <c r="S396" s="27"/>
      <c r="T396" s="27"/>
      <c r="U396" s="27"/>
      <c r="V396" s="27"/>
      <c r="W396" s="27"/>
      <c r="X396" s="27"/>
      <c r="Y396" s="27"/>
      <c r="Z396" s="27"/>
      <c r="AA396" s="27"/>
      <c r="AB396" s="27"/>
      <c r="AC396" s="27"/>
      <c r="AD396" s="27"/>
      <c r="AE396" s="27"/>
      <c r="AF396" s="27"/>
      <c r="AG396" s="27"/>
      <c r="AH396" s="27"/>
      <c r="AI396" s="27"/>
      <c r="AJ396" s="27"/>
      <c r="AK396" s="27"/>
      <c r="AL396" s="27"/>
      <c r="AM396" s="27"/>
      <c r="AN396" s="27"/>
      <c r="AO396" s="27"/>
      <c r="AP396" s="27"/>
      <c r="AQ396" s="27"/>
      <c r="AR396" s="27"/>
      <c r="AS396" s="27"/>
      <c r="AT396" s="27"/>
      <c r="AU396" s="27"/>
      <c r="AV396" s="27"/>
      <c r="AW396" s="27"/>
      <c r="AX396" s="27"/>
      <c r="AY396" s="27"/>
      <c r="AZ396" s="27"/>
      <c r="BA396" s="27"/>
      <c r="BB396" s="27"/>
      <c r="BC396" s="27"/>
      <c r="BD396" s="27"/>
      <c r="BE396" s="27"/>
      <c r="BF396" s="27"/>
      <c r="BG396" s="27"/>
      <c r="BH396" s="27"/>
      <c r="BI396" s="27"/>
      <c r="BJ396" s="27"/>
      <c r="BK396" s="27"/>
      <c r="BL396" s="27"/>
      <c r="BM396" s="27"/>
      <c r="BN396" s="27"/>
      <c r="BO396" s="27"/>
      <c r="BP396" s="27"/>
      <c r="BQ396" s="27"/>
      <c r="BR396" s="27"/>
      <c r="BS396" s="27"/>
      <c r="BT396" s="27"/>
      <c r="BU396" s="27"/>
      <c r="BV396" s="27"/>
      <c r="BW396" s="27"/>
      <c r="BX396" s="27"/>
      <c r="BY396" s="27"/>
      <c r="BZ396" s="27"/>
      <c r="CA396" s="27"/>
      <c r="CB396" s="27"/>
      <c r="CC396" s="27"/>
      <c r="CD396" s="27"/>
      <c r="CE396" s="27"/>
      <c r="CF396" s="27"/>
      <c r="CG396" s="27"/>
      <c r="CH396" s="27"/>
      <c r="CI396" s="27"/>
      <c r="CJ396" s="27"/>
      <c r="CK396" s="27"/>
      <c r="CL396" s="27"/>
      <c r="CM396" s="27"/>
      <c r="CN396" s="27"/>
      <c r="CO396" s="27"/>
      <c r="CP396" s="27"/>
      <c r="CQ396" s="27"/>
      <c r="CR396" s="27"/>
      <c r="CS396" s="27"/>
      <c r="CT396" s="27"/>
      <c r="CU396" s="27"/>
      <c r="CV396" s="27"/>
      <c r="CW396" s="27"/>
      <c r="CX396" s="27"/>
      <c r="CY396" s="27"/>
      <c r="CZ396" s="27"/>
      <c r="DA396" s="27"/>
      <c r="DB396" s="27"/>
      <c r="DC396" s="27"/>
      <c r="DD396" s="27"/>
      <c r="DE396" s="27"/>
      <c r="DF396" s="27"/>
      <c r="DG396" s="27"/>
      <c r="DH396" s="27"/>
      <c r="DI396" s="27"/>
      <c r="DJ396" s="27"/>
      <c r="DK396" s="27"/>
      <c r="DL396" s="27"/>
      <c r="DM396" s="27"/>
      <c r="DN396" s="27"/>
      <c r="DO396" s="27"/>
      <c r="DP396" s="27"/>
      <c r="DQ396" s="27"/>
      <c r="DR396" s="27"/>
      <c r="DS396" s="27"/>
      <c r="DT396" s="27"/>
    </row>
    <row r="397" spans="2:124" x14ac:dyDescent="0.2">
      <c r="B397" s="27"/>
      <c r="C397" s="27"/>
      <c r="D397" s="27"/>
      <c r="E397" s="27"/>
      <c r="F397" s="27"/>
      <c r="G397" s="27"/>
      <c r="H397" s="27"/>
      <c r="I397" s="27"/>
      <c r="J397" s="27"/>
      <c r="K397" s="27"/>
      <c r="L397" s="27"/>
      <c r="M397" s="27"/>
      <c r="N397" s="27"/>
      <c r="O397" s="27"/>
      <c r="P397" s="27"/>
      <c r="Q397" s="27"/>
      <c r="R397" s="27"/>
      <c r="S397" s="27"/>
      <c r="T397" s="27"/>
      <c r="U397" s="27"/>
      <c r="V397" s="27"/>
      <c r="W397" s="27"/>
      <c r="X397" s="27"/>
      <c r="Y397" s="27"/>
      <c r="Z397" s="27"/>
      <c r="AA397" s="27"/>
      <c r="AB397" s="27"/>
      <c r="AC397" s="27"/>
      <c r="AD397" s="27"/>
      <c r="AE397" s="27"/>
      <c r="AF397" s="27"/>
      <c r="AG397" s="27"/>
      <c r="AH397" s="27"/>
      <c r="AI397" s="27"/>
      <c r="AJ397" s="27"/>
      <c r="AK397" s="27"/>
      <c r="AL397" s="27"/>
      <c r="AM397" s="27"/>
      <c r="AN397" s="27"/>
      <c r="AO397" s="27"/>
      <c r="AP397" s="27"/>
      <c r="AQ397" s="27"/>
      <c r="AR397" s="27"/>
      <c r="AS397" s="27"/>
      <c r="AT397" s="27"/>
      <c r="AU397" s="27"/>
      <c r="AV397" s="27"/>
      <c r="AW397" s="27"/>
      <c r="AX397" s="27"/>
      <c r="AY397" s="27"/>
      <c r="AZ397" s="27"/>
      <c r="BA397" s="27"/>
      <c r="BB397" s="27"/>
      <c r="BC397" s="27"/>
      <c r="BD397" s="27"/>
      <c r="BE397" s="27"/>
      <c r="BF397" s="27"/>
      <c r="BG397" s="27"/>
      <c r="BH397" s="27"/>
      <c r="BI397" s="27"/>
      <c r="BJ397" s="27"/>
      <c r="BK397" s="27"/>
      <c r="BL397" s="27"/>
      <c r="BM397" s="27"/>
      <c r="BN397" s="27"/>
      <c r="BO397" s="27"/>
      <c r="BP397" s="27"/>
      <c r="BQ397" s="27"/>
      <c r="BR397" s="27"/>
      <c r="BS397" s="27"/>
      <c r="BT397" s="27"/>
      <c r="BU397" s="27"/>
      <c r="BV397" s="27"/>
      <c r="BW397" s="27"/>
      <c r="BX397" s="27"/>
      <c r="BY397" s="27"/>
      <c r="BZ397" s="27"/>
      <c r="CA397" s="27"/>
      <c r="CB397" s="27"/>
      <c r="CC397" s="27"/>
      <c r="CD397" s="27"/>
      <c r="CE397" s="27"/>
      <c r="CF397" s="27"/>
      <c r="CG397" s="27"/>
      <c r="CH397" s="27"/>
      <c r="CI397" s="27"/>
      <c r="CJ397" s="27"/>
      <c r="CK397" s="27"/>
      <c r="CL397" s="27"/>
      <c r="CM397" s="27"/>
      <c r="CN397" s="27"/>
      <c r="CO397" s="27"/>
      <c r="CP397" s="27"/>
      <c r="CQ397" s="27"/>
      <c r="CR397" s="27"/>
      <c r="CS397" s="27"/>
      <c r="CT397" s="27"/>
      <c r="CU397" s="27"/>
      <c r="CV397" s="27"/>
      <c r="CW397" s="27"/>
      <c r="CX397" s="27"/>
      <c r="CY397" s="27"/>
      <c r="CZ397" s="27"/>
      <c r="DA397" s="27"/>
      <c r="DB397" s="27"/>
      <c r="DC397" s="27"/>
      <c r="DD397" s="27"/>
      <c r="DE397" s="27"/>
      <c r="DF397" s="27"/>
      <c r="DG397" s="27"/>
      <c r="DH397" s="27"/>
      <c r="DI397" s="27"/>
      <c r="DJ397" s="27"/>
      <c r="DK397" s="27"/>
      <c r="DL397" s="27"/>
      <c r="DM397" s="27"/>
      <c r="DN397" s="27"/>
      <c r="DO397" s="27"/>
      <c r="DP397" s="27"/>
      <c r="DQ397" s="27"/>
      <c r="DR397" s="27"/>
      <c r="DS397" s="27"/>
      <c r="DT397" s="27"/>
    </row>
    <row r="398" spans="2:124" x14ac:dyDescent="0.2">
      <c r="B398" s="27"/>
      <c r="C398" s="27"/>
      <c r="D398" s="27"/>
      <c r="E398" s="27"/>
      <c r="F398" s="27"/>
      <c r="G398" s="27"/>
      <c r="H398" s="27"/>
      <c r="I398" s="27"/>
      <c r="J398" s="27"/>
      <c r="K398" s="27"/>
      <c r="L398" s="27"/>
      <c r="M398" s="27"/>
      <c r="N398" s="27"/>
      <c r="O398" s="27"/>
      <c r="P398" s="27"/>
      <c r="Q398" s="27"/>
      <c r="R398" s="27"/>
      <c r="S398" s="27"/>
      <c r="T398" s="27"/>
      <c r="U398" s="27"/>
      <c r="V398" s="27"/>
      <c r="W398" s="27"/>
      <c r="X398" s="27"/>
      <c r="Y398" s="27"/>
      <c r="Z398" s="27"/>
      <c r="AA398" s="27"/>
      <c r="AB398" s="27"/>
      <c r="AC398" s="27"/>
      <c r="AD398" s="27"/>
      <c r="AE398" s="27"/>
      <c r="AF398" s="27"/>
      <c r="AG398" s="27"/>
      <c r="AH398" s="27"/>
      <c r="AI398" s="27"/>
      <c r="AJ398" s="27"/>
      <c r="AK398" s="27"/>
      <c r="AL398" s="27"/>
      <c r="AM398" s="27"/>
      <c r="AN398" s="27"/>
      <c r="AO398" s="27"/>
      <c r="AP398" s="27"/>
      <c r="AQ398" s="27"/>
      <c r="AR398" s="27"/>
      <c r="AS398" s="27"/>
      <c r="AT398" s="27"/>
      <c r="AU398" s="27"/>
      <c r="AV398" s="27"/>
      <c r="AW398" s="27"/>
      <c r="AX398" s="27"/>
      <c r="AY398" s="27"/>
      <c r="AZ398" s="27"/>
      <c r="BA398" s="27"/>
      <c r="BB398" s="27"/>
      <c r="BC398" s="27"/>
      <c r="BD398" s="27"/>
      <c r="BE398" s="27"/>
      <c r="BF398" s="27"/>
      <c r="BG398" s="27"/>
      <c r="BH398" s="27"/>
      <c r="BI398" s="27"/>
      <c r="BJ398" s="27"/>
      <c r="BK398" s="27"/>
      <c r="BL398" s="27"/>
      <c r="BM398" s="27"/>
      <c r="BN398" s="27"/>
      <c r="BO398" s="27"/>
      <c r="BP398" s="27"/>
      <c r="BQ398" s="27"/>
      <c r="BR398" s="27"/>
      <c r="BS398" s="27"/>
      <c r="BT398" s="27"/>
      <c r="BU398" s="27"/>
      <c r="BV398" s="27"/>
      <c r="BW398" s="27"/>
      <c r="BX398" s="27"/>
      <c r="BY398" s="27"/>
      <c r="BZ398" s="27"/>
      <c r="CA398" s="27"/>
      <c r="CB398" s="27"/>
      <c r="CC398" s="27"/>
      <c r="CD398" s="27"/>
      <c r="CE398" s="27"/>
      <c r="CF398" s="27"/>
      <c r="CG398" s="27"/>
      <c r="CH398" s="27"/>
      <c r="CI398" s="27"/>
      <c r="CJ398" s="27"/>
      <c r="CK398" s="27"/>
      <c r="CL398" s="27"/>
      <c r="CM398" s="27"/>
      <c r="CN398" s="27"/>
      <c r="CO398" s="27"/>
      <c r="CP398" s="27"/>
      <c r="CQ398" s="27"/>
      <c r="CR398" s="27"/>
      <c r="CS398" s="27"/>
      <c r="CT398" s="27"/>
      <c r="CU398" s="27"/>
      <c r="CV398" s="27"/>
      <c r="CW398" s="27"/>
      <c r="CX398" s="27"/>
      <c r="CY398" s="27"/>
      <c r="CZ398" s="27"/>
      <c r="DA398" s="27"/>
      <c r="DB398" s="27"/>
      <c r="DC398" s="27"/>
      <c r="DD398" s="27"/>
      <c r="DE398" s="27"/>
      <c r="DF398" s="27"/>
      <c r="DG398" s="27"/>
      <c r="DH398" s="27"/>
      <c r="DI398" s="27"/>
      <c r="DJ398" s="27"/>
      <c r="DK398" s="27"/>
      <c r="DL398" s="27"/>
      <c r="DM398" s="27"/>
      <c r="DN398" s="27"/>
      <c r="DO398" s="27"/>
      <c r="DP398" s="27"/>
      <c r="DQ398" s="27"/>
      <c r="DR398" s="27"/>
      <c r="DS398" s="27"/>
      <c r="DT398" s="27"/>
    </row>
    <row r="399" spans="2:124" x14ac:dyDescent="0.2">
      <c r="B399" s="27"/>
      <c r="C399" s="27"/>
      <c r="D399" s="27"/>
      <c r="E399" s="27"/>
      <c r="F399" s="27"/>
      <c r="G399" s="27"/>
      <c r="H399" s="27"/>
      <c r="I399" s="27"/>
      <c r="J399" s="27"/>
      <c r="K399" s="27"/>
      <c r="L399" s="27"/>
      <c r="M399" s="27"/>
      <c r="N399" s="27"/>
      <c r="O399" s="27"/>
      <c r="P399" s="27"/>
      <c r="Q399" s="27"/>
      <c r="R399" s="27"/>
      <c r="S399" s="27"/>
      <c r="T399" s="27"/>
      <c r="U399" s="27"/>
      <c r="V399" s="27"/>
      <c r="W399" s="27"/>
      <c r="X399" s="27"/>
      <c r="Y399" s="27"/>
      <c r="Z399" s="27"/>
      <c r="AA399" s="27"/>
      <c r="AB399" s="27"/>
      <c r="AC399" s="27"/>
      <c r="AD399" s="27"/>
      <c r="AE399" s="27"/>
      <c r="AF399" s="27"/>
      <c r="AG399" s="27"/>
      <c r="AH399" s="27"/>
      <c r="AI399" s="27"/>
      <c r="AJ399" s="27"/>
      <c r="AK399" s="27"/>
      <c r="AL399" s="27"/>
      <c r="AM399" s="27"/>
      <c r="AN399" s="27"/>
      <c r="AO399" s="27"/>
      <c r="AP399" s="27"/>
      <c r="AQ399" s="27"/>
      <c r="AR399" s="27"/>
      <c r="AS399" s="27"/>
      <c r="AT399" s="27"/>
      <c r="AU399" s="27"/>
      <c r="AV399" s="27"/>
      <c r="AW399" s="27"/>
      <c r="AX399" s="27"/>
      <c r="AY399" s="27"/>
      <c r="AZ399" s="27"/>
      <c r="BA399" s="27"/>
      <c r="BB399" s="27"/>
      <c r="BC399" s="27"/>
      <c r="BD399" s="27"/>
      <c r="BE399" s="27"/>
      <c r="BF399" s="27"/>
      <c r="BG399" s="27"/>
      <c r="BH399" s="27"/>
      <c r="BI399" s="27"/>
      <c r="BJ399" s="27"/>
      <c r="BK399" s="27"/>
      <c r="BL399" s="27"/>
      <c r="BM399" s="27"/>
      <c r="BN399" s="27"/>
      <c r="BO399" s="27"/>
      <c r="BP399" s="27"/>
      <c r="BQ399" s="27"/>
      <c r="BR399" s="27"/>
      <c r="BS399" s="27"/>
      <c r="BT399" s="27"/>
      <c r="BU399" s="27"/>
      <c r="BV399" s="27"/>
      <c r="BW399" s="27"/>
      <c r="BX399" s="27"/>
      <c r="BY399" s="27"/>
      <c r="BZ399" s="27"/>
      <c r="CA399" s="27"/>
      <c r="CB399" s="27"/>
      <c r="CC399" s="27"/>
      <c r="CD399" s="27"/>
      <c r="CE399" s="27"/>
      <c r="CF399" s="27"/>
      <c r="CG399" s="27"/>
      <c r="CH399" s="27"/>
      <c r="CI399" s="27"/>
      <c r="CJ399" s="27"/>
      <c r="CK399" s="27"/>
      <c r="CL399" s="27"/>
      <c r="CM399" s="27"/>
      <c r="CN399" s="27"/>
      <c r="CO399" s="27"/>
      <c r="CP399" s="27"/>
      <c r="CQ399" s="27"/>
      <c r="CR399" s="27"/>
      <c r="CS399" s="27"/>
      <c r="CT399" s="27"/>
      <c r="CU399" s="27"/>
      <c r="CV399" s="27"/>
      <c r="CW399" s="27"/>
      <c r="CX399" s="27"/>
      <c r="CY399" s="27"/>
      <c r="CZ399" s="27"/>
      <c r="DA399" s="27"/>
      <c r="DB399" s="27"/>
      <c r="DC399" s="27"/>
      <c r="DD399" s="27"/>
      <c r="DE399" s="27"/>
      <c r="DF399" s="27"/>
      <c r="DG399" s="27"/>
      <c r="DH399" s="27"/>
      <c r="DI399" s="27"/>
      <c r="DJ399" s="27"/>
      <c r="DK399" s="27"/>
      <c r="DL399" s="27"/>
      <c r="DM399" s="27"/>
      <c r="DN399" s="27"/>
      <c r="DO399" s="27"/>
      <c r="DP399" s="27"/>
      <c r="DQ399" s="27"/>
      <c r="DR399" s="27"/>
      <c r="DS399" s="27"/>
      <c r="DT399" s="27"/>
    </row>
    <row r="400" spans="2:124" x14ac:dyDescent="0.2">
      <c r="B400" s="27"/>
      <c r="C400" s="27"/>
      <c r="D400" s="27"/>
      <c r="E400" s="27"/>
      <c r="F400" s="27"/>
      <c r="G400" s="27"/>
      <c r="H400" s="27"/>
      <c r="I400" s="27"/>
      <c r="J400" s="27"/>
      <c r="K400" s="27"/>
      <c r="L400" s="27"/>
      <c r="M400" s="27"/>
      <c r="N400" s="27"/>
      <c r="O400" s="27"/>
      <c r="P400" s="27"/>
      <c r="Q400" s="27"/>
      <c r="R400" s="27"/>
      <c r="S400" s="27"/>
      <c r="T400" s="27"/>
      <c r="U400" s="27"/>
      <c r="V400" s="27"/>
      <c r="W400" s="27"/>
      <c r="X400" s="27"/>
      <c r="Y400" s="27"/>
      <c r="Z400" s="27"/>
      <c r="AA400" s="27"/>
      <c r="AB400" s="27"/>
      <c r="AC400" s="27"/>
      <c r="AD400" s="27"/>
      <c r="AE400" s="27"/>
      <c r="AF400" s="27"/>
      <c r="AG400" s="27"/>
      <c r="AH400" s="27"/>
      <c r="AI400" s="27"/>
      <c r="AJ400" s="27"/>
      <c r="AK400" s="27"/>
      <c r="AL400" s="27"/>
      <c r="AM400" s="27"/>
      <c r="AN400" s="27"/>
      <c r="AO400" s="27"/>
      <c r="AP400" s="27"/>
      <c r="AQ400" s="27"/>
      <c r="AR400" s="27"/>
      <c r="AS400" s="27"/>
      <c r="AT400" s="27"/>
      <c r="AU400" s="27"/>
      <c r="AV400" s="27"/>
      <c r="AW400" s="27"/>
      <c r="AX400" s="27"/>
      <c r="AY400" s="27"/>
      <c r="AZ400" s="27"/>
      <c r="BA400" s="27"/>
      <c r="BB400" s="27"/>
      <c r="BC400" s="27"/>
      <c r="BD400" s="27"/>
      <c r="BE400" s="27"/>
      <c r="BF400" s="27"/>
      <c r="BG400" s="27"/>
      <c r="BH400" s="27"/>
      <c r="BI400" s="27"/>
      <c r="BJ400" s="27"/>
      <c r="BK400" s="27"/>
      <c r="BL400" s="27"/>
      <c r="BM400" s="27"/>
      <c r="BN400" s="27"/>
      <c r="BO400" s="27"/>
      <c r="BP400" s="27"/>
      <c r="BQ400" s="27"/>
      <c r="BR400" s="27"/>
      <c r="BS400" s="27"/>
      <c r="BT400" s="27"/>
      <c r="BU400" s="27"/>
      <c r="BV400" s="27"/>
      <c r="BW400" s="27"/>
      <c r="BX400" s="27"/>
      <c r="BY400" s="27"/>
      <c r="BZ400" s="27"/>
      <c r="CA400" s="27"/>
      <c r="CB400" s="27"/>
      <c r="CC400" s="27"/>
      <c r="CD400" s="27"/>
      <c r="CE400" s="27"/>
      <c r="CF400" s="27"/>
      <c r="CG400" s="27"/>
      <c r="CH400" s="27"/>
      <c r="CI400" s="27"/>
      <c r="CJ400" s="27"/>
      <c r="CK400" s="27"/>
      <c r="CL400" s="27"/>
      <c r="CM400" s="27"/>
      <c r="CN400" s="27"/>
      <c r="CO400" s="27"/>
      <c r="CP400" s="27"/>
      <c r="CQ400" s="27"/>
      <c r="CR400" s="27"/>
      <c r="CS400" s="27"/>
      <c r="CT400" s="27"/>
      <c r="CU400" s="27"/>
      <c r="CV400" s="27"/>
      <c r="CW400" s="27"/>
      <c r="CX400" s="27"/>
      <c r="CY400" s="27"/>
      <c r="CZ400" s="27"/>
      <c r="DA400" s="27"/>
      <c r="DB400" s="27"/>
      <c r="DC400" s="27"/>
      <c r="DD400" s="27"/>
      <c r="DE400" s="27"/>
      <c r="DF400" s="27"/>
      <c r="DG400" s="27"/>
      <c r="DH400" s="27"/>
      <c r="DI400" s="27"/>
      <c r="DJ400" s="27"/>
      <c r="DK400" s="27"/>
      <c r="DL400" s="27"/>
      <c r="DM400" s="27"/>
      <c r="DN400" s="27"/>
      <c r="DO400" s="27"/>
      <c r="DP400" s="27"/>
      <c r="DQ400" s="27"/>
      <c r="DR400" s="27"/>
      <c r="DS400" s="27"/>
      <c r="DT400" s="27"/>
    </row>
    <row r="401" spans="2:124" x14ac:dyDescent="0.2">
      <c r="B401" s="27"/>
      <c r="C401" s="27"/>
      <c r="D401" s="27"/>
      <c r="E401" s="27"/>
      <c r="F401" s="27"/>
      <c r="G401" s="27"/>
      <c r="H401" s="27"/>
      <c r="I401" s="27"/>
      <c r="J401" s="27"/>
      <c r="K401" s="27"/>
      <c r="L401" s="27"/>
      <c r="M401" s="27"/>
      <c r="N401" s="27"/>
      <c r="O401" s="27"/>
      <c r="P401" s="27"/>
      <c r="Q401" s="27"/>
      <c r="R401" s="27"/>
      <c r="S401" s="27"/>
      <c r="T401" s="27"/>
      <c r="U401" s="27"/>
      <c r="V401" s="27"/>
      <c r="W401" s="27"/>
      <c r="X401" s="27"/>
      <c r="Y401" s="27"/>
      <c r="Z401" s="27"/>
      <c r="AA401" s="27"/>
      <c r="AB401" s="27"/>
      <c r="AC401" s="27"/>
      <c r="AD401" s="27"/>
      <c r="AE401" s="27"/>
      <c r="AF401" s="27"/>
      <c r="AG401" s="27"/>
      <c r="AH401" s="27"/>
      <c r="AI401" s="27"/>
      <c r="AJ401" s="27"/>
      <c r="AK401" s="27"/>
      <c r="AL401" s="27"/>
      <c r="AM401" s="27"/>
      <c r="AN401" s="27"/>
      <c r="AO401" s="27"/>
      <c r="AP401" s="27"/>
      <c r="AQ401" s="27"/>
      <c r="AR401" s="27"/>
      <c r="AS401" s="27"/>
      <c r="AT401" s="27"/>
      <c r="AU401" s="27"/>
      <c r="AV401" s="27"/>
      <c r="AW401" s="27"/>
      <c r="AX401" s="27"/>
      <c r="AY401" s="27"/>
      <c r="AZ401" s="27"/>
      <c r="BA401" s="27"/>
      <c r="BB401" s="27"/>
      <c r="BC401" s="27"/>
      <c r="BD401" s="27"/>
      <c r="BE401" s="27"/>
      <c r="BF401" s="27"/>
      <c r="BG401" s="27"/>
      <c r="BH401" s="27"/>
      <c r="BI401" s="27"/>
      <c r="BJ401" s="27"/>
      <c r="BK401" s="27"/>
      <c r="BL401" s="27"/>
      <c r="BM401" s="27"/>
      <c r="BN401" s="27"/>
      <c r="BO401" s="27"/>
      <c r="BP401" s="27"/>
      <c r="BQ401" s="27"/>
      <c r="BR401" s="27"/>
      <c r="BS401" s="27"/>
      <c r="BT401" s="27"/>
      <c r="BU401" s="27"/>
      <c r="BV401" s="27"/>
      <c r="BW401" s="27"/>
      <c r="BX401" s="27"/>
      <c r="BY401" s="27"/>
      <c r="BZ401" s="27"/>
      <c r="CA401" s="27"/>
      <c r="CB401" s="27"/>
      <c r="CC401" s="27"/>
      <c r="CD401" s="27"/>
      <c r="CE401" s="27"/>
      <c r="CF401" s="27"/>
      <c r="CG401" s="27"/>
      <c r="CH401" s="27"/>
      <c r="CI401" s="27"/>
      <c r="CJ401" s="27"/>
      <c r="CK401" s="27"/>
      <c r="CL401" s="27"/>
      <c r="CM401" s="27"/>
      <c r="CN401" s="27"/>
      <c r="CO401" s="27"/>
      <c r="CP401" s="27"/>
      <c r="CQ401" s="27"/>
      <c r="CR401" s="27"/>
      <c r="CS401" s="27"/>
      <c r="CT401" s="27"/>
      <c r="CU401" s="27"/>
      <c r="CV401" s="27"/>
      <c r="CW401" s="27"/>
      <c r="CX401" s="27"/>
      <c r="CY401" s="27"/>
      <c r="CZ401" s="27"/>
      <c r="DA401" s="27"/>
      <c r="DB401" s="27"/>
      <c r="DC401" s="27"/>
      <c r="DD401" s="27"/>
      <c r="DE401" s="27"/>
      <c r="DF401" s="27"/>
      <c r="DG401" s="27"/>
      <c r="DH401" s="27"/>
      <c r="DI401" s="27"/>
      <c r="DJ401" s="27"/>
      <c r="DK401" s="27"/>
      <c r="DL401" s="27"/>
      <c r="DM401" s="27"/>
      <c r="DN401" s="27"/>
      <c r="DO401" s="27"/>
      <c r="DP401" s="27"/>
      <c r="DQ401" s="27"/>
      <c r="DR401" s="27"/>
      <c r="DS401" s="27"/>
      <c r="DT401" s="27"/>
    </row>
    <row r="402" spans="2:124" x14ac:dyDescent="0.2">
      <c r="B402" s="27"/>
      <c r="C402" s="27"/>
      <c r="D402" s="27"/>
      <c r="E402" s="27"/>
      <c r="F402" s="27"/>
      <c r="G402" s="27"/>
      <c r="H402" s="27"/>
      <c r="I402" s="27"/>
      <c r="J402" s="27"/>
      <c r="K402" s="27"/>
      <c r="L402" s="27"/>
      <c r="M402" s="27"/>
      <c r="N402" s="27"/>
      <c r="O402" s="27"/>
      <c r="P402" s="27"/>
      <c r="Q402" s="27"/>
      <c r="R402" s="27"/>
      <c r="S402" s="27"/>
      <c r="T402" s="27"/>
      <c r="U402" s="27"/>
      <c r="V402" s="27"/>
      <c r="W402" s="27"/>
      <c r="X402" s="27"/>
      <c r="Y402" s="27"/>
      <c r="Z402" s="27"/>
      <c r="AA402" s="27"/>
      <c r="AB402" s="27"/>
      <c r="AC402" s="27"/>
      <c r="AD402" s="27"/>
      <c r="AE402" s="27"/>
      <c r="AF402" s="27"/>
      <c r="AG402" s="27"/>
      <c r="AH402" s="27"/>
      <c r="AI402" s="27"/>
      <c r="AJ402" s="27"/>
      <c r="AK402" s="27"/>
      <c r="AL402" s="27"/>
      <c r="AM402" s="27"/>
      <c r="AN402" s="27"/>
      <c r="AO402" s="27"/>
      <c r="AP402" s="27"/>
      <c r="AQ402" s="27"/>
      <c r="AR402" s="27"/>
      <c r="AS402" s="27"/>
      <c r="AT402" s="27"/>
      <c r="AU402" s="27"/>
      <c r="AV402" s="27"/>
      <c r="AW402" s="27"/>
      <c r="AX402" s="27"/>
      <c r="AY402" s="27"/>
      <c r="AZ402" s="27"/>
      <c r="BA402" s="27"/>
      <c r="BB402" s="27"/>
      <c r="BC402" s="27"/>
      <c r="BD402" s="27"/>
      <c r="BE402" s="27"/>
      <c r="BF402" s="27"/>
      <c r="BG402" s="27"/>
      <c r="BH402" s="27"/>
      <c r="BI402" s="27"/>
      <c r="BJ402" s="27"/>
      <c r="BK402" s="27"/>
      <c r="BL402" s="27"/>
      <c r="BM402" s="27"/>
      <c r="BN402" s="27"/>
      <c r="BO402" s="27"/>
      <c r="BP402" s="27"/>
      <c r="BQ402" s="27"/>
      <c r="BR402" s="27"/>
      <c r="BS402" s="27"/>
      <c r="BT402" s="27"/>
      <c r="BU402" s="27"/>
      <c r="BV402" s="27"/>
      <c r="BW402" s="27"/>
      <c r="BX402" s="27"/>
      <c r="BY402" s="27"/>
      <c r="BZ402" s="27"/>
      <c r="CA402" s="27"/>
      <c r="CB402" s="27"/>
      <c r="CC402" s="27"/>
      <c r="CD402" s="27"/>
      <c r="CE402" s="27"/>
      <c r="CF402" s="27"/>
      <c r="CG402" s="27"/>
      <c r="CH402" s="27"/>
      <c r="CI402" s="27"/>
      <c r="CJ402" s="27"/>
      <c r="CK402" s="27"/>
      <c r="CL402" s="27"/>
      <c r="CM402" s="27"/>
      <c r="CN402" s="27"/>
      <c r="CO402" s="27"/>
      <c r="CP402" s="27"/>
      <c r="CQ402" s="27"/>
      <c r="CR402" s="27"/>
      <c r="CS402" s="27"/>
      <c r="CT402" s="27"/>
      <c r="CU402" s="27"/>
      <c r="CV402" s="27"/>
      <c r="CW402" s="27"/>
      <c r="CX402" s="27"/>
      <c r="CY402" s="27"/>
      <c r="CZ402" s="27"/>
      <c r="DA402" s="27"/>
      <c r="DB402" s="27"/>
      <c r="DC402" s="27"/>
      <c r="DD402" s="27"/>
      <c r="DE402" s="27"/>
      <c r="DF402" s="27"/>
      <c r="DG402" s="27"/>
      <c r="DH402" s="27"/>
      <c r="DI402" s="27"/>
      <c r="DJ402" s="27"/>
      <c r="DK402" s="27"/>
      <c r="DL402" s="27"/>
      <c r="DM402" s="27"/>
      <c r="DN402" s="27"/>
      <c r="DO402" s="27"/>
      <c r="DP402" s="27"/>
      <c r="DQ402" s="27"/>
      <c r="DR402" s="27"/>
      <c r="DS402" s="27"/>
      <c r="DT402" s="27"/>
    </row>
    <row r="403" spans="2:124" x14ac:dyDescent="0.2">
      <c r="B403" s="27"/>
      <c r="C403" s="27"/>
      <c r="D403" s="27"/>
      <c r="E403" s="27"/>
      <c r="F403" s="27"/>
      <c r="G403" s="27"/>
      <c r="H403" s="27"/>
      <c r="I403" s="27"/>
      <c r="J403" s="27"/>
      <c r="K403" s="27"/>
      <c r="L403" s="27"/>
      <c r="M403" s="27"/>
      <c r="N403" s="27"/>
      <c r="O403" s="27"/>
      <c r="P403" s="27"/>
      <c r="Q403" s="27"/>
      <c r="R403" s="27"/>
      <c r="S403" s="27"/>
      <c r="T403" s="27"/>
      <c r="U403" s="27"/>
      <c r="V403" s="27"/>
      <c r="W403" s="27"/>
      <c r="X403" s="27"/>
      <c r="Y403" s="27"/>
      <c r="Z403" s="27"/>
      <c r="AA403" s="27"/>
      <c r="AB403" s="27"/>
      <c r="AC403" s="27"/>
      <c r="AD403" s="27"/>
      <c r="AE403" s="27"/>
      <c r="AF403" s="27"/>
      <c r="AG403" s="27"/>
      <c r="AH403" s="27"/>
      <c r="AI403" s="27"/>
      <c r="AJ403" s="27"/>
      <c r="AK403" s="27"/>
      <c r="AL403" s="27"/>
      <c r="AM403" s="27"/>
      <c r="AN403" s="27"/>
      <c r="AO403" s="27"/>
      <c r="AP403" s="27"/>
      <c r="AQ403" s="27"/>
      <c r="AR403" s="27"/>
      <c r="AS403" s="27"/>
      <c r="AT403" s="27"/>
      <c r="AU403" s="27"/>
      <c r="AV403" s="27"/>
      <c r="AW403" s="27"/>
      <c r="AX403" s="27"/>
      <c r="AY403" s="27"/>
      <c r="AZ403" s="27"/>
      <c r="BA403" s="27"/>
      <c r="BB403" s="27"/>
      <c r="BC403" s="27"/>
      <c r="BD403" s="27"/>
      <c r="BE403" s="27"/>
      <c r="BF403" s="27"/>
      <c r="BG403" s="27"/>
      <c r="BH403" s="27"/>
      <c r="BI403" s="27"/>
      <c r="BJ403" s="27"/>
      <c r="BK403" s="27"/>
      <c r="BL403" s="27"/>
      <c r="BM403" s="27"/>
      <c r="BN403" s="27"/>
      <c r="BO403" s="27"/>
      <c r="BP403" s="27"/>
      <c r="BQ403" s="27"/>
      <c r="BR403" s="27"/>
      <c r="BS403" s="27"/>
      <c r="BT403" s="27"/>
      <c r="BU403" s="27"/>
      <c r="BV403" s="27"/>
      <c r="BW403" s="27"/>
      <c r="BX403" s="27"/>
      <c r="BY403" s="27"/>
      <c r="BZ403" s="27"/>
      <c r="CA403" s="27"/>
      <c r="CB403" s="27"/>
      <c r="CC403" s="27"/>
      <c r="CD403" s="27"/>
      <c r="CE403" s="27"/>
      <c r="CF403" s="27"/>
      <c r="CG403" s="27"/>
      <c r="CH403" s="27"/>
      <c r="CI403" s="27"/>
      <c r="CJ403" s="27"/>
      <c r="CK403" s="27"/>
      <c r="CL403" s="27"/>
      <c r="CM403" s="27"/>
      <c r="CN403" s="27"/>
      <c r="CO403" s="27"/>
      <c r="CP403" s="27"/>
      <c r="CQ403" s="27"/>
      <c r="CR403" s="27"/>
      <c r="CS403" s="27"/>
      <c r="CT403" s="27"/>
      <c r="CU403" s="27"/>
      <c r="CV403" s="27"/>
      <c r="CW403" s="27"/>
      <c r="CX403" s="27"/>
      <c r="CY403" s="27"/>
      <c r="CZ403" s="27"/>
      <c r="DA403" s="27"/>
      <c r="DB403" s="27"/>
      <c r="DC403" s="27"/>
      <c r="DD403" s="27"/>
      <c r="DE403" s="27"/>
      <c r="DF403" s="27"/>
      <c r="DG403" s="27"/>
      <c r="DH403" s="27"/>
      <c r="DI403" s="27"/>
      <c r="DJ403" s="27"/>
      <c r="DK403" s="27"/>
      <c r="DL403" s="27"/>
      <c r="DM403" s="27"/>
      <c r="DN403" s="27"/>
      <c r="DO403" s="27"/>
      <c r="DP403" s="27"/>
      <c r="DQ403" s="27"/>
      <c r="DR403" s="27"/>
      <c r="DS403" s="27"/>
      <c r="DT403" s="27"/>
    </row>
    <row r="404" spans="2:124" x14ac:dyDescent="0.2">
      <c r="B404" s="27"/>
      <c r="C404" s="27"/>
      <c r="D404" s="27"/>
      <c r="E404" s="27"/>
      <c r="F404" s="27"/>
      <c r="G404" s="27"/>
      <c r="H404" s="27"/>
      <c r="I404" s="27"/>
      <c r="J404" s="27"/>
      <c r="K404" s="27"/>
      <c r="L404" s="27"/>
      <c r="M404" s="27"/>
      <c r="N404" s="27"/>
      <c r="O404" s="27"/>
      <c r="P404" s="27"/>
      <c r="Q404" s="27"/>
      <c r="R404" s="27"/>
      <c r="S404" s="27"/>
      <c r="T404" s="27"/>
      <c r="U404" s="27"/>
      <c r="V404" s="27"/>
      <c r="W404" s="27"/>
      <c r="X404" s="27"/>
      <c r="Y404" s="27"/>
      <c r="Z404" s="27"/>
      <c r="AA404" s="27"/>
      <c r="AB404" s="27"/>
      <c r="AC404" s="27"/>
      <c r="AD404" s="27"/>
      <c r="AE404" s="27"/>
      <c r="AF404" s="27"/>
      <c r="AG404" s="27"/>
      <c r="AH404" s="27"/>
      <c r="AI404" s="27"/>
      <c r="AJ404" s="27"/>
      <c r="AK404" s="27"/>
      <c r="AL404" s="27"/>
      <c r="AM404" s="27"/>
      <c r="AN404" s="27"/>
      <c r="AO404" s="27"/>
      <c r="AP404" s="27"/>
      <c r="AQ404" s="27"/>
      <c r="AR404" s="27"/>
      <c r="AS404" s="27"/>
      <c r="AT404" s="27"/>
      <c r="AU404" s="27"/>
      <c r="AV404" s="27"/>
      <c r="AW404" s="27"/>
      <c r="AX404" s="27"/>
      <c r="AY404" s="27"/>
      <c r="AZ404" s="27"/>
      <c r="BA404" s="27"/>
      <c r="BB404" s="27"/>
      <c r="BC404" s="27"/>
      <c r="BD404" s="27"/>
      <c r="BE404" s="27"/>
      <c r="BF404" s="27"/>
      <c r="BG404" s="27"/>
      <c r="BH404" s="27"/>
      <c r="BI404" s="27"/>
      <c r="BJ404" s="27"/>
      <c r="BK404" s="27"/>
      <c r="BL404" s="27"/>
      <c r="BM404" s="27"/>
      <c r="BN404" s="27"/>
      <c r="BO404" s="27"/>
      <c r="BP404" s="27"/>
      <c r="BQ404" s="27"/>
      <c r="BR404" s="27"/>
      <c r="BS404" s="27"/>
      <c r="BT404" s="27"/>
      <c r="BU404" s="27"/>
      <c r="BV404" s="27"/>
      <c r="BW404" s="27"/>
      <c r="BX404" s="27"/>
      <c r="BY404" s="27"/>
      <c r="BZ404" s="27"/>
      <c r="CA404" s="27"/>
      <c r="CB404" s="27"/>
      <c r="CC404" s="27"/>
      <c r="CD404" s="27"/>
      <c r="CE404" s="27"/>
      <c r="CF404" s="27"/>
      <c r="CG404" s="27"/>
      <c r="CH404" s="27"/>
      <c r="CI404" s="27"/>
      <c r="CJ404" s="27"/>
      <c r="CK404" s="27"/>
      <c r="CL404" s="27"/>
      <c r="CM404" s="27"/>
      <c r="CN404" s="27"/>
      <c r="CO404" s="27"/>
      <c r="CP404" s="27"/>
      <c r="CQ404" s="27"/>
      <c r="CR404" s="27"/>
      <c r="CS404" s="27"/>
      <c r="CT404" s="27"/>
      <c r="CU404" s="27"/>
      <c r="CV404" s="27"/>
      <c r="CW404" s="27"/>
      <c r="CX404" s="27"/>
      <c r="CY404" s="27"/>
      <c r="CZ404" s="27"/>
      <c r="DA404" s="27"/>
      <c r="DB404" s="27"/>
      <c r="DC404" s="27"/>
      <c r="DD404" s="27"/>
      <c r="DE404" s="27"/>
      <c r="DF404" s="27"/>
      <c r="DG404" s="27"/>
      <c r="DH404" s="27"/>
      <c r="DI404" s="27"/>
      <c r="DJ404" s="27"/>
      <c r="DK404" s="27"/>
      <c r="DL404" s="27"/>
      <c r="DM404" s="27"/>
      <c r="DN404" s="27"/>
      <c r="DO404" s="27"/>
      <c r="DP404" s="27"/>
      <c r="DQ404" s="27"/>
      <c r="DR404" s="27"/>
      <c r="DS404" s="27"/>
      <c r="DT404" s="27"/>
    </row>
    <row r="405" spans="2:124" x14ac:dyDescent="0.2">
      <c r="B405" s="27"/>
      <c r="C405" s="27"/>
      <c r="D405" s="27"/>
      <c r="E405" s="27"/>
      <c r="F405" s="27"/>
      <c r="G405" s="27"/>
      <c r="H405" s="27"/>
      <c r="I405" s="27"/>
      <c r="J405" s="27"/>
      <c r="K405" s="27"/>
      <c r="L405" s="27"/>
      <c r="M405" s="27"/>
      <c r="N405" s="27"/>
      <c r="O405" s="27"/>
      <c r="P405" s="27"/>
      <c r="Q405" s="27"/>
      <c r="R405" s="27"/>
      <c r="S405" s="27"/>
      <c r="T405" s="27"/>
      <c r="U405" s="27"/>
      <c r="V405" s="27"/>
      <c r="W405" s="27"/>
      <c r="X405" s="27"/>
      <c r="Y405" s="27"/>
      <c r="Z405" s="27"/>
      <c r="AA405" s="27"/>
      <c r="AB405" s="27"/>
      <c r="AC405" s="27"/>
      <c r="AD405" s="27"/>
      <c r="AE405" s="27"/>
      <c r="AF405" s="27"/>
      <c r="AG405" s="27"/>
      <c r="AH405" s="27"/>
      <c r="AI405" s="27"/>
      <c r="AJ405" s="27"/>
      <c r="AK405" s="27"/>
      <c r="AL405" s="27"/>
      <c r="AM405" s="27"/>
      <c r="AN405" s="27"/>
      <c r="AO405" s="27"/>
      <c r="AP405" s="27"/>
      <c r="AQ405" s="27"/>
      <c r="AR405" s="27"/>
      <c r="AS405" s="27"/>
      <c r="AT405" s="27"/>
      <c r="AU405" s="27"/>
      <c r="AV405" s="27"/>
      <c r="AW405" s="27"/>
      <c r="AX405" s="27"/>
      <c r="AY405" s="27"/>
      <c r="AZ405" s="27"/>
      <c r="BA405" s="27"/>
      <c r="BB405" s="27"/>
      <c r="BC405" s="27"/>
      <c r="BD405" s="27"/>
      <c r="BE405" s="27"/>
      <c r="BF405" s="27"/>
      <c r="BG405" s="27"/>
      <c r="BH405" s="27"/>
      <c r="BI405" s="27"/>
      <c r="BJ405" s="27"/>
      <c r="BK405" s="27"/>
      <c r="BL405" s="27"/>
      <c r="BM405" s="27"/>
      <c r="BN405" s="27"/>
      <c r="BO405" s="27"/>
      <c r="BP405" s="27"/>
      <c r="BQ405" s="27"/>
      <c r="BR405" s="27"/>
      <c r="BS405" s="27"/>
      <c r="BT405" s="27"/>
      <c r="BU405" s="27"/>
      <c r="BV405" s="27"/>
      <c r="BW405" s="27"/>
      <c r="BX405" s="27"/>
      <c r="BY405" s="27"/>
      <c r="BZ405" s="27"/>
      <c r="CA405" s="27"/>
      <c r="CB405" s="27"/>
      <c r="CC405" s="27"/>
      <c r="CD405" s="27"/>
      <c r="CE405" s="27"/>
      <c r="CF405" s="27"/>
      <c r="CG405" s="27"/>
      <c r="CH405" s="27"/>
      <c r="CI405" s="27"/>
      <c r="CJ405" s="27"/>
      <c r="CK405" s="27"/>
      <c r="CL405" s="27"/>
      <c r="CM405" s="27"/>
      <c r="CN405" s="27"/>
      <c r="CO405" s="27"/>
      <c r="CP405" s="27"/>
      <c r="CQ405" s="27"/>
      <c r="CR405" s="27"/>
      <c r="CS405" s="27"/>
      <c r="CT405" s="27"/>
      <c r="CU405" s="27"/>
      <c r="CV405" s="27"/>
      <c r="CW405" s="27"/>
      <c r="CX405" s="27"/>
      <c r="CY405" s="27"/>
      <c r="CZ405" s="27"/>
      <c r="DA405" s="27"/>
      <c r="DB405" s="27"/>
      <c r="DC405" s="27"/>
      <c r="DD405" s="27"/>
      <c r="DE405" s="27"/>
      <c r="DF405" s="27"/>
      <c r="DG405" s="27"/>
      <c r="DH405" s="27"/>
      <c r="DI405" s="27"/>
      <c r="DJ405" s="27"/>
      <c r="DK405" s="27"/>
      <c r="DL405" s="27"/>
      <c r="DM405" s="27"/>
      <c r="DN405" s="27"/>
      <c r="DO405" s="27"/>
      <c r="DP405" s="27"/>
      <c r="DQ405" s="27"/>
      <c r="DR405" s="27"/>
      <c r="DS405" s="27"/>
      <c r="DT405" s="27"/>
    </row>
    <row r="406" spans="2:124" x14ac:dyDescent="0.2">
      <c r="B406" s="27"/>
      <c r="C406" s="27"/>
      <c r="D406" s="27"/>
      <c r="E406" s="27"/>
      <c r="F406" s="27"/>
      <c r="G406" s="27"/>
      <c r="H406" s="27"/>
      <c r="I406" s="27"/>
      <c r="J406" s="27"/>
      <c r="K406" s="27"/>
      <c r="L406" s="27"/>
      <c r="M406" s="27"/>
      <c r="N406" s="27"/>
      <c r="O406" s="27"/>
      <c r="P406" s="27"/>
      <c r="Q406" s="27"/>
      <c r="R406" s="27"/>
      <c r="S406" s="27"/>
      <c r="T406" s="27"/>
      <c r="U406" s="27"/>
      <c r="V406" s="27"/>
      <c r="W406" s="27"/>
      <c r="X406" s="27"/>
      <c r="Y406" s="27"/>
      <c r="Z406" s="27"/>
      <c r="AA406" s="27"/>
      <c r="AB406" s="27"/>
      <c r="AC406" s="27"/>
      <c r="AD406" s="27"/>
      <c r="AE406" s="27"/>
      <c r="AF406" s="27"/>
      <c r="AG406" s="27"/>
      <c r="AH406" s="27"/>
      <c r="AI406" s="27"/>
      <c r="AJ406" s="27"/>
      <c r="AK406" s="27"/>
      <c r="AL406" s="27"/>
      <c r="AM406" s="27"/>
      <c r="AN406" s="27"/>
      <c r="AO406" s="27"/>
      <c r="AP406" s="27"/>
      <c r="AQ406" s="27"/>
      <c r="AR406" s="27"/>
      <c r="AS406" s="27"/>
      <c r="AT406" s="27"/>
      <c r="AU406" s="27"/>
      <c r="AV406" s="27"/>
      <c r="AW406" s="27"/>
      <c r="AX406" s="27"/>
      <c r="AY406" s="27"/>
      <c r="AZ406" s="27"/>
      <c r="BA406" s="27"/>
      <c r="BB406" s="27"/>
      <c r="BC406" s="27"/>
      <c r="BD406" s="27"/>
      <c r="BE406" s="27"/>
      <c r="BF406" s="27"/>
      <c r="BG406" s="27"/>
      <c r="BH406" s="27"/>
      <c r="BI406" s="27"/>
      <c r="BJ406" s="27"/>
      <c r="BK406" s="27"/>
      <c r="BL406" s="27"/>
      <c r="BM406" s="27"/>
      <c r="BN406" s="27"/>
      <c r="BO406" s="27"/>
      <c r="BP406" s="27"/>
      <c r="BQ406" s="27"/>
      <c r="BR406" s="27"/>
      <c r="BS406" s="27"/>
      <c r="BT406" s="27"/>
      <c r="BU406" s="27"/>
      <c r="BV406" s="27"/>
      <c r="BW406" s="27"/>
      <c r="BX406" s="27"/>
      <c r="BY406" s="27"/>
      <c r="BZ406" s="27"/>
      <c r="CA406" s="27"/>
      <c r="CB406" s="27"/>
      <c r="CC406" s="27"/>
      <c r="CD406" s="27"/>
      <c r="CE406" s="27"/>
      <c r="CF406" s="27"/>
      <c r="CG406" s="27"/>
      <c r="CH406" s="27"/>
      <c r="CI406" s="27"/>
      <c r="CJ406" s="27"/>
      <c r="CK406" s="27"/>
      <c r="CL406" s="27"/>
      <c r="CM406" s="27"/>
      <c r="CN406" s="27"/>
      <c r="CO406" s="27"/>
      <c r="CP406" s="27"/>
      <c r="CQ406" s="27"/>
      <c r="CR406" s="27"/>
      <c r="CS406" s="27"/>
      <c r="CT406" s="27"/>
      <c r="CU406" s="27"/>
      <c r="CV406" s="27"/>
      <c r="CW406" s="27"/>
      <c r="CX406" s="27"/>
      <c r="CY406" s="27"/>
      <c r="CZ406" s="27"/>
      <c r="DA406" s="27"/>
      <c r="DB406" s="27"/>
      <c r="DC406" s="27"/>
      <c r="DD406" s="27"/>
      <c r="DE406" s="27"/>
      <c r="DF406" s="27"/>
      <c r="DG406" s="27"/>
      <c r="DH406" s="27"/>
      <c r="DI406" s="27"/>
      <c r="DJ406" s="27"/>
      <c r="DK406" s="27"/>
      <c r="DL406" s="27"/>
      <c r="DM406" s="27"/>
      <c r="DN406" s="27"/>
      <c r="DO406" s="27"/>
      <c r="DP406" s="27"/>
      <c r="DQ406" s="27"/>
      <c r="DR406" s="27"/>
      <c r="DS406" s="27"/>
      <c r="DT406" s="27"/>
    </row>
    <row r="407" spans="2:124" x14ac:dyDescent="0.2">
      <c r="B407" s="27"/>
      <c r="C407" s="27"/>
      <c r="D407" s="27"/>
      <c r="E407" s="27"/>
      <c r="F407" s="27"/>
      <c r="G407" s="27"/>
      <c r="H407" s="27"/>
      <c r="I407" s="27"/>
      <c r="J407" s="27"/>
      <c r="K407" s="27"/>
      <c r="L407" s="27"/>
      <c r="M407" s="27"/>
      <c r="N407" s="27"/>
      <c r="O407" s="27"/>
      <c r="P407" s="27"/>
      <c r="Q407" s="27"/>
      <c r="R407" s="27"/>
      <c r="S407" s="27"/>
      <c r="T407" s="27"/>
      <c r="U407" s="27"/>
      <c r="V407" s="27"/>
      <c r="W407" s="27"/>
      <c r="X407" s="27"/>
      <c r="Y407" s="27"/>
      <c r="Z407" s="27"/>
      <c r="AA407" s="27"/>
      <c r="AB407" s="27"/>
      <c r="AC407" s="27"/>
      <c r="AD407" s="27"/>
      <c r="AE407" s="27"/>
      <c r="AF407" s="27"/>
      <c r="AG407" s="27"/>
      <c r="AH407" s="27"/>
      <c r="AI407" s="27"/>
      <c r="AJ407" s="27"/>
      <c r="AK407" s="27"/>
      <c r="AL407" s="27"/>
      <c r="AM407" s="27"/>
      <c r="AN407" s="27"/>
      <c r="AO407" s="27"/>
      <c r="AP407" s="27"/>
      <c r="AQ407" s="27"/>
      <c r="AR407" s="27"/>
      <c r="AS407" s="27"/>
      <c r="AT407" s="27"/>
      <c r="AU407" s="27"/>
      <c r="AV407" s="27"/>
      <c r="AW407" s="27"/>
      <c r="AX407" s="27"/>
      <c r="AY407" s="27"/>
      <c r="AZ407" s="27"/>
      <c r="BA407" s="27"/>
      <c r="BB407" s="27"/>
      <c r="BC407" s="27"/>
      <c r="BD407" s="27"/>
      <c r="BE407" s="27"/>
      <c r="BF407" s="27"/>
      <c r="BG407" s="27"/>
      <c r="BH407" s="27"/>
      <c r="BI407" s="27"/>
      <c r="BJ407" s="27"/>
      <c r="BK407" s="27"/>
      <c r="BL407" s="27"/>
      <c r="BM407" s="27"/>
      <c r="BN407" s="27"/>
      <c r="BO407" s="27"/>
      <c r="BP407" s="27"/>
      <c r="BQ407" s="27"/>
      <c r="BR407" s="27"/>
      <c r="BS407" s="27"/>
      <c r="BT407" s="27"/>
      <c r="BU407" s="27"/>
      <c r="BV407" s="27"/>
      <c r="BW407" s="27"/>
      <c r="BX407" s="27"/>
      <c r="BY407" s="27"/>
      <c r="BZ407" s="27"/>
      <c r="CA407" s="27"/>
      <c r="CB407" s="27"/>
      <c r="CC407" s="27"/>
      <c r="CD407" s="27"/>
      <c r="CE407" s="27"/>
      <c r="CF407" s="27"/>
      <c r="CG407" s="27"/>
      <c r="CH407" s="27"/>
      <c r="CI407" s="27"/>
      <c r="CJ407" s="27"/>
      <c r="CK407" s="27"/>
      <c r="CL407" s="27"/>
      <c r="CM407" s="27"/>
      <c r="CN407" s="27"/>
      <c r="CO407" s="27"/>
      <c r="CP407" s="27"/>
      <c r="CQ407" s="27"/>
      <c r="CR407" s="27"/>
      <c r="CS407" s="27"/>
      <c r="CT407" s="27"/>
      <c r="CU407" s="27"/>
      <c r="CV407" s="27"/>
      <c r="CW407" s="27"/>
      <c r="CX407" s="27"/>
      <c r="CY407" s="27"/>
      <c r="CZ407" s="27"/>
      <c r="DA407" s="27"/>
      <c r="DB407" s="27"/>
      <c r="DC407" s="27"/>
      <c r="DD407" s="27"/>
      <c r="DE407" s="27"/>
      <c r="DF407" s="27"/>
      <c r="DG407" s="27"/>
      <c r="DH407" s="27"/>
      <c r="DI407" s="27"/>
      <c r="DJ407" s="27"/>
      <c r="DK407" s="27"/>
      <c r="DL407" s="27"/>
      <c r="DM407" s="27"/>
      <c r="DN407" s="27"/>
      <c r="DO407" s="27"/>
      <c r="DP407" s="27"/>
      <c r="DQ407" s="27"/>
      <c r="DR407" s="27"/>
      <c r="DS407" s="27"/>
      <c r="DT407" s="27"/>
    </row>
    <row r="408" spans="2:124" x14ac:dyDescent="0.2">
      <c r="B408" s="27"/>
      <c r="C408" s="27"/>
      <c r="D408" s="27"/>
      <c r="E408" s="27"/>
      <c r="F408" s="27"/>
      <c r="G408" s="27"/>
      <c r="H408" s="27"/>
      <c r="I408" s="27"/>
      <c r="J408" s="27"/>
      <c r="K408" s="27"/>
      <c r="L408" s="27"/>
      <c r="M408" s="27"/>
      <c r="N408" s="27"/>
      <c r="O408" s="27"/>
      <c r="P408" s="27"/>
      <c r="Q408" s="27"/>
      <c r="R408" s="27"/>
      <c r="S408" s="27"/>
      <c r="T408" s="27"/>
      <c r="U408" s="27"/>
      <c r="V408" s="27"/>
      <c r="W408" s="27"/>
      <c r="X408" s="27"/>
      <c r="Y408" s="27"/>
      <c r="Z408" s="27"/>
      <c r="AA408" s="27"/>
      <c r="AB408" s="27"/>
      <c r="AC408" s="27"/>
      <c r="AD408" s="27"/>
      <c r="AE408" s="27"/>
      <c r="AF408" s="27"/>
      <c r="AG408" s="27"/>
      <c r="AH408" s="27"/>
      <c r="AI408" s="27"/>
      <c r="AJ408" s="27"/>
      <c r="AK408" s="27"/>
      <c r="AL408" s="27"/>
      <c r="AM408" s="27"/>
      <c r="AN408" s="27"/>
      <c r="AO408" s="27"/>
      <c r="AP408" s="27"/>
      <c r="AQ408" s="27"/>
      <c r="AR408" s="27"/>
      <c r="AS408" s="27"/>
      <c r="AT408" s="27"/>
      <c r="AU408" s="27"/>
      <c r="AV408" s="27"/>
      <c r="AW408" s="27"/>
      <c r="AX408" s="27"/>
      <c r="AY408" s="27"/>
      <c r="AZ408" s="27"/>
      <c r="BA408" s="27"/>
      <c r="BB408" s="27"/>
      <c r="BC408" s="27"/>
      <c r="BD408" s="27"/>
      <c r="BE408" s="27"/>
      <c r="BF408" s="27"/>
      <c r="BG408" s="27"/>
      <c r="BH408" s="27"/>
      <c r="BI408" s="27"/>
      <c r="BJ408" s="27"/>
      <c r="BK408" s="27"/>
      <c r="BL408" s="27"/>
      <c r="BM408" s="27"/>
      <c r="BN408" s="27"/>
      <c r="BO408" s="27"/>
      <c r="BP408" s="27"/>
      <c r="BQ408" s="27"/>
      <c r="BR408" s="27"/>
      <c r="BS408" s="27"/>
      <c r="BT408" s="27"/>
      <c r="BU408" s="27"/>
      <c r="BV408" s="27"/>
      <c r="BW408" s="27"/>
      <c r="BX408" s="27"/>
      <c r="BY408" s="27"/>
      <c r="BZ408" s="27"/>
      <c r="CA408" s="27"/>
      <c r="CB408" s="27"/>
      <c r="CC408" s="27"/>
      <c r="CD408" s="27"/>
      <c r="CE408" s="27"/>
      <c r="CF408" s="27"/>
      <c r="CG408" s="27"/>
      <c r="CH408" s="27"/>
      <c r="CI408" s="27"/>
      <c r="CJ408" s="27"/>
      <c r="CK408" s="27"/>
      <c r="CL408" s="27"/>
      <c r="CM408" s="27"/>
      <c r="CN408" s="27"/>
      <c r="CO408" s="27"/>
      <c r="CP408" s="27"/>
      <c r="CQ408" s="27"/>
      <c r="CR408" s="27"/>
      <c r="CS408" s="27"/>
      <c r="CT408" s="27"/>
      <c r="CU408" s="27"/>
      <c r="CV408" s="27"/>
      <c r="CW408" s="27"/>
      <c r="CX408" s="27"/>
      <c r="CY408" s="27"/>
      <c r="CZ408" s="27"/>
      <c r="DA408" s="27"/>
      <c r="DB408" s="27"/>
      <c r="DC408" s="27"/>
      <c r="DD408" s="27"/>
      <c r="DE408" s="27"/>
      <c r="DF408" s="27"/>
      <c r="DG408" s="27"/>
      <c r="DH408" s="27"/>
      <c r="DI408" s="27"/>
      <c r="DJ408" s="27"/>
      <c r="DK408" s="27"/>
      <c r="DL408" s="27"/>
      <c r="DM408" s="27"/>
      <c r="DN408" s="27"/>
      <c r="DO408" s="27"/>
      <c r="DP408" s="27"/>
      <c r="DQ408" s="27"/>
      <c r="DR408" s="27"/>
      <c r="DS408" s="27"/>
      <c r="DT408" s="27"/>
    </row>
    <row r="409" spans="2:124" x14ac:dyDescent="0.2">
      <c r="B409" s="27"/>
      <c r="C409" s="27"/>
      <c r="D409" s="27"/>
      <c r="E409" s="27"/>
      <c r="F409" s="27"/>
      <c r="G409" s="27"/>
      <c r="H409" s="27"/>
      <c r="I409" s="27"/>
      <c r="J409" s="27"/>
      <c r="K409" s="27"/>
      <c r="L409" s="27"/>
      <c r="M409" s="27"/>
      <c r="N409" s="27"/>
      <c r="O409" s="27"/>
      <c r="P409" s="27"/>
      <c r="Q409" s="27"/>
      <c r="R409" s="27"/>
      <c r="S409" s="27"/>
      <c r="T409" s="27"/>
      <c r="U409" s="27"/>
      <c r="V409" s="27"/>
      <c r="W409" s="27"/>
      <c r="X409" s="27"/>
      <c r="Y409" s="27"/>
      <c r="Z409" s="27"/>
      <c r="AA409" s="27"/>
      <c r="AB409" s="27"/>
      <c r="AC409" s="27"/>
      <c r="AD409" s="27"/>
      <c r="AE409" s="27"/>
      <c r="AF409" s="27"/>
      <c r="AG409" s="27"/>
      <c r="AH409" s="27"/>
      <c r="AI409" s="27"/>
      <c r="AJ409" s="27"/>
      <c r="AK409" s="27"/>
      <c r="AL409" s="27"/>
      <c r="AM409" s="27"/>
      <c r="AN409" s="27"/>
      <c r="AO409" s="27"/>
      <c r="AP409" s="27"/>
      <c r="AQ409" s="27"/>
      <c r="AR409" s="27"/>
      <c r="AS409" s="27"/>
      <c r="AT409" s="27"/>
      <c r="AU409" s="27"/>
      <c r="AV409" s="27"/>
      <c r="AW409" s="27"/>
      <c r="AX409" s="27"/>
      <c r="AY409" s="27"/>
      <c r="AZ409" s="27"/>
      <c r="BA409" s="27"/>
      <c r="BB409" s="27"/>
      <c r="BC409" s="27"/>
      <c r="BD409" s="27"/>
      <c r="BE409" s="27"/>
      <c r="BF409" s="27"/>
      <c r="BG409" s="27"/>
      <c r="BH409" s="27"/>
      <c r="BI409" s="27"/>
      <c r="BJ409" s="27"/>
      <c r="BK409" s="27"/>
      <c r="BL409" s="27"/>
      <c r="BM409" s="27"/>
      <c r="BN409" s="27"/>
      <c r="BO409" s="27"/>
      <c r="BP409" s="27"/>
      <c r="BQ409" s="27"/>
      <c r="BR409" s="27"/>
      <c r="BS409" s="27"/>
      <c r="BT409" s="27"/>
      <c r="BU409" s="27"/>
      <c r="BV409" s="27"/>
      <c r="BW409" s="27"/>
      <c r="BX409" s="27"/>
      <c r="BY409" s="27"/>
      <c r="BZ409" s="27"/>
      <c r="CA409" s="27"/>
      <c r="CB409" s="27"/>
      <c r="CC409" s="27"/>
      <c r="CD409" s="27"/>
      <c r="CE409" s="27"/>
      <c r="CF409" s="27"/>
      <c r="CG409" s="27"/>
      <c r="CH409" s="27"/>
      <c r="CI409" s="27"/>
      <c r="CJ409" s="27"/>
      <c r="CK409" s="27"/>
      <c r="CL409" s="27"/>
      <c r="CM409" s="27"/>
      <c r="CN409" s="27"/>
      <c r="CO409" s="27"/>
      <c r="CP409" s="27"/>
      <c r="CQ409" s="27"/>
      <c r="CR409" s="27"/>
      <c r="CS409" s="27"/>
      <c r="CT409" s="27"/>
      <c r="CU409" s="27"/>
      <c r="CV409" s="27"/>
      <c r="CW409" s="27"/>
      <c r="CX409" s="27"/>
      <c r="CY409" s="27"/>
      <c r="CZ409" s="27"/>
      <c r="DA409" s="27"/>
      <c r="DB409" s="27"/>
      <c r="DC409" s="27"/>
      <c r="DD409" s="27"/>
      <c r="DE409" s="27"/>
      <c r="DF409" s="27"/>
      <c r="DG409" s="27"/>
      <c r="DH409" s="27"/>
      <c r="DI409" s="27"/>
      <c r="DJ409" s="27"/>
      <c r="DK409" s="27"/>
      <c r="DL409" s="27"/>
      <c r="DM409" s="27"/>
      <c r="DN409" s="27"/>
      <c r="DO409" s="27"/>
      <c r="DP409" s="27"/>
      <c r="DQ409" s="27"/>
      <c r="DR409" s="27"/>
      <c r="DS409" s="27"/>
      <c r="DT409" s="27"/>
    </row>
    <row r="410" spans="2:124" x14ac:dyDescent="0.2">
      <c r="B410" s="27"/>
      <c r="C410" s="27"/>
      <c r="D410" s="27"/>
      <c r="E410" s="27"/>
      <c r="F410" s="27"/>
      <c r="G410" s="27"/>
      <c r="H410" s="27"/>
      <c r="I410" s="27"/>
      <c r="J410" s="27"/>
      <c r="K410" s="27"/>
      <c r="L410" s="27"/>
      <c r="M410" s="27"/>
      <c r="N410" s="27"/>
      <c r="O410" s="27"/>
      <c r="P410" s="27"/>
      <c r="Q410" s="27"/>
      <c r="R410" s="27"/>
      <c r="S410" s="27"/>
      <c r="T410" s="27"/>
      <c r="U410" s="27"/>
      <c r="V410" s="27"/>
      <c r="W410" s="27"/>
      <c r="X410" s="27"/>
      <c r="Y410" s="27"/>
      <c r="Z410" s="27"/>
      <c r="AA410" s="27"/>
      <c r="AB410" s="27"/>
      <c r="AC410" s="27"/>
      <c r="AD410" s="27"/>
      <c r="AE410" s="27"/>
      <c r="AF410" s="27"/>
      <c r="AG410" s="27"/>
      <c r="AH410" s="27"/>
      <c r="AI410" s="27"/>
      <c r="AJ410" s="27"/>
      <c r="AK410" s="27"/>
      <c r="AL410" s="27"/>
      <c r="AM410" s="27"/>
      <c r="AN410" s="27"/>
      <c r="AO410" s="27"/>
      <c r="AP410" s="27"/>
      <c r="AQ410" s="27"/>
      <c r="AR410" s="27"/>
      <c r="AS410" s="27"/>
      <c r="AT410" s="27"/>
      <c r="AU410" s="27"/>
      <c r="AV410" s="27"/>
      <c r="AW410" s="27"/>
      <c r="AX410" s="27"/>
      <c r="AY410" s="27"/>
      <c r="AZ410" s="27"/>
      <c r="BA410" s="27"/>
      <c r="BB410" s="27"/>
      <c r="BC410" s="27"/>
      <c r="BD410" s="27"/>
      <c r="BE410" s="27"/>
      <c r="BF410" s="27"/>
      <c r="BG410" s="27"/>
      <c r="BH410" s="27"/>
      <c r="BI410" s="27"/>
      <c r="BJ410" s="27"/>
      <c r="BK410" s="27"/>
      <c r="BL410" s="27"/>
      <c r="BM410" s="27"/>
      <c r="BN410" s="27"/>
      <c r="BO410" s="27"/>
      <c r="BP410" s="27"/>
      <c r="BQ410" s="27"/>
      <c r="BR410" s="27"/>
      <c r="BS410" s="27"/>
      <c r="BT410" s="27"/>
      <c r="BU410" s="27"/>
      <c r="BV410" s="27"/>
      <c r="BW410" s="27"/>
      <c r="BX410" s="27"/>
      <c r="BY410" s="27"/>
      <c r="BZ410" s="27"/>
      <c r="CA410" s="27"/>
      <c r="CB410" s="27"/>
      <c r="CC410" s="27"/>
      <c r="CD410" s="27"/>
      <c r="CE410" s="27"/>
      <c r="CF410" s="27"/>
      <c r="CG410" s="27"/>
      <c r="CH410" s="27"/>
      <c r="CI410" s="27"/>
      <c r="CJ410" s="27"/>
      <c r="CK410" s="27"/>
      <c r="CL410" s="27"/>
      <c r="CM410" s="27"/>
      <c r="CN410" s="27"/>
      <c r="CO410" s="27"/>
      <c r="CP410" s="27"/>
      <c r="CQ410" s="27"/>
      <c r="CR410" s="27"/>
      <c r="CS410" s="27"/>
      <c r="CT410" s="27"/>
      <c r="CU410" s="27"/>
      <c r="CV410" s="27"/>
      <c r="CW410" s="27"/>
      <c r="CX410" s="27"/>
      <c r="CY410" s="27"/>
      <c r="CZ410" s="27"/>
      <c r="DA410" s="27"/>
      <c r="DB410" s="27"/>
      <c r="DC410" s="27"/>
      <c r="DD410" s="27"/>
      <c r="DE410" s="27"/>
      <c r="DF410" s="27"/>
      <c r="DG410" s="27"/>
      <c r="DH410" s="27"/>
      <c r="DI410" s="27"/>
      <c r="DJ410" s="27"/>
      <c r="DK410" s="27"/>
      <c r="DL410" s="27"/>
      <c r="DM410" s="27"/>
      <c r="DN410" s="27"/>
      <c r="DO410" s="27"/>
      <c r="DP410" s="27"/>
      <c r="DQ410" s="27"/>
      <c r="DR410" s="27"/>
      <c r="DS410" s="27"/>
      <c r="DT410" s="27"/>
    </row>
    <row r="411" spans="2:124" x14ac:dyDescent="0.2">
      <c r="B411" s="27"/>
      <c r="C411" s="27"/>
      <c r="D411" s="27"/>
      <c r="E411" s="27"/>
      <c r="F411" s="27"/>
      <c r="G411" s="27"/>
      <c r="H411" s="27"/>
      <c r="I411" s="27"/>
      <c r="J411" s="27"/>
      <c r="K411" s="27"/>
      <c r="L411" s="27"/>
      <c r="M411" s="27"/>
      <c r="N411" s="27"/>
      <c r="O411" s="27"/>
      <c r="P411" s="27"/>
      <c r="Q411" s="27"/>
      <c r="R411" s="27"/>
      <c r="S411" s="27"/>
      <c r="T411" s="27"/>
      <c r="U411" s="27"/>
      <c r="V411" s="27"/>
      <c r="W411" s="27"/>
      <c r="X411" s="27"/>
      <c r="Y411" s="27"/>
      <c r="Z411" s="27"/>
      <c r="AA411" s="27"/>
      <c r="AB411" s="27"/>
      <c r="AC411" s="27"/>
      <c r="AD411" s="27"/>
      <c r="AE411" s="27"/>
      <c r="AF411" s="27"/>
      <c r="AG411" s="27"/>
      <c r="AH411" s="27"/>
      <c r="AI411" s="27"/>
      <c r="AJ411" s="27"/>
      <c r="AK411" s="27"/>
      <c r="AL411" s="27"/>
      <c r="AM411" s="27"/>
      <c r="AN411" s="27"/>
      <c r="AO411" s="27"/>
      <c r="AP411" s="27"/>
      <c r="AQ411" s="27"/>
      <c r="AR411" s="27"/>
      <c r="AS411" s="27"/>
      <c r="AT411" s="27"/>
      <c r="AU411" s="27"/>
      <c r="AV411" s="27"/>
      <c r="AW411" s="27"/>
      <c r="AX411" s="27"/>
      <c r="AY411" s="27"/>
      <c r="AZ411" s="27"/>
      <c r="BA411" s="27"/>
      <c r="BB411" s="27"/>
      <c r="BC411" s="27"/>
      <c r="BD411" s="27"/>
      <c r="BE411" s="27"/>
      <c r="BF411" s="27"/>
      <c r="BG411" s="27"/>
      <c r="BH411" s="27"/>
      <c r="BI411" s="27"/>
      <c r="BJ411" s="27"/>
      <c r="BK411" s="27"/>
      <c r="BL411" s="27"/>
      <c r="BM411" s="27"/>
      <c r="BN411" s="27"/>
      <c r="BO411" s="27"/>
      <c r="BP411" s="27"/>
      <c r="BQ411" s="27"/>
      <c r="BR411" s="27"/>
      <c r="BS411" s="27"/>
      <c r="BT411" s="27"/>
      <c r="BU411" s="27"/>
      <c r="BV411" s="27"/>
      <c r="BW411" s="27"/>
      <c r="BX411" s="27"/>
      <c r="BY411" s="27"/>
      <c r="BZ411" s="27"/>
      <c r="CA411" s="27"/>
      <c r="CB411" s="27"/>
      <c r="CC411" s="27"/>
      <c r="CD411" s="27"/>
      <c r="CE411" s="27"/>
      <c r="CF411" s="27"/>
      <c r="CG411" s="27"/>
      <c r="CH411" s="27"/>
      <c r="CI411" s="27"/>
      <c r="CJ411" s="27"/>
      <c r="CK411" s="27"/>
      <c r="CL411" s="27"/>
      <c r="CM411" s="27"/>
      <c r="CN411" s="27"/>
      <c r="CO411" s="27"/>
      <c r="CP411" s="27"/>
      <c r="CQ411" s="27"/>
      <c r="CR411" s="27"/>
      <c r="CS411" s="27"/>
      <c r="CT411" s="27"/>
      <c r="CU411" s="27"/>
      <c r="CV411" s="27"/>
      <c r="CW411" s="27"/>
      <c r="CX411" s="27"/>
      <c r="CY411" s="27"/>
      <c r="CZ411" s="27"/>
      <c r="DA411" s="27"/>
      <c r="DB411" s="27"/>
      <c r="DC411" s="27"/>
      <c r="DD411" s="27"/>
      <c r="DE411" s="27"/>
      <c r="DF411" s="27"/>
      <c r="DG411" s="27"/>
      <c r="DH411" s="27"/>
      <c r="DI411" s="27"/>
      <c r="DJ411" s="27"/>
      <c r="DK411" s="27"/>
      <c r="DL411" s="27"/>
      <c r="DM411" s="27"/>
      <c r="DN411" s="27"/>
      <c r="DO411" s="27"/>
      <c r="DP411" s="27"/>
      <c r="DQ411" s="27"/>
      <c r="DR411" s="27"/>
      <c r="DS411" s="27"/>
      <c r="DT411" s="27"/>
    </row>
    <row r="412" spans="2:124" x14ac:dyDescent="0.2">
      <c r="B412" s="27"/>
      <c r="C412" s="27"/>
      <c r="D412" s="27"/>
      <c r="E412" s="27"/>
      <c r="F412" s="27"/>
      <c r="G412" s="27"/>
      <c r="H412" s="27"/>
      <c r="I412" s="27"/>
      <c r="J412" s="27"/>
      <c r="K412" s="27"/>
      <c r="L412" s="27"/>
      <c r="M412" s="27"/>
      <c r="N412" s="27"/>
      <c r="O412" s="27"/>
      <c r="P412" s="27"/>
      <c r="Q412" s="27"/>
      <c r="R412" s="27"/>
      <c r="S412" s="27"/>
      <c r="T412" s="27"/>
      <c r="U412" s="27"/>
      <c r="V412" s="27"/>
      <c r="W412" s="27"/>
      <c r="X412" s="27"/>
      <c r="Y412" s="27"/>
      <c r="Z412" s="27"/>
      <c r="AA412" s="27"/>
      <c r="AB412" s="27"/>
      <c r="AC412" s="27"/>
      <c r="AD412" s="27"/>
      <c r="AE412" s="27"/>
      <c r="AF412" s="27"/>
      <c r="AG412" s="27"/>
      <c r="AH412" s="27"/>
      <c r="AI412" s="27"/>
      <c r="AJ412" s="27"/>
      <c r="AK412" s="27"/>
      <c r="AL412" s="27"/>
      <c r="AM412" s="27"/>
      <c r="AN412" s="27"/>
      <c r="AO412" s="27"/>
      <c r="AP412" s="27"/>
      <c r="AQ412" s="27"/>
      <c r="AR412" s="27"/>
      <c r="AS412" s="27"/>
      <c r="AT412" s="27"/>
      <c r="AU412" s="27"/>
      <c r="AV412" s="27"/>
      <c r="AW412" s="27"/>
      <c r="AX412" s="27"/>
      <c r="AY412" s="27"/>
      <c r="AZ412" s="27"/>
      <c r="BA412" s="27"/>
      <c r="BB412" s="27"/>
      <c r="BC412" s="27"/>
      <c r="BD412" s="27"/>
      <c r="BE412" s="27"/>
      <c r="BF412" s="27"/>
      <c r="BG412" s="27"/>
      <c r="BH412" s="27"/>
      <c r="BI412" s="27"/>
      <c r="BJ412" s="27"/>
      <c r="BK412" s="27"/>
      <c r="BL412" s="27"/>
      <c r="BM412" s="27"/>
      <c r="BN412" s="27"/>
      <c r="BO412" s="27"/>
      <c r="BP412" s="27"/>
      <c r="BQ412" s="27"/>
      <c r="BR412" s="27"/>
      <c r="BS412" s="27"/>
      <c r="BT412" s="27"/>
      <c r="BU412" s="27"/>
      <c r="BV412" s="27"/>
      <c r="BW412" s="27"/>
      <c r="BX412" s="27"/>
      <c r="BY412" s="27"/>
      <c r="BZ412" s="27"/>
      <c r="CA412" s="27"/>
      <c r="CB412" s="27"/>
      <c r="CC412" s="27"/>
      <c r="CD412" s="27"/>
      <c r="CE412" s="27"/>
      <c r="CF412" s="27"/>
      <c r="CG412" s="27"/>
      <c r="CH412" s="27"/>
      <c r="CI412" s="27"/>
      <c r="CJ412" s="27"/>
      <c r="CK412" s="27"/>
      <c r="CL412" s="27"/>
      <c r="CM412" s="27"/>
      <c r="CN412" s="27"/>
      <c r="CO412" s="27"/>
      <c r="CP412" s="27"/>
      <c r="CQ412" s="27"/>
      <c r="CR412" s="27"/>
      <c r="CS412" s="27"/>
      <c r="CT412" s="27"/>
      <c r="CU412" s="27"/>
      <c r="CV412" s="27"/>
      <c r="CW412" s="27"/>
      <c r="CX412" s="27"/>
      <c r="CY412" s="27"/>
      <c r="CZ412" s="27"/>
      <c r="DA412" s="27"/>
      <c r="DB412" s="27"/>
      <c r="DC412" s="27"/>
      <c r="DD412" s="27"/>
      <c r="DE412" s="27"/>
      <c r="DF412" s="27"/>
      <c r="DG412" s="27"/>
      <c r="DH412" s="27"/>
      <c r="DI412" s="27"/>
      <c r="DJ412" s="27"/>
      <c r="DK412" s="27"/>
      <c r="DL412" s="27"/>
      <c r="DM412" s="27"/>
      <c r="DN412" s="27"/>
      <c r="DO412" s="27"/>
      <c r="DP412" s="27"/>
      <c r="DQ412" s="27"/>
      <c r="DR412" s="27"/>
      <c r="DS412" s="27"/>
      <c r="DT412" s="27"/>
    </row>
    <row r="413" spans="2:124" x14ac:dyDescent="0.2">
      <c r="B413" s="27"/>
      <c r="C413" s="27"/>
      <c r="D413" s="27"/>
      <c r="E413" s="27"/>
      <c r="F413" s="27"/>
      <c r="G413" s="27"/>
      <c r="H413" s="27"/>
      <c r="I413" s="27"/>
      <c r="J413" s="27"/>
      <c r="K413" s="27"/>
      <c r="L413" s="27"/>
      <c r="M413" s="27"/>
      <c r="N413" s="27"/>
      <c r="O413" s="27"/>
      <c r="P413" s="27"/>
      <c r="Q413" s="27"/>
      <c r="R413" s="27"/>
      <c r="S413" s="27"/>
      <c r="T413" s="27"/>
      <c r="U413" s="27"/>
      <c r="V413" s="27"/>
      <c r="W413" s="27"/>
      <c r="X413" s="27"/>
      <c r="Y413" s="27"/>
      <c r="Z413" s="27"/>
      <c r="AA413" s="27"/>
      <c r="AB413" s="27"/>
      <c r="AC413" s="27"/>
      <c r="AD413" s="27"/>
      <c r="AE413" s="27"/>
      <c r="AF413" s="27"/>
      <c r="AG413" s="27"/>
      <c r="AH413" s="27"/>
      <c r="AI413" s="27"/>
      <c r="AJ413" s="27"/>
      <c r="AK413" s="27"/>
      <c r="AL413" s="27"/>
      <c r="AM413" s="27"/>
      <c r="AN413" s="27"/>
      <c r="AO413" s="27"/>
      <c r="AP413" s="27"/>
      <c r="AQ413" s="27"/>
      <c r="AR413" s="27"/>
      <c r="AS413" s="27"/>
      <c r="AT413" s="27"/>
      <c r="AU413" s="27"/>
      <c r="AV413" s="27"/>
      <c r="AW413" s="27"/>
      <c r="AX413" s="27"/>
      <c r="AY413" s="27"/>
      <c r="AZ413" s="27"/>
      <c r="BA413" s="27"/>
      <c r="BB413" s="27"/>
      <c r="BC413" s="27"/>
      <c r="BD413" s="27"/>
      <c r="BE413" s="27"/>
      <c r="BF413" s="27"/>
      <c r="BG413" s="27"/>
      <c r="BH413" s="27"/>
      <c r="BI413" s="27"/>
      <c r="BJ413" s="27"/>
      <c r="BK413" s="27"/>
      <c r="BL413" s="27"/>
      <c r="BM413" s="27"/>
      <c r="BN413" s="27"/>
      <c r="BO413" s="27"/>
      <c r="BP413" s="27"/>
      <c r="BQ413" s="27"/>
      <c r="BR413" s="27"/>
      <c r="BS413" s="27"/>
      <c r="BT413" s="27"/>
      <c r="BU413" s="27"/>
      <c r="BV413" s="27"/>
      <c r="BW413" s="27"/>
      <c r="BX413" s="27"/>
      <c r="BY413" s="27"/>
      <c r="BZ413" s="27"/>
      <c r="CA413" s="27"/>
      <c r="CB413" s="27"/>
      <c r="CC413" s="27"/>
      <c r="CD413" s="27"/>
      <c r="CE413" s="27"/>
      <c r="CF413" s="27"/>
      <c r="CG413" s="27"/>
      <c r="CH413" s="27"/>
      <c r="CI413" s="27"/>
      <c r="CJ413" s="27"/>
      <c r="CK413" s="27"/>
      <c r="CL413" s="27"/>
      <c r="CM413" s="27"/>
      <c r="CN413" s="27"/>
      <c r="CO413" s="27"/>
      <c r="CP413" s="27"/>
      <c r="CQ413" s="27"/>
      <c r="CR413" s="27"/>
      <c r="CS413" s="27"/>
      <c r="CT413" s="27"/>
      <c r="CU413" s="27"/>
      <c r="CV413" s="27"/>
      <c r="CW413" s="27"/>
      <c r="CX413" s="27"/>
      <c r="CY413" s="27"/>
      <c r="CZ413" s="27"/>
      <c r="DA413" s="27"/>
      <c r="DB413" s="27"/>
      <c r="DC413" s="27"/>
      <c r="DD413" s="27"/>
      <c r="DE413" s="27"/>
      <c r="DF413" s="27"/>
      <c r="DG413" s="27"/>
      <c r="DH413" s="27"/>
      <c r="DI413" s="27"/>
      <c r="DJ413" s="27"/>
      <c r="DK413" s="27"/>
      <c r="DL413" s="27"/>
      <c r="DM413" s="27"/>
      <c r="DN413" s="27"/>
      <c r="DO413" s="27"/>
      <c r="DP413" s="27"/>
      <c r="DQ413" s="27"/>
      <c r="DR413" s="27"/>
      <c r="DS413" s="27"/>
      <c r="DT413" s="27"/>
    </row>
    <row r="414" spans="2:124" x14ac:dyDescent="0.2">
      <c r="B414" s="27"/>
      <c r="C414" s="27"/>
      <c r="D414" s="27"/>
      <c r="E414" s="27"/>
      <c r="F414" s="27"/>
      <c r="G414" s="27"/>
      <c r="H414" s="27"/>
      <c r="I414" s="27"/>
      <c r="J414" s="27"/>
      <c r="K414" s="27"/>
      <c r="L414" s="27"/>
      <c r="M414" s="27"/>
      <c r="N414" s="27"/>
      <c r="O414" s="27"/>
      <c r="P414" s="27"/>
      <c r="Q414" s="27"/>
      <c r="R414" s="27"/>
      <c r="S414" s="27"/>
      <c r="T414" s="27"/>
      <c r="U414" s="27"/>
      <c r="V414" s="27"/>
      <c r="W414" s="27"/>
      <c r="X414" s="27"/>
      <c r="Y414" s="27"/>
      <c r="Z414" s="27"/>
      <c r="AA414" s="27"/>
      <c r="AB414" s="27"/>
      <c r="AC414" s="27"/>
      <c r="AD414" s="27"/>
      <c r="AE414" s="27"/>
      <c r="AF414" s="27"/>
      <c r="AG414" s="27"/>
      <c r="AH414" s="27"/>
      <c r="AI414" s="27"/>
      <c r="AJ414" s="27"/>
      <c r="AK414" s="27"/>
      <c r="AL414" s="27"/>
      <c r="AM414" s="27"/>
      <c r="AN414" s="27"/>
      <c r="AO414" s="27"/>
      <c r="AP414" s="27"/>
      <c r="AQ414" s="27"/>
      <c r="AR414" s="27"/>
      <c r="AS414" s="27"/>
      <c r="AT414" s="27"/>
      <c r="AU414" s="27"/>
      <c r="AV414" s="27"/>
      <c r="AW414" s="27"/>
      <c r="AX414" s="27"/>
      <c r="AY414" s="27"/>
      <c r="AZ414" s="27"/>
      <c r="BA414" s="27"/>
      <c r="BB414" s="27"/>
      <c r="BC414" s="27"/>
      <c r="BD414" s="27"/>
      <c r="BE414" s="27"/>
      <c r="BF414" s="27"/>
      <c r="BG414" s="27"/>
      <c r="BH414" s="27"/>
      <c r="BI414" s="27"/>
      <c r="BJ414" s="27"/>
      <c r="BK414" s="27"/>
      <c r="BL414" s="27"/>
      <c r="BM414" s="27"/>
      <c r="BN414" s="27"/>
      <c r="BO414" s="27"/>
      <c r="BP414" s="27"/>
      <c r="BQ414" s="27"/>
      <c r="BR414" s="27"/>
      <c r="BS414" s="27"/>
      <c r="BT414" s="27"/>
      <c r="BU414" s="27"/>
      <c r="BV414" s="27"/>
      <c r="BW414" s="27"/>
      <c r="BX414" s="27"/>
      <c r="BY414" s="27"/>
      <c r="BZ414" s="27"/>
      <c r="CA414" s="27"/>
      <c r="CB414" s="27"/>
      <c r="CC414" s="27"/>
      <c r="CD414" s="27"/>
      <c r="CE414" s="27"/>
      <c r="CF414" s="27"/>
      <c r="CG414" s="27"/>
      <c r="CH414" s="27"/>
      <c r="CI414" s="27"/>
      <c r="CJ414" s="27"/>
      <c r="CK414" s="27"/>
      <c r="CL414" s="27"/>
      <c r="CM414" s="27"/>
      <c r="CN414" s="27"/>
      <c r="CO414" s="27"/>
      <c r="CP414" s="27"/>
      <c r="CQ414" s="27"/>
      <c r="CR414" s="27"/>
      <c r="CS414" s="27"/>
      <c r="CT414" s="27"/>
      <c r="CU414" s="27"/>
      <c r="CV414" s="27"/>
      <c r="CW414" s="27"/>
      <c r="CX414" s="27"/>
      <c r="CY414" s="27"/>
      <c r="CZ414" s="27"/>
      <c r="DA414" s="27"/>
      <c r="DB414" s="27"/>
      <c r="DC414" s="27"/>
      <c r="DD414" s="27"/>
      <c r="DE414" s="27"/>
      <c r="DF414" s="27"/>
      <c r="DG414" s="27"/>
      <c r="DH414" s="27"/>
      <c r="DI414" s="27"/>
      <c r="DJ414" s="27"/>
      <c r="DK414" s="27"/>
      <c r="DL414" s="27"/>
      <c r="DM414" s="27"/>
      <c r="DN414" s="27"/>
      <c r="DO414" s="27"/>
      <c r="DP414" s="27"/>
      <c r="DQ414" s="27"/>
      <c r="DR414" s="27"/>
      <c r="DS414" s="27"/>
      <c r="DT414" s="27"/>
    </row>
    <row r="415" spans="2:124" x14ac:dyDescent="0.2">
      <c r="B415" s="27"/>
      <c r="C415" s="27"/>
      <c r="D415" s="27"/>
      <c r="E415" s="27"/>
      <c r="F415" s="27"/>
      <c r="G415" s="27"/>
      <c r="H415" s="27"/>
      <c r="I415" s="27"/>
      <c r="J415" s="27"/>
      <c r="K415" s="27"/>
      <c r="L415" s="27"/>
      <c r="M415" s="27"/>
      <c r="N415" s="27"/>
      <c r="O415" s="27"/>
      <c r="P415" s="27"/>
      <c r="Q415" s="27"/>
      <c r="R415" s="27"/>
      <c r="S415" s="27"/>
      <c r="T415" s="27"/>
      <c r="U415" s="27"/>
      <c r="V415" s="27"/>
      <c r="W415" s="27"/>
      <c r="X415" s="27"/>
      <c r="Y415" s="27"/>
      <c r="Z415" s="27"/>
      <c r="AA415" s="27"/>
      <c r="AB415" s="27"/>
      <c r="AC415" s="27"/>
      <c r="AD415" s="27"/>
      <c r="AE415" s="27"/>
      <c r="AF415" s="27"/>
      <c r="AG415" s="27"/>
      <c r="AH415" s="27"/>
      <c r="AI415" s="27"/>
      <c r="AJ415" s="27"/>
      <c r="AK415" s="27"/>
      <c r="AL415" s="27"/>
      <c r="AM415" s="27"/>
      <c r="AN415" s="27"/>
      <c r="AO415" s="27"/>
      <c r="AP415" s="27"/>
      <c r="AQ415" s="27"/>
      <c r="AR415" s="27"/>
      <c r="AS415" s="27"/>
      <c r="AT415" s="27"/>
      <c r="AU415" s="27"/>
      <c r="AV415" s="27"/>
      <c r="AW415" s="27"/>
      <c r="AX415" s="27"/>
      <c r="AY415" s="27"/>
      <c r="AZ415" s="27"/>
      <c r="BA415" s="27"/>
      <c r="BB415" s="27"/>
      <c r="BC415" s="27"/>
      <c r="BD415" s="27"/>
      <c r="BE415" s="27"/>
      <c r="BF415" s="27"/>
      <c r="BG415" s="27"/>
      <c r="BH415" s="27"/>
      <c r="BI415" s="27"/>
      <c r="BJ415" s="27"/>
      <c r="BK415" s="27"/>
      <c r="BL415" s="27"/>
      <c r="BM415" s="27"/>
      <c r="BN415" s="27"/>
      <c r="BO415" s="27"/>
      <c r="BP415" s="27"/>
      <c r="BQ415" s="27"/>
      <c r="BR415" s="27"/>
      <c r="BS415" s="27"/>
      <c r="BT415" s="27"/>
      <c r="BU415" s="27"/>
      <c r="BV415" s="27"/>
      <c r="BW415" s="27"/>
      <c r="BX415" s="27"/>
      <c r="BY415" s="27"/>
      <c r="BZ415" s="27"/>
      <c r="CA415" s="27"/>
      <c r="CB415" s="27"/>
      <c r="CC415" s="27"/>
      <c r="CD415" s="27"/>
      <c r="CE415" s="27"/>
      <c r="CF415" s="27"/>
      <c r="CG415" s="27"/>
      <c r="CH415" s="27"/>
      <c r="CI415" s="27"/>
      <c r="CJ415" s="27"/>
      <c r="CK415" s="27"/>
      <c r="CL415" s="27"/>
      <c r="CM415" s="27"/>
      <c r="CN415" s="27"/>
      <c r="CO415" s="27"/>
      <c r="CP415" s="27"/>
      <c r="CQ415" s="27"/>
      <c r="CR415" s="27"/>
      <c r="CS415" s="27"/>
      <c r="CT415" s="27"/>
      <c r="CU415" s="27"/>
      <c r="CV415" s="27"/>
      <c r="CW415" s="27"/>
      <c r="CX415" s="27"/>
      <c r="CY415" s="27"/>
      <c r="CZ415" s="27"/>
      <c r="DA415" s="27"/>
      <c r="DB415" s="27"/>
      <c r="DC415" s="27"/>
      <c r="DD415" s="27"/>
      <c r="DE415" s="27"/>
      <c r="DF415" s="27"/>
      <c r="DG415" s="27"/>
      <c r="DH415" s="27"/>
      <c r="DI415" s="27"/>
      <c r="DJ415" s="27"/>
      <c r="DK415" s="27"/>
      <c r="DL415" s="27"/>
      <c r="DM415" s="27"/>
      <c r="DN415" s="27"/>
      <c r="DO415" s="27"/>
      <c r="DP415" s="27"/>
      <c r="DQ415" s="27"/>
      <c r="DR415" s="27"/>
      <c r="DS415" s="27"/>
      <c r="DT415" s="27"/>
    </row>
    <row r="416" spans="2:124" x14ac:dyDescent="0.2">
      <c r="B416" s="27"/>
      <c r="C416" s="27"/>
      <c r="D416" s="27"/>
      <c r="E416" s="27"/>
      <c r="F416" s="27"/>
      <c r="G416" s="27"/>
      <c r="H416" s="27"/>
      <c r="I416" s="27"/>
      <c r="J416" s="27"/>
      <c r="K416" s="27"/>
      <c r="L416" s="27"/>
      <c r="M416" s="27"/>
      <c r="N416" s="27"/>
      <c r="O416" s="27"/>
      <c r="P416" s="27"/>
      <c r="Q416" s="27"/>
      <c r="R416" s="27"/>
      <c r="S416" s="27"/>
      <c r="T416" s="27"/>
      <c r="U416" s="27"/>
      <c r="V416" s="27"/>
      <c r="W416" s="27"/>
      <c r="X416" s="27"/>
      <c r="Y416" s="27"/>
      <c r="Z416" s="27"/>
      <c r="AA416" s="27"/>
      <c r="AB416" s="27"/>
      <c r="AC416" s="27"/>
      <c r="AD416" s="27"/>
      <c r="AE416" s="27"/>
      <c r="AF416" s="27"/>
      <c r="AG416" s="27"/>
      <c r="AH416" s="27"/>
      <c r="AI416" s="27"/>
      <c r="AJ416" s="27"/>
      <c r="AK416" s="27"/>
      <c r="AL416" s="27"/>
      <c r="AM416" s="27"/>
      <c r="AN416" s="27"/>
      <c r="AO416" s="27"/>
      <c r="AP416" s="27"/>
      <c r="AQ416" s="27"/>
      <c r="AR416" s="27"/>
      <c r="AS416" s="27"/>
      <c r="AT416" s="27"/>
      <c r="AU416" s="27"/>
      <c r="AV416" s="27"/>
      <c r="AW416" s="27"/>
      <c r="AX416" s="27"/>
      <c r="AY416" s="27"/>
      <c r="AZ416" s="27"/>
      <c r="BA416" s="27"/>
      <c r="BB416" s="27"/>
      <c r="BC416" s="27"/>
      <c r="BD416" s="27"/>
      <c r="BE416" s="27"/>
      <c r="BF416" s="27"/>
      <c r="BG416" s="27"/>
      <c r="BH416" s="27"/>
      <c r="BI416" s="27"/>
      <c r="BJ416" s="27"/>
      <c r="BK416" s="27"/>
      <c r="BL416" s="27"/>
      <c r="BM416" s="27"/>
      <c r="BN416" s="27"/>
      <c r="BO416" s="27"/>
      <c r="BP416" s="27"/>
      <c r="BQ416" s="27"/>
      <c r="BR416" s="27"/>
      <c r="BS416" s="27"/>
      <c r="BT416" s="27"/>
      <c r="BU416" s="27"/>
      <c r="BV416" s="27"/>
      <c r="BW416" s="27"/>
      <c r="BX416" s="27"/>
      <c r="BY416" s="27"/>
      <c r="BZ416" s="27"/>
      <c r="CA416" s="27"/>
      <c r="CB416" s="27"/>
      <c r="CC416" s="27"/>
      <c r="CD416" s="27"/>
      <c r="CE416" s="27"/>
      <c r="CF416" s="27"/>
      <c r="CG416" s="27"/>
      <c r="CH416" s="27"/>
      <c r="CI416" s="27"/>
      <c r="CJ416" s="27"/>
      <c r="CK416" s="27"/>
      <c r="CL416" s="27"/>
      <c r="CM416" s="27"/>
      <c r="CN416" s="27"/>
      <c r="CO416" s="27"/>
      <c r="CP416" s="27"/>
      <c r="CQ416" s="27"/>
      <c r="CR416" s="27"/>
      <c r="CS416" s="27"/>
      <c r="CT416" s="27"/>
      <c r="CU416" s="27"/>
      <c r="CV416" s="27"/>
      <c r="CW416" s="27"/>
      <c r="CX416" s="27"/>
      <c r="CY416" s="27"/>
      <c r="CZ416" s="27"/>
      <c r="DA416" s="27"/>
      <c r="DB416" s="27"/>
      <c r="DC416" s="27"/>
      <c r="DD416" s="27"/>
      <c r="DE416" s="27"/>
      <c r="DF416" s="27"/>
      <c r="DG416" s="27"/>
      <c r="DH416" s="27"/>
      <c r="DI416" s="27"/>
      <c r="DJ416" s="27"/>
      <c r="DK416" s="27"/>
      <c r="DL416" s="27"/>
      <c r="DM416" s="27"/>
      <c r="DN416" s="27"/>
      <c r="DO416" s="27"/>
      <c r="DP416" s="27"/>
      <c r="DQ416" s="27"/>
      <c r="DR416" s="27"/>
      <c r="DS416" s="27"/>
      <c r="DT416" s="27"/>
    </row>
    <row r="417" spans="2:124" x14ac:dyDescent="0.2">
      <c r="B417" s="27"/>
      <c r="C417" s="27"/>
      <c r="D417" s="27"/>
      <c r="E417" s="27"/>
      <c r="F417" s="27"/>
      <c r="G417" s="27"/>
      <c r="H417" s="27"/>
      <c r="I417" s="27"/>
      <c r="J417" s="27"/>
      <c r="K417" s="27"/>
      <c r="L417" s="27"/>
      <c r="M417" s="27"/>
      <c r="N417" s="27"/>
      <c r="O417" s="27"/>
      <c r="P417" s="27"/>
      <c r="Q417" s="27"/>
      <c r="R417" s="27"/>
      <c r="S417" s="27"/>
      <c r="T417" s="27"/>
      <c r="U417" s="27"/>
      <c r="V417" s="27"/>
      <c r="W417" s="27"/>
      <c r="X417" s="27"/>
      <c r="Y417" s="27"/>
      <c r="Z417" s="27"/>
      <c r="AA417" s="27"/>
      <c r="AB417" s="27"/>
      <c r="AC417" s="27"/>
      <c r="AD417" s="27"/>
      <c r="AE417" s="27"/>
      <c r="AF417" s="27"/>
      <c r="AG417" s="27"/>
      <c r="AH417" s="27"/>
      <c r="AI417" s="27"/>
      <c r="AJ417" s="27"/>
      <c r="AK417" s="27"/>
      <c r="AL417" s="27"/>
      <c r="AM417" s="27"/>
      <c r="AN417" s="27"/>
      <c r="AO417" s="27"/>
      <c r="AP417" s="27"/>
      <c r="AQ417" s="27"/>
      <c r="AR417" s="27"/>
      <c r="AS417" s="27"/>
      <c r="AT417" s="27"/>
      <c r="AU417" s="27"/>
      <c r="AV417" s="27"/>
      <c r="AW417" s="27"/>
      <c r="AX417" s="27"/>
      <c r="AY417" s="27"/>
      <c r="AZ417" s="27"/>
      <c r="BA417" s="27"/>
      <c r="BB417" s="27"/>
      <c r="BC417" s="27"/>
      <c r="BD417" s="27"/>
      <c r="BE417" s="27"/>
      <c r="BF417" s="27"/>
      <c r="BG417" s="27"/>
      <c r="BH417" s="27"/>
      <c r="BI417" s="27"/>
      <c r="BJ417" s="27"/>
      <c r="BK417" s="27"/>
      <c r="BL417" s="27"/>
      <c r="BM417" s="27"/>
      <c r="BN417" s="27"/>
      <c r="BO417" s="27"/>
      <c r="BP417" s="27"/>
      <c r="BQ417" s="27"/>
      <c r="BR417" s="27"/>
      <c r="BS417" s="27"/>
      <c r="BT417" s="27"/>
      <c r="BU417" s="27"/>
      <c r="BV417" s="27"/>
      <c r="BW417" s="27"/>
      <c r="BX417" s="27"/>
      <c r="BY417" s="27"/>
      <c r="BZ417" s="27"/>
      <c r="CA417" s="27"/>
      <c r="CB417" s="27"/>
      <c r="CC417" s="27"/>
      <c r="CD417" s="27"/>
      <c r="CE417" s="27"/>
      <c r="CF417" s="27"/>
      <c r="CG417" s="27"/>
      <c r="CH417" s="27"/>
      <c r="CI417" s="27"/>
      <c r="CJ417" s="27"/>
      <c r="CK417" s="27"/>
      <c r="CL417" s="27"/>
      <c r="CM417" s="27"/>
      <c r="CN417" s="27"/>
      <c r="CO417" s="27"/>
      <c r="CP417" s="27"/>
      <c r="CQ417" s="27"/>
      <c r="CR417" s="27"/>
      <c r="CS417" s="27"/>
      <c r="CT417" s="27"/>
      <c r="CU417" s="27"/>
      <c r="CV417" s="27"/>
      <c r="CW417" s="27"/>
      <c r="CX417" s="27"/>
      <c r="CY417" s="27"/>
      <c r="CZ417" s="27"/>
      <c r="DA417" s="27"/>
      <c r="DB417" s="27"/>
      <c r="DC417" s="27"/>
      <c r="DD417" s="27"/>
      <c r="DE417" s="27"/>
      <c r="DF417" s="27"/>
      <c r="DG417" s="27"/>
      <c r="DH417" s="27"/>
      <c r="DI417" s="27"/>
      <c r="DJ417" s="27"/>
      <c r="DK417" s="27"/>
      <c r="DL417" s="27"/>
      <c r="DM417" s="27"/>
      <c r="DN417" s="27"/>
      <c r="DO417" s="27"/>
      <c r="DP417" s="27"/>
      <c r="DQ417" s="27"/>
      <c r="DR417" s="27"/>
      <c r="DS417" s="27"/>
      <c r="DT417" s="27"/>
    </row>
    <row r="418" spans="2:124" x14ac:dyDescent="0.2">
      <c r="B418" s="27"/>
      <c r="C418" s="27"/>
      <c r="D418" s="27"/>
      <c r="E418" s="27"/>
      <c r="F418" s="27"/>
      <c r="G418" s="27"/>
      <c r="H418" s="27"/>
      <c r="I418" s="27"/>
      <c r="J418" s="27"/>
      <c r="K418" s="27"/>
      <c r="L418" s="27"/>
      <c r="M418" s="27"/>
      <c r="N418" s="27"/>
      <c r="O418" s="27"/>
      <c r="P418" s="27"/>
      <c r="Q418" s="27"/>
      <c r="R418" s="27"/>
      <c r="S418" s="27"/>
      <c r="T418" s="27"/>
      <c r="U418" s="27"/>
      <c r="V418" s="27"/>
      <c r="W418" s="27"/>
      <c r="X418" s="27"/>
      <c r="Y418" s="27"/>
      <c r="Z418" s="27"/>
      <c r="AA418" s="27"/>
      <c r="AB418" s="27"/>
      <c r="AC418" s="27"/>
      <c r="AD418" s="27"/>
      <c r="AE418" s="27"/>
      <c r="AF418" s="27"/>
      <c r="AG418" s="27"/>
      <c r="AH418" s="27"/>
      <c r="AI418" s="27"/>
      <c r="AJ418" s="27"/>
      <c r="AK418" s="27"/>
      <c r="AL418" s="27"/>
      <c r="AM418" s="27"/>
      <c r="AN418" s="27"/>
      <c r="AO418" s="27"/>
      <c r="AP418" s="27"/>
      <c r="AQ418" s="27"/>
      <c r="AR418" s="27"/>
      <c r="AS418" s="27"/>
      <c r="AT418" s="27"/>
      <c r="AU418" s="27"/>
      <c r="AV418" s="27"/>
      <c r="AW418" s="27"/>
      <c r="AX418" s="27"/>
      <c r="AY418" s="27"/>
      <c r="AZ418" s="27"/>
      <c r="BA418" s="27"/>
      <c r="BB418" s="27"/>
      <c r="BC418" s="27"/>
      <c r="BD418" s="27"/>
      <c r="BE418" s="27"/>
      <c r="BF418" s="27"/>
      <c r="BG418" s="27"/>
      <c r="BH418" s="27"/>
      <c r="BI418" s="27"/>
      <c r="BJ418" s="27"/>
      <c r="BK418" s="27"/>
      <c r="BL418" s="27"/>
      <c r="BM418" s="27"/>
      <c r="BN418" s="27"/>
      <c r="BO418" s="27"/>
      <c r="BP418" s="27"/>
      <c r="BQ418" s="27"/>
      <c r="BR418" s="27"/>
      <c r="BS418" s="27"/>
      <c r="BT418" s="27"/>
      <c r="BU418" s="27"/>
      <c r="BV418" s="27"/>
      <c r="BW418" s="27"/>
      <c r="BX418" s="27"/>
      <c r="BY418" s="27"/>
      <c r="BZ418" s="27"/>
      <c r="CA418" s="27"/>
      <c r="CB418" s="27"/>
      <c r="CC418" s="27"/>
      <c r="CD418" s="27"/>
      <c r="CE418" s="27"/>
      <c r="CF418" s="27"/>
      <c r="CG418" s="27"/>
      <c r="CH418" s="27"/>
      <c r="CI418" s="27"/>
      <c r="CJ418" s="27"/>
      <c r="CK418" s="27"/>
      <c r="CL418" s="27"/>
      <c r="CM418" s="27"/>
      <c r="CN418" s="27"/>
      <c r="CO418" s="27"/>
      <c r="CP418" s="27"/>
      <c r="CQ418" s="27"/>
      <c r="CR418" s="27"/>
      <c r="CS418" s="27"/>
      <c r="CT418" s="27"/>
      <c r="CU418" s="27"/>
      <c r="CV418" s="27"/>
      <c r="CW418" s="27"/>
      <c r="CX418" s="27"/>
      <c r="CY418" s="27"/>
      <c r="CZ418" s="27"/>
      <c r="DA418" s="27"/>
      <c r="DB418" s="27"/>
      <c r="DC418" s="27"/>
      <c r="DD418" s="27"/>
      <c r="DE418" s="27"/>
      <c r="DF418" s="27"/>
      <c r="DG418" s="27"/>
      <c r="DH418" s="27"/>
      <c r="DI418" s="27"/>
      <c r="DJ418" s="27"/>
      <c r="DK418" s="27"/>
      <c r="DL418" s="27"/>
      <c r="DM418" s="27"/>
      <c r="DN418" s="27"/>
      <c r="DO418" s="27"/>
      <c r="DP418" s="27"/>
      <c r="DQ418" s="27"/>
      <c r="DR418" s="27"/>
      <c r="DS418" s="27"/>
      <c r="DT418" s="27"/>
    </row>
    <row r="419" spans="2:124" x14ac:dyDescent="0.2">
      <c r="B419" s="27"/>
      <c r="C419" s="27"/>
      <c r="D419" s="27"/>
      <c r="E419" s="27"/>
      <c r="F419" s="27"/>
      <c r="G419" s="27"/>
      <c r="H419" s="27"/>
      <c r="I419" s="27"/>
      <c r="J419" s="27"/>
      <c r="K419" s="27"/>
      <c r="L419" s="27"/>
      <c r="M419" s="27"/>
      <c r="N419" s="27"/>
      <c r="O419" s="27"/>
      <c r="P419" s="27"/>
      <c r="Q419" s="27"/>
      <c r="R419" s="27"/>
      <c r="S419" s="27"/>
      <c r="T419" s="27"/>
      <c r="U419" s="27"/>
      <c r="V419" s="27"/>
      <c r="W419" s="27"/>
      <c r="X419" s="27"/>
      <c r="Y419" s="27"/>
      <c r="Z419" s="27"/>
      <c r="AA419" s="27"/>
      <c r="AB419" s="27"/>
      <c r="AC419" s="27"/>
      <c r="AD419" s="27"/>
      <c r="AE419" s="27"/>
      <c r="AF419" s="27"/>
      <c r="AG419" s="27"/>
      <c r="AH419" s="27"/>
      <c r="AI419" s="27"/>
      <c r="AJ419" s="27"/>
      <c r="AK419" s="27"/>
      <c r="AL419" s="27"/>
      <c r="AM419" s="27"/>
      <c r="AN419" s="27"/>
      <c r="AO419" s="27"/>
      <c r="AP419" s="27"/>
      <c r="AQ419" s="27"/>
      <c r="AR419" s="27"/>
      <c r="AS419" s="27"/>
      <c r="AT419" s="27"/>
      <c r="AU419" s="27"/>
      <c r="AV419" s="27"/>
      <c r="AW419" s="27"/>
      <c r="AX419" s="27"/>
      <c r="AY419" s="27"/>
      <c r="AZ419" s="27"/>
      <c r="BA419" s="27"/>
      <c r="BB419" s="27"/>
      <c r="BC419" s="27"/>
      <c r="BD419" s="27"/>
      <c r="BE419" s="27"/>
      <c r="BF419" s="27"/>
      <c r="BG419" s="27"/>
      <c r="BH419" s="27"/>
      <c r="BI419" s="27"/>
      <c r="BJ419" s="27"/>
      <c r="BK419" s="27"/>
      <c r="BL419" s="27"/>
      <c r="BM419" s="27"/>
      <c r="BN419" s="27"/>
      <c r="BO419" s="27"/>
      <c r="BP419" s="27"/>
      <c r="BQ419" s="27"/>
      <c r="BR419" s="27"/>
      <c r="BS419" s="27"/>
      <c r="BT419" s="27"/>
      <c r="BU419" s="27"/>
      <c r="BV419" s="27"/>
      <c r="BW419" s="27"/>
      <c r="BX419" s="27"/>
      <c r="BY419" s="27"/>
      <c r="BZ419" s="27"/>
      <c r="CA419" s="27"/>
      <c r="CB419" s="27"/>
      <c r="CC419" s="27"/>
      <c r="CD419" s="27"/>
      <c r="CE419" s="27"/>
      <c r="CF419" s="27"/>
      <c r="CG419" s="27"/>
      <c r="CH419" s="27"/>
      <c r="CI419" s="27"/>
      <c r="CJ419" s="27"/>
      <c r="CK419" s="27"/>
      <c r="CL419" s="27"/>
      <c r="CM419" s="27"/>
      <c r="CN419" s="27"/>
      <c r="CO419" s="27"/>
      <c r="CP419" s="27"/>
      <c r="CQ419" s="27"/>
      <c r="CR419" s="27"/>
      <c r="CS419" s="27"/>
      <c r="CT419" s="27"/>
      <c r="CU419" s="27"/>
      <c r="CV419" s="27"/>
      <c r="CW419" s="27"/>
      <c r="CX419" s="27"/>
      <c r="CY419" s="27"/>
      <c r="CZ419" s="27"/>
      <c r="DA419" s="27"/>
      <c r="DB419" s="27"/>
      <c r="DC419" s="27"/>
      <c r="DD419" s="27"/>
      <c r="DE419" s="27"/>
      <c r="DF419" s="27"/>
      <c r="DG419" s="27"/>
      <c r="DH419" s="27"/>
      <c r="DI419" s="27"/>
      <c r="DJ419" s="27"/>
      <c r="DK419" s="27"/>
      <c r="DL419" s="27"/>
      <c r="DM419" s="27"/>
      <c r="DN419" s="27"/>
      <c r="DO419" s="27"/>
      <c r="DP419" s="27"/>
      <c r="DQ419" s="27"/>
      <c r="DR419" s="27"/>
      <c r="DS419" s="27"/>
      <c r="DT419" s="27"/>
    </row>
    <row r="420" spans="2:124" x14ac:dyDescent="0.2">
      <c r="B420" s="27"/>
      <c r="C420" s="27"/>
      <c r="D420" s="27"/>
      <c r="E420" s="27"/>
      <c r="F420" s="27"/>
      <c r="G420" s="27"/>
      <c r="H420" s="27"/>
      <c r="I420" s="27"/>
      <c r="J420" s="27"/>
      <c r="K420" s="27"/>
      <c r="L420" s="27"/>
      <c r="M420" s="27"/>
      <c r="N420" s="27"/>
      <c r="O420" s="27"/>
      <c r="P420" s="27"/>
      <c r="Q420" s="27"/>
      <c r="R420" s="27"/>
      <c r="S420" s="27"/>
      <c r="T420" s="27"/>
      <c r="U420" s="27"/>
      <c r="V420" s="27"/>
      <c r="W420" s="27"/>
      <c r="X420" s="27"/>
      <c r="Y420" s="27"/>
      <c r="Z420" s="27"/>
      <c r="AA420" s="27"/>
      <c r="AB420" s="27"/>
      <c r="AC420" s="27"/>
      <c r="AD420" s="27"/>
      <c r="AE420" s="27"/>
      <c r="AF420" s="27"/>
      <c r="AG420" s="27"/>
      <c r="AH420" s="27"/>
      <c r="AI420" s="27"/>
      <c r="AJ420" s="27"/>
      <c r="AK420" s="27"/>
      <c r="AL420" s="27"/>
      <c r="AM420" s="27"/>
      <c r="AN420" s="27"/>
      <c r="AO420" s="27"/>
      <c r="AP420" s="27"/>
      <c r="AQ420" s="27"/>
      <c r="AR420" s="27"/>
      <c r="AS420" s="27"/>
      <c r="AT420" s="27"/>
      <c r="AU420" s="27"/>
      <c r="AV420" s="27"/>
      <c r="AW420" s="27"/>
      <c r="AX420" s="27"/>
      <c r="AY420" s="27"/>
      <c r="AZ420" s="27"/>
      <c r="BA420" s="27"/>
      <c r="BB420" s="27"/>
      <c r="BC420" s="27"/>
      <c r="BD420" s="27"/>
      <c r="BE420" s="27"/>
      <c r="BF420" s="27"/>
      <c r="BG420" s="27"/>
      <c r="BH420" s="27"/>
      <c r="BI420" s="27"/>
      <c r="BJ420" s="27"/>
      <c r="BK420" s="27"/>
      <c r="BL420" s="27"/>
      <c r="BM420" s="27"/>
      <c r="BN420" s="27"/>
      <c r="BO420" s="27"/>
      <c r="BP420" s="27"/>
      <c r="BQ420" s="27"/>
      <c r="BR420" s="27"/>
      <c r="BS420" s="27"/>
      <c r="BT420" s="27"/>
      <c r="BU420" s="27"/>
      <c r="BV420" s="27"/>
      <c r="BW420" s="27"/>
      <c r="BX420" s="27"/>
      <c r="BY420" s="27"/>
      <c r="BZ420" s="27"/>
      <c r="CA420" s="27"/>
      <c r="CB420" s="27"/>
      <c r="CC420" s="27"/>
      <c r="CD420" s="27"/>
      <c r="CE420" s="27"/>
      <c r="CF420" s="27"/>
      <c r="CG420" s="27"/>
      <c r="CH420" s="27"/>
      <c r="CI420" s="27"/>
      <c r="CJ420" s="27"/>
      <c r="CK420" s="27"/>
      <c r="CL420" s="27"/>
      <c r="CM420" s="27"/>
      <c r="CN420" s="27"/>
      <c r="CO420" s="27"/>
      <c r="CP420" s="27"/>
      <c r="CQ420" s="27"/>
      <c r="CR420" s="27"/>
      <c r="CS420" s="27"/>
      <c r="CT420" s="27"/>
      <c r="CU420" s="27"/>
      <c r="CV420" s="27"/>
      <c r="CW420" s="27"/>
      <c r="CX420" s="27"/>
      <c r="CY420" s="27"/>
      <c r="CZ420" s="27"/>
      <c r="DA420" s="27"/>
      <c r="DB420" s="27"/>
      <c r="DC420" s="27"/>
      <c r="DD420" s="27"/>
      <c r="DE420" s="27"/>
      <c r="DF420" s="27"/>
      <c r="DG420" s="27"/>
      <c r="DH420" s="27"/>
      <c r="DI420" s="27"/>
      <c r="DJ420" s="27"/>
      <c r="DK420" s="27"/>
      <c r="DL420" s="27"/>
      <c r="DM420" s="27"/>
      <c r="DN420" s="27"/>
      <c r="DO420" s="27"/>
      <c r="DP420" s="27"/>
      <c r="DQ420" s="27"/>
      <c r="DR420" s="27"/>
      <c r="DS420" s="27"/>
      <c r="DT420" s="27"/>
    </row>
    <row r="421" spans="2:124" x14ac:dyDescent="0.2">
      <c r="B421" s="27"/>
      <c r="C421" s="27"/>
      <c r="D421" s="27"/>
      <c r="E421" s="27"/>
      <c r="F421" s="27"/>
      <c r="G421" s="27"/>
      <c r="H421" s="27"/>
      <c r="I421" s="27"/>
      <c r="J421" s="27"/>
      <c r="K421" s="27"/>
      <c r="L421" s="27"/>
      <c r="M421" s="27"/>
      <c r="N421" s="27"/>
      <c r="O421" s="27"/>
      <c r="P421" s="27"/>
      <c r="Q421" s="27"/>
      <c r="R421" s="27"/>
      <c r="S421" s="27"/>
      <c r="T421" s="27"/>
      <c r="U421" s="27"/>
      <c r="V421" s="27"/>
      <c r="W421" s="27"/>
      <c r="X421" s="27"/>
      <c r="Y421" s="27"/>
      <c r="Z421" s="27"/>
      <c r="AA421" s="27"/>
      <c r="AB421" s="27"/>
      <c r="AC421" s="27"/>
      <c r="AD421" s="27"/>
      <c r="AE421" s="27"/>
      <c r="AF421" s="27"/>
      <c r="AG421" s="27"/>
      <c r="AH421" s="27"/>
      <c r="AI421" s="27"/>
      <c r="AJ421" s="27"/>
      <c r="AK421" s="27"/>
      <c r="AL421" s="27"/>
      <c r="AM421" s="27"/>
      <c r="AN421" s="27"/>
      <c r="AO421" s="27"/>
      <c r="AP421" s="27"/>
      <c r="AQ421" s="27"/>
      <c r="AR421" s="27"/>
      <c r="AS421" s="27"/>
      <c r="AT421" s="27"/>
      <c r="AU421" s="27"/>
      <c r="AV421" s="27"/>
      <c r="AW421" s="27"/>
      <c r="AX421" s="27"/>
      <c r="AY421" s="27"/>
      <c r="AZ421" s="27"/>
      <c r="BA421" s="27"/>
      <c r="BB421" s="27"/>
      <c r="BC421" s="27"/>
      <c r="BD421" s="27"/>
      <c r="BE421" s="27"/>
      <c r="BF421" s="27"/>
      <c r="BG421" s="27"/>
      <c r="BH421" s="27"/>
      <c r="BI421" s="27"/>
      <c r="BJ421" s="27"/>
      <c r="BK421" s="27"/>
      <c r="BL421" s="27"/>
      <c r="BM421" s="27"/>
      <c r="BN421" s="27"/>
      <c r="BO421" s="27"/>
      <c r="BP421" s="27"/>
      <c r="BQ421" s="27"/>
      <c r="BR421" s="27"/>
      <c r="BS421" s="27"/>
      <c r="BT421" s="27"/>
      <c r="BU421" s="27"/>
      <c r="BV421" s="27"/>
      <c r="BW421" s="27"/>
      <c r="BX421" s="27"/>
      <c r="BY421" s="27"/>
      <c r="BZ421" s="27"/>
      <c r="CA421" s="27"/>
      <c r="CB421" s="27"/>
      <c r="CC421" s="27"/>
      <c r="CD421" s="27"/>
      <c r="CE421" s="27"/>
      <c r="CF421" s="27"/>
      <c r="CG421" s="27"/>
      <c r="CH421" s="27"/>
      <c r="CI421" s="27"/>
      <c r="CJ421" s="27"/>
      <c r="CK421" s="27"/>
      <c r="CL421" s="27"/>
      <c r="CM421" s="27"/>
      <c r="CN421" s="27"/>
      <c r="CO421" s="27"/>
      <c r="CP421" s="27"/>
      <c r="CQ421" s="27"/>
      <c r="CR421" s="27"/>
      <c r="CS421" s="27"/>
      <c r="CT421" s="27"/>
      <c r="CU421" s="27"/>
      <c r="CV421" s="27"/>
      <c r="CW421" s="27"/>
      <c r="CX421" s="27"/>
      <c r="CY421" s="27"/>
      <c r="CZ421" s="27"/>
      <c r="DA421" s="27"/>
      <c r="DB421" s="27"/>
      <c r="DC421" s="27"/>
      <c r="DD421" s="27"/>
      <c r="DE421" s="27"/>
      <c r="DF421" s="27"/>
      <c r="DG421" s="27"/>
      <c r="DH421" s="27"/>
      <c r="DI421" s="27"/>
      <c r="DJ421" s="27"/>
      <c r="DK421" s="27"/>
      <c r="DL421" s="27"/>
      <c r="DM421" s="27"/>
      <c r="DN421" s="27"/>
      <c r="DO421" s="27"/>
      <c r="DP421" s="27"/>
      <c r="DQ421" s="27"/>
      <c r="DR421" s="27"/>
      <c r="DS421" s="27"/>
      <c r="DT421" s="27"/>
    </row>
    <row r="422" spans="2:124" x14ac:dyDescent="0.2">
      <c r="B422" s="27"/>
      <c r="C422" s="27"/>
      <c r="D422" s="27"/>
      <c r="E422" s="27"/>
      <c r="F422" s="27"/>
      <c r="G422" s="27"/>
      <c r="H422" s="27"/>
      <c r="I422" s="27"/>
      <c r="J422" s="27"/>
      <c r="K422" s="27"/>
      <c r="L422" s="27"/>
      <c r="M422" s="27"/>
      <c r="N422" s="27"/>
      <c r="O422" s="27"/>
      <c r="P422" s="27"/>
      <c r="Q422" s="27"/>
      <c r="R422" s="27"/>
      <c r="S422" s="27"/>
      <c r="T422" s="27"/>
      <c r="U422" s="27"/>
      <c r="V422" s="27"/>
      <c r="W422" s="27"/>
      <c r="X422" s="27"/>
      <c r="Y422" s="27"/>
      <c r="Z422" s="27"/>
      <c r="AA422" s="27"/>
      <c r="AB422" s="27"/>
      <c r="AC422" s="27"/>
      <c r="AD422" s="27"/>
      <c r="AE422" s="27"/>
      <c r="AF422" s="27"/>
      <c r="AG422" s="27"/>
      <c r="AH422" s="27"/>
      <c r="AI422" s="27"/>
      <c r="AJ422" s="27"/>
      <c r="AK422" s="27"/>
      <c r="AL422" s="27"/>
      <c r="AM422" s="27"/>
      <c r="AN422" s="27"/>
      <c r="AO422" s="27"/>
      <c r="AP422" s="27"/>
      <c r="AQ422" s="27"/>
      <c r="AR422" s="27"/>
      <c r="AS422" s="27"/>
      <c r="AT422" s="27"/>
      <c r="AU422" s="27"/>
      <c r="AV422" s="27"/>
      <c r="AW422" s="27"/>
      <c r="AX422" s="27"/>
      <c r="AY422" s="27"/>
      <c r="AZ422" s="27"/>
      <c r="BA422" s="27"/>
      <c r="BB422" s="27"/>
      <c r="BC422" s="27"/>
      <c r="BD422" s="27"/>
      <c r="BE422" s="27"/>
      <c r="BF422" s="27"/>
      <c r="BG422" s="27"/>
      <c r="BH422" s="27"/>
      <c r="BI422" s="27"/>
      <c r="BJ422" s="27"/>
      <c r="BK422" s="27"/>
      <c r="BL422" s="27"/>
      <c r="BM422" s="27"/>
      <c r="BN422" s="27"/>
      <c r="BO422" s="27"/>
      <c r="BP422" s="27"/>
      <c r="BQ422" s="27"/>
      <c r="BR422" s="27"/>
      <c r="BS422" s="27"/>
      <c r="BT422" s="27"/>
      <c r="BU422" s="27"/>
      <c r="BV422" s="27"/>
      <c r="BW422" s="27"/>
      <c r="BX422" s="27"/>
      <c r="BY422" s="27"/>
      <c r="BZ422" s="27"/>
      <c r="CA422" s="27"/>
      <c r="CB422" s="27"/>
      <c r="CC422" s="27"/>
      <c r="CD422" s="27"/>
      <c r="CE422" s="27"/>
      <c r="CF422" s="27"/>
      <c r="CG422" s="27"/>
      <c r="CH422" s="27"/>
      <c r="CI422" s="27"/>
      <c r="CJ422" s="27"/>
      <c r="CK422" s="27"/>
      <c r="CL422" s="27"/>
      <c r="CM422" s="27"/>
      <c r="CN422" s="27"/>
      <c r="CO422" s="27"/>
      <c r="CP422" s="27"/>
      <c r="CQ422" s="27"/>
      <c r="CR422" s="27"/>
      <c r="CS422" s="27"/>
      <c r="CT422" s="27"/>
      <c r="CU422" s="27"/>
      <c r="CV422" s="27"/>
      <c r="CW422" s="27"/>
      <c r="CX422" s="27"/>
      <c r="CY422" s="27"/>
      <c r="CZ422" s="27"/>
      <c r="DA422" s="27"/>
      <c r="DB422" s="27"/>
      <c r="DC422" s="27"/>
      <c r="DD422" s="27"/>
      <c r="DE422" s="27"/>
      <c r="DF422" s="27"/>
      <c r="DG422" s="27"/>
      <c r="DH422" s="27"/>
      <c r="DI422" s="27"/>
      <c r="DJ422" s="27"/>
      <c r="DK422" s="27"/>
      <c r="DL422" s="27"/>
      <c r="DM422" s="27"/>
      <c r="DN422" s="27"/>
      <c r="DO422" s="27"/>
      <c r="DP422" s="27"/>
      <c r="DQ422" s="27"/>
      <c r="DR422" s="27"/>
      <c r="DS422" s="27"/>
      <c r="DT422" s="27"/>
    </row>
    <row r="423" spans="2:124" x14ac:dyDescent="0.2">
      <c r="B423" s="27"/>
      <c r="C423" s="27"/>
      <c r="D423" s="27"/>
      <c r="E423" s="27"/>
      <c r="F423" s="27"/>
      <c r="G423" s="27"/>
      <c r="H423" s="27"/>
      <c r="I423" s="27"/>
      <c r="J423" s="27"/>
      <c r="K423" s="27"/>
      <c r="L423" s="27"/>
      <c r="M423" s="27"/>
      <c r="N423" s="27"/>
      <c r="O423" s="27"/>
      <c r="P423" s="27"/>
      <c r="Q423" s="27"/>
      <c r="R423" s="27"/>
      <c r="S423" s="27"/>
      <c r="T423" s="27"/>
      <c r="U423" s="27"/>
      <c r="V423" s="27"/>
      <c r="W423" s="27"/>
      <c r="X423" s="27"/>
      <c r="Y423" s="27"/>
      <c r="Z423" s="27"/>
      <c r="AA423" s="27"/>
      <c r="AB423" s="27"/>
      <c r="AC423" s="27"/>
      <c r="AD423" s="27"/>
      <c r="AE423" s="27"/>
      <c r="AF423" s="27"/>
      <c r="AG423" s="27"/>
      <c r="AH423" s="27"/>
      <c r="AI423" s="27"/>
      <c r="AJ423" s="27"/>
      <c r="AK423" s="27"/>
      <c r="AL423" s="27"/>
      <c r="AM423" s="27"/>
      <c r="AN423" s="27"/>
      <c r="AO423" s="27"/>
      <c r="AP423" s="27"/>
      <c r="AQ423" s="27"/>
      <c r="AR423" s="27"/>
      <c r="AS423" s="27"/>
      <c r="AT423" s="27"/>
      <c r="AU423" s="27"/>
      <c r="AV423" s="27"/>
      <c r="AW423" s="27"/>
      <c r="AX423" s="27"/>
      <c r="AY423" s="27"/>
      <c r="AZ423" s="27"/>
      <c r="BA423" s="27"/>
      <c r="BB423" s="27"/>
      <c r="BC423" s="27"/>
      <c r="BD423" s="27"/>
      <c r="BE423" s="27"/>
      <c r="BF423" s="27"/>
      <c r="BG423" s="27"/>
      <c r="BH423" s="27"/>
      <c r="BI423" s="27"/>
      <c r="BJ423" s="27"/>
      <c r="BK423" s="27"/>
      <c r="BL423" s="27"/>
      <c r="BM423" s="27"/>
      <c r="BN423" s="27"/>
      <c r="BO423" s="27"/>
      <c r="BP423" s="27"/>
      <c r="BQ423" s="27"/>
      <c r="BR423" s="27"/>
      <c r="BS423" s="27"/>
      <c r="BT423" s="27"/>
      <c r="BU423" s="27"/>
      <c r="BV423" s="27"/>
      <c r="BW423" s="27"/>
      <c r="BX423" s="27"/>
      <c r="BY423" s="27"/>
      <c r="BZ423" s="27"/>
      <c r="CA423" s="27"/>
      <c r="CB423" s="27"/>
      <c r="CC423" s="27"/>
      <c r="CD423" s="27"/>
      <c r="CE423" s="27"/>
      <c r="CF423" s="27"/>
      <c r="CG423" s="27"/>
      <c r="CH423" s="27"/>
      <c r="CI423" s="27"/>
      <c r="CJ423" s="27"/>
      <c r="CK423" s="27"/>
      <c r="CL423" s="27"/>
      <c r="CM423" s="27"/>
      <c r="CN423" s="27"/>
      <c r="CO423" s="27"/>
      <c r="CP423" s="27"/>
      <c r="CQ423" s="27"/>
      <c r="CR423" s="27"/>
      <c r="CS423" s="27"/>
      <c r="CT423" s="27"/>
      <c r="CU423" s="27"/>
      <c r="CV423" s="27"/>
      <c r="CW423" s="27"/>
      <c r="CX423" s="27"/>
      <c r="CY423" s="27"/>
      <c r="CZ423" s="27"/>
      <c r="DA423" s="27"/>
      <c r="DB423" s="27"/>
      <c r="DC423" s="27"/>
      <c r="DD423" s="27"/>
      <c r="DE423" s="27"/>
      <c r="DF423" s="27"/>
      <c r="DG423" s="27"/>
      <c r="DH423" s="27"/>
      <c r="DI423" s="27"/>
      <c r="DJ423" s="27"/>
      <c r="DK423" s="27"/>
      <c r="DL423" s="27"/>
      <c r="DM423" s="27"/>
      <c r="DN423" s="27"/>
      <c r="DO423" s="27"/>
      <c r="DP423" s="27"/>
      <c r="DQ423" s="27"/>
      <c r="DR423" s="27"/>
      <c r="DS423" s="27"/>
      <c r="DT423" s="27"/>
    </row>
    <row r="424" spans="2:124" x14ac:dyDescent="0.2">
      <c r="B424" s="27"/>
      <c r="C424" s="27"/>
      <c r="D424" s="27"/>
      <c r="E424" s="27"/>
      <c r="F424" s="27"/>
      <c r="G424" s="27"/>
      <c r="H424" s="27"/>
      <c r="I424" s="27"/>
      <c r="J424" s="27"/>
      <c r="K424" s="27"/>
      <c r="L424" s="27"/>
      <c r="M424" s="27"/>
      <c r="N424" s="27"/>
      <c r="O424" s="27"/>
      <c r="P424" s="27"/>
      <c r="Q424" s="27"/>
      <c r="R424" s="27"/>
      <c r="S424" s="27"/>
      <c r="T424" s="27"/>
      <c r="U424" s="27"/>
      <c r="V424" s="27"/>
      <c r="W424" s="27"/>
      <c r="X424" s="27"/>
      <c r="Y424" s="27"/>
      <c r="Z424" s="27"/>
      <c r="AA424" s="27"/>
      <c r="AB424" s="27"/>
      <c r="AC424" s="27"/>
      <c r="AD424" s="27"/>
      <c r="AE424" s="27"/>
      <c r="AF424" s="27"/>
      <c r="AG424" s="27"/>
      <c r="AH424" s="27"/>
      <c r="AI424" s="27"/>
      <c r="AJ424" s="27"/>
      <c r="AK424" s="27"/>
      <c r="AL424" s="27"/>
      <c r="AM424" s="27"/>
      <c r="AN424" s="27"/>
      <c r="AO424" s="27"/>
      <c r="AP424" s="27"/>
      <c r="AQ424" s="27"/>
      <c r="AR424" s="27"/>
      <c r="AS424" s="27"/>
      <c r="AT424" s="27"/>
      <c r="AU424" s="27"/>
      <c r="AV424" s="27"/>
      <c r="AW424" s="27"/>
      <c r="AX424" s="27"/>
      <c r="AY424" s="27"/>
      <c r="AZ424" s="27"/>
      <c r="BA424" s="27"/>
      <c r="BB424" s="27"/>
      <c r="BC424" s="27"/>
      <c r="BD424" s="27"/>
      <c r="BE424" s="27"/>
      <c r="BF424" s="27"/>
      <c r="BG424" s="27"/>
      <c r="BH424" s="27"/>
      <c r="BI424" s="27"/>
      <c r="BJ424" s="27"/>
      <c r="BK424" s="27"/>
      <c r="BL424" s="27"/>
      <c r="BM424" s="27"/>
      <c r="BN424" s="27"/>
      <c r="BO424" s="27"/>
      <c r="BP424" s="27"/>
      <c r="BQ424" s="27"/>
      <c r="BR424" s="27"/>
      <c r="BS424" s="27"/>
      <c r="BT424" s="27"/>
      <c r="BU424" s="27"/>
      <c r="BV424" s="27"/>
      <c r="BW424" s="27"/>
      <c r="BX424" s="27"/>
      <c r="BY424" s="27"/>
      <c r="BZ424" s="27"/>
      <c r="CA424" s="27"/>
      <c r="CB424" s="27"/>
      <c r="CC424" s="27"/>
      <c r="CD424" s="27"/>
      <c r="CE424" s="27"/>
      <c r="CF424" s="27"/>
      <c r="CG424" s="27"/>
      <c r="CH424" s="27"/>
      <c r="CI424" s="27"/>
      <c r="CJ424" s="27"/>
      <c r="CK424" s="27"/>
      <c r="CL424" s="27"/>
      <c r="CM424" s="27"/>
      <c r="CN424" s="27"/>
      <c r="CO424" s="27"/>
      <c r="CP424" s="27"/>
      <c r="CQ424" s="27"/>
      <c r="CR424" s="27"/>
      <c r="CS424" s="27"/>
      <c r="CT424" s="27"/>
      <c r="CU424" s="27"/>
      <c r="CV424" s="27"/>
      <c r="CW424" s="27"/>
      <c r="CX424" s="27"/>
      <c r="CY424" s="27"/>
      <c r="CZ424" s="27"/>
      <c r="DA424" s="27"/>
      <c r="DB424" s="27"/>
      <c r="DC424" s="27"/>
      <c r="DD424" s="27"/>
      <c r="DE424" s="27"/>
      <c r="DF424" s="27"/>
      <c r="DG424" s="27"/>
      <c r="DH424" s="27"/>
      <c r="DI424" s="27"/>
      <c r="DJ424" s="27"/>
      <c r="DK424" s="27"/>
      <c r="DL424" s="27"/>
      <c r="DM424" s="27"/>
      <c r="DN424" s="27"/>
      <c r="DO424" s="27"/>
      <c r="DP424" s="27"/>
      <c r="DQ424" s="27"/>
      <c r="DR424" s="27"/>
      <c r="DS424" s="27"/>
      <c r="DT424" s="27"/>
    </row>
    <row r="425" spans="2:124" x14ac:dyDescent="0.2">
      <c r="B425" s="27"/>
      <c r="C425" s="27"/>
      <c r="D425" s="27"/>
      <c r="E425" s="27"/>
      <c r="F425" s="27"/>
      <c r="G425" s="27"/>
      <c r="H425" s="27"/>
      <c r="I425" s="27"/>
      <c r="J425" s="27"/>
      <c r="K425" s="27"/>
      <c r="L425" s="27"/>
      <c r="M425" s="27"/>
      <c r="N425" s="27"/>
      <c r="O425" s="27"/>
      <c r="P425" s="27"/>
      <c r="Q425" s="27"/>
      <c r="R425" s="27"/>
      <c r="S425" s="27"/>
      <c r="T425" s="27"/>
      <c r="U425" s="27"/>
      <c r="V425" s="27"/>
      <c r="W425" s="27"/>
      <c r="X425" s="27"/>
      <c r="Y425" s="27"/>
      <c r="Z425" s="27"/>
      <c r="AA425" s="27"/>
      <c r="AB425" s="27"/>
      <c r="AC425" s="27"/>
      <c r="AD425" s="27"/>
      <c r="AE425" s="27"/>
      <c r="AF425" s="27"/>
      <c r="AG425" s="27"/>
      <c r="AH425" s="27"/>
      <c r="AI425" s="27"/>
      <c r="AJ425" s="27"/>
      <c r="AK425" s="27"/>
      <c r="AL425" s="27"/>
      <c r="AM425" s="27"/>
      <c r="AN425" s="27"/>
      <c r="AO425" s="27"/>
      <c r="AP425" s="27"/>
      <c r="AQ425" s="27"/>
      <c r="AR425" s="27"/>
      <c r="AS425" s="27"/>
      <c r="AT425" s="27"/>
      <c r="AU425" s="27"/>
      <c r="AV425" s="27"/>
      <c r="AW425" s="27"/>
      <c r="AX425" s="27"/>
      <c r="AY425" s="27"/>
      <c r="AZ425" s="27"/>
      <c r="BA425" s="27"/>
      <c r="BB425" s="27"/>
      <c r="BC425" s="27"/>
      <c r="BD425" s="27"/>
      <c r="BE425" s="27"/>
      <c r="BF425" s="27"/>
      <c r="BG425" s="27"/>
      <c r="BH425" s="27"/>
      <c r="BI425" s="27"/>
      <c r="BJ425" s="27"/>
      <c r="BK425" s="27"/>
      <c r="BL425" s="27"/>
      <c r="BM425" s="27"/>
      <c r="BN425" s="27"/>
      <c r="BO425" s="27"/>
      <c r="BP425" s="27"/>
      <c r="BQ425" s="27"/>
      <c r="BR425" s="27"/>
      <c r="BS425" s="27"/>
      <c r="BT425" s="27"/>
      <c r="BU425" s="27"/>
      <c r="BV425" s="27"/>
      <c r="BW425" s="27"/>
      <c r="BX425" s="27"/>
      <c r="BY425" s="27"/>
      <c r="BZ425" s="27"/>
      <c r="CA425" s="27"/>
      <c r="CB425" s="27"/>
      <c r="CC425" s="27"/>
      <c r="CD425" s="27"/>
      <c r="CE425" s="27"/>
      <c r="CF425" s="27"/>
      <c r="CG425" s="27"/>
      <c r="CH425" s="27"/>
      <c r="CI425" s="27"/>
      <c r="CJ425" s="27"/>
      <c r="CK425" s="27"/>
      <c r="CL425" s="27"/>
      <c r="CM425" s="27"/>
      <c r="CN425" s="27"/>
      <c r="CO425" s="27"/>
      <c r="CP425" s="27"/>
      <c r="CQ425" s="27"/>
      <c r="CR425" s="27"/>
      <c r="CS425" s="27"/>
      <c r="CT425" s="27"/>
      <c r="CU425" s="27"/>
      <c r="CV425" s="27"/>
      <c r="CW425" s="27"/>
      <c r="CX425" s="27"/>
      <c r="CY425" s="27"/>
      <c r="CZ425" s="27"/>
      <c r="DA425" s="27"/>
      <c r="DB425" s="27"/>
      <c r="DC425" s="27"/>
      <c r="DD425" s="27"/>
      <c r="DE425" s="27"/>
      <c r="DF425" s="27"/>
      <c r="DG425" s="27"/>
      <c r="DH425" s="27"/>
      <c r="DI425" s="27"/>
      <c r="DJ425" s="27"/>
      <c r="DK425" s="27"/>
      <c r="DL425" s="27"/>
      <c r="DM425" s="27"/>
      <c r="DN425" s="27"/>
      <c r="DO425" s="27"/>
      <c r="DP425" s="27"/>
      <c r="DQ425" s="27"/>
      <c r="DR425" s="27"/>
      <c r="DS425" s="27"/>
      <c r="DT425" s="27"/>
    </row>
    <row r="426" spans="2:124" x14ac:dyDescent="0.2">
      <c r="B426" s="27"/>
      <c r="C426" s="27"/>
      <c r="D426" s="27"/>
      <c r="E426" s="27"/>
      <c r="F426" s="27"/>
      <c r="G426" s="27"/>
      <c r="H426" s="27"/>
      <c r="I426" s="27"/>
      <c r="J426" s="27"/>
      <c r="K426" s="27"/>
      <c r="L426" s="27"/>
      <c r="M426" s="27"/>
      <c r="N426" s="27"/>
      <c r="O426" s="27"/>
      <c r="P426" s="27"/>
      <c r="Q426" s="27"/>
      <c r="R426" s="27"/>
      <c r="S426" s="27"/>
      <c r="T426" s="27"/>
      <c r="U426" s="27"/>
      <c r="V426" s="27"/>
      <c r="W426" s="27"/>
      <c r="X426" s="27"/>
      <c r="Y426" s="27"/>
      <c r="Z426" s="27"/>
      <c r="AA426" s="27"/>
      <c r="AB426" s="27"/>
      <c r="AC426" s="27"/>
      <c r="AD426" s="27"/>
      <c r="AE426" s="27"/>
      <c r="AF426" s="27"/>
      <c r="AG426" s="27"/>
      <c r="AH426" s="27"/>
      <c r="AI426" s="27"/>
      <c r="AJ426" s="27"/>
      <c r="AK426" s="27"/>
      <c r="AL426" s="27"/>
      <c r="AM426" s="27"/>
      <c r="AN426" s="27"/>
      <c r="AO426" s="27"/>
      <c r="AP426" s="27"/>
      <c r="AQ426" s="27"/>
      <c r="AR426" s="27"/>
      <c r="AS426" s="27"/>
      <c r="AT426" s="27"/>
      <c r="AU426" s="27"/>
      <c r="AV426" s="27"/>
      <c r="AW426" s="27"/>
      <c r="AX426" s="27"/>
      <c r="AY426" s="27"/>
      <c r="AZ426" s="27"/>
      <c r="BA426" s="27"/>
      <c r="BB426" s="27"/>
      <c r="BC426" s="27"/>
      <c r="BD426" s="27"/>
      <c r="BE426" s="27"/>
      <c r="BF426" s="27"/>
      <c r="BG426" s="27"/>
      <c r="BH426" s="27"/>
      <c r="BI426" s="27"/>
      <c r="BJ426" s="27"/>
      <c r="BK426" s="27"/>
      <c r="BL426" s="27"/>
      <c r="BM426" s="27"/>
      <c r="BN426" s="27"/>
      <c r="BO426" s="27"/>
      <c r="BP426" s="27"/>
      <c r="BQ426" s="27"/>
      <c r="BR426" s="27"/>
      <c r="BS426" s="27"/>
      <c r="BT426" s="27"/>
      <c r="BU426" s="27"/>
      <c r="BV426" s="27"/>
      <c r="BW426" s="27"/>
      <c r="BX426" s="27"/>
      <c r="BY426" s="27"/>
      <c r="BZ426" s="27"/>
      <c r="CA426" s="27"/>
      <c r="CB426" s="27"/>
      <c r="CC426" s="27"/>
      <c r="CD426" s="27"/>
      <c r="CE426" s="27"/>
      <c r="CF426" s="27"/>
      <c r="CG426" s="27"/>
      <c r="CH426" s="27"/>
      <c r="CI426" s="27"/>
      <c r="CJ426" s="27"/>
      <c r="CK426" s="27"/>
      <c r="CL426" s="27"/>
      <c r="CM426" s="27"/>
      <c r="CN426" s="27"/>
      <c r="CO426" s="27"/>
      <c r="CP426" s="27"/>
      <c r="CQ426" s="27"/>
      <c r="CR426" s="27"/>
      <c r="CS426" s="27"/>
      <c r="CT426" s="27"/>
      <c r="CU426" s="27"/>
      <c r="CV426" s="27"/>
      <c r="CW426" s="27"/>
      <c r="CX426" s="27"/>
      <c r="CY426" s="27"/>
      <c r="CZ426" s="27"/>
      <c r="DA426" s="27"/>
      <c r="DB426" s="27"/>
      <c r="DC426" s="27"/>
      <c r="DD426" s="27"/>
      <c r="DE426" s="27"/>
      <c r="DF426" s="27"/>
      <c r="DG426" s="27"/>
      <c r="DH426" s="27"/>
      <c r="DI426" s="27"/>
      <c r="DJ426" s="27"/>
      <c r="DK426" s="27"/>
      <c r="DL426" s="27"/>
      <c r="DM426" s="27"/>
      <c r="DN426" s="27"/>
      <c r="DO426" s="27"/>
      <c r="DP426" s="27"/>
      <c r="DQ426" s="27"/>
      <c r="DR426" s="27"/>
      <c r="DS426" s="27"/>
      <c r="DT426" s="27"/>
    </row>
    <row r="427" spans="2:124" x14ac:dyDescent="0.2">
      <c r="B427" s="27"/>
      <c r="C427" s="27"/>
      <c r="D427" s="27"/>
      <c r="E427" s="27"/>
      <c r="F427" s="27"/>
      <c r="G427" s="27"/>
      <c r="H427" s="27"/>
      <c r="I427" s="27"/>
      <c r="J427" s="27"/>
      <c r="K427" s="27"/>
      <c r="L427" s="27"/>
      <c r="M427" s="27"/>
      <c r="N427" s="27"/>
      <c r="O427" s="27"/>
      <c r="P427" s="27"/>
      <c r="Q427" s="27"/>
      <c r="R427" s="27"/>
      <c r="S427" s="27"/>
      <c r="T427" s="27"/>
      <c r="U427" s="27"/>
      <c r="V427" s="27"/>
      <c r="W427" s="27"/>
      <c r="X427" s="27"/>
      <c r="Y427" s="27"/>
      <c r="Z427" s="27"/>
      <c r="AA427" s="27"/>
      <c r="AB427" s="27"/>
      <c r="AC427" s="27"/>
      <c r="AD427" s="27"/>
      <c r="AE427" s="27"/>
      <c r="AF427" s="27"/>
      <c r="AG427" s="27"/>
      <c r="AH427" s="27"/>
      <c r="AI427" s="27"/>
      <c r="AJ427" s="27"/>
      <c r="AK427" s="27"/>
      <c r="AL427" s="27"/>
      <c r="AM427" s="27"/>
      <c r="AN427" s="27"/>
      <c r="AO427" s="27"/>
      <c r="AP427" s="27"/>
      <c r="AQ427" s="27"/>
      <c r="AR427" s="27"/>
      <c r="AS427" s="27"/>
      <c r="AT427" s="27"/>
      <c r="AU427" s="27"/>
      <c r="AV427" s="27"/>
      <c r="AW427" s="27"/>
      <c r="AX427" s="27"/>
      <c r="AY427" s="27"/>
      <c r="AZ427" s="27"/>
      <c r="BA427" s="27"/>
      <c r="BB427" s="27"/>
      <c r="BC427" s="27"/>
      <c r="BD427" s="27"/>
      <c r="BE427" s="27"/>
      <c r="BF427" s="27"/>
      <c r="BG427" s="27"/>
      <c r="BH427" s="27"/>
      <c r="BI427" s="27"/>
      <c r="BJ427" s="27"/>
      <c r="BK427" s="27"/>
      <c r="BL427" s="27"/>
      <c r="BM427" s="27"/>
      <c r="BN427" s="27"/>
      <c r="BO427" s="27"/>
      <c r="BP427" s="27"/>
      <c r="BQ427" s="27"/>
      <c r="BR427" s="27"/>
      <c r="BS427" s="27"/>
      <c r="BT427" s="27"/>
      <c r="BU427" s="27"/>
      <c r="BV427" s="27"/>
      <c r="BW427" s="27"/>
      <c r="BX427" s="27"/>
      <c r="BY427" s="27"/>
      <c r="BZ427" s="27"/>
      <c r="CA427" s="27"/>
      <c r="CB427" s="27"/>
      <c r="CC427" s="27"/>
      <c r="CD427" s="27"/>
      <c r="CE427" s="27"/>
      <c r="CF427" s="27"/>
      <c r="CG427" s="27"/>
      <c r="CH427" s="27"/>
      <c r="CI427" s="27"/>
      <c r="CJ427" s="27"/>
      <c r="CK427" s="27"/>
      <c r="CL427" s="27"/>
      <c r="CM427" s="27"/>
      <c r="CN427" s="27"/>
      <c r="CO427" s="27"/>
      <c r="CP427" s="27"/>
      <c r="CQ427" s="27"/>
      <c r="CR427" s="27"/>
      <c r="CS427" s="27"/>
      <c r="CT427" s="27"/>
      <c r="CU427" s="27"/>
      <c r="CV427" s="27"/>
      <c r="CW427" s="27"/>
      <c r="CX427" s="27"/>
      <c r="CY427" s="27"/>
      <c r="CZ427" s="27"/>
      <c r="DA427" s="27"/>
      <c r="DB427" s="27"/>
      <c r="DC427" s="27"/>
      <c r="DD427" s="27"/>
      <c r="DE427" s="27"/>
      <c r="DF427" s="27"/>
      <c r="DG427" s="27"/>
      <c r="DH427" s="27"/>
      <c r="DI427" s="27"/>
      <c r="DJ427" s="27"/>
      <c r="DK427" s="27"/>
      <c r="DL427" s="27"/>
      <c r="DM427" s="27"/>
      <c r="DN427" s="27"/>
      <c r="DO427" s="27"/>
      <c r="DP427" s="27"/>
      <c r="DQ427" s="27"/>
      <c r="DR427" s="27"/>
      <c r="DS427" s="27"/>
      <c r="DT427" s="27"/>
    </row>
    <row r="428" spans="2:124" x14ac:dyDescent="0.2">
      <c r="B428" s="27"/>
      <c r="C428" s="27"/>
      <c r="D428" s="27"/>
      <c r="E428" s="27"/>
      <c r="F428" s="27"/>
      <c r="G428" s="27"/>
      <c r="H428" s="27"/>
      <c r="I428" s="27"/>
      <c r="J428" s="27"/>
      <c r="K428" s="27"/>
      <c r="L428" s="27"/>
      <c r="M428" s="27"/>
      <c r="N428" s="27"/>
      <c r="O428" s="27"/>
      <c r="P428" s="27"/>
      <c r="Q428" s="27"/>
      <c r="R428" s="27"/>
      <c r="S428" s="27"/>
      <c r="T428" s="27"/>
      <c r="U428" s="27"/>
      <c r="V428" s="27"/>
      <c r="W428" s="27"/>
      <c r="X428" s="27"/>
      <c r="Y428" s="27"/>
      <c r="Z428" s="27"/>
      <c r="AA428" s="27"/>
      <c r="AB428" s="27"/>
      <c r="AC428" s="27"/>
      <c r="AD428" s="27"/>
      <c r="AE428" s="27"/>
      <c r="AF428" s="27"/>
      <c r="AG428" s="27"/>
      <c r="AH428" s="27"/>
      <c r="AI428" s="27"/>
      <c r="AJ428" s="27"/>
      <c r="AK428" s="27"/>
      <c r="AL428" s="27"/>
      <c r="AM428" s="27"/>
      <c r="AN428" s="27"/>
      <c r="AO428" s="27"/>
      <c r="AP428" s="27"/>
      <c r="AQ428" s="27"/>
      <c r="AR428" s="27"/>
      <c r="AS428" s="27"/>
      <c r="AT428" s="27"/>
      <c r="AU428" s="27"/>
      <c r="AV428" s="27"/>
      <c r="AW428" s="27"/>
      <c r="AX428" s="27"/>
      <c r="AY428" s="27"/>
      <c r="AZ428" s="27"/>
      <c r="BA428" s="27"/>
      <c r="BB428" s="27"/>
      <c r="BC428" s="27"/>
      <c r="BD428" s="27"/>
      <c r="BE428" s="27"/>
      <c r="BF428" s="27"/>
      <c r="BG428" s="27"/>
      <c r="BH428" s="27"/>
      <c r="BI428" s="27"/>
      <c r="BJ428" s="27"/>
      <c r="BK428" s="27"/>
      <c r="BL428" s="27"/>
      <c r="BM428" s="27"/>
      <c r="BN428" s="27"/>
      <c r="BO428" s="27"/>
      <c r="BP428" s="27"/>
      <c r="BQ428" s="27"/>
      <c r="BR428" s="27"/>
      <c r="BS428" s="27"/>
      <c r="BT428" s="27"/>
      <c r="BU428" s="27"/>
      <c r="BV428" s="27"/>
      <c r="BW428" s="27"/>
      <c r="BX428" s="27"/>
      <c r="BY428" s="27"/>
      <c r="BZ428" s="27"/>
      <c r="CA428" s="27"/>
      <c r="CB428" s="27"/>
      <c r="CC428" s="27"/>
      <c r="CD428" s="27"/>
      <c r="CE428" s="27"/>
      <c r="CF428" s="27"/>
      <c r="CG428" s="27"/>
      <c r="CH428" s="27"/>
      <c r="CI428" s="27"/>
      <c r="CJ428" s="27"/>
      <c r="CK428" s="27"/>
      <c r="CL428" s="27"/>
      <c r="CM428" s="27"/>
      <c r="CN428" s="27"/>
      <c r="CO428" s="27"/>
      <c r="CP428" s="27"/>
      <c r="CQ428" s="27"/>
      <c r="CR428" s="27"/>
      <c r="CS428" s="27"/>
      <c r="CT428" s="27"/>
      <c r="CU428" s="27"/>
      <c r="CV428" s="27"/>
      <c r="CW428" s="27"/>
      <c r="CX428" s="27"/>
      <c r="CY428" s="27"/>
      <c r="CZ428" s="27"/>
      <c r="DA428" s="27"/>
      <c r="DB428" s="27"/>
      <c r="DC428" s="27"/>
      <c r="DD428" s="27"/>
      <c r="DE428" s="27"/>
      <c r="DF428" s="27"/>
      <c r="DG428" s="27"/>
      <c r="DH428" s="27"/>
      <c r="DI428" s="27"/>
      <c r="DJ428" s="27"/>
      <c r="DK428" s="27"/>
      <c r="DL428" s="27"/>
      <c r="DM428" s="27"/>
      <c r="DN428" s="27"/>
      <c r="DO428" s="27"/>
      <c r="DP428" s="27"/>
      <c r="DQ428" s="27"/>
      <c r="DR428" s="27"/>
      <c r="DS428" s="27"/>
      <c r="DT428" s="27"/>
    </row>
    <row r="429" spans="2:124" x14ac:dyDescent="0.2">
      <c r="B429" s="27"/>
      <c r="C429" s="27"/>
      <c r="D429" s="27"/>
      <c r="E429" s="27"/>
      <c r="F429" s="27"/>
      <c r="G429" s="27"/>
      <c r="H429" s="27"/>
      <c r="I429" s="27"/>
      <c r="J429" s="27"/>
      <c r="K429" s="27"/>
      <c r="L429" s="27"/>
      <c r="M429" s="27"/>
      <c r="N429" s="27"/>
      <c r="O429" s="27"/>
      <c r="P429" s="27"/>
      <c r="Q429" s="27"/>
      <c r="R429" s="27"/>
      <c r="S429" s="27"/>
      <c r="T429" s="27"/>
      <c r="U429" s="27"/>
      <c r="V429" s="27"/>
      <c r="W429" s="27"/>
      <c r="X429" s="27"/>
      <c r="Y429" s="27"/>
      <c r="Z429" s="27"/>
      <c r="AA429" s="27"/>
      <c r="AB429" s="27"/>
      <c r="AC429" s="27"/>
      <c r="AD429" s="27"/>
      <c r="AE429" s="27"/>
      <c r="AF429" s="27"/>
      <c r="AG429" s="27"/>
      <c r="AH429" s="27"/>
      <c r="AI429" s="27"/>
      <c r="AJ429" s="27"/>
      <c r="AK429" s="27"/>
      <c r="AL429" s="27"/>
      <c r="AM429" s="27"/>
      <c r="AN429" s="27"/>
      <c r="AO429" s="27"/>
      <c r="AP429" s="27"/>
      <c r="AQ429" s="27"/>
      <c r="AR429" s="27"/>
      <c r="AS429" s="27"/>
      <c r="AT429" s="27"/>
      <c r="AU429" s="27"/>
      <c r="AV429" s="27"/>
      <c r="AW429" s="27"/>
      <c r="AX429" s="27"/>
      <c r="AY429" s="27"/>
      <c r="AZ429" s="27"/>
      <c r="BA429" s="27"/>
      <c r="BB429" s="27"/>
      <c r="BC429" s="27"/>
      <c r="BD429" s="27"/>
      <c r="BE429" s="27"/>
      <c r="BF429" s="27"/>
      <c r="BG429" s="27"/>
      <c r="BH429" s="27"/>
      <c r="BI429" s="27"/>
      <c r="BJ429" s="27"/>
      <c r="BK429" s="27"/>
      <c r="BL429" s="27"/>
      <c r="BM429" s="27"/>
      <c r="BN429" s="27"/>
      <c r="BO429" s="27"/>
      <c r="BP429" s="27"/>
      <c r="BQ429" s="27"/>
      <c r="BR429" s="27"/>
      <c r="BS429" s="27"/>
      <c r="BT429" s="27"/>
      <c r="BU429" s="27"/>
      <c r="BV429" s="27"/>
      <c r="BW429" s="27"/>
      <c r="BX429" s="27"/>
      <c r="BY429" s="27"/>
      <c r="BZ429" s="27"/>
      <c r="CA429" s="27"/>
      <c r="CB429" s="27"/>
      <c r="CC429" s="27"/>
      <c r="CD429" s="27"/>
      <c r="CE429" s="27"/>
      <c r="CF429" s="27"/>
      <c r="CG429" s="27"/>
      <c r="CH429" s="27"/>
      <c r="CI429" s="27"/>
      <c r="CJ429" s="27"/>
      <c r="CK429" s="27"/>
      <c r="CL429" s="27"/>
      <c r="CM429" s="27"/>
      <c r="CN429" s="27"/>
      <c r="CO429" s="27"/>
      <c r="CP429" s="27"/>
      <c r="CQ429" s="27"/>
      <c r="CR429" s="27"/>
      <c r="CS429" s="27"/>
      <c r="CT429" s="27"/>
      <c r="CU429" s="27"/>
      <c r="CV429" s="27"/>
      <c r="CW429" s="27"/>
      <c r="CX429" s="27"/>
      <c r="CY429" s="27"/>
      <c r="CZ429" s="27"/>
      <c r="DA429" s="27"/>
      <c r="DB429" s="27"/>
      <c r="DC429" s="27"/>
      <c r="DD429" s="27"/>
      <c r="DE429" s="27"/>
      <c r="DF429" s="27"/>
      <c r="DG429" s="27"/>
      <c r="DH429" s="27"/>
      <c r="DI429" s="27"/>
      <c r="DJ429" s="27"/>
      <c r="DK429" s="27"/>
      <c r="DL429" s="27"/>
      <c r="DM429" s="27"/>
      <c r="DN429" s="27"/>
      <c r="DO429" s="27"/>
      <c r="DP429" s="27"/>
      <c r="DQ429" s="27"/>
      <c r="DR429" s="27"/>
      <c r="DS429" s="27"/>
      <c r="DT429" s="27"/>
    </row>
    <row r="430" spans="2:124" x14ac:dyDescent="0.2">
      <c r="B430" s="27"/>
      <c r="C430" s="27"/>
      <c r="D430" s="27"/>
      <c r="E430" s="27"/>
      <c r="F430" s="27"/>
      <c r="G430" s="27"/>
      <c r="H430" s="27"/>
      <c r="I430" s="27"/>
      <c r="J430" s="27"/>
      <c r="K430" s="27"/>
      <c r="L430" s="27"/>
      <c r="M430" s="27"/>
      <c r="N430" s="27"/>
      <c r="O430" s="27"/>
      <c r="P430" s="27"/>
      <c r="Q430" s="27"/>
      <c r="R430" s="27"/>
      <c r="S430" s="27"/>
      <c r="T430" s="27"/>
      <c r="U430" s="27"/>
      <c r="V430" s="27"/>
      <c r="W430" s="27"/>
      <c r="X430" s="27"/>
      <c r="Y430" s="27"/>
      <c r="Z430" s="27"/>
      <c r="AA430" s="27"/>
      <c r="AB430" s="27"/>
      <c r="AC430" s="27"/>
      <c r="AD430" s="27"/>
      <c r="AE430" s="27"/>
      <c r="AF430" s="27"/>
      <c r="AG430" s="27"/>
      <c r="AH430" s="27"/>
      <c r="AI430" s="27"/>
      <c r="AJ430" s="27"/>
      <c r="AK430" s="27"/>
      <c r="AL430" s="27"/>
      <c r="AM430" s="27"/>
      <c r="AN430" s="27"/>
      <c r="AO430" s="27"/>
      <c r="AP430" s="27"/>
      <c r="AQ430" s="27"/>
      <c r="AR430" s="27"/>
      <c r="AS430" s="27"/>
      <c r="AT430" s="27"/>
      <c r="AU430" s="27"/>
      <c r="AV430" s="27"/>
      <c r="AW430" s="27"/>
      <c r="AX430" s="27"/>
      <c r="AY430" s="27"/>
      <c r="AZ430" s="27"/>
      <c r="BA430" s="27"/>
      <c r="BB430" s="27"/>
      <c r="BC430" s="27"/>
      <c r="BD430" s="27"/>
      <c r="BE430" s="27"/>
      <c r="BF430" s="27"/>
      <c r="BG430" s="27"/>
      <c r="BH430" s="27"/>
      <c r="BI430" s="27"/>
      <c r="BJ430" s="27"/>
      <c r="BK430" s="27"/>
      <c r="BL430" s="27"/>
      <c r="BM430" s="27"/>
      <c r="BN430" s="27"/>
      <c r="BO430" s="27"/>
      <c r="BP430" s="27"/>
      <c r="BQ430" s="27"/>
      <c r="BR430" s="27"/>
      <c r="BS430" s="27"/>
      <c r="BT430" s="27"/>
      <c r="BU430" s="27"/>
      <c r="BV430" s="27"/>
      <c r="BW430" s="27"/>
      <c r="BX430" s="27"/>
      <c r="BY430" s="27"/>
      <c r="BZ430" s="27"/>
      <c r="CA430" s="27"/>
      <c r="CB430" s="27"/>
      <c r="CC430" s="27"/>
      <c r="CD430" s="27"/>
      <c r="CE430" s="27"/>
      <c r="CF430" s="27"/>
      <c r="CG430" s="27"/>
      <c r="CH430" s="27"/>
      <c r="CI430" s="27"/>
      <c r="CJ430" s="27"/>
      <c r="CK430" s="27"/>
      <c r="CL430" s="27"/>
      <c r="CM430" s="27"/>
      <c r="CN430" s="27"/>
      <c r="CO430" s="27"/>
      <c r="CP430" s="27"/>
      <c r="CQ430" s="27"/>
      <c r="CR430" s="27"/>
      <c r="CS430" s="27"/>
      <c r="CT430" s="27"/>
      <c r="CU430" s="27"/>
      <c r="CV430" s="27"/>
      <c r="CW430" s="27"/>
      <c r="CX430" s="27"/>
      <c r="CY430" s="27"/>
      <c r="CZ430" s="27"/>
      <c r="DA430" s="27"/>
      <c r="DB430" s="27"/>
      <c r="DC430" s="27"/>
      <c r="DD430" s="27"/>
      <c r="DE430" s="27"/>
      <c r="DF430" s="27"/>
      <c r="DG430" s="27"/>
      <c r="DH430" s="27"/>
      <c r="DI430" s="27"/>
      <c r="DJ430" s="27"/>
      <c r="DK430" s="27"/>
      <c r="DL430" s="27"/>
      <c r="DM430" s="27"/>
      <c r="DN430" s="27"/>
      <c r="DO430" s="27"/>
      <c r="DP430" s="27"/>
      <c r="DQ430" s="27"/>
      <c r="DR430" s="27"/>
      <c r="DS430" s="27"/>
      <c r="DT430" s="27"/>
    </row>
    <row r="431" spans="2:124" x14ac:dyDescent="0.2">
      <c r="B431" s="27"/>
      <c r="C431" s="27"/>
      <c r="D431" s="27"/>
      <c r="E431" s="27"/>
      <c r="F431" s="27"/>
      <c r="G431" s="27"/>
      <c r="H431" s="27"/>
      <c r="I431" s="27"/>
      <c r="J431" s="27"/>
      <c r="K431" s="27"/>
      <c r="L431" s="27"/>
      <c r="M431" s="27"/>
      <c r="N431" s="27"/>
      <c r="O431" s="27"/>
      <c r="P431" s="27"/>
      <c r="Q431" s="27"/>
      <c r="R431" s="27"/>
      <c r="S431" s="27"/>
      <c r="T431" s="27"/>
      <c r="U431" s="27"/>
      <c r="V431" s="27"/>
      <c r="W431" s="27"/>
      <c r="X431" s="27"/>
      <c r="Y431" s="27"/>
      <c r="Z431" s="27"/>
      <c r="AA431" s="27"/>
      <c r="AB431" s="27"/>
      <c r="AC431" s="27"/>
      <c r="AD431" s="27"/>
      <c r="AE431" s="27"/>
      <c r="AF431" s="27"/>
      <c r="AG431" s="27"/>
      <c r="AH431" s="27"/>
      <c r="AI431" s="27"/>
      <c r="AJ431" s="27"/>
      <c r="AK431" s="27"/>
      <c r="AL431" s="27"/>
      <c r="AM431" s="27"/>
      <c r="AN431" s="27"/>
      <c r="AO431" s="27"/>
      <c r="AP431" s="27"/>
      <c r="AQ431" s="27"/>
      <c r="AR431" s="27"/>
      <c r="AS431" s="27"/>
      <c r="AT431" s="27"/>
      <c r="AU431" s="27"/>
      <c r="AV431" s="27"/>
      <c r="AW431" s="27"/>
      <c r="AX431" s="27"/>
      <c r="AY431" s="27"/>
      <c r="AZ431" s="27"/>
      <c r="BA431" s="27"/>
      <c r="BB431" s="27"/>
      <c r="BC431" s="27"/>
      <c r="BD431" s="27"/>
      <c r="BE431" s="27"/>
      <c r="BF431" s="27"/>
      <c r="BG431" s="27"/>
      <c r="BH431" s="27"/>
      <c r="BI431" s="27"/>
      <c r="BJ431" s="27"/>
      <c r="BK431" s="27"/>
      <c r="BL431" s="27"/>
      <c r="BM431" s="27"/>
      <c r="BN431" s="27"/>
      <c r="BO431" s="27"/>
      <c r="BP431" s="27"/>
      <c r="BQ431" s="27"/>
      <c r="BR431" s="27"/>
      <c r="BS431" s="27"/>
      <c r="BT431" s="27"/>
      <c r="BU431" s="27"/>
      <c r="BV431" s="27"/>
      <c r="BW431" s="27"/>
      <c r="BX431" s="27"/>
      <c r="BY431" s="27"/>
      <c r="BZ431" s="27"/>
      <c r="CA431" s="27"/>
      <c r="CB431" s="27"/>
      <c r="CC431" s="27"/>
      <c r="CD431" s="27"/>
      <c r="CE431" s="27"/>
      <c r="CF431" s="27"/>
      <c r="CG431" s="27"/>
      <c r="CH431" s="27"/>
      <c r="CI431" s="27"/>
      <c r="CJ431" s="27"/>
      <c r="CK431" s="27"/>
      <c r="CL431" s="27"/>
      <c r="CM431" s="27"/>
      <c r="CN431" s="27"/>
      <c r="CO431" s="27"/>
      <c r="CP431" s="27"/>
      <c r="CQ431" s="27"/>
      <c r="CR431" s="27"/>
      <c r="CS431" s="27"/>
      <c r="CT431" s="27"/>
      <c r="CU431" s="27"/>
      <c r="CV431" s="27"/>
      <c r="CW431" s="27"/>
      <c r="CX431" s="27"/>
      <c r="CY431" s="27"/>
      <c r="CZ431" s="27"/>
      <c r="DA431" s="27"/>
      <c r="DB431" s="27"/>
      <c r="DC431" s="27"/>
      <c r="DD431" s="27"/>
      <c r="DE431" s="27"/>
      <c r="DF431" s="27"/>
      <c r="DG431" s="27"/>
      <c r="DH431" s="27"/>
      <c r="DI431" s="27"/>
      <c r="DJ431" s="27"/>
      <c r="DK431" s="27"/>
      <c r="DL431" s="27"/>
      <c r="DM431" s="27"/>
      <c r="DN431" s="27"/>
      <c r="DO431" s="27"/>
      <c r="DP431" s="27"/>
      <c r="DQ431" s="27"/>
      <c r="DR431" s="27"/>
      <c r="DS431" s="27"/>
      <c r="DT431" s="27"/>
    </row>
    <row r="432" spans="2:124" x14ac:dyDescent="0.2">
      <c r="B432" s="27"/>
      <c r="C432" s="27"/>
      <c r="D432" s="27"/>
      <c r="E432" s="27"/>
      <c r="F432" s="27"/>
      <c r="G432" s="27"/>
      <c r="H432" s="27"/>
      <c r="I432" s="27"/>
      <c r="J432" s="27"/>
      <c r="K432" s="27"/>
      <c r="L432" s="27"/>
      <c r="M432" s="27"/>
      <c r="N432" s="27"/>
      <c r="O432" s="27"/>
      <c r="P432" s="27"/>
      <c r="Q432" s="27"/>
      <c r="R432" s="27"/>
      <c r="S432" s="27"/>
      <c r="T432" s="27"/>
      <c r="U432" s="27"/>
      <c r="V432" s="27"/>
      <c r="W432" s="27"/>
      <c r="X432" s="27"/>
      <c r="Y432" s="27"/>
      <c r="Z432" s="27"/>
      <c r="AA432" s="27"/>
      <c r="AB432" s="27"/>
      <c r="AC432" s="27"/>
      <c r="AD432" s="27"/>
      <c r="AE432" s="27"/>
      <c r="AF432" s="27"/>
      <c r="AG432" s="27"/>
      <c r="AH432" s="27"/>
      <c r="AI432" s="27"/>
      <c r="AJ432" s="27"/>
      <c r="AK432" s="27"/>
      <c r="AL432" s="27"/>
      <c r="AM432" s="27"/>
      <c r="AN432" s="27"/>
      <c r="AO432" s="27"/>
      <c r="AP432" s="27"/>
      <c r="AQ432" s="27"/>
      <c r="AR432" s="27"/>
      <c r="AS432" s="27"/>
      <c r="AT432" s="27"/>
      <c r="AU432" s="27"/>
      <c r="AV432" s="27"/>
      <c r="AW432" s="27"/>
      <c r="AX432" s="27"/>
      <c r="AY432" s="27"/>
      <c r="AZ432" s="27"/>
      <c r="BA432" s="27"/>
      <c r="BB432" s="27"/>
      <c r="BC432" s="27"/>
      <c r="BD432" s="27"/>
      <c r="BE432" s="27"/>
      <c r="BF432" s="27"/>
      <c r="BG432" s="27"/>
      <c r="BH432" s="27"/>
      <c r="BI432" s="27"/>
      <c r="BJ432" s="27"/>
      <c r="BK432" s="27"/>
      <c r="BL432" s="27"/>
      <c r="BM432" s="27"/>
      <c r="BN432" s="27"/>
      <c r="BO432" s="27"/>
      <c r="BP432" s="27"/>
      <c r="BQ432" s="27"/>
      <c r="BR432" s="27"/>
      <c r="BS432" s="27"/>
      <c r="BT432" s="27"/>
      <c r="BU432" s="27"/>
      <c r="BV432" s="27"/>
      <c r="BW432" s="27"/>
      <c r="BX432" s="27"/>
      <c r="BY432" s="27"/>
      <c r="BZ432" s="27"/>
      <c r="CA432" s="27"/>
      <c r="CB432" s="27"/>
      <c r="CC432" s="27"/>
      <c r="CD432" s="27"/>
      <c r="CE432" s="27"/>
      <c r="CF432" s="27"/>
      <c r="CG432" s="27"/>
      <c r="CH432" s="27"/>
      <c r="CI432" s="27"/>
      <c r="CJ432" s="27"/>
      <c r="CK432" s="27"/>
      <c r="CL432" s="27"/>
      <c r="CM432" s="27"/>
      <c r="CN432" s="27"/>
      <c r="CO432" s="27"/>
      <c r="CP432" s="27"/>
      <c r="CQ432" s="27"/>
      <c r="CR432" s="27"/>
      <c r="CS432" s="27"/>
      <c r="CT432" s="27"/>
      <c r="CU432" s="27"/>
      <c r="CV432" s="27"/>
      <c r="CW432" s="27"/>
      <c r="CX432" s="27"/>
      <c r="CY432" s="27"/>
      <c r="CZ432" s="27"/>
      <c r="DA432" s="27"/>
      <c r="DB432" s="27"/>
      <c r="DC432" s="27"/>
      <c r="DD432" s="27"/>
      <c r="DE432" s="27"/>
      <c r="DF432" s="27"/>
      <c r="DG432" s="27"/>
      <c r="DH432" s="27"/>
      <c r="DI432" s="27"/>
      <c r="DJ432" s="27"/>
      <c r="DK432" s="27"/>
      <c r="DL432" s="27"/>
      <c r="DM432" s="27"/>
      <c r="DN432" s="27"/>
      <c r="DO432" s="27"/>
      <c r="DP432" s="27"/>
      <c r="DQ432" s="27"/>
      <c r="DR432" s="27"/>
      <c r="DS432" s="27"/>
      <c r="DT432" s="27"/>
    </row>
    <row r="433" spans="2:124" x14ac:dyDescent="0.2">
      <c r="B433" s="27"/>
      <c r="C433" s="27"/>
      <c r="D433" s="27"/>
      <c r="E433" s="27"/>
      <c r="F433" s="27"/>
      <c r="G433" s="27"/>
      <c r="H433" s="27"/>
      <c r="I433" s="27"/>
      <c r="J433" s="27"/>
      <c r="K433" s="27"/>
      <c r="L433" s="27"/>
      <c r="M433" s="27"/>
      <c r="N433" s="27"/>
      <c r="O433" s="27"/>
      <c r="P433" s="27"/>
      <c r="Q433" s="27"/>
      <c r="R433" s="27"/>
      <c r="S433" s="27"/>
      <c r="T433" s="27"/>
      <c r="U433" s="27"/>
      <c r="V433" s="27"/>
      <c r="W433" s="27"/>
      <c r="X433" s="27"/>
      <c r="Y433" s="27"/>
      <c r="Z433" s="27"/>
      <c r="AA433" s="27"/>
      <c r="AB433" s="27"/>
      <c r="AC433" s="27"/>
      <c r="AD433" s="27"/>
      <c r="AE433" s="27"/>
      <c r="AF433" s="27"/>
      <c r="AG433" s="27"/>
      <c r="AH433" s="27"/>
      <c r="AI433" s="27"/>
      <c r="AJ433" s="27"/>
      <c r="AK433" s="27"/>
      <c r="AL433" s="27"/>
      <c r="AM433" s="27"/>
      <c r="AN433" s="27"/>
      <c r="AO433" s="27"/>
      <c r="AP433" s="27"/>
      <c r="AQ433" s="27"/>
      <c r="AR433" s="27"/>
      <c r="AS433" s="27"/>
      <c r="AT433" s="27"/>
      <c r="AU433" s="27"/>
      <c r="AV433" s="27"/>
      <c r="AW433" s="27"/>
      <c r="AX433" s="27"/>
      <c r="AY433" s="27"/>
      <c r="AZ433" s="27"/>
      <c r="BA433" s="27"/>
      <c r="BB433" s="27"/>
      <c r="BC433" s="27"/>
      <c r="BD433" s="27"/>
      <c r="BE433" s="27"/>
      <c r="BF433" s="27"/>
      <c r="BG433" s="27"/>
      <c r="BH433" s="27"/>
      <c r="BI433" s="27"/>
      <c r="BJ433" s="27"/>
      <c r="BK433" s="27"/>
      <c r="BL433" s="27"/>
      <c r="BM433" s="27"/>
      <c r="BN433" s="27"/>
      <c r="BO433" s="27"/>
      <c r="BP433" s="27"/>
      <c r="BQ433" s="27"/>
      <c r="BR433" s="27"/>
      <c r="BS433" s="27"/>
      <c r="BT433" s="27"/>
      <c r="BU433" s="27"/>
      <c r="BV433" s="27"/>
      <c r="BW433" s="27"/>
      <c r="BX433" s="27"/>
      <c r="BY433" s="27"/>
      <c r="BZ433" s="27"/>
      <c r="CA433" s="27"/>
      <c r="CB433" s="27"/>
      <c r="CC433" s="27"/>
      <c r="CD433" s="27"/>
      <c r="CE433" s="27"/>
      <c r="CF433" s="27"/>
      <c r="CG433" s="27"/>
      <c r="CH433" s="27"/>
      <c r="CI433" s="27"/>
      <c r="CJ433" s="27"/>
      <c r="CK433" s="27"/>
      <c r="CL433" s="27"/>
      <c r="CM433" s="27"/>
      <c r="CN433" s="27"/>
      <c r="CO433" s="27"/>
      <c r="CP433" s="27"/>
      <c r="CQ433" s="27"/>
      <c r="CR433" s="27"/>
      <c r="CS433" s="27"/>
      <c r="CT433" s="27"/>
      <c r="CU433" s="27"/>
      <c r="CV433" s="27"/>
      <c r="CW433" s="27"/>
      <c r="CX433" s="27"/>
      <c r="CY433" s="27"/>
      <c r="CZ433" s="27"/>
      <c r="DA433" s="27"/>
      <c r="DB433" s="27"/>
      <c r="DC433" s="27"/>
      <c r="DD433" s="27"/>
      <c r="DE433" s="27"/>
      <c r="DF433" s="27"/>
      <c r="DG433" s="27"/>
      <c r="DH433" s="27"/>
      <c r="DI433" s="27"/>
      <c r="DJ433" s="27"/>
      <c r="DK433" s="27"/>
      <c r="DL433" s="27"/>
      <c r="DM433" s="27"/>
      <c r="DN433" s="27"/>
      <c r="DO433" s="27"/>
      <c r="DP433" s="27"/>
      <c r="DQ433" s="27"/>
      <c r="DR433" s="27"/>
      <c r="DS433" s="27"/>
      <c r="DT433" s="27"/>
    </row>
    <row r="434" spans="2:124" x14ac:dyDescent="0.2">
      <c r="B434" s="27"/>
      <c r="C434" s="27"/>
      <c r="D434" s="27"/>
      <c r="E434" s="27"/>
      <c r="F434" s="27"/>
      <c r="G434" s="27"/>
      <c r="H434" s="27"/>
      <c r="I434" s="27"/>
      <c r="J434" s="27"/>
      <c r="K434" s="27"/>
      <c r="L434" s="27"/>
      <c r="M434" s="27"/>
      <c r="N434" s="27"/>
      <c r="O434" s="27"/>
      <c r="P434" s="27"/>
      <c r="Q434" s="27"/>
      <c r="R434" s="27"/>
      <c r="S434" s="27"/>
      <c r="T434" s="27"/>
      <c r="U434" s="27"/>
      <c r="V434" s="27"/>
      <c r="W434" s="27"/>
      <c r="X434" s="27"/>
      <c r="Y434" s="27"/>
      <c r="Z434" s="27"/>
      <c r="AA434" s="27"/>
      <c r="AB434" s="27"/>
      <c r="AC434" s="27"/>
      <c r="AD434" s="27"/>
      <c r="AE434" s="27"/>
      <c r="AF434" s="27"/>
      <c r="AG434" s="27"/>
      <c r="AH434" s="27"/>
      <c r="AI434" s="27"/>
      <c r="AJ434" s="27"/>
      <c r="AK434" s="27"/>
      <c r="AL434" s="27"/>
      <c r="AM434" s="27"/>
      <c r="AN434" s="27"/>
      <c r="AO434" s="27"/>
      <c r="AP434" s="27"/>
      <c r="AQ434" s="27"/>
      <c r="AR434" s="27"/>
      <c r="AS434" s="27"/>
      <c r="AT434" s="27"/>
      <c r="AU434" s="27"/>
      <c r="AV434" s="27"/>
      <c r="AW434" s="27"/>
      <c r="AX434" s="27"/>
      <c r="AY434" s="27"/>
      <c r="AZ434" s="27"/>
      <c r="BA434" s="27"/>
      <c r="BB434" s="27"/>
      <c r="BC434" s="27"/>
      <c r="BD434" s="27"/>
      <c r="BE434" s="27"/>
      <c r="BF434" s="27"/>
      <c r="BG434" s="27"/>
      <c r="BH434" s="27"/>
      <c r="BI434" s="27"/>
      <c r="BJ434" s="27"/>
      <c r="BK434" s="27"/>
      <c r="BL434" s="27"/>
      <c r="BM434" s="27"/>
      <c r="BN434" s="27"/>
      <c r="BO434" s="27"/>
      <c r="BP434" s="27"/>
      <c r="BQ434" s="27"/>
      <c r="BR434" s="27"/>
      <c r="BS434" s="27"/>
      <c r="BT434" s="27"/>
      <c r="BU434" s="27"/>
      <c r="BV434" s="27"/>
      <c r="BW434" s="27"/>
      <c r="BX434" s="27"/>
      <c r="BY434" s="27"/>
      <c r="BZ434" s="27"/>
      <c r="CA434" s="27"/>
      <c r="CB434" s="27"/>
      <c r="CC434" s="27"/>
      <c r="CD434" s="27"/>
      <c r="CE434" s="27"/>
      <c r="CF434" s="27"/>
      <c r="CG434" s="27"/>
      <c r="CH434" s="27"/>
      <c r="CI434" s="27"/>
      <c r="CJ434" s="27"/>
      <c r="CK434" s="27"/>
      <c r="CL434" s="27"/>
      <c r="CM434" s="27"/>
      <c r="CN434" s="27"/>
      <c r="CO434" s="27"/>
      <c r="CP434" s="27"/>
      <c r="CQ434" s="27"/>
      <c r="CR434" s="27"/>
      <c r="CS434" s="27"/>
      <c r="CT434" s="27"/>
      <c r="CU434" s="27"/>
      <c r="CV434" s="27"/>
      <c r="CW434" s="27"/>
      <c r="CX434" s="27"/>
      <c r="CY434" s="27"/>
      <c r="CZ434" s="27"/>
      <c r="DA434" s="27"/>
      <c r="DB434" s="27"/>
      <c r="DC434" s="27"/>
      <c r="DD434" s="27"/>
      <c r="DE434" s="27"/>
      <c r="DF434" s="27"/>
      <c r="DG434" s="27"/>
      <c r="DH434" s="27"/>
      <c r="DI434" s="27"/>
      <c r="DJ434" s="27"/>
      <c r="DK434" s="27"/>
      <c r="DL434" s="27"/>
      <c r="DM434" s="27"/>
      <c r="DN434" s="27"/>
      <c r="DO434" s="27"/>
      <c r="DP434" s="27"/>
      <c r="DQ434" s="27"/>
      <c r="DR434" s="27"/>
      <c r="DS434" s="27"/>
      <c r="DT434" s="27"/>
    </row>
    <row r="435" spans="2:124" x14ac:dyDescent="0.2">
      <c r="B435" s="27"/>
      <c r="C435" s="27"/>
      <c r="D435" s="27"/>
      <c r="E435" s="27"/>
      <c r="F435" s="27"/>
      <c r="G435" s="27"/>
      <c r="H435" s="27"/>
      <c r="I435" s="27"/>
      <c r="J435" s="27"/>
      <c r="K435" s="27"/>
      <c r="L435" s="27"/>
      <c r="M435" s="27"/>
      <c r="N435" s="27"/>
      <c r="O435" s="27"/>
      <c r="P435" s="27"/>
      <c r="Q435" s="27"/>
      <c r="R435" s="27"/>
      <c r="S435" s="27"/>
      <c r="T435" s="27"/>
      <c r="U435" s="27"/>
      <c r="V435" s="27"/>
      <c r="W435" s="27"/>
      <c r="X435" s="27"/>
      <c r="Y435" s="27"/>
      <c r="Z435" s="27"/>
      <c r="AA435" s="27"/>
      <c r="AB435" s="27"/>
      <c r="AC435" s="27"/>
      <c r="AD435" s="27"/>
      <c r="AE435" s="27"/>
      <c r="AF435" s="27"/>
      <c r="AG435" s="27"/>
      <c r="AH435" s="27"/>
      <c r="AI435" s="27"/>
      <c r="AJ435" s="27"/>
      <c r="AK435" s="27"/>
      <c r="AL435" s="27"/>
      <c r="AM435" s="27"/>
      <c r="AN435" s="27"/>
      <c r="AO435" s="27"/>
      <c r="AP435" s="27"/>
      <c r="AQ435" s="27"/>
      <c r="AR435" s="27"/>
      <c r="AS435" s="27"/>
      <c r="AT435" s="27"/>
      <c r="AU435" s="27"/>
      <c r="AV435" s="27"/>
      <c r="AW435" s="27"/>
      <c r="AX435" s="27"/>
      <c r="AY435" s="27"/>
      <c r="AZ435" s="27"/>
      <c r="BA435" s="27"/>
      <c r="BB435" s="27"/>
      <c r="BC435" s="27"/>
      <c r="BD435" s="27"/>
      <c r="BE435" s="27"/>
      <c r="BF435" s="27"/>
      <c r="BG435" s="27"/>
      <c r="BH435" s="27"/>
      <c r="BI435" s="27"/>
      <c r="BJ435" s="27"/>
      <c r="BK435" s="27"/>
      <c r="BL435" s="27"/>
      <c r="BM435" s="27"/>
      <c r="BN435" s="27"/>
      <c r="BO435" s="27"/>
      <c r="BP435" s="27"/>
      <c r="BQ435" s="27"/>
      <c r="BR435" s="27"/>
      <c r="BS435" s="27"/>
      <c r="BT435" s="27"/>
      <c r="BU435" s="27"/>
      <c r="BV435" s="27"/>
      <c r="BW435" s="27"/>
      <c r="BX435" s="27"/>
      <c r="BY435" s="27"/>
      <c r="BZ435" s="27"/>
      <c r="CA435" s="27"/>
      <c r="CB435" s="27"/>
      <c r="CC435" s="27"/>
      <c r="CD435" s="27"/>
      <c r="CE435" s="27"/>
      <c r="CF435" s="27"/>
      <c r="CG435" s="27"/>
      <c r="CH435" s="27"/>
      <c r="CI435" s="27"/>
      <c r="CJ435" s="27"/>
      <c r="CK435" s="27"/>
      <c r="CL435" s="27"/>
      <c r="CM435" s="27"/>
      <c r="CN435" s="27"/>
      <c r="CO435" s="27"/>
      <c r="CP435" s="27"/>
      <c r="CQ435" s="27"/>
      <c r="CR435" s="27"/>
      <c r="CS435" s="27"/>
      <c r="CT435" s="27"/>
      <c r="CU435" s="27"/>
      <c r="CV435" s="27"/>
      <c r="CW435" s="27"/>
      <c r="CX435" s="27"/>
      <c r="CY435" s="27"/>
      <c r="CZ435" s="27"/>
      <c r="DA435" s="27"/>
      <c r="DB435" s="27"/>
      <c r="DC435" s="27"/>
      <c r="DD435" s="27"/>
      <c r="DE435" s="27"/>
      <c r="DF435" s="27"/>
      <c r="DG435" s="27"/>
      <c r="DH435" s="27"/>
      <c r="DI435" s="27"/>
      <c r="DJ435" s="27"/>
      <c r="DK435" s="27"/>
      <c r="DL435" s="27"/>
      <c r="DM435" s="27"/>
      <c r="DN435" s="27"/>
      <c r="DO435" s="27"/>
      <c r="DP435" s="27"/>
      <c r="DQ435" s="27"/>
      <c r="DR435" s="27"/>
      <c r="DS435" s="27"/>
      <c r="DT435" s="27"/>
    </row>
    <row r="436" spans="2:124" x14ac:dyDescent="0.2">
      <c r="B436" s="27"/>
      <c r="C436" s="27"/>
      <c r="D436" s="27"/>
      <c r="E436" s="27"/>
      <c r="F436" s="27"/>
      <c r="G436" s="27"/>
      <c r="H436" s="27"/>
      <c r="I436" s="27"/>
      <c r="J436" s="27"/>
      <c r="K436" s="27"/>
      <c r="L436" s="27"/>
      <c r="M436" s="27"/>
      <c r="N436" s="27"/>
      <c r="O436" s="27"/>
      <c r="P436" s="27"/>
      <c r="Q436" s="27"/>
      <c r="R436" s="27"/>
      <c r="S436" s="27"/>
      <c r="T436" s="27"/>
      <c r="U436" s="27"/>
      <c r="V436" s="27"/>
      <c r="W436" s="27"/>
      <c r="X436" s="27"/>
      <c r="Y436" s="27"/>
      <c r="Z436" s="27"/>
      <c r="AA436" s="27"/>
      <c r="AB436" s="27"/>
      <c r="AC436" s="27"/>
      <c r="AD436" s="27"/>
      <c r="AE436" s="27"/>
      <c r="AF436" s="27"/>
      <c r="AG436" s="27"/>
      <c r="AH436" s="27"/>
      <c r="AI436" s="27"/>
      <c r="AJ436" s="27"/>
      <c r="AK436" s="27"/>
      <c r="AL436" s="27"/>
      <c r="AM436" s="27"/>
      <c r="AN436" s="27"/>
      <c r="AO436" s="27"/>
      <c r="AP436" s="27"/>
      <c r="AQ436" s="27"/>
      <c r="AR436" s="27"/>
      <c r="AS436" s="27"/>
      <c r="AT436" s="27"/>
      <c r="AU436" s="27"/>
      <c r="AV436" s="27"/>
      <c r="AW436" s="27"/>
      <c r="AX436" s="27"/>
      <c r="AY436" s="27"/>
      <c r="AZ436" s="27"/>
      <c r="BA436" s="27"/>
      <c r="BB436" s="27"/>
      <c r="BC436" s="27"/>
      <c r="BD436" s="27"/>
      <c r="BE436" s="27"/>
      <c r="BF436" s="27"/>
      <c r="BG436" s="27"/>
      <c r="BH436" s="27"/>
      <c r="BI436" s="27"/>
      <c r="BJ436" s="27"/>
      <c r="BK436" s="27"/>
      <c r="BL436" s="27"/>
      <c r="BM436" s="27"/>
      <c r="BN436" s="27"/>
      <c r="BO436" s="27"/>
      <c r="BP436" s="27"/>
      <c r="BQ436" s="27"/>
      <c r="BR436" s="27"/>
      <c r="BS436" s="27"/>
      <c r="BT436" s="27"/>
      <c r="BU436" s="27"/>
      <c r="BV436" s="27"/>
      <c r="BW436" s="27"/>
      <c r="BX436" s="27"/>
      <c r="BY436" s="27"/>
      <c r="BZ436" s="27"/>
      <c r="CA436" s="27"/>
      <c r="CB436" s="27"/>
      <c r="CC436" s="27"/>
      <c r="CD436" s="27"/>
      <c r="CE436" s="27"/>
      <c r="CF436" s="27"/>
      <c r="CG436" s="27"/>
      <c r="CH436" s="27"/>
      <c r="CI436" s="27"/>
      <c r="CJ436" s="27"/>
      <c r="CK436" s="27"/>
      <c r="CL436" s="27"/>
      <c r="CM436" s="27"/>
      <c r="CN436" s="27"/>
      <c r="CO436" s="27"/>
      <c r="CP436" s="27"/>
      <c r="CQ436" s="27"/>
      <c r="CR436" s="27"/>
      <c r="CS436" s="27"/>
      <c r="CT436" s="27"/>
      <c r="CU436" s="27"/>
      <c r="CV436" s="27"/>
      <c r="CW436" s="27"/>
      <c r="CX436" s="27"/>
      <c r="CY436" s="27"/>
      <c r="CZ436" s="27"/>
      <c r="DA436" s="27"/>
      <c r="DB436" s="27"/>
      <c r="DC436" s="27"/>
      <c r="DD436" s="27"/>
      <c r="DE436" s="27"/>
      <c r="DF436" s="27"/>
      <c r="DG436" s="27"/>
      <c r="DH436" s="27"/>
      <c r="DI436" s="27"/>
      <c r="DJ436" s="27"/>
      <c r="DK436" s="27"/>
      <c r="DL436" s="27"/>
      <c r="DM436" s="27"/>
      <c r="DN436" s="27"/>
      <c r="DO436" s="27"/>
      <c r="DP436" s="27"/>
      <c r="DQ436" s="27"/>
      <c r="DR436" s="27"/>
      <c r="DS436" s="27"/>
      <c r="DT436" s="27"/>
    </row>
    <row r="437" spans="2:124" x14ac:dyDescent="0.2">
      <c r="B437" s="27"/>
      <c r="C437" s="27"/>
      <c r="D437" s="27"/>
      <c r="E437" s="27"/>
      <c r="F437" s="27"/>
      <c r="G437" s="27"/>
      <c r="H437" s="27"/>
      <c r="I437" s="27"/>
      <c r="J437" s="27"/>
      <c r="K437" s="27"/>
      <c r="L437" s="27"/>
      <c r="M437" s="27"/>
      <c r="N437" s="27"/>
      <c r="O437" s="27"/>
      <c r="P437" s="27"/>
      <c r="Q437" s="27"/>
      <c r="R437" s="27"/>
      <c r="S437" s="27"/>
      <c r="T437" s="27"/>
      <c r="U437" s="27"/>
      <c r="V437" s="27"/>
      <c r="W437" s="27"/>
      <c r="X437" s="27"/>
      <c r="Y437" s="27"/>
      <c r="Z437" s="27"/>
      <c r="AA437" s="27"/>
      <c r="AB437" s="27"/>
      <c r="AC437" s="27"/>
      <c r="AD437" s="27"/>
      <c r="AE437" s="27"/>
      <c r="AF437" s="27"/>
      <c r="AG437" s="27"/>
      <c r="AH437" s="27"/>
      <c r="AI437" s="27"/>
      <c r="AJ437" s="27"/>
      <c r="AK437" s="27"/>
      <c r="AL437" s="27"/>
      <c r="AM437" s="27"/>
      <c r="AN437" s="27"/>
      <c r="AO437" s="27"/>
      <c r="AP437" s="27"/>
      <c r="AQ437" s="27"/>
      <c r="AR437" s="27"/>
      <c r="AS437" s="27"/>
      <c r="AT437" s="27"/>
      <c r="AU437" s="27"/>
      <c r="AV437" s="27"/>
      <c r="AW437" s="27"/>
      <c r="AX437" s="27"/>
      <c r="AY437" s="27"/>
      <c r="AZ437" s="27"/>
      <c r="BA437" s="27"/>
      <c r="BB437" s="27"/>
      <c r="BC437" s="27"/>
      <c r="BD437" s="27"/>
      <c r="BE437" s="27"/>
      <c r="BF437" s="27"/>
      <c r="BG437" s="27"/>
      <c r="BH437" s="27"/>
      <c r="BI437" s="27"/>
      <c r="BJ437" s="27"/>
      <c r="BK437" s="27"/>
      <c r="BL437" s="27"/>
      <c r="BM437" s="27"/>
      <c r="BN437" s="27"/>
      <c r="BO437" s="27"/>
      <c r="BP437" s="27"/>
      <c r="BQ437" s="27"/>
      <c r="BR437" s="27"/>
      <c r="BS437" s="27"/>
      <c r="BT437" s="27"/>
      <c r="BU437" s="27"/>
      <c r="BV437" s="27"/>
      <c r="BW437" s="27"/>
      <c r="BX437" s="27"/>
      <c r="BY437" s="27"/>
      <c r="BZ437" s="27"/>
      <c r="CA437" s="27"/>
      <c r="CB437" s="27"/>
      <c r="CC437" s="27"/>
      <c r="CD437" s="27"/>
      <c r="CE437" s="27"/>
      <c r="CF437" s="27"/>
      <c r="CG437" s="27"/>
      <c r="CH437" s="27"/>
      <c r="CI437" s="27"/>
      <c r="CJ437" s="27"/>
      <c r="CK437" s="27"/>
      <c r="CL437" s="27"/>
      <c r="CM437" s="27"/>
      <c r="CN437" s="27"/>
      <c r="CO437" s="27"/>
      <c r="CP437" s="27"/>
      <c r="CQ437" s="27"/>
      <c r="CR437" s="27"/>
      <c r="CS437" s="27"/>
      <c r="CT437" s="27"/>
      <c r="CU437" s="27"/>
      <c r="CV437" s="27"/>
      <c r="CW437" s="27"/>
      <c r="CX437" s="27"/>
      <c r="CY437" s="27"/>
      <c r="CZ437" s="27"/>
      <c r="DA437" s="27"/>
      <c r="DB437" s="27"/>
      <c r="DC437" s="27"/>
      <c r="DD437" s="27"/>
      <c r="DE437" s="27"/>
      <c r="DF437" s="27"/>
      <c r="DG437" s="27"/>
      <c r="DH437" s="27"/>
      <c r="DI437" s="27"/>
      <c r="DJ437" s="27"/>
      <c r="DK437" s="27"/>
      <c r="DL437" s="27"/>
      <c r="DM437" s="27"/>
      <c r="DN437" s="27"/>
      <c r="DO437" s="27"/>
      <c r="DP437" s="27"/>
      <c r="DQ437" s="27"/>
      <c r="DR437" s="27"/>
      <c r="DS437" s="27"/>
      <c r="DT437" s="27"/>
    </row>
    <row r="438" spans="2:124" x14ac:dyDescent="0.2">
      <c r="B438" s="27"/>
      <c r="C438" s="27"/>
      <c r="D438" s="27"/>
      <c r="E438" s="27"/>
      <c r="F438" s="27"/>
      <c r="G438" s="27"/>
      <c r="H438" s="27"/>
      <c r="I438" s="27"/>
      <c r="J438" s="27"/>
      <c r="K438" s="27"/>
      <c r="L438" s="27"/>
      <c r="M438" s="27"/>
      <c r="N438" s="27"/>
      <c r="O438" s="27"/>
      <c r="P438" s="27"/>
      <c r="Q438" s="27"/>
      <c r="R438" s="27"/>
      <c r="S438" s="27"/>
      <c r="T438" s="27"/>
      <c r="U438" s="27"/>
      <c r="V438" s="27"/>
      <c r="W438" s="27"/>
      <c r="X438" s="27"/>
      <c r="Y438" s="27"/>
      <c r="Z438" s="27"/>
      <c r="AA438" s="27"/>
      <c r="AB438" s="27"/>
      <c r="AC438" s="27"/>
      <c r="AD438" s="27"/>
      <c r="AE438" s="27"/>
      <c r="AF438" s="27"/>
      <c r="AG438" s="27"/>
      <c r="AH438" s="27"/>
      <c r="AI438" s="27"/>
      <c r="AJ438" s="27"/>
      <c r="AK438" s="27"/>
      <c r="AL438" s="27"/>
      <c r="AM438" s="27"/>
      <c r="AN438" s="27"/>
      <c r="AO438" s="27"/>
      <c r="AP438" s="27"/>
      <c r="AQ438" s="27"/>
      <c r="AR438" s="27"/>
      <c r="AS438" s="27"/>
      <c r="AT438" s="27"/>
      <c r="AU438" s="27"/>
      <c r="AV438" s="27"/>
      <c r="AW438" s="27"/>
      <c r="AX438" s="27"/>
      <c r="AY438" s="27"/>
      <c r="AZ438" s="27"/>
      <c r="BA438" s="27"/>
      <c r="BB438" s="27"/>
      <c r="BC438" s="27"/>
      <c r="BD438" s="27"/>
      <c r="BE438" s="27"/>
      <c r="BF438" s="27"/>
      <c r="BG438" s="27"/>
      <c r="BH438" s="27"/>
      <c r="BI438" s="27"/>
      <c r="BJ438" s="27"/>
      <c r="BK438" s="27"/>
      <c r="BL438" s="27"/>
      <c r="BM438" s="27"/>
      <c r="BN438" s="27"/>
      <c r="BO438" s="27"/>
      <c r="BP438" s="27"/>
      <c r="BQ438" s="27"/>
      <c r="BR438" s="27"/>
      <c r="BS438" s="27"/>
      <c r="BT438" s="27"/>
      <c r="BU438" s="27"/>
      <c r="BV438" s="27"/>
      <c r="BW438" s="27"/>
      <c r="BX438" s="27"/>
      <c r="BY438" s="27"/>
      <c r="BZ438" s="27"/>
      <c r="CA438" s="27"/>
      <c r="CB438" s="27"/>
      <c r="CC438" s="27"/>
      <c r="CD438" s="27"/>
      <c r="CE438" s="27"/>
      <c r="CF438" s="27"/>
      <c r="CG438" s="27"/>
      <c r="CH438" s="27"/>
      <c r="CI438" s="27"/>
      <c r="CJ438" s="27"/>
      <c r="CK438" s="27"/>
      <c r="CL438" s="27"/>
      <c r="CM438" s="27"/>
      <c r="CN438" s="27"/>
      <c r="CO438" s="27"/>
      <c r="CP438" s="27"/>
      <c r="CQ438" s="27"/>
      <c r="CR438" s="27"/>
      <c r="CS438" s="27"/>
      <c r="CT438" s="27"/>
      <c r="CU438" s="27"/>
      <c r="CV438" s="27"/>
      <c r="CW438" s="27"/>
      <c r="CX438" s="27"/>
      <c r="CY438" s="27"/>
      <c r="CZ438" s="27"/>
      <c r="DA438" s="27"/>
      <c r="DB438" s="27"/>
      <c r="DC438" s="27"/>
      <c r="DD438" s="27"/>
      <c r="DE438" s="27"/>
      <c r="DF438" s="27"/>
      <c r="DG438" s="27"/>
      <c r="DH438" s="27"/>
      <c r="DI438" s="27"/>
      <c r="DJ438" s="27"/>
      <c r="DK438" s="27"/>
      <c r="DL438" s="27"/>
      <c r="DM438" s="27"/>
      <c r="DN438" s="27"/>
      <c r="DO438" s="27"/>
      <c r="DP438" s="27"/>
      <c r="DQ438" s="27"/>
      <c r="DR438" s="27"/>
      <c r="DS438" s="27"/>
      <c r="DT438" s="27"/>
    </row>
    <row r="439" spans="2:124" x14ac:dyDescent="0.2">
      <c r="B439" s="27"/>
      <c r="C439" s="27"/>
      <c r="D439" s="27"/>
      <c r="E439" s="27"/>
      <c r="F439" s="27"/>
      <c r="G439" s="27"/>
      <c r="H439" s="27"/>
      <c r="I439" s="27"/>
      <c r="J439" s="27"/>
      <c r="K439" s="27"/>
      <c r="L439" s="27"/>
      <c r="M439" s="27"/>
      <c r="N439" s="27"/>
      <c r="O439" s="27"/>
      <c r="P439" s="27"/>
      <c r="Q439" s="27"/>
      <c r="R439" s="27"/>
      <c r="S439" s="27"/>
      <c r="T439" s="27"/>
      <c r="U439" s="27"/>
      <c r="V439" s="27"/>
      <c r="W439" s="27"/>
      <c r="X439" s="27"/>
      <c r="Y439" s="27"/>
      <c r="Z439" s="27"/>
      <c r="AA439" s="27"/>
      <c r="AB439" s="27"/>
      <c r="AC439" s="27"/>
      <c r="AD439" s="27"/>
      <c r="AE439" s="27"/>
      <c r="AF439" s="27"/>
      <c r="AG439" s="27"/>
      <c r="AH439" s="27"/>
      <c r="AI439" s="27"/>
      <c r="AJ439" s="27"/>
      <c r="AK439" s="27"/>
      <c r="AL439" s="27"/>
      <c r="AM439" s="27"/>
      <c r="AN439" s="27"/>
      <c r="AO439" s="27"/>
      <c r="AP439" s="27"/>
      <c r="AQ439" s="27"/>
      <c r="AR439" s="27"/>
      <c r="AS439" s="27"/>
      <c r="AT439" s="27"/>
      <c r="AU439" s="27"/>
      <c r="AV439" s="27"/>
      <c r="AW439" s="27"/>
      <c r="AX439" s="27"/>
      <c r="AY439" s="27"/>
      <c r="AZ439" s="27"/>
      <c r="BA439" s="27"/>
      <c r="BB439" s="27"/>
      <c r="BC439" s="27"/>
      <c r="BD439" s="27"/>
      <c r="BE439" s="27"/>
      <c r="BF439" s="27"/>
      <c r="BG439" s="27"/>
      <c r="BH439" s="27"/>
      <c r="BI439" s="27"/>
      <c r="BJ439" s="27"/>
      <c r="BK439" s="27"/>
      <c r="BL439" s="27"/>
      <c r="BM439" s="27"/>
      <c r="BN439" s="27"/>
      <c r="BO439" s="27"/>
      <c r="BP439" s="27"/>
      <c r="BQ439" s="27"/>
      <c r="BR439" s="27"/>
      <c r="BS439" s="27"/>
      <c r="BT439" s="27"/>
      <c r="BU439" s="27"/>
      <c r="BV439" s="27"/>
      <c r="BW439" s="27"/>
      <c r="BX439" s="27"/>
      <c r="BY439" s="27"/>
      <c r="BZ439" s="27"/>
      <c r="CA439" s="27"/>
      <c r="CB439" s="27"/>
      <c r="CC439" s="27"/>
      <c r="CD439" s="27"/>
      <c r="CE439" s="27"/>
      <c r="CF439" s="27"/>
      <c r="CG439" s="27"/>
      <c r="CH439" s="27"/>
      <c r="CI439" s="27"/>
      <c r="CJ439" s="27"/>
      <c r="CK439" s="27"/>
      <c r="CL439" s="27"/>
      <c r="CM439" s="27"/>
      <c r="CN439" s="27"/>
      <c r="CO439" s="27"/>
      <c r="CP439" s="27"/>
      <c r="CQ439" s="27"/>
      <c r="CR439" s="27"/>
      <c r="CS439" s="27"/>
      <c r="CT439" s="27"/>
      <c r="CU439" s="27"/>
      <c r="CV439" s="27"/>
      <c r="CW439" s="27"/>
      <c r="CX439" s="27"/>
      <c r="CY439" s="27"/>
      <c r="CZ439" s="27"/>
      <c r="DA439" s="27"/>
      <c r="DB439" s="27"/>
      <c r="DC439" s="27"/>
      <c r="DD439" s="27"/>
      <c r="DE439" s="27"/>
      <c r="DF439" s="27"/>
      <c r="DG439" s="27"/>
      <c r="DH439" s="27"/>
      <c r="DI439" s="27"/>
      <c r="DJ439" s="27"/>
      <c r="DK439" s="27"/>
      <c r="DL439" s="27"/>
      <c r="DM439" s="27"/>
      <c r="DN439" s="27"/>
      <c r="DO439" s="27"/>
      <c r="DP439" s="27"/>
      <c r="DQ439" s="27"/>
      <c r="DR439" s="27"/>
      <c r="DS439" s="27"/>
      <c r="DT439" s="27"/>
    </row>
    <row r="440" spans="2:124" x14ac:dyDescent="0.2">
      <c r="B440" s="27"/>
      <c r="C440" s="27"/>
      <c r="D440" s="27"/>
      <c r="E440" s="27"/>
      <c r="F440" s="27"/>
      <c r="G440" s="27"/>
      <c r="H440" s="27"/>
      <c r="I440" s="27"/>
      <c r="J440" s="27"/>
      <c r="K440" s="27"/>
      <c r="L440" s="27"/>
      <c r="M440" s="27"/>
      <c r="N440" s="27"/>
      <c r="O440" s="27"/>
      <c r="P440" s="27"/>
      <c r="Q440" s="27"/>
      <c r="R440" s="27"/>
      <c r="S440" s="27"/>
      <c r="T440" s="27"/>
      <c r="U440" s="27"/>
      <c r="V440" s="27"/>
      <c r="W440" s="27"/>
      <c r="X440" s="27"/>
      <c r="Y440" s="27"/>
      <c r="Z440" s="27"/>
      <c r="AA440" s="27"/>
      <c r="AB440" s="27"/>
      <c r="AC440" s="27"/>
      <c r="AD440" s="27"/>
      <c r="AE440" s="27"/>
      <c r="AF440" s="27"/>
      <c r="AG440" s="27"/>
      <c r="AH440" s="27"/>
      <c r="AI440" s="27"/>
      <c r="AJ440" s="27"/>
      <c r="AK440" s="27"/>
      <c r="AL440" s="27"/>
      <c r="AM440" s="27"/>
      <c r="AN440" s="27"/>
      <c r="AO440" s="27"/>
      <c r="AP440" s="27"/>
      <c r="AQ440" s="27"/>
      <c r="AR440" s="27"/>
      <c r="AS440" s="27"/>
      <c r="AT440" s="27"/>
      <c r="AU440" s="27"/>
      <c r="AV440" s="27"/>
      <c r="AW440" s="27"/>
      <c r="AX440" s="27"/>
      <c r="AY440" s="27"/>
      <c r="AZ440" s="27"/>
      <c r="BA440" s="27"/>
      <c r="BB440" s="27"/>
      <c r="BC440" s="27"/>
      <c r="BD440" s="27"/>
      <c r="BE440" s="27"/>
      <c r="BF440" s="27"/>
      <c r="BG440" s="27"/>
      <c r="BH440" s="27"/>
      <c r="BI440" s="27"/>
      <c r="BJ440" s="27"/>
      <c r="BK440" s="27"/>
      <c r="BL440" s="27"/>
      <c r="BM440" s="27"/>
      <c r="BN440" s="27"/>
      <c r="BO440" s="27"/>
      <c r="BP440" s="27"/>
      <c r="BQ440" s="27"/>
      <c r="BR440" s="27"/>
      <c r="BS440" s="27"/>
      <c r="BT440" s="27"/>
      <c r="BU440" s="27"/>
      <c r="BV440" s="27"/>
      <c r="BW440" s="27"/>
      <c r="BX440" s="27"/>
      <c r="BY440" s="27"/>
      <c r="BZ440" s="27"/>
      <c r="CA440" s="27"/>
      <c r="CB440" s="27"/>
      <c r="CC440" s="27"/>
      <c r="CD440" s="27"/>
      <c r="CE440" s="27"/>
      <c r="CF440" s="27"/>
      <c r="CG440" s="27"/>
      <c r="CH440" s="27"/>
      <c r="CI440" s="27"/>
      <c r="CJ440" s="27"/>
      <c r="CK440" s="27"/>
      <c r="CL440" s="27"/>
      <c r="CM440" s="27"/>
      <c r="CN440" s="27"/>
      <c r="CO440" s="27"/>
      <c r="CP440" s="27"/>
      <c r="CQ440" s="27"/>
      <c r="CR440" s="27"/>
      <c r="CS440" s="27"/>
      <c r="CT440" s="27"/>
      <c r="CU440" s="27"/>
      <c r="CV440" s="27"/>
      <c r="CW440" s="27"/>
      <c r="CX440" s="27"/>
      <c r="CY440" s="27"/>
      <c r="CZ440" s="27"/>
      <c r="DA440" s="27"/>
      <c r="DB440" s="27"/>
      <c r="DC440" s="27"/>
      <c r="DD440" s="27"/>
      <c r="DE440" s="27"/>
      <c r="DF440" s="27"/>
      <c r="DG440" s="27"/>
      <c r="DH440" s="27"/>
      <c r="DI440" s="27"/>
      <c r="DJ440" s="27"/>
      <c r="DK440" s="27"/>
      <c r="DL440" s="27"/>
      <c r="DM440" s="27"/>
      <c r="DN440" s="27"/>
      <c r="DO440" s="27"/>
      <c r="DP440" s="27"/>
      <c r="DQ440" s="27"/>
      <c r="DR440" s="27"/>
      <c r="DS440" s="27"/>
      <c r="DT440" s="27"/>
    </row>
    <row r="441" spans="2:124" x14ac:dyDescent="0.2">
      <c r="B441" s="27"/>
      <c r="C441" s="27"/>
      <c r="D441" s="27"/>
      <c r="E441" s="27"/>
      <c r="F441" s="27"/>
      <c r="G441" s="27"/>
      <c r="H441" s="27"/>
      <c r="I441" s="27"/>
      <c r="J441" s="27"/>
      <c r="K441" s="27"/>
      <c r="L441" s="27"/>
      <c r="M441" s="27"/>
      <c r="N441" s="27"/>
      <c r="O441" s="27"/>
      <c r="P441" s="27"/>
      <c r="Q441" s="27"/>
      <c r="R441" s="27"/>
      <c r="S441" s="27"/>
      <c r="T441" s="27"/>
      <c r="U441" s="27"/>
      <c r="V441" s="27"/>
      <c r="W441" s="27"/>
      <c r="X441" s="27"/>
      <c r="Y441" s="27"/>
      <c r="Z441" s="27"/>
      <c r="AA441" s="27"/>
      <c r="AB441" s="27"/>
      <c r="AC441" s="27"/>
      <c r="AD441" s="27"/>
      <c r="AE441" s="27"/>
      <c r="AF441" s="27"/>
      <c r="AG441" s="27"/>
      <c r="AH441" s="27"/>
      <c r="AI441" s="27"/>
      <c r="AJ441" s="27"/>
      <c r="AK441" s="27"/>
      <c r="AL441" s="27"/>
      <c r="AM441" s="27"/>
      <c r="AN441" s="27"/>
      <c r="AO441" s="27"/>
      <c r="AP441" s="27"/>
      <c r="AQ441" s="27"/>
      <c r="AR441" s="27"/>
      <c r="AS441" s="27"/>
      <c r="AT441" s="27"/>
      <c r="AU441" s="27"/>
      <c r="AV441" s="27"/>
      <c r="AW441" s="27"/>
      <c r="AX441" s="27"/>
      <c r="AY441" s="27"/>
      <c r="AZ441" s="27"/>
      <c r="BA441" s="27"/>
      <c r="BB441" s="27"/>
      <c r="BC441" s="27"/>
      <c r="BD441" s="27"/>
      <c r="BE441" s="27"/>
      <c r="BF441" s="27"/>
      <c r="BG441" s="27"/>
      <c r="BH441" s="27"/>
      <c r="BI441" s="27"/>
      <c r="BJ441" s="27"/>
      <c r="BK441" s="27"/>
      <c r="BL441" s="27"/>
      <c r="BM441" s="27"/>
      <c r="BN441" s="27"/>
      <c r="BO441" s="27"/>
      <c r="BP441" s="27"/>
      <c r="BQ441" s="27"/>
      <c r="BR441" s="27"/>
      <c r="BS441" s="27"/>
      <c r="BT441" s="27"/>
      <c r="BU441" s="27"/>
      <c r="BV441" s="27"/>
      <c r="BW441" s="27"/>
      <c r="BX441" s="27"/>
      <c r="BY441" s="27"/>
      <c r="BZ441" s="27"/>
      <c r="CA441" s="27"/>
      <c r="CB441" s="27"/>
      <c r="CC441" s="27"/>
      <c r="CD441" s="27"/>
      <c r="CE441" s="27"/>
      <c r="CF441" s="27"/>
      <c r="CG441" s="27"/>
      <c r="CH441" s="27"/>
      <c r="CI441" s="27"/>
      <c r="CJ441" s="27"/>
      <c r="CK441" s="27"/>
      <c r="CL441" s="27"/>
      <c r="CM441" s="27"/>
      <c r="CN441" s="27"/>
      <c r="CO441" s="27"/>
      <c r="CP441" s="27"/>
      <c r="CQ441" s="27"/>
      <c r="CR441" s="27"/>
      <c r="CS441" s="27"/>
      <c r="CT441" s="27"/>
      <c r="CU441" s="27"/>
      <c r="CV441" s="27"/>
      <c r="CW441" s="27"/>
      <c r="CX441" s="27"/>
      <c r="CY441" s="27"/>
      <c r="CZ441" s="27"/>
      <c r="DA441" s="27"/>
      <c r="DB441" s="27"/>
      <c r="DC441" s="27"/>
      <c r="DD441" s="27"/>
      <c r="DE441" s="27"/>
      <c r="DF441" s="27"/>
      <c r="DG441" s="27"/>
      <c r="DH441" s="27"/>
      <c r="DI441" s="27"/>
      <c r="DJ441" s="27"/>
      <c r="DK441" s="27"/>
      <c r="DL441" s="27"/>
      <c r="DM441" s="27"/>
      <c r="DN441" s="27"/>
      <c r="DO441" s="27"/>
      <c r="DP441" s="27"/>
      <c r="DQ441" s="27"/>
      <c r="DR441" s="27"/>
      <c r="DS441" s="27"/>
      <c r="DT441" s="27"/>
    </row>
    <row r="442" spans="2:124" x14ac:dyDescent="0.2">
      <c r="B442" s="27"/>
      <c r="C442" s="27"/>
      <c r="D442" s="27"/>
      <c r="E442" s="27"/>
      <c r="F442" s="27"/>
      <c r="G442" s="27"/>
      <c r="H442" s="27"/>
      <c r="I442" s="27"/>
      <c r="J442" s="27"/>
      <c r="K442" s="27"/>
      <c r="L442" s="27"/>
      <c r="M442" s="27"/>
      <c r="N442" s="27"/>
      <c r="O442" s="27"/>
      <c r="P442" s="27"/>
      <c r="Q442" s="27"/>
      <c r="R442" s="27"/>
      <c r="S442" s="27"/>
      <c r="T442" s="27"/>
      <c r="U442" s="27"/>
      <c r="V442" s="27"/>
      <c r="W442" s="27"/>
      <c r="X442" s="27"/>
      <c r="Y442" s="27"/>
      <c r="Z442" s="27"/>
      <c r="AA442" s="27"/>
      <c r="AB442" s="27"/>
      <c r="AC442" s="27"/>
      <c r="AD442" s="27"/>
      <c r="AE442" s="27"/>
      <c r="AF442" s="27"/>
      <c r="AG442" s="27"/>
      <c r="AH442" s="27"/>
      <c r="AI442" s="27"/>
      <c r="AJ442" s="27"/>
      <c r="AK442" s="27"/>
      <c r="AL442" s="27"/>
      <c r="AM442" s="27"/>
      <c r="AN442" s="27"/>
      <c r="AO442" s="27"/>
      <c r="AP442" s="27"/>
      <c r="AQ442" s="27"/>
      <c r="AR442" s="27"/>
      <c r="AS442" s="27"/>
      <c r="AT442" s="27"/>
      <c r="AU442" s="27"/>
      <c r="AV442" s="27"/>
      <c r="AW442" s="27"/>
      <c r="AX442" s="27"/>
      <c r="AY442" s="27"/>
      <c r="AZ442" s="27"/>
      <c r="BA442" s="27"/>
      <c r="BB442" s="27"/>
      <c r="BC442" s="27"/>
      <c r="BD442" s="27"/>
      <c r="BE442" s="27"/>
      <c r="BF442" s="27"/>
      <c r="BG442" s="27"/>
      <c r="BH442" s="27"/>
      <c r="BI442" s="27"/>
      <c r="BJ442" s="27"/>
      <c r="BK442" s="27"/>
      <c r="BL442" s="27"/>
      <c r="BM442" s="27"/>
      <c r="BN442" s="27"/>
      <c r="BO442" s="27"/>
      <c r="BP442" s="27"/>
      <c r="BQ442" s="27"/>
      <c r="BR442" s="27"/>
      <c r="BS442" s="27"/>
      <c r="BT442" s="27"/>
      <c r="BU442" s="27"/>
      <c r="BV442" s="27"/>
      <c r="BW442" s="27"/>
      <c r="BX442" s="27"/>
      <c r="BY442" s="27"/>
      <c r="BZ442" s="27"/>
      <c r="CA442" s="27"/>
      <c r="CB442" s="27"/>
      <c r="CC442" s="27"/>
      <c r="CD442" s="27"/>
      <c r="CE442" s="27"/>
      <c r="CF442" s="27"/>
      <c r="CG442" s="27"/>
      <c r="CH442" s="27"/>
      <c r="CI442" s="27"/>
      <c r="CJ442" s="27"/>
      <c r="CK442" s="27"/>
      <c r="CL442" s="27"/>
      <c r="CM442" s="27"/>
      <c r="CN442" s="27"/>
      <c r="CO442" s="27"/>
      <c r="CP442" s="27"/>
      <c r="CQ442" s="27"/>
      <c r="CR442" s="27"/>
      <c r="CS442" s="27"/>
      <c r="CT442" s="27"/>
      <c r="CU442" s="27"/>
      <c r="CV442" s="27"/>
      <c r="CW442" s="27"/>
      <c r="CX442" s="27"/>
      <c r="CY442" s="27"/>
      <c r="CZ442" s="27"/>
      <c r="DA442" s="27"/>
      <c r="DB442" s="27"/>
      <c r="DC442" s="27"/>
      <c r="DD442" s="27"/>
      <c r="DE442" s="27"/>
      <c r="DF442" s="27"/>
      <c r="DG442" s="27"/>
      <c r="DH442" s="27"/>
      <c r="DI442" s="27"/>
      <c r="DJ442" s="27"/>
      <c r="DK442" s="27"/>
      <c r="DL442" s="27"/>
      <c r="DM442" s="27"/>
      <c r="DN442" s="27"/>
      <c r="DO442" s="27"/>
      <c r="DP442" s="27"/>
      <c r="DQ442" s="27"/>
      <c r="DR442" s="27"/>
      <c r="DS442" s="27"/>
      <c r="DT442" s="27"/>
    </row>
    <row r="443" spans="2:124" x14ac:dyDescent="0.2">
      <c r="B443" s="27"/>
      <c r="C443" s="27"/>
      <c r="D443" s="27"/>
      <c r="E443" s="27"/>
      <c r="F443" s="27"/>
      <c r="G443" s="27"/>
      <c r="H443" s="27"/>
      <c r="I443" s="27"/>
      <c r="J443" s="27"/>
      <c r="K443" s="27"/>
      <c r="L443" s="27"/>
      <c r="M443" s="27"/>
      <c r="N443" s="27"/>
      <c r="O443" s="27"/>
      <c r="P443" s="27"/>
      <c r="Q443" s="27"/>
      <c r="R443" s="27"/>
      <c r="S443" s="27"/>
      <c r="T443" s="27"/>
      <c r="U443" s="27"/>
      <c r="V443" s="27"/>
      <c r="W443" s="27"/>
      <c r="X443" s="27"/>
      <c r="Y443" s="27"/>
      <c r="Z443" s="27"/>
      <c r="AA443" s="27"/>
      <c r="AB443" s="27"/>
      <c r="AC443" s="27"/>
      <c r="AD443" s="27"/>
      <c r="AE443" s="27"/>
      <c r="AF443" s="27"/>
      <c r="AG443" s="27"/>
      <c r="AH443" s="27"/>
      <c r="AI443" s="27"/>
      <c r="AJ443" s="27"/>
      <c r="AK443" s="27"/>
      <c r="AL443" s="27"/>
      <c r="AM443" s="27"/>
      <c r="AN443" s="27"/>
      <c r="AO443" s="27"/>
      <c r="AP443" s="27"/>
      <c r="AQ443" s="27"/>
      <c r="AR443" s="27"/>
      <c r="AS443" s="27"/>
      <c r="AT443" s="27"/>
      <c r="AU443" s="27"/>
      <c r="AV443" s="27"/>
      <c r="AW443" s="27"/>
      <c r="AX443" s="27"/>
      <c r="AY443" s="27"/>
      <c r="AZ443" s="27"/>
      <c r="BA443" s="27"/>
      <c r="BB443" s="27"/>
      <c r="BC443" s="27"/>
      <c r="BD443" s="27"/>
      <c r="BE443" s="27"/>
      <c r="BF443" s="27"/>
      <c r="BG443" s="27"/>
      <c r="BH443" s="27"/>
      <c r="BI443" s="27"/>
      <c r="BJ443" s="27"/>
      <c r="BK443" s="27"/>
      <c r="BL443" s="27"/>
      <c r="BM443" s="27"/>
      <c r="BN443" s="27"/>
      <c r="BO443" s="27"/>
      <c r="BP443" s="27"/>
      <c r="BQ443" s="27"/>
      <c r="BR443" s="27"/>
      <c r="BS443" s="27"/>
      <c r="BT443" s="27"/>
      <c r="BU443" s="27"/>
      <c r="BV443" s="27"/>
      <c r="BW443" s="27"/>
      <c r="BX443" s="27"/>
      <c r="BY443" s="27"/>
      <c r="BZ443" s="27"/>
      <c r="CA443" s="27"/>
      <c r="CB443" s="27"/>
      <c r="CC443" s="27"/>
      <c r="CD443" s="27"/>
      <c r="CE443" s="27"/>
      <c r="CF443" s="27"/>
      <c r="CG443" s="27"/>
      <c r="CH443" s="27"/>
      <c r="CI443" s="27"/>
      <c r="CJ443" s="27"/>
      <c r="CK443" s="27"/>
      <c r="CL443" s="27"/>
      <c r="CM443" s="27"/>
      <c r="CN443" s="27"/>
      <c r="CO443" s="27"/>
      <c r="CP443" s="27"/>
      <c r="CQ443" s="27"/>
      <c r="CR443" s="27"/>
      <c r="CS443" s="27"/>
      <c r="CT443" s="27"/>
      <c r="CU443" s="27"/>
      <c r="CV443" s="27"/>
      <c r="CW443" s="27"/>
      <c r="CX443" s="27"/>
      <c r="CY443" s="27"/>
      <c r="CZ443" s="27"/>
      <c r="DA443" s="27"/>
      <c r="DB443" s="27"/>
      <c r="DC443" s="27"/>
      <c r="DD443" s="27"/>
      <c r="DE443" s="27"/>
      <c r="DF443" s="27"/>
      <c r="DG443" s="27"/>
      <c r="DH443" s="27"/>
      <c r="DI443" s="27"/>
      <c r="DJ443" s="27"/>
      <c r="DK443" s="27"/>
      <c r="DL443" s="27"/>
      <c r="DM443" s="27"/>
      <c r="DN443" s="27"/>
      <c r="DO443" s="27"/>
      <c r="DP443" s="27"/>
      <c r="DQ443" s="27"/>
      <c r="DR443" s="27"/>
      <c r="DS443" s="27"/>
      <c r="DT443" s="27"/>
    </row>
    <row r="444" spans="2:124" ht="41.25" customHeight="1" x14ac:dyDescent="0.2">
      <c r="B444" s="27"/>
      <c r="C444" s="27"/>
      <c r="D444" s="27"/>
      <c r="E444" s="27"/>
      <c r="F444" s="27"/>
      <c r="G444" s="27"/>
      <c r="H444" s="27"/>
      <c r="I444" s="27"/>
      <c r="J444" s="27"/>
      <c r="K444" s="27"/>
      <c r="L444" s="27"/>
      <c r="M444" s="27"/>
      <c r="N444" s="27"/>
      <c r="O444" s="27"/>
      <c r="P444" s="27"/>
      <c r="Q444" s="27"/>
      <c r="R444" s="27"/>
      <c r="S444" s="27"/>
      <c r="T444" s="27"/>
      <c r="U444" s="27"/>
      <c r="V444" s="27"/>
      <c r="W444" s="27"/>
      <c r="X444" s="27"/>
      <c r="Y444" s="27"/>
      <c r="Z444" s="27"/>
      <c r="AA444" s="27"/>
      <c r="AB444" s="27"/>
      <c r="AC444" s="27"/>
      <c r="AD444" s="27"/>
      <c r="AE444" s="27"/>
      <c r="AF444" s="27"/>
      <c r="AG444" s="27"/>
      <c r="AH444" s="27"/>
      <c r="AI444" s="27"/>
      <c r="AJ444" s="27"/>
      <c r="AK444" s="27"/>
      <c r="AL444" s="27"/>
      <c r="AM444" s="27"/>
      <c r="AN444" s="27"/>
      <c r="AO444" s="27"/>
      <c r="AP444" s="27"/>
      <c r="AQ444" s="27"/>
      <c r="AR444" s="27"/>
      <c r="AS444" s="27"/>
      <c r="AT444" s="27"/>
      <c r="AU444" s="27"/>
      <c r="AV444" s="27"/>
      <c r="AW444" s="27"/>
      <c r="AX444" s="27"/>
      <c r="AY444" s="27"/>
      <c r="AZ444" s="27"/>
      <c r="BA444" s="27"/>
      <c r="BB444" s="27"/>
      <c r="BC444" s="27"/>
      <c r="BD444" s="27"/>
      <c r="BE444" s="27"/>
      <c r="BF444" s="27"/>
      <c r="BG444" s="27"/>
      <c r="BH444" s="27"/>
      <c r="BI444" s="27"/>
      <c r="BJ444" s="27"/>
      <c r="BK444" s="27"/>
      <c r="BL444" s="27"/>
      <c r="BM444" s="27"/>
      <c r="BN444" s="27"/>
      <c r="BO444" s="27"/>
      <c r="BP444" s="27"/>
      <c r="BQ444" s="27"/>
      <c r="BR444" s="27"/>
      <c r="BS444" s="27"/>
      <c r="BT444" s="27"/>
      <c r="BU444" s="27"/>
      <c r="BV444" s="27"/>
      <c r="BW444" s="27"/>
      <c r="BX444" s="27"/>
      <c r="BY444" s="27"/>
      <c r="BZ444" s="27"/>
      <c r="CA444" s="27"/>
      <c r="CB444" s="27"/>
      <c r="CC444" s="27"/>
      <c r="CD444" s="27"/>
      <c r="CE444" s="27"/>
      <c r="CF444" s="27"/>
      <c r="CG444" s="27"/>
      <c r="CH444" s="27"/>
      <c r="CI444" s="27"/>
      <c r="CJ444" s="27"/>
      <c r="CK444" s="27"/>
      <c r="CL444" s="27"/>
      <c r="CM444" s="27"/>
      <c r="CN444" s="27"/>
      <c r="CO444" s="27"/>
      <c r="CP444" s="27"/>
      <c r="CQ444" s="27"/>
      <c r="CR444" s="27"/>
      <c r="CS444" s="27"/>
      <c r="CT444" s="27"/>
      <c r="CU444" s="27"/>
      <c r="CV444" s="27"/>
      <c r="CW444" s="27"/>
      <c r="CX444" s="27"/>
      <c r="CY444" s="27"/>
      <c r="CZ444" s="27"/>
      <c r="DA444" s="27"/>
      <c r="DB444" s="27"/>
      <c r="DC444" s="27"/>
      <c r="DD444" s="27"/>
      <c r="DE444" s="27"/>
      <c r="DF444" s="27"/>
      <c r="DG444" s="27"/>
      <c r="DH444" s="27"/>
      <c r="DI444" s="27"/>
      <c r="DJ444" s="27"/>
      <c r="DK444" s="27"/>
      <c r="DL444" s="27"/>
      <c r="DM444" s="27"/>
      <c r="DN444" s="27"/>
      <c r="DO444" s="27"/>
      <c r="DP444" s="27"/>
      <c r="DQ444" s="27"/>
      <c r="DR444" s="27"/>
      <c r="DS444" s="27"/>
      <c r="DT444" s="27"/>
    </row>
    <row r="445" spans="2:124" x14ac:dyDescent="0.2">
      <c r="B445" s="27"/>
      <c r="C445" s="27"/>
      <c r="D445" s="27"/>
      <c r="E445" s="27"/>
      <c r="F445" s="27"/>
      <c r="G445" s="27"/>
      <c r="H445" s="27"/>
      <c r="I445" s="27"/>
      <c r="J445" s="27"/>
      <c r="K445" s="27"/>
      <c r="L445" s="27"/>
      <c r="M445" s="27"/>
      <c r="N445" s="27"/>
      <c r="O445" s="27"/>
      <c r="P445" s="27"/>
      <c r="Q445" s="27"/>
      <c r="R445" s="27"/>
      <c r="S445" s="27"/>
      <c r="T445" s="27"/>
      <c r="U445" s="27"/>
      <c r="V445" s="27"/>
      <c r="W445" s="27"/>
      <c r="X445" s="27"/>
      <c r="Y445" s="27"/>
      <c r="Z445" s="27"/>
      <c r="AA445" s="27"/>
      <c r="AB445" s="27"/>
      <c r="AC445" s="27"/>
      <c r="AD445" s="27"/>
      <c r="AE445" s="27"/>
      <c r="AF445" s="27"/>
      <c r="AG445" s="27"/>
      <c r="AH445" s="27"/>
      <c r="AI445" s="27"/>
      <c r="AJ445" s="27"/>
      <c r="AK445" s="27"/>
      <c r="AL445" s="27"/>
      <c r="AM445" s="27"/>
      <c r="AN445" s="27"/>
      <c r="AO445" s="27"/>
      <c r="AP445" s="27"/>
      <c r="AQ445" s="27"/>
      <c r="AR445" s="27"/>
      <c r="AS445" s="27"/>
      <c r="AT445" s="27"/>
      <c r="AU445" s="27"/>
      <c r="AV445" s="27"/>
      <c r="AW445" s="27"/>
      <c r="AX445" s="27"/>
      <c r="AY445" s="27"/>
      <c r="AZ445" s="27"/>
      <c r="BA445" s="27"/>
      <c r="BB445" s="27"/>
      <c r="BC445" s="27"/>
      <c r="BD445" s="27"/>
      <c r="BE445" s="27"/>
      <c r="BF445" s="27"/>
      <c r="BG445" s="27"/>
      <c r="BH445" s="27"/>
      <c r="BI445" s="27"/>
      <c r="BJ445" s="27"/>
      <c r="BK445" s="27"/>
      <c r="BL445" s="27"/>
      <c r="BM445" s="27"/>
      <c r="BN445" s="27"/>
      <c r="BO445" s="27"/>
      <c r="BP445" s="27"/>
      <c r="BQ445" s="27"/>
      <c r="BR445" s="27"/>
      <c r="BS445" s="27"/>
      <c r="BT445" s="27"/>
      <c r="BU445" s="27"/>
      <c r="BV445" s="27"/>
      <c r="BW445" s="27"/>
      <c r="BX445" s="27"/>
      <c r="BY445" s="27"/>
      <c r="BZ445" s="27"/>
      <c r="CA445" s="27"/>
      <c r="CB445" s="27"/>
      <c r="CC445" s="27"/>
      <c r="CD445" s="27"/>
      <c r="CE445" s="27"/>
      <c r="CF445" s="27"/>
      <c r="CG445" s="27"/>
      <c r="CH445" s="27"/>
      <c r="CI445" s="27"/>
      <c r="CJ445" s="27"/>
      <c r="CK445" s="27"/>
      <c r="CL445" s="27"/>
      <c r="CM445" s="27"/>
      <c r="CN445" s="27"/>
      <c r="CO445" s="27"/>
      <c r="CP445" s="27"/>
      <c r="CQ445" s="27"/>
      <c r="CR445" s="27"/>
      <c r="CS445" s="27"/>
      <c r="CT445" s="27"/>
      <c r="CU445" s="27"/>
      <c r="CV445" s="27"/>
      <c r="CW445" s="27"/>
      <c r="CX445" s="27"/>
      <c r="CY445" s="27"/>
      <c r="CZ445" s="27"/>
      <c r="DA445" s="27"/>
      <c r="DB445" s="27"/>
      <c r="DC445" s="27"/>
      <c r="DD445" s="27"/>
      <c r="DE445" s="27"/>
      <c r="DF445" s="27"/>
      <c r="DG445" s="27"/>
      <c r="DH445" s="27"/>
      <c r="DI445" s="27"/>
      <c r="DJ445" s="27"/>
      <c r="DK445" s="27"/>
      <c r="DL445" s="27"/>
      <c r="DM445" s="27"/>
      <c r="DN445" s="27"/>
      <c r="DO445" s="27"/>
      <c r="DP445" s="27"/>
      <c r="DQ445" s="27"/>
      <c r="DR445" s="27"/>
      <c r="DS445" s="27"/>
      <c r="DT445" s="27"/>
    </row>
    <row r="446" spans="2:124" x14ac:dyDescent="0.2">
      <c r="B446" s="27"/>
      <c r="C446" s="27"/>
      <c r="D446" s="27"/>
      <c r="E446" s="27"/>
      <c r="F446" s="27"/>
      <c r="G446" s="27"/>
      <c r="H446" s="27"/>
      <c r="I446" s="27"/>
      <c r="J446" s="27"/>
      <c r="K446" s="27"/>
      <c r="L446" s="27"/>
      <c r="M446" s="27"/>
      <c r="N446" s="27"/>
      <c r="O446" s="27"/>
      <c r="P446" s="27"/>
      <c r="Q446" s="27"/>
      <c r="R446" s="27"/>
      <c r="S446" s="27"/>
      <c r="T446" s="27"/>
      <c r="U446" s="27"/>
      <c r="V446" s="27"/>
      <c r="W446" s="27"/>
      <c r="X446" s="27"/>
      <c r="Y446" s="27"/>
      <c r="Z446" s="27"/>
      <c r="AA446" s="27"/>
      <c r="AB446" s="27"/>
      <c r="AC446" s="27"/>
      <c r="AD446" s="27"/>
      <c r="AE446" s="27"/>
      <c r="AF446" s="27"/>
      <c r="AG446" s="27"/>
      <c r="AH446" s="27"/>
      <c r="AI446" s="27"/>
      <c r="AJ446" s="27"/>
      <c r="AK446" s="27"/>
      <c r="AL446" s="27"/>
      <c r="AM446" s="27"/>
      <c r="AN446" s="27"/>
      <c r="AO446" s="27"/>
      <c r="AP446" s="27"/>
      <c r="AQ446" s="27"/>
      <c r="AR446" s="27"/>
      <c r="AS446" s="27"/>
      <c r="AT446" s="27"/>
      <c r="AU446" s="27"/>
      <c r="AV446" s="27"/>
      <c r="AW446" s="27"/>
      <c r="AX446" s="27"/>
      <c r="AY446" s="27"/>
      <c r="AZ446" s="27"/>
      <c r="BA446" s="27"/>
      <c r="BB446" s="27"/>
      <c r="BC446" s="27"/>
      <c r="BD446" s="27"/>
      <c r="BE446" s="27"/>
      <c r="BF446" s="27"/>
      <c r="BG446" s="27"/>
      <c r="BH446" s="27"/>
      <c r="BI446" s="27"/>
      <c r="BJ446" s="27"/>
      <c r="BK446" s="27"/>
      <c r="BL446" s="27"/>
      <c r="BM446" s="27"/>
      <c r="BN446" s="27"/>
      <c r="BO446" s="27"/>
      <c r="BP446" s="27"/>
      <c r="BQ446" s="27"/>
      <c r="BR446" s="27"/>
      <c r="BS446" s="27"/>
      <c r="BT446" s="27"/>
      <c r="BU446" s="27"/>
      <c r="BV446" s="27"/>
      <c r="BW446" s="27"/>
      <c r="BX446" s="27"/>
      <c r="BY446" s="27"/>
      <c r="BZ446" s="27"/>
      <c r="CA446" s="27"/>
      <c r="CB446" s="27"/>
      <c r="CC446" s="27"/>
      <c r="CD446" s="27"/>
      <c r="CE446" s="27"/>
      <c r="CF446" s="27"/>
      <c r="CG446" s="27"/>
      <c r="CH446" s="27"/>
      <c r="CI446" s="27"/>
      <c r="CJ446" s="27"/>
      <c r="CK446" s="27"/>
      <c r="CL446" s="27"/>
      <c r="CM446" s="27"/>
      <c r="CN446" s="27"/>
      <c r="CO446" s="27"/>
      <c r="CP446" s="27"/>
      <c r="CQ446" s="27"/>
      <c r="CR446" s="27"/>
      <c r="CS446" s="27"/>
      <c r="CT446" s="27"/>
      <c r="CU446" s="27"/>
      <c r="CV446" s="27"/>
      <c r="CW446" s="27"/>
      <c r="CX446" s="27"/>
      <c r="CY446" s="27"/>
      <c r="CZ446" s="27"/>
      <c r="DA446" s="27"/>
      <c r="DB446" s="27"/>
      <c r="DC446" s="27"/>
      <c r="DD446" s="27"/>
      <c r="DE446" s="27"/>
      <c r="DF446" s="27"/>
      <c r="DG446" s="27"/>
      <c r="DH446" s="27"/>
      <c r="DI446" s="27"/>
      <c r="DJ446" s="27"/>
      <c r="DK446" s="27"/>
      <c r="DL446" s="27"/>
      <c r="DM446" s="27"/>
      <c r="DN446" s="27"/>
      <c r="DO446" s="27"/>
      <c r="DP446" s="27"/>
      <c r="DQ446" s="27"/>
      <c r="DR446" s="27"/>
      <c r="DS446" s="27"/>
      <c r="DT446" s="27"/>
    </row>
    <row r="447" spans="2:124" x14ac:dyDescent="0.2">
      <c r="B447" s="27"/>
      <c r="C447" s="27"/>
      <c r="D447" s="27"/>
      <c r="E447" s="27"/>
      <c r="F447" s="27"/>
      <c r="G447" s="27"/>
      <c r="H447" s="27"/>
      <c r="I447" s="27"/>
      <c r="J447" s="27"/>
      <c r="K447" s="27"/>
      <c r="L447" s="27"/>
      <c r="M447" s="27"/>
      <c r="N447" s="27"/>
      <c r="O447" s="27"/>
      <c r="P447" s="27"/>
      <c r="Q447" s="27"/>
      <c r="R447" s="27"/>
      <c r="S447" s="27"/>
      <c r="T447" s="27"/>
      <c r="U447" s="27"/>
      <c r="V447" s="27"/>
      <c r="W447" s="27"/>
      <c r="X447" s="27"/>
      <c r="Y447" s="27"/>
      <c r="Z447" s="27"/>
      <c r="AA447" s="27"/>
      <c r="AB447" s="27"/>
      <c r="AC447" s="27"/>
      <c r="AD447" s="27"/>
      <c r="AE447" s="27"/>
      <c r="AF447" s="27"/>
      <c r="AG447" s="27"/>
      <c r="AH447" s="27"/>
      <c r="AI447" s="27"/>
      <c r="AJ447" s="27"/>
      <c r="AK447" s="27"/>
      <c r="AL447" s="27"/>
      <c r="AM447" s="27"/>
      <c r="AN447" s="27"/>
      <c r="AO447" s="27"/>
      <c r="AP447" s="27"/>
      <c r="AQ447" s="27"/>
      <c r="AR447" s="27"/>
      <c r="AS447" s="27"/>
      <c r="AT447" s="27"/>
      <c r="AU447" s="27"/>
      <c r="AV447" s="27"/>
      <c r="AW447" s="27"/>
      <c r="AX447" s="27"/>
      <c r="AY447" s="27"/>
      <c r="AZ447" s="27"/>
      <c r="BA447" s="27"/>
      <c r="BB447" s="27"/>
      <c r="BC447" s="27"/>
      <c r="BD447" s="27"/>
      <c r="BE447" s="27"/>
      <c r="BF447" s="27"/>
      <c r="BG447" s="27"/>
      <c r="BH447" s="27"/>
      <c r="BI447" s="27"/>
      <c r="BJ447" s="27"/>
      <c r="BK447" s="27"/>
      <c r="BL447" s="27"/>
      <c r="BM447" s="27"/>
      <c r="BN447" s="27"/>
      <c r="BO447" s="27"/>
      <c r="BP447" s="27"/>
      <c r="BQ447" s="27"/>
      <c r="BR447" s="27"/>
      <c r="BS447" s="27"/>
      <c r="BT447" s="27"/>
      <c r="BU447" s="27"/>
      <c r="BV447" s="27"/>
      <c r="BW447" s="27"/>
      <c r="BX447" s="27"/>
      <c r="BY447" s="27"/>
      <c r="BZ447" s="27"/>
      <c r="CA447" s="27"/>
      <c r="CB447" s="27"/>
      <c r="CC447" s="27"/>
      <c r="CD447" s="27"/>
      <c r="CE447" s="27"/>
      <c r="CF447" s="27"/>
      <c r="CG447" s="27"/>
      <c r="CH447" s="27"/>
      <c r="CI447" s="27"/>
      <c r="CJ447" s="27"/>
      <c r="CK447" s="27"/>
      <c r="CL447" s="27"/>
      <c r="CM447" s="27"/>
      <c r="CN447" s="27"/>
      <c r="CO447" s="27"/>
      <c r="CP447" s="27"/>
      <c r="CQ447" s="27"/>
      <c r="CR447" s="27"/>
      <c r="CS447" s="27"/>
      <c r="CT447" s="27"/>
      <c r="CU447" s="27"/>
      <c r="CV447" s="27"/>
      <c r="CW447" s="27"/>
      <c r="CX447" s="27"/>
      <c r="CY447" s="27"/>
      <c r="CZ447" s="27"/>
      <c r="DA447" s="27"/>
      <c r="DB447" s="27"/>
      <c r="DC447" s="27"/>
      <c r="DD447" s="27"/>
      <c r="DE447" s="27"/>
      <c r="DF447" s="27"/>
      <c r="DG447" s="27"/>
      <c r="DH447" s="27"/>
      <c r="DI447" s="27"/>
      <c r="DJ447" s="27"/>
      <c r="DK447" s="27"/>
      <c r="DL447" s="27"/>
      <c r="DM447" s="27"/>
      <c r="DN447" s="27"/>
      <c r="DO447" s="27"/>
      <c r="DP447" s="27"/>
      <c r="DQ447" s="27"/>
      <c r="DR447" s="27"/>
      <c r="DS447" s="27"/>
      <c r="DT447" s="27"/>
    </row>
    <row r="448" spans="2:124" x14ac:dyDescent="0.2">
      <c r="B448" s="27"/>
      <c r="C448" s="27"/>
      <c r="D448" s="27"/>
      <c r="E448" s="27"/>
      <c r="F448" s="27"/>
      <c r="G448" s="27"/>
      <c r="H448" s="27"/>
      <c r="I448" s="27"/>
      <c r="J448" s="27"/>
      <c r="K448" s="27"/>
      <c r="L448" s="27"/>
      <c r="M448" s="27"/>
      <c r="N448" s="27"/>
      <c r="O448" s="27"/>
      <c r="P448" s="27"/>
      <c r="Q448" s="27"/>
      <c r="R448" s="27"/>
      <c r="S448" s="27"/>
      <c r="T448" s="27"/>
      <c r="U448" s="27"/>
      <c r="V448" s="27"/>
      <c r="W448" s="27"/>
      <c r="X448" s="27"/>
      <c r="Y448" s="27"/>
      <c r="Z448" s="27"/>
      <c r="AA448" s="27"/>
      <c r="AB448" s="27"/>
      <c r="AC448" s="27"/>
      <c r="AD448" s="27"/>
      <c r="AE448" s="27"/>
      <c r="AF448" s="27"/>
      <c r="AG448" s="27"/>
      <c r="AH448" s="27"/>
      <c r="AI448" s="27"/>
      <c r="AJ448" s="27"/>
      <c r="AK448" s="27"/>
      <c r="AL448" s="27"/>
      <c r="AM448" s="27"/>
      <c r="AN448" s="27"/>
      <c r="AO448" s="27"/>
      <c r="AP448" s="27"/>
      <c r="AQ448" s="27"/>
      <c r="AR448" s="27"/>
      <c r="AS448" s="27"/>
      <c r="AT448" s="27"/>
      <c r="AU448" s="27"/>
      <c r="AV448" s="27"/>
      <c r="AW448" s="27"/>
      <c r="AX448" s="27"/>
      <c r="AY448" s="27"/>
      <c r="AZ448" s="27"/>
      <c r="BA448" s="27"/>
      <c r="BB448" s="27"/>
      <c r="BC448" s="27"/>
      <c r="BD448" s="27"/>
      <c r="BE448" s="27"/>
      <c r="BF448" s="27"/>
      <c r="BG448" s="27"/>
      <c r="BH448" s="27"/>
      <c r="BI448" s="27"/>
      <c r="BJ448" s="27"/>
      <c r="BK448" s="27"/>
      <c r="BL448" s="27"/>
      <c r="BM448" s="27"/>
      <c r="BN448" s="27"/>
      <c r="BO448" s="27"/>
      <c r="BP448" s="27"/>
      <c r="BQ448" s="27"/>
      <c r="BR448" s="27"/>
      <c r="BS448" s="27"/>
      <c r="BT448" s="27"/>
      <c r="BU448" s="27"/>
      <c r="BV448" s="27"/>
      <c r="BW448" s="27"/>
      <c r="BX448" s="27"/>
      <c r="BY448" s="27"/>
      <c r="BZ448" s="27"/>
      <c r="CA448" s="27"/>
      <c r="CB448" s="27"/>
      <c r="CC448" s="27"/>
      <c r="CD448" s="27"/>
      <c r="CE448" s="27"/>
      <c r="CF448" s="27"/>
      <c r="CG448" s="27"/>
      <c r="CH448" s="27"/>
      <c r="CI448" s="27"/>
      <c r="CJ448" s="27"/>
      <c r="CK448" s="27"/>
      <c r="CL448" s="27"/>
      <c r="CM448" s="27"/>
      <c r="CN448" s="27"/>
      <c r="CO448" s="27"/>
      <c r="CP448" s="27"/>
      <c r="CQ448" s="27"/>
      <c r="CR448" s="27"/>
      <c r="CS448" s="27"/>
      <c r="CT448" s="27"/>
      <c r="CU448" s="27"/>
      <c r="CV448" s="27"/>
      <c r="CW448" s="27"/>
      <c r="CX448" s="27"/>
      <c r="CY448" s="27"/>
      <c r="CZ448" s="27"/>
      <c r="DA448" s="27"/>
      <c r="DB448" s="27"/>
      <c r="DC448" s="27"/>
      <c r="DD448" s="27"/>
      <c r="DE448" s="27"/>
      <c r="DF448" s="27"/>
      <c r="DG448" s="27"/>
      <c r="DH448" s="27"/>
      <c r="DI448" s="27"/>
      <c r="DJ448" s="27"/>
      <c r="DK448" s="27"/>
      <c r="DL448" s="27"/>
      <c r="DM448" s="27"/>
      <c r="DN448" s="27"/>
      <c r="DO448" s="27"/>
      <c r="DP448" s="27"/>
      <c r="DQ448" s="27"/>
      <c r="DR448" s="27"/>
      <c r="DS448" s="27"/>
      <c r="DT448" s="27"/>
    </row>
    <row r="449" spans="2:124" x14ac:dyDescent="0.2">
      <c r="B449" s="27"/>
      <c r="C449" s="27"/>
      <c r="D449" s="27"/>
      <c r="E449" s="27"/>
      <c r="F449" s="27"/>
      <c r="G449" s="27"/>
      <c r="H449" s="27"/>
      <c r="I449" s="27"/>
      <c r="J449" s="27"/>
      <c r="K449" s="27"/>
      <c r="L449" s="27"/>
      <c r="M449" s="27"/>
      <c r="N449" s="27"/>
      <c r="O449" s="27"/>
      <c r="P449" s="27"/>
      <c r="Q449" s="27"/>
      <c r="R449" s="27"/>
      <c r="S449" s="27"/>
      <c r="T449" s="27"/>
      <c r="U449" s="27"/>
      <c r="V449" s="27"/>
      <c r="W449" s="27"/>
      <c r="X449" s="27"/>
      <c r="Y449" s="27"/>
      <c r="Z449" s="27"/>
      <c r="AA449" s="27"/>
      <c r="AB449" s="27"/>
      <c r="AC449" s="27"/>
      <c r="AD449" s="27"/>
      <c r="AE449" s="27"/>
      <c r="AF449" s="27"/>
      <c r="AG449" s="27"/>
      <c r="AH449" s="27"/>
      <c r="AI449" s="27"/>
      <c r="AJ449" s="27"/>
      <c r="AK449" s="27"/>
      <c r="AL449" s="27"/>
      <c r="AM449" s="27"/>
      <c r="AN449" s="27"/>
      <c r="AO449" s="27"/>
      <c r="AP449" s="27"/>
      <c r="AQ449" s="27"/>
      <c r="AR449" s="27"/>
      <c r="AS449" s="27"/>
      <c r="AT449" s="27"/>
      <c r="AU449" s="27"/>
      <c r="AV449" s="27"/>
      <c r="AW449" s="27"/>
      <c r="AX449" s="27"/>
      <c r="AY449" s="27"/>
      <c r="AZ449" s="27"/>
      <c r="BA449" s="27"/>
      <c r="BB449" s="27"/>
      <c r="BC449" s="27"/>
      <c r="BD449" s="27"/>
      <c r="BE449" s="27"/>
      <c r="BF449" s="27"/>
      <c r="BG449" s="27"/>
      <c r="BH449" s="27"/>
      <c r="BI449" s="27"/>
      <c r="BJ449" s="27"/>
      <c r="BK449" s="27"/>
      <c r="BL449" s="27"/>
      <c r="BM449" s="27"/>
      <c r="BN449" s="27"/>
      <c r="BO449" s="27"/>
      <c r="BP449" s="27"/>
      <c r="BQ449" s="27"/>
      <c r="BR449" s="27"/>
      <c r="BS449" s="27"/>
      <c r="BT449" s="27"/>
      <c r="BU449" s="27"/>
      <c r="BV449" s="27"/>
      <c r="BW449" s="27"/>
      <c r="BX449" s="27"/>
      <c r="BY449" s="27"/>
      <c r="BZ449" s="27"/>
      <c r="CA449" s="27"/>
      <c r="CB449" s="27"/>
      <c r="CC449" s="27"/>
      <c r="CD449" s="27"/>
      <c r="CE449" s="27"/>
      <c r="CF449" s="27"/>
      <c r="CG449" s="27"/>
      <c r="CH449" s="27"/>
      <c r="CI449" s="27"/>
      <c r="CJ449" s="27"/>
      <c r="CK449" s="27"/>
      <c r="CL449" s="27"/>
      <c r="CM449" s="27"/>
      <c r="CN449" s="27"/>
      <c r="CO449" s="27"/>
      <c r="CP449" s="27"/>
      <c r="CQ449" s="27"/>
      <c r="CR449" s="27"/>
      <c r="CS449" s="27"/>
      <c r="CT449" s="27"/>
      <c r="CU449" s="27"/>
      <c r="CV449" s="27"/>
      <c r="CW449" s="27"/>
      <c r="CX449" s="27"/>
      <c r="CY449" s="27"/>
      <c r="CZ449" s="27"/>
      <c r="DA449" s="27"/>
      <c r="DB449" s="27"/>
      <c r="DC449" s="27"/>
      <c r="DD449" s="27"/>
      <c r="DE449" s="27"/>
      <c r="DF449" s="27"/>
      <c r="DG449" s="27"/>
      <c r="DH449" s="27"/>
      <c r="DI449" s="27"/>
      <c r="DJ449" s="27"/>
      <c r="DK449" s="27"/>
      <c r="DL449" s="27"/>
      <c r="DM449" s="27"/>
      <c r="DN449" s="27"/>
      <c r="DO449" s="27"/>
      <c r="DP449" s="27"/>
      <c r="DQ449" s="27"/>
      <c r="DR449" s="27"/>
      <c r="DS449" s="27"/>
      <c r="DT449" s="27"/>
    </row>
    <row r="450" spans="2:124" x14ac:dyDescent="0.2">
      <c r="B450" s="27"/>
      <c r="C450" s="27"/>
      <c r="D450" s="27"/>
      <c r="E450" s="27"/>
      <c r="F450" s="27"/>
      <c r="G450" s="27"/>
      <c r="H450" s="27"/>
      <c r="I450" s="27"/>
      <c r="J450" s="27"/>
      <c r="K450" s="27"/>
      <c r="L450" s="27"/>
      <c r="M450" s="27"/>
      <c r="N450" s="27"/>
      <c r="O450" s="27"/>
      <c r="P450" s="27"/>
      <c r="Q450" s="27"/>
      <c r="R450" s="27"/>
      <c r="S450" s="27"/>
      <c r="T450" s="27"/>
      <c r="U450" s="27"/>
      <c r="V450" s="27"/>
      <c r="W450" s="27"/>
      <c r="X450" s="27"/>
      <c r="Y450" s="27"/>
      <c r="Z450" s="27"/>
      <c r="AA450" s="27"/>
      <c r="AB450" s="27"/>
      <c r="AC450" s="27"/>
      <c r="AD450" s="27"/>
      <c r="AE450" s="27"/>
      <c r="AF450" s="27"/>
      <c r="AG450" s="27"/>
      <c r="AH450" s="27"/>
      <c r="AI450" s="27"/>
      <c r="AJ450" s="27"/>
      <c r="AK450" s="27"/>
      <c r="AL450" s="27"/>
      <c r="AM450" s="27"/>
      <c r="AN450" s="27"/>
      <c r="AO450" s="27"/>
      <c r="AP450" s="27"/>
      <c r="AQ450" s="27"/>
      <c r="AR450" s="27"/>
      <c r="AS450" s="27"/>
      <c r="AT450" s="27"/>
      <c r="AU450" s="27"/>
      <c r="AV450" s="27"/>
      <c r="AW450" s="27"/>
      <c r="AX450" s="27"/>
      <c r="AY450" s="27"/>
      <c r="AZ450" s="27"/>
      <c r="BA450" s="27"/>
      <c r="BB450" s="27"/>
      <c r="BC450" s="27"/>
      <c r="BD450" s="27"/>
      <c r="BE450" s="27"/>
      <c r="BF450" s="27"/>
      <c r="BG450" s="27"/>
      <c r="BH450" s="27"/>
      <c r="BI450" s="27"/>
      <c r="BJ450" s="27"/>
      <c r="BK450" s="27"/>
      <c r="BL450" s="27"/>
      <c r="BM450" s="27"/>
      <c r="BN450" s="27"/>
      <c r="BO450" s="27"/>
      <c r="BP450" s="27"/>
      <c r="BQ450" s="27"/>
      <c r="BR450" s="27"/>
      <c r="BS450" s="27"/>
      <c r="BT450" s="27"/>
      <c r="BU450" s="27"/>
      <c r="BV450" s="27"/>
      <c r="BW450" s="27"/>
      <c r="BX450" s="27"/>
      <c r="BY450" s="27"/>
      <c r="BZ450" s="27"/>
      <c r="CA450" s="27"/>
      <c r="CB450" s="27"/>
      <c r="CC450" s="27"/>
      <c r="CD450" s="27"/>
      <c r="CE450" s="27"/>
      <c r="CF450" s="27"/>
      <c r="CG450" s="27"/>
      <c r="CH450" s="27"/>
      <c r="CI450" s="27"/>
      <c r="CJ450" s="27"/>
      <c r="CK450" s="27"/>
      <c r="CL450" s="27"/>
      <c r="CM450" s="27"/>
      <c r="CN450" s="27"/>
      <c r="CO450" s="27"/>
      <c r="CP450" s="27"/>
      <c r="CQ450" s="27"/>
      <c r="CR450" s="27"/>
      <c r="CS450" s="27"/>
      <c r="CT450" s="27"/>
      <c r="CU450" s="27"/>
      <c r="CV450" s="27"/>
      <c r="CW450" s="27"/>
      <c r="CX450" s="27"/>
      <c r="CY450" s="27"/>
      <c r="CZ450" s="27"/>
      <c r="DA450" s="27"/>
      <c r="DB450" s="27"/>
      <c r="DC450" s="27"/>
      <c r="DD450" s="27"/>
      <c r="DE450" s="27"/>
      <c r="DF450" s="27"/>
      <c r="DG450" s="27"/>
      <c r="DH450" s="27"/>
      <c r="DI450" s="27"/>
      <c r="DJ450" s="27"/>
      <c r="DK450" s="27"/>
      <c r="DL450" s="27"/>
      <c r="DM450" s="27"/>
      <c r="DN450" s="27"/>
      <c r="DO450" s="27"/>
      <c r="DP450" s="27"/>
      <c r="DQ450" s="27"/>
      <c r="DR450" s="27"/>
      <c r="DS450" s="27"/>
      <c r="DT450" s="27"/>
    </row>
    <row r="451" spans="2:124" x14ac:dyDescent="0.2">
      <c r="B451" s="27"/>
      <c r="C451" s="27"/>
      <c r="D451" s="27"/>
      <c r="E451" s="27"/>
      <c r="F451" s="27"/>
      <c r="G451" s="27"/>
      <c r="H451" s="27"/>
      <c r="I451" s="27"/>
      <c r="J451" s="27"/>
      <c r="K451" s="27"/>
      <c r="L451" s="27"/>
      <c r="M451" s="27"/>
      <c r="N451" s="27"/>
      <c r="O451" s="27"/>
      <c r="P451" s="27"/>
      <c r="Q451" s="27"/>
      <c r="R451" s="27"/>
      <c r="S451" s="27"/>
      <c r="T451" s="27"/>
      <c r="U451" s="27"/>
      <c r="V451" s="27"/>
      <c r="W451" s="27"/>
      <c r="X451" s="27"/>
      <c r="Y451" s="27"/>
      <c r="Z451" s="27"/>
      <c r="AA451" s="27"/>
      <c r="AB451" s="27"/>
      <c r="AC451" s="27"/>
      <c r="AD451" s="27"/>
      <c r="AE451" s="27"/>
      <c r="AF451" s="27"/>
      <c r="AG451" s="27"/>
      <c r="AH451" s="27"/>
      <c r="AI451" s="27"/>
      <c r="AJ451" s="27"/>
      <c r="AK451" s="27"/>
      <c r="AL451" s="27"/>
      <c r="AM451" s="27"/>
      <c r="AN451" s="27"/>
      <c r="AO451" s="27"/>
      <c r="AP451" s="27"/>
      <c r="AQ451" s="27"/>
      <c r="AR451" s="27"/>
      <c r="AS451" s="27"/>
      <c r="AT451" s="27"/>
      <c r="AU451" s="27"/>
      <c r="AV451" s="27"/>
      <c r="AW451" s="27"/>
      <c r="AX451" s="27"/>
      <c r="AY451" s="27"/>
      <c r="AZ451" s="27"/>
      <c r="BA451" s="27"/>
      <c r="BB451" s="27"/>
      <c r="BC451" s="27"/>
      <c r="BD451" s="27"/>
      <c r="BE451" s="27"/>
      <c r="BF451" s="27"/>
      <c r="BG451" s="27"/>
      <c r="BH451" s="27"/>
      <c r="BI451" s="27"/>
      <c r="BJ451" s="27"/>
      <c r="BK451" s="27"/>
      <c r="BL451" s="27"/>
      <c r="BM451" s="27"/>
      <c r="BN451" s="27"/>
      <c r="BO451" s="27"/>
      <c r="BP451" s="27"/>
      <c r="BQ451" s="27"/>
      <c r="BR451" s="27"/>
      <c r="BS451" s="27"/>
      <c r="BT451" s="27"/>
      <c r="BU451" s="27"/>
      <c r="BV451" s="27"/>
      <c r="BW451" s="27"/>
      <c r="BX451" s="27"/>
      <c r="BY451" s="27"/>
      <c r="BZ451" s="27"/>
      <c r="CA451" s="27"/>
      <c r="CB451" s="27"/>
      <c r="CC451" s="27"/>
      <c r="CD451" s="27"/>
      <c r="CE451" s="27"/>
      <c r="CF451" s="27"/>
      <c r="CG451" s="27"/>
      <c r="CH451" s="27"/>
      <c r="CI451" s="27"/>
      <c r="CJ451" s="27"/>
      <c r="CK451" s="27"/>
      <c r="CL451" s="27"/>
      <c r="CM451" s="27"/>
      <c r="CN451" s="27"/>
      <c r="CO451" s="27"/>
      <c r="CP451" s="27"/>
      <c r="CQ451" s="27"/>
      <c r="CR451" s="27"/>
      <c r="CS451" s="27"/>
      <c r="CT451" s="27"/>
      <c r="CU451" s="27"/>
      <c r="CV451" s="27"/>
      <c r="CW451" s="27"/>
      <c r="CX451" s="27"/>
      <c r="CY451" s="27"/>
      <c r="CZ451" s="27"/>
      <c r="DA451" s="27"/>
      <c r="DB451" s="27"/>
      <c r="DC451" s="27"/>
      <c r="DD451" s="27"/>
      <c r="DE451" s="27"/>
      <c r="DF451" s="27"/>
      <c r="DG451" s="27"/>
      <c r="DH451" s="27"/>
      <c r="DI451" s="27"/>
      <c r="DJ451" s="27"/>
      <c r="DK451" s="27"/>
      <c r="DL451" s="27"/>
      <c r="DM451" s="27"/>
      <c r="DN451" s="27"/>
      <c r="DO451" s="27"/>
      <c r="DP451" s="27"/>
      <c r="DQ451" s="27"/>
      <c r="DR451" s="27"/>
      <c r="DS451" s="27"/>
      <c r="DT451" s="27"/>
    </row>
    <row r="452" spans="2:124" x14ac:dyDescent="0.2">
      <c r="B452" s="27"/>
      <c r="C452" s="27"/>
      <c r="D452" s="27"/>
      <c r="E452" s="27"/>
      <c r="F452" s="27"/>
      <c r="G452" s="27"/>
      <c r="H452" s="27"/>
      <c r="I452" s="27"/>
      <c r="J452" s="27"/>
      <c r="K452" s="27"/>
      <c r="L452" s="27"/>
      <c r="M452" s="27"/>
      <c r="N452" s="27"/>
      <c r="O452" s="27"/>
      <c r="P452" s="27"/>
      <c r="Q452" s="27"/>
      <c r="R452" s="27"/>
      <c r="S452" s="27"/>
      <c r="T452" s="27"/>
      <c r="U452" s="27"/>
      <c r="V452" s="27"/>
      <c r="W452" s="27"/>
      <c r="X452" s="27"/>
      <c r="Y452" s="27"/>
      <c r="Z452" s="27"/>
      <c r="AA452" s="27"/>
      <c r="AB452" s="27"/>
      <c r="AC452" s="27"/>
      <c r="AD452" s="27"/>
      <c r="AE452" s="27"/>
      <c r="AF452" s="27"/>
      <c r="AG452" s="27"/>
      <c r="AH452" s="27"/>
      <c r="AI452" s="27"/>
      <c r="AJ452" s="27"/>
      <c r="AK452" s="27"/>
      <c r="AL452" s="27"/>
      <c r="AM452" s="27"/>
      <c r="AN452" s="27"/>
      <c r="AO452" s="27"/>
      <c r="AP452" s="27"/>
      <c r="AQ452" s="27"/>
      <c r="AR452" s="27"/>
      <c r="AS452" s="27"/>
      <c r="AT452" s="27"/>
      <c r="AU452" s="27"/>
      <c r="AV452" s="27"/>
      <c r="AW452" s="27"/>
      <c r="AX452" s="27"/>
      <c r="AY452" s="27"/>
      <c r="AZ452" s="27"/>
      <c r="BA452" s="27"/>
      <c r="BB452" s="27"/>
      <c r="BC452" s="27"/>
      <c r="BD452" s="27"/>
      <c r="BE452" s="27"/>
      <c r="BF452" s="27"/>
      <c r="BG452" s="27"/>
      <c r="BH452" s="27"/>
      <c r="BI452" s="27"/>
      <c r="BJ452" s="27"/>
      <c r="BK452" s="27"/>
      <c r="BL452" s="27"/>
      <c r="BM452" s="27"/>
      <c r="BN452" s="27"/>
      <c r="BO452" s="27"/>
      <c r="BP452" s="27"/>
      <c r="BQ452" s="27"/>
      <c r="BR452" s="27"/>
      <c r="BS452" s="27"/>
      <c r="BT452" s="27"/>
      <c r="BU452" s="27"/>
      <c r="BV452" s="27"/>
      <c r="BW452" s="27"/>
      <c r="BX452" s="27"/>
      <c r="BY452" s="27"/>
      <c r="BZ452" s="27"/>
      <c r="CA452" s="27"/>
      <c r="CB452" s="27"/>
      <c r="CC452" s="27"/>
      <c r="CD452" s="27"/>
      <c r="CE452" s="27"/>
      <c r="CF452" s="27"/>
      <c r="CG452" s="27"/>
      <c r="CH452" s="27"/>
      <c r="CI452" s="27"/>
      <c r="CJ452" s="27"/>
      <c r="CK452" s="27"/>
      <c r="CL452" s="27"/>
      <c r="CM452" s="27"/>
      <c r="CN452" s="27"/>
      <c r="CO452" s="27"/>
      <c r="CP452" s="27"/>
      <c r="CQ452" s="27"/>
      <c r="CR452" s="27"/>
      <c r="CS452" s="27"/>
      <c r="CT452" s="27"/>
      <c r="CU452" s="27"/>
      <c r="CV452" s="27"/>
      <c r="CW452" s="27"/>
      <c r="CX452" s="27"/>
      <c r="CY452" s="27"/>
      <c r="CZ452" s="27"/>
      <c r="DA452" s="27"/>
      <c r="DB452" s="27"/>
      <c r="DC452" s="27"/>
      <c r="DD452" s="27"/>
      <c r="DE452" s="27"/>
      <c r="DF452" s="27"/>
      <c r="DG452" s="27"/>
      <c r="DH452" s="27"/>
      <c r="DI452" s="27"/>
      <c r="DJ452" s="27"/>
      <c r="DK452" s="27"/>
      <c r="DL452" s="27"/>
      <c r="DM452" s="27"/>
      <c r="DN452" s="27"/>
      <c r="DO452" s="27"/>
      <c r="DP452" s="27"/>
      <c r="DQ452" s="27"/>
      <c r="DR452" s="27"/>
      <c r="DS452" s="27"/>
      <c r="DT452" s="27"/>
    </row>
    <row r="453" spans="2:124" x14ac:dyDescent="0.2">
      <c r="B453" s="27"/>
      <c r="C453" s="27"/>
      <c r="D453" s="27"/>
      <c r="E453" s="27"/>
      <c r="F453" s="27"/>
      <c r="G453" s="27"/>
      <c r="H453" s="27"/>
      <c r="I453" s="27"/>
      <c r="J453" s="27"/>
      <c r="K453" s="27"/>
      <c r="L453" s="27"/>
      <c r="M453" s="27"/>
      <c r="N453" s="27"/>
      <c r="O453" s="27"/>
      <c r="P453" s="27"/>
      <c r="Q453" s="27"/>
      <c r="R453" s="27"/>
      <c r="S453" s="27"/>
      <c r="T453" s="27"/>
      <c r="U453" s="27"/>
      <c r="V453" s="27"/>
      <c r="W453" s="27"/>
      <c r="X453" s="27"/>
      <c r="Y453" s="27"/>
      <c r="Z453" s="27"/>
      <c r="AA453" s="27"/>
      <c r="AB453" s="27"/>
      <c r="AC453" s="27"/>
      <c r="AD453" s="27"/>
      <c r="AE453" s="27"/>
      <c r="AF453" s="27"/>
      <c r="AG453" s="27"/>
      <c r="AH453" s="27"/>
      <c r="AI453" s="27"/>
      <c r="AJ453" s="27"/>
      <c r="AK453" s="27"/>
      <c r="AL453" s="27"/>
      <c r="AM453" s="27"/>
      <c r="AN453" s="27"/>
      <c r="AO453" s="27"/>
      <c r="AP453" s="27"/>
      <c r="AQ453" s="27"/>
      <c r="AR453" s="27"/>
      <c r="AS453" s="27"/>
      <c r="AT453" s="27"/>
      <c r="AU453" s="27"/>
      <c r="AV453" s="27"/>
      <c r="AW453" s="27"/>
      <c r="AX453" s="27"/>
      <c r="AY453" s="27"/>
      <c r="AZ453" s="27"/>
      <c r="BA453" s="27"/>
      <c r="BB453" s="27"/>
      <c r="BC453" s="27"/>
      <c r="BD453" s="27"/>
      <c r="BE453" s="27"/>
      <c r="BF453" s="27"/>
      <c r="BG453" s="27"/>
      <c r="BH453" s="27"/>
      <c r="BI453" s="27"/>
      <c r="BJ453" s="27"/>
      <c r="BK453" s="27"/>
      <c r="BL453" s="27"/>
      <c r="BM453" s="27"/>
      <c r="BN453" s="27"/>
      <c r="BO453" s="27"/>
      <c r="BP453" s="27"/>
      <c r="BQ453" s="27"/>
      <c r="BR453" s="27"/>
      <c r="BS453" s="27"/>
      <c r="BT453" s="27"/>
      <c r="BU453" s="27"/>
      <c r="BV453" s="27"/>
      <c r="BW453" s="27"/>
      <c r="BX453" s="27"/>
      <c r="BY453" s="27"/>
      <c r="BZ453" s="27"/>
      <c r="CA453" s="27"/>
      <c r="CB453" s="27"/>
      <c r="CC453" s="27"/>
      <c r="CD453" s="27"/>
      <c r="CE453" s="27"/>
      <c r="CF453" s="27"/>
      <c r="CG453" s="27"/>
      <c r="CH453" s="27"/>
      <c r="CI453" s="27"/>
      <c r="CJ453" s="27"/>
      <c r="CK453" s="27"/>
      <c r="CL453" s="27"/>
      <c r="CM453" s="27"/>
      <c r="CN453" s="27"/>
      <c r="CO453" s="27"/>
      <c r="CP453" s="27"/>
      <c r="CQ453" s="27"/>
      <c r="CR453" s="27"/>
      <c r="CS453" s="27"/>
      <c r="CT453" s="27"/>
      <c r="CU453" s="27"/>
      <c r="CV453" s="27"/>
      <c r="CW453" s="27"/>
      <c r="CX453" s="27"/>
      <c r="CY453" s="27"/>
      <c r="CZ453" s="27"/>
      <c r="DA453" s="27"/>
      <c r="DB453" s="27"/>
      <c r="DC453" s="27"/>
      <c r="DD453" s="27"/>
      <c r="DE453" s="27"/>
      <c r="DF453" s="27"/>
      <c r="DG453" s="27"/>
      <c r="DH453" s="27"/>
      <c r="DI453" s="27"/>
      <c r="DJ453" s="27"/>
      <c r="DK453" s="27"/>
      <c r="DL453" s="27"/>
      <c r="DM453" s="27"/>
      <c r="DN453" s="27"/>
      <c r="DO453" s="27"/>
      <c r="DP453" s="27"/>
      <c r="DQ453" s="27"/>
      <c r="DR453" s="27"/>
      <c r="DS453" s="27"/>
      <c r="DT453" s="27"/>
    </row>
    <row r="454" spans="2:124" x14ac:dyDescent="0.2">
      <c r="B454" s="27"/>
      <c r="C454" s="27"/>
      <c r="D454" s="27"/>
      <c r="E454" s="27"/>
      <c r="F454" s="27"/>
      <c r="G454" s="27"/>
      <c r="H454" s="27"/>
      <c r="I454" s="27"/>
      <c r="J454" s="27"/>
      <c r="K454" s="27"/>
      <c r="L454" s="27"/>
      <c r="M454" s="27"/>
      <c r="N454" s="27"/>
      <c r="O454" s="27"/>
      <c r="P454" s="27"/>
      <c r="Q454" s="27"/>
      <c r="R454" s="27"/>
      <c r="S454" s="27"/>
      <c r="T454" s="27"/>
      <c r="U454" s="27"/>
      <c r="V454" s="27"/>
      <c r="W454" s="27"/>
      <c r="X454" s="27"/>
      <c r="Y454" s="27"/>
      <c r="Z454" s="27"/>
      <c r="AA454" s="27"/>
      <c r="AB454" s="27"/>
      <c r="AC454" s="27"/>
      <c r="AD454" s="27"/>
      <c r="AE454" s="27"/>
      <c r="AF454" s="27"/>
      <c r="AG454" s="27"/>
      <c r="AH454" s="27"/>
      <c r="AI454" s="27"/>
      <c r="AJ454" s="27"/>
      <c r="AK454" s="27"/>
      <c r="AL454" s="27"/>
      <c r="AM454" s="27"/>
      <c r="AN454" s="27"/>
      <c r="AO454" s="27"/>
      <c r="AP454" s="27"/>
      <c r="AQ454" s="27"/>
      <c r="AR454" s="27"/>
      <c r="AS454" s="27"/>
      <c r="AT454" s="27"/>
      <c r="AU454" s="27"/>
      <c r="AV454" s="27"/>
      <c r="AW454" s="27"/>
      <c r="AX454" s="27"/>
      <c r="AY454" s="27"/>
      <c r="AZ454" s="27"/>
      <c r="BA454" s="27"/>
      <c r="BB454" s="27"/>
      <c r="BC454" s="27"/>
      <c r="BD454" s="27"/>
      <c r="BE454" s="27"/>
      <c r="BF454" s="27"/>
      <c r="BG454" s="27"/>
      <c r="BH454" s="27"/>
      <c r="BI454" s="27"/>
      <c r="BJ454" s="27"/>
      <c r="BK454" s="27"/>
      <c r="BL454" s="27"/>
      <c r="BM454" s="27"/>
      <c r="BN454" s="27"/>
      <c r="BO454" s="27"/>
      <c r="BP454" s="27"/>
      <c r="BQ454" s="27"/>
      <c r="BR454" s="27"/>
      <c r="BS454" s="27"/>
      <c r="BT454" s="27"/>
      <c r="BU454" s="27"/>
      <c r="BV454" s="27"/>
      <c r="BW454" s="27"/>
      <c r="BX454" s="27"/>
      <c r="BY454" s="27"/>
      <c r="BZ454" s="27"/>
      <c r="CA454" s="27"/>
      <c r="CB454" s="27"/>
      <c r="CC454" s="27"/>
      <c r="CD454" s="27"/>
      <c r="CE454" s="27"/>
      <c r="CF454" s="27"/>
      <c r="CG454" s="27"/>
      <c r="CH454" s="27"/>
      <c r="CI454" s="27"/>
      <c r="CJ454" s="27"/>
      <c r="CK454" s="27"/>
      <c r="CL454" s="27"/>
      <c r="CM454" s="27"/>
      <c r="CN454" s="27"/>
      <c r="CO454" s="27"/>
      <c r="CP454" s="27"/>
      <c r="CQ454" s="27"/>
      <c r="CR454" s="27"/>
      <c r="CS454" s="27"/>
      <c r="CT454" s="27"/>
      <c r="CU454" s="27"/>
      <c r="CV454" s="27"/>
      <c r="CW454" s="27"/>
      <c r="CX454" s="27"/>
      <c r="CY454" s="27"/>
      <c r="CZ454" s="27"/>
      <c r="DA454" s="27"/>
      <c r="DB454" s="27"/>
      <c r="DC454" s="27"/>
      <c r="DD454" s="27"/>
      <c r="DE454" s="27"/>
      <c r="DF454" s="27"/>
      <c r="DG454" s="27"/>
      <c r="DH454" s="27"/>
      <c r="DI454" s="27"/>
      <c r="DJ454" s="27"/>
      <c r="DK454" s="27"/>
      <c r="DL454" s="27"/>
      <c r="DM454" s="27"/>
      <c r="DN454" s="27"/>
      <c r="DO454" s="27"/>
      <c r="DP454" s="27"/>
      <c r="DQ454" s="27"/>
      <c r="DR454" s="27"/>
      <c r="DS454" s="27"/>
      <c r="DT454" s="27"/>
    </row>
    <row r="455" spans="2:124" x14ac:dyDescent="0.2">
      <c r="B455" s="27"/>
      <c r="C455" s="27"/>
      <c r="D455" s="27"/>
      <c r="E455" s="27"/>
      <c r="F455" s="27"/>
      <c r="G455" s="27"/>
      <c r="H455" s="27"/>
      <c r="I455" s="27"/>
      <c r="J455" s="27"/>
      <c r="K455" s="27"/>
      <c r="L455" s="27"/>
      <c r="M455" s="27"/>
      <c r="N455" s="27"/>
      <c r="O455" s="27"/>
      <c r="P455" s="27"/>
      <c r="Q455" s="27"/>
      <c r="R455" s="27"/>
      <c r="S455" s="27"/>
      <c r="T455" s="27"/>
      <c r="U455" s="27"/>
      <c r="V455" s="27"/>
      <c r="W455" s="27"/>
      <c r="X455" s="27"/>
      <c r="Y455" s="27"/>
      <c r="Z455" s="27"/>
      <c r="AA455" s="27"/>
      <c r="AB455" s="27"/>
      <c r="AC455" s="27"/>
      <c r="AD455" s="27"/>
      <c r="AE455" s="27"/>
      <c r="AF455" s="27"/>
      <c r="AG455" s="27"/>
      <c r="AH455" s="27"/>
      <c r="AI455" s="27"/>
      <c r="AJ455" s="27"/>
      <c r="AK455" s="27"/>
      <c r="AL455" s="27"/>
      <c r="AM455" s="27"/>
      <c r="AN455" s="27"/>
      <c r="AO455" s="27"/>
      <c r="AP455" s="27"/>
      <c r="AQ455" s="27"/>
      <c r="AR455" s="27"/>
      <c r="AS455" s="27"/>
      <c r="AT455" s="27"/>
      <c r="AU455" s="27"/>
      <c r="AV455" s="27"/>
      <c r="AW455" s="27"/>
      <c r="AX455" s="27"/>
      <c r="AY455" s="27"/>
      <c r="AZ455" s="27"/>
      <c r="BA455" s="27"/>
      <c r="BB455" s="27"/>
      <c r="BC455" s="27"/>
      <c r="BD455" s="27"/>
      <c r="BE455" s="27"/>
      <c r="BF455" s="27"/>
      <c r="BG455" s="27"/>
      <c r="BH455" s="27"/>
      <c r="BI455" s="27"/>
      <c r="BJ455" s="27"/>
      <c r="BK455" s="27"/>
      <c r="BL455" s="27"/>
      <c r="BM455" s="27"/>
      <c r="BN455" s="27"/>
      <c r="BO455" s="27"/>
      <c r="BP455" s="27"/>
      <c r="BQ455" s="27"/>
      <c r="BR455" s="27"/>
      <c r="BS455" s="27"/>
      <c r="BT455" s="27"/>
      <c r="BU455" s="27"/>
      <c r="BV455" s="27"/>
      <c r="BW455" s="27"/>
      <c r="BX455" s="27"/>
      <c r="BY455" s="27"/>
      <c r="BZ455" s="27"/>
      <c r="CA455" s="27"/>
      <c r="CB455" s="27"/>
      <c r="CC455" s="27"/>
      <c r="CD455" s="27"/>
      <c r="CE455" s="27"/>
      <c r="CF455" s="27"/>
      <c r="CG455" s="27"/>
      <c r="CH455" s="27"/>
      <c r="CI455" s="27"/>
      <c r="CJ455" s="27"/>
      <c r="CK455" s="27"/>
      <c r="CL455" s="27"/>
      <c r="CM455" s="27"/>
      <c r="CN455" s="27"/>
      <c r="CO455" s="27"/>
      <c r="CP455" s="27"/>
      <c r="CQ455" s="27"/>
      <c r="CR455" s="27"/>
      <c r="CS455" s="27"/>
      <c r="CT455" s="27"/>
      <c r="CU455" s="27"/>
      <c r="CV455" s="27"/>
      <c r="CW455" s="27"/>
      <c r="CX455" s="27"/>
      <c r="CY455" s="27"/>
      <c r="CZ455" s="27"/>
      <c r="DA455" s="27"/>
      <c r="DB455" s="27"/>
      <c r="DC455" s="27"/>
      <c r="DD455" s="27"/>
      <c r="DE455" s="27"/>
      <c r="DF455" s="27"/>
      <c r="DG455" s="27"/>
      <c r="DH455" s="27"/>
      <c r="DI455" s="27"/>
      <c r="DJ455" s="27"/>
      <c r="DK455" s="27"/>
      <c r="DL455" s="27"/>
      <c r="DM455" s="27"/>
      <c r="DN455" s="27"/>
      <c r="DO455" s="27"/>
      <c r="DP455" s="27"/>
      <c r="DQ455" s="27"/>
      <c r="DR455" s="27"/>
      <c r="DS455" s="27"/>
      <c r="DT455" s="27"/>
    </row>
    <row r="456" spans="2:124" x14ac:dyDescent="0.2">
      <c r="B456" s="27"/>
      <c r="C456" s="27"/>
      <c r="D456" s="27"/>
      <c r="E456" s="27"/>
      <c r="F456" s="27"/>
      <c r="G456" s="27"/>
      <c r="H456" s="27"/>
      <c r="I456" s="27"/>
      <c r="J456" s="27"/>
      <c r="K456" s="27"/>
      <c r="L456" s="27"/>
      <c r="M456" s="27"/>
      <c r="N456" s="27"/>
      <c r="O456" s="27"/>
      <c r="P456" s="27"/>
      <c r="Q456" s="27"/>
      <c r="R456" s="27"/>
      <c r="S456" s="27"/>
      <c r="T456" s="27"/>
      <c r="U456" s="27"/>
      <c r="V456" s="27"/>
      <c r="W456" s="27"/>
      <c r="X456" s="27"/>
      <c r="Y456" s="27"/>
      <c r="Z456" s="27"/>
      <c r="AA456" s="27"/>
      <c r="AB456" s="27"/>
      <c r="AC456" s="27"/>
      <c r="AD456" s="27"/>
      <c r="AE456" s="27"/>
      <c r="AF456" s="27"/>
      <c r="AG456" s="27"/>
      <c r="AH456" s="27"/>
      <c r="AI456" s="27"/>
      <c r="AJ456" s="27"/>
      <c r="AK456" s="27"/>
      <c r="AL456" s="27"/>
      <c r="AM456" s="27"/>
      <c r="AN456" s="27"/>
      <c r="AO456" s="27"/>
      <c r="AP456" s="27"/>
      <c r="AQ456" s="27"/>
      <c r="AR456" s="27"/>
      <c r="AS456" s="27"/>
      <c r="AT456" s="27"/>
      <c r="AU456" s="27"/>
      <c r="AV456" s="27"/>
      <c r="AW456" s="27"/>
      <c r="AX456" s="27"/>
      <c r="AY456" s="27"/>
      <c r="AZ456" s="27"/>
      <c r="BA456" s="27"/>
      <c r="BB456" s="27"/>
      <c r="BC456" s="27"/>
      <c r="BD456" s="27"/>
      <c r="BE456" s="27"/>
      <c r="BF456" s="27"/>
      <c r="BG456" s="27"/>
      <c r="BH456" s="27"/>
      <c r="BI456" s="27"/>
      <c r="BJ456" s="27"/>
      <c r="BK456" s="27"/>
      <c r="BL456" s="27"/>
      <c r="BM456" s="27"/>
      <c r="BN456" s="27"/>
      <c r="BO456" s="27"/>
      <c r="BP456" s="27"/>
      <c r="BQ456" s="27"/>
      <c r="BR456" s="27"/>
      <c r="BS456" s="27"/>
      <c r="BT456" s="27"/>
      <c r="BU456" s="27"/>
      <c r="BV456" s="27"/>
      <c r="BW456" s="27"/>
      <c r="BX456" s="27"/>
      <c r="BY456" s="27"/>
      <c r="BZ456" s="27"/>
      <c r="CA456" s="27"/>
      <c r="CB456" s="27"/>
      <c r="CC456" s="27"/>
      <c r="CD456" s="27"/>
      <c r="CE456" s="27"/>
      <c r="CF456" s="27"/>
      <c r="CG456" s="27"/>
      <c r="CH456" s="27"/>
      <c r="CI456" s="27"/>
      <c r="CJ456" s="27"/>
      <c r="CK456" s="27"/>
      <c r="CL456" s="27"/>
      <c r="CM456" s="27"/>
      <c r="CN456" s="27"/>
      <c r="CO456" s="27"/>
      <c r="CP456" s="27"/>
      <c r="CQ456" s="27"/>
      <c r="CR456" s="27"/>
      <c r="CS456" s="27"/>
      <c r="CT456" s="27"/>
      <c r="CU456" s="27"/>
      <c r="CV456" s="27"/>
      <c r="CW456" s="27"/>
      <c r="CX456" s="27"/>
      <c r="CY456" s="27"/>
      <c r="CZ456" s="27"/>
      <c r="DA456" s="27"/>
      <c r="DB456" s="27"/>
      <c r="DC456" s="27"/>
      <c r="DD456" s="27"/>
      <c r="DE456" s="27"/>
      <c r="DF456" s="27"/>
      <c r="DG456" s="27"/>
      <c r="DH456" s="27"/>
      <c r="DI456" s="27"/>
      <c r="DJ456" s="27"/>
      <c r="DK456" s="27"/>
      <c r="DL456" s="27"/>
      <c r="DM456" s="27"/>
      <c r="DN456" s="27"/>
      <c r="DO456" s="27"/>
      <c r="DP456" s="27"/>
      <c r="DQ456" s="27"/>
      <c r="DR456" s="27"/>
      <c r="DS456" s="27"/>
      <c r="DT456" s="27"/>
    </row>
    <row r="457" spans="2:124" x14ac:dyDescent="0.2">
      <c r="B457" s="27"/>
      <c r="C457" s="27"/>
      <c r="D457" s="27"/>
      <c r="E457" s="27"/>
      <c r="F457" s="27"/>
      <c r="G457" s="27"/>
      <c r="H457" s="27"/>
      <c r="I457" s="27"/>
      <c r="J457" s="27"/>
      <c r="K457" s="27"/>
      <c r="L457" s="27"/>
      <c r="M457" s="27"/>
      <c r="N457" s="27"/>
      <c r="O457" s="27"/>
      <c r="P457" s="27"/>
      <c r="Q457" s="27"/>
      <c r="R457" s="27"/>
      <c r="S457" s="27"/>
      <c r="T457" s="27"/>
      <c r="U457" s="27"/>
      <c r="V457" s="27"/>
      <c r="W457" s="27"/>
      <c r="X457" s="27"/>
      <c r="Y457" s="27"/>
      <c r="Z457" s="27"/>
      <c r="AA457" s="27"/>
      <c r="AB457" s="27"/>
      <c r="AC457" s="27"/>
      <c r="AD457" s="27"/>
      <c r="AE457" s="27"/>
      <c r="AF457" s="27"/>
      <c r="AG457" s="27"/>
      <c r="AH457" s="27"/>
      <c r="AI457" s="27"/>
      <c r="AJ457" s="27"/>
      <c r="AK457" s="27"/>
      <c r="AL457" s="27"/>
      <c r="AM457" s="27"/>
      <c r="AN457" s="27"/>
      <c r="AO457" s="27"/>
      <c r="AP457" s="27"/>
      <c r="AQ457" s="27"/>
      <c r="AR457" s="27"/>
      <c r="AS457" s="27"/>
      <c r="AT457" s="27"/>
      <c r="AU457" s="27"/>
      <c r="AV457" s="27"/>
      <c r="AW457" s="27"/>
      <c r="AX457" s="27"/>
      <c r="AY457" s="27"/>
      <c r="AZ457" s="27"/>
      <c r="BA457" s="27"/>
      <c r="BB457" s="27"/>
      <c r="BC457" s="27"/>
      <c r="BD457" s="27"/>
      <c r="BE457" s="27"/>
      <c r="BF457" s="27"/>
      <c r="BG457" s="27"/>
      <c r="BH457" s="27"/>
      <c r="BI457" s="27"/>
      <c r="BJ457" s="27"/>
      <c r="BK457" s="27"/>
      <c r="BL457" s="27"/>
      <c r="BM457" s="27"/>
      <c r="BN457" s="27"/>
      <c r="BO457" s="27"/>
      <c r="BP457" s="27"/>
      <c r="BQ457" s="27"/>
      <c r="BR457" s="27"/>
      <c r="BS457" s="27"/>
      <c r="BT457" s="27"/>
      <c r="BU457" s="27"/>
      <c r="BV457" s="27"/>
      <c r="BW457" s="27"/>
      <c r="BX457" s="27"/>
      <c r="BY457" s="27"/>
      <c r="BZ457" s="27"/>
      <c r="CA457" s="27"/>
      <c r="CB457" s="27"/>
      <c r="CC457" s="27"/>
      <c r="CD457" s="27"/>
      <c r="CE457" s="27"/>
      <c r="CF457" s="27"/>
      <c r="CG457" s="27"/>
      <c r="CH457" s="27"/>
      <c r="CI457" s="27"/>
      <c r="CJ457" s="27"/>
      <c r="CK457" s="27"/>
      <c r="CL457" s="27"/>
      <c r="CM457" s="27"/>
      <c r="CN457" s="27"/>
      <c r="CO457" s="27"/>
      <c r="CP457" s="27"/>
      <c r="CQ457" s="27"/>
      <c r="CR457" s="27"/>
      <c r="CS457" s="27"/>
      <c r="CT457" s="27"/>
      <c r="CU457" s="27"/>
      <c r="CV457" s="27"/>
      <c r="CW457" s="27"/>
      <c r="CX457" s="27"/>
      <c r="CY457" s="27"/>
      <c r="CZ457" s="27"/>
      <c r="DA457" s="27"/>
      <c r="DB457" s="27"/>
      <c r="DC457" s="27"/>
      <c r="DD457" s="27"/>
      <c r="DE457" s="27"/>
      <c r="DF457" s="27"/>
      <c r="DG457" s="27"/>
      <c r="DH457" s="27"/>
      <c r="DI457" s="27"/>
      <c r="DJ457" s="27"/>
      <c r="DK457" s="27"/>
      <c r="DL457" s="27"/>
      <c r="DM457" s="27"/>
      <c r="DN457" s="27"/>
      <c r="DO457" s="27"/>
      <c r="DP457" s="27"/>
      <c r="DQ457" s="27"/>
      <c r="DR457" s="27"/>
      <c r="DS457" s="27"/>
      <c r="DT457" s="27"/>
    </row>
    <row r="458" spans="2:124" x14ac:dyDescent="0.2">
      <c r="B458" s="27"/>
      <c r="C458" s="27"/>
      <c r="D458" s="27"/>
      <c r="E458" s="27"/>
      <c r="F458" s="27"/>
      <c r="G458" s="27"/>
      <c r="H458" s="27"/>
      <c r="I458" s="27"/>
      <c r="J458" s="27"/>
      <c r="K458" s="27"/>
      <c r="L458" s="27"/>
      <c r="M458" s="27"/>
      <c r="N458" s="27"/>
      <c r="O458" s="27"/>
      <c r="P458" s="27"/>
      <c r="Q458" s="27"/>
      <c r="R458" s="27"/>
      <c r="S458" s="27"/>
      <c r="T458" s="27"/>
      <c r="U458" s="27"/>
      <c r="V458" s="27"/>
      <c r="W458" s="27"/>
      <c r="X458" s="27"/>
      <c r="Y458" s="27"/>
      <c r="Z458" s="27"/>
      <c r="AA458" s="27"/>
      <c r="AB458" s="27"/>
      <c r="AC458" s="27"/>
      <c r="AD458" s="27"/>
      <c r="AE458" s="27"/>
      <c r="AF458" s="27"/>
      <c r="AG458" s="27"/>
      <c r="AH458" s="27"/>
      <c r="AI458" s="27"/>
      <c r="AJ458" s="27"/>
      <c r="AK458" s="27"/>
      <c r="AL458" s="27"/>
      <c r="AM458" s="27"/>
      <c r="AN458" s="27"/>
      <c r="AO458" s="27"/>
      <c r="AP458" s="27"/>
      <c r="AQ458" s="27"/>
      <c r="AR458" s="27"/>
      <c r="AS458" s="27"/>
      <c r="AT458" s="27"/>
      <c r="AU458" s="27"/>
      <c r="AV458" s="27"/>
      <c r="AW458" s="27"/>
      <c r="AX458" s="27"/>
      <c r="AY458" s="27"/>
      <c r="AZ458" s="27"/>
      <c r="BA458" s="27"/>
      <c r="BB458" s="27"/>
      <c r="BC458" s="27"/>
      <c r="BD458" s="27"/>
      <c r="BE458" s="27"/>
      <c r="BF458" s="27"/>
      <c r="BG458" s="27"/>
      <c r="BH458" s="27"/>
      <c r="BI458" s="27"/>
      <c r="BJ458" s="27"/>
      <c r="BK458" s="27"/>
      <c r="BL458" s="27"/>
      <c r="BM458" s="27"/>
      <c r="BN458" s="27"/>
      <c r="BO458" s="27"/>
      <c r="BP458" s="27"/>
      <c r="BQ458" s="27"/>
      <c r="BR458" s="27"/>
      <c r="BS458" s="27"/>
      <c r="BT458" s="27"/>
      <c r="BU458" s="27"/>
      <c r="BV458" s="27"/>
      <c r="BW458" s="27"/>
      <c r="BX458" s="27"/>
      <c r="BY458" s="27"/>
      <c r="BZ458" s="27"/>
      <c r="CA458" s="27"/>
      <c r="CB458" s="27"/>
      <c r="CC458" s="27"/>
      <c r="CD458" s="27"/>
      <c r="CE458" s="27"/>
      <c r="CF458" s="27"/>
      <c r="CG458" s="27"/>
      <c r="CH458" s="27"/>
      <c r="CI458" s="27"/>
      <c r="CJ458" s="27"/>
      <c r="CK458" s="27"/>
      <c r="CL458" s="27"/>
      <c r="CM458" s="27"/>
      <c r="CN458" s="27"/>
      <c r="CO458" s="27"/>
      <c r="CP458" s="27"/>
      <c r="CQ458" s="27"/>
      <c r="CR458" s="27"/>
      <c r="CS458" s="27"/>
      <c r="CT458" s="27"/>
      <c r="CU458" s="27"/>
      <c r="CV458" s="27"/>
      <c r="CW458" s="27"/>
      <c r="CX458" s="27"/>
      <c r="CY458" s="27"/>
      <c r="CZ458" s="27"/>
      <c r="DA458" s="27"/>
      <c r="DB458" s="27"/>
      <c r="DC458" s="27"/>
      <c r="DD458" s="27"/>
      <c r="DE458" s="27"/>
      <c r="DF458" s="27"/>
      <c r="DG458" s="27"/>
      <c r="DH458" s="27"/>
      <c r="DI458" s="27"/>
      <c r="DJ458" s="27"/>
      <c r="DK458" s="27"/>
      <c r="DL458" s="27"/>
      <c r="DM458" s="27"/>
      <c r="DN458" s="27"/>
      <c r="DO458" s="27"/>
      <c r="DP458" s="27"/>
      <c r="DQ458" s="27"/>
      <c r="DR458" s="27"/>
      <c r="DS458" s="27"/>
      <c r="DT458" s="27"/>
    </row>
    <row r="459" spans="2:124" x14ac:dyDescent="0.2">
      <c r="B459" s="27"/>
      <c r="C459" s="27"/>
      <c r="D459" s="27"/>
      <c r="E459" s="27"/>
      <c r="F459" s="27"/>
      <c r="G459" s="27"/>
      <c r="H459" s="27"/>
      <c r="I459" s="27"/>
      <c r="J459" s="27"/>
      <c r="K459" s="27"/>
      <c r="L459" s="27"/>
      <c r="M459" s="27"/>
      <c r="N459" s="27"/>
      <c r="O459" s="27"/>
      <c r="P459" s="27"/>
      <c r="Q459" s="27"/>
      <c r="R459" s="27"/>
      <c r="S459" s="27"/>
      <c r="T459" s="27"/>
      <c r="U459" s="27"/>
      <c r="V459" s="27"/>
      <c r="W459" s="27"/>
      <c r="X459" s="27"/>
      <c r="Y459" s="27"/>
      <c r="Z459" s="27"/>
      <c r="AA459" s="27"/>
      <c r="AB459" s="27"/>
      <c r="AC459" s="27"/>
      <c r="AD459" s="27"/>
      <c r="AE459" s="27"/>
      <c r="AF459" s="27"/>
      <c r="AG459" s="27"/>
      <c r="AH459" s="27"/>
      <c r="AI459" s="27"/>
      <c r="AJ459" s="27"/>
      <c r="AK459" s="27"/>
      <c r="AL459" s="27"/>
      <c r="AM459" s="27"/>
      <c r="AN459" s="27"/>
      <c r="AO459" s="27"/>
      <c r="AP459" s="27"/>
      <c r="AQ459" s="27"/>
      <c r="AR459" s="27"/>
      <c r="AS459" s="27"/>
      <c r="AT459" s="27"/>
      <c r="AU459" s="27"/>
      <c r="AV459" s="27"/>
      <c r="AW459" s="27"/>
      <c r="AX459" s="27"/>
      <c r="AY459" s="27"/>
      <c r="AZ459" s="27"/>
      <c r="BA459" s="27"/>
      <c r="BB459" s="27"/>
      <c r="BC459" s="27"/>
      <c r="BD459" s="27"/>
      <c r="BE459" s="27"/>
      <c r="BF459" s="27"/>
      <c r="BG459" s="27"/>
      <c r="BH459" s="27"/>
      <c r="BI459" s="27"/>
      <c r="BJ459" s="27"/>
      <c r="BK459" s="27"/>
      <c r="BL459" s="27"/>
      <c r="BM459" s="27"/>
      <c r="BN459" s="27"/>
      <c r="BO459" s="27"/>
      <c r="BP459" s="27"/>
      <c r="BQ459" s="27"/>
      <c r="BR459" s="27"/>
      <c r="BS459" s="27"/>
      <c r="BT459" s="27"/>
      <c r="BU459" s="27"/>
      <c r="BV459" s="27"/>
      <c r="BW459" s="27"/>
      <c r="BX459" s="27"/>
      <c r="BY459" s="27"/>
      <c r="BZ459" s="27"/>
      <c r="CA459" s="27"/>
      <c r="CB459" s="27"/>
      <c r="CC459" s="27"/>
      <c r="CD459" s="27"/>
      <c r="CE459" s="27"/>
      <c r="CF459" s="27"/>
      <c r="CG459" s="27"/>
      <c r="CH459" s="27"/>
      <c r="CI459" s="27"/>
      <c r="CJ459" s="27"/>
      <c r="CK459" s="27"/>
      <c r="CL459" s="27"/>
      <c r="CM459" s="27"/>
      <c r="CN459" s="27"/>
      <c r="CO459" s="27"/>
      <c r="CP459" s="27"/>
      <c r="CQ459" s="27"/>
      <c r="CR459" s="27"/>
      <c r="CS459" s="27"/>
      <c r="CT459" s="27"/>
      <c r="CU459" s="27"/>
      <c r="CV459" s="27"/>
      <c r="CW459" s="27"/>
      <c r="CX459" s="27"/>
      <c r="CY459" s="27"/>
      <c r="CZ459" s="27"/>
      <c r="DA459" s="27"/>
      <c r="DB459" s="27"/>
      <c r="DC459" s="27"/>
      <c r="DD459" s="27"/>
      <c r="DE459" s="27"/>
      <c r="DF459" s="27"/>
      <c r="DG459" s="27"/>
      <c r="DH459" s="27"/>
      <c r="DI459" s="27"/>
      <c r="DJ459" s="27"/>
      <c r="DK459" s="27"/>
      <c r="DL459" s="27"/>
      <c r="DM459" s="27"/>
      <c r="DN459" s="27"/>
      <c r="DO459" s="27"/>
      <c r="DP459" s="27"/>
      <c r="DQ459" s="27"/>
      <c r="DR459" s="27"/>
      <c r="DS459" s="27"/>
      <c r="DT459" s="27"/>
    </row>
    <row r="460" spans="2:124" x14ac:dyDescent="0.2">
      <c r="B460" s="27"/>
      <c r="C460" s="27"/>
      <c r="D460" s="27"/>
      <c r="E460" s="27"/>
      <c r="F460" s="27"/>
      <c r="G460" s="27"/>
      <c r="H460" s="27"/>
      <c r="I460" s="27"/>
      <c r="J460" s="27"/>
      <c r="K460" s="27"/>
      <c r="L460" s="27"/>
      <c r="M460" s="27"/>
      <c r="N460" s="27"/>
      <c r="O460" s="27"/>
      <c r="P460" s="27"/>
      <c r="Q460" s="27"/>
      <c r="R460" s="27"/>
      <c r="S460" s="27"/>
      <c r="T460" s="27"/>
      <c r="U460" s="27"/>
      <c r="V460" s="27"/>
      <c r="W460" s="27"/>
      <c r="X460" s="27"/>
      <c r="Y460" s="27"/>
      <c r="Z460" s="27"/>
      <c r="AA460" s="27"/>
      <c r="AB460" s="27"/>
      <c r="AC460" s="27"/>
      <c r="AD460" s="27"/>
      <c r="AE460" s="27"/>
      <c r="AF460" s="27"/>
      <c r="AG460" s="27"/>
      <c r="AH460" s="27"/>
      <c r="AI460" s="27"/>
      <c r="AJ460" s="27"/>
      <c r="AK460" s="27"/>
      <c r="AL460" s="27"/>
      <c r="AM460" s="27"/>
      <c r="AN460" s="27"/>
      <c r="AO460" s="27"/>
      <c r="AP460" s="27"/>
      <c r="AQ460" s="27"/>
      <c r="AR460" s="27"/>
      <c r="AS460" s="27"/>
      <c r="AT460" s="27"/>
      <c r="AU460" s="27"/>
      <c r="AV460" s="27"/>
      <c r="AW460" s="27"/>
      <c r="AX460" s="27"/>
      <c r="AY460" s="27"/>
      <c r="AZ460" s="27"/>
      <c r="BA460" s="27"/>
      <c r="BB460" s="27"/>
      <c r="BC460" s="27"/>
      <c r="BD460" s="27"/>
      <c r="BE460" s="27"/>
      <c r="BF460" s="27"/>
      <c r="BG460" s="27"/>
      <c r="BH460" s="27"/>
      <c r="BI460" s="27"/>
      <c r="BJ460" s="27"/>
      <c r="BK460" s="27"/>
      <c r="BL460" s="27"/>
      <c r="BM460" s="27"/>
      <c r="BN460" s="27"/>
      <c r="BO460" s="27"/>
      <c r="BP460" s="27"/>
      <c r="BQ460" s="27"/>
      <c r="BR460" s="27"/>
      <c r="BS460" s="27"/>
      <c r="BT460" s="27"/>
      <c r="BU460" s="27"/>
      <c r="BV460" s="27"/>
      <c r="BW460" s="27"/>
      <c r="BX460" s="27"/>
      <c r="BY460" s="27"/>
      <c r="BZ460" s="27"/>
      <c r="CA460" s="27"/>
      <c r="CB460" s="27"/>
      <c r="CC460" s="27"/>
      <c r="CD460" s="27"/>
      <c r="CE460" s="27"/>
      <c r="CF460" s="27"/>
      <c r="CG460" s="27"/>
      <c r="CH460" s="27"/>
      <c r="CI460" s="27"/>
      <c r="CJ460" s="27"/>
      <c r="CK460" s="27"/>
      <c r="CL460" s="27"/>
      <c r="CM460" s="27"/>
      <c r="CN460" s="27"/>
      <c r="CO460" s="27"/>
      <c r="CP460" s="27"/>
      <c r="CQ460" s="27"/>
      <c r="CR460" s="27"/>
      <c r="CS460" s="27"/>
      <c r="CT460" s="27"/>
      <c r="CU460" s="27"/>
      <c r="CV460" s="27"/>
      <c r="CW460" s="27"/>
      <c r="CX460" s="27"/>
      <c r="CY460" s="27"/>
      <c r="CZ460" s="27"/>
      <c r="DA460" s="27"/>
      <c r="DB460" s="27"/>
      <c r="DC460" s="27"/>
      <c r="DD460" s="27"/>
      <c r="DE460" s="27"/>
      <c r="DF460" s="27"/>
      <c r="DG460" s="27"/>
      <c r="DH460" s="27"/>
      <c r="DI460" s="27"/>
      <c r="DJ460" s="27"/>
      <c r="DK460" s="27"/>
      <c r="DL460" s="27"/>
      <c r="DM460" s="27"/>
      <c r="DN460" s="27"/>
      <c r="DO460" s="27"/>
      <c r="DP460" s="27"/>
      <c r="DQ460" s="27"/>
      <c r="DR460" s="27"/>
      <c r="DS460" s="27"/>
      <c r="DT460" s="27"/>
    </row>
    <row r="461" spans="2:124" x14ac:dyDescent="0.2">
      <c r="B461" s="27"/>
      <c r="C461" s="27"/>
      <c r="D461" s="27"/>
      <c r="E461" s="27"/>
      <c r="F461" s="27"/>
      <c r="G461" s="27"/>
      <c r="H461" s="27"/>
      <c r="I461" s="27"/>
      <c r="J461" s="27"/>
      <c r="K461" s="27"/>
      <c r="L461" s="27"/>
      <c r="M461" s="27"/>
      <c r="N461" s="27"/>
      <c r="O461" s="27"/>
      <c r="P461" s="27"/>
      <c r="Q461" s="27"/>
      <c r="R461" s="27"/>
      <c r="S461" s="27"/>
      <c r="T461" s="27"/>
      <c r="U461" s="27"/>
      <c r="V461" s="27"/>
      <c r="W461" s="27"/>
      <c r="X461" s="27"/>
      <c r="Y461" s="27"/>
      <c r="Z461" s="27"/>
      <c r="AA461" s="27"/>
      <c r="AB461" s="27"/>
      <c r="AC461" s="27"/>
      <c r="AD461" s="27"/>
      <c r="AE461" s="27"/>
      <c r="AF461" s="27"/>
      <c r="AG461" s="27"/>
      <c r="AH461" s="27"/>
      <c r="AI461" s="27"/>
      <c r="AJ461" s="27"/>
      <c r="AK461" s="27"/>
      <c r="AL461" s="27"/>
      <c r="AM461" s="27"/>
      <c r="AN461" s="27"/>
      <c r="AO461" s="27"/>
      <c r="AP461" s="27"/>
      <c r="AQ461" s="27"/>
      <c r="AR461" s="27"/>
      <c r="AS461" s="27"/>
      <c r="AT461" s="27"/>
      <c r="AU461" s="27"/>
      <c r="AV461" s="27"/>
      <c r="AW461" s="27"/>
      <c r="AX461" s="27"/>
      <c r="AY461" s="27"/>
      <c r="AZ461" s="27"/>
      <c r="BA461" s="27"/>
      <c r="BB461" s="27"/>
      <c r="BC461" s="27"/>
      <c r="BD461" s="27"/>
      <c r="BE461" s="27"/>
      <c r="BF461" s="27"/>
      <c r="BG461" s="27"/>
      <c r="BH461" s="27"/>
      <c r="BI461" s="27"/>
      <c r="BJ461" s="27"/>
      <c r="BK461" s="27"/>
      <c r="BL461" s="27"/>
      <c r="BM461" s="27"/>
      <c r="BN461" s="27"/>
      <c r="BO461" s="27"/>
      <c r="BP461" s="27"/>
      <c r="BQ461" s="27"/>
      <c r="BR461" s="27"/>
      <c r="BS461" s="27"/>
      <c r="BT461" s="27"/>
      <c r="BU461" s="27"/>
      <c r="BV461" s="27"/>
      <c r="BW461" s="27"/>
      <c r="BX461" s="27"/>
      <c r="BY461" s="27"/>
      <c r="BZ461" s="27"/>
      <c r="CA461" s="27"/>
      <c r="CB461" s="27"/>
      <c r="CC461" s="27"/>
      <c r="CD461" s="27"/>
      <c r="CE461" s="27"/>
      <c r="CF461" s="27"/>
      <c r="CG461" s="27"/>
      <c r="CH461" s="27"/>
      <c r="CI461" s="27"/>
      <c r="CJ461" s="27"/>
      <c r="CK461" s="27"/>
      <c r="CL461" s="27"/>
      <c r="CM461" s="27"/>
      <c r="CN461" s="27"/>
      <c r="CO461" s="27"/>
      <c r="CP461" s="27"/>
      <c r="CQ461" s="27"/>
      <c r="CR461" s="27"/>
      <c r="CS461" s="27"/>
      <c r="CT461" s="27"/>
      <c r="CU461" s="27"/>
      <c r="CV461" s="27"/>
      <c r="CW461" s="27"/>
      <c r="CX461" s="27"/>
      <c r="CY461" s="27"/>
      <c r="CZ461" s="27"/>
      <c r="DA461" s="27"/>
      <c r="DB461" s="27"/>
      <c r="DC461" s="27"/>
      <c r="DD461" s="27"/>
      <c r="DE461" s="27"/>
      <c r="DF461" s="27"/>
      <c r="DG461" s="27"/>
      <c r="DH461" s="27"/>
      <c r="DI461" s="27"/>
      <c r="DJ461" s="27"/>
      <c r="DK461" s="27"/>
      <c r="DL461" s="27"/>
      <c r="DM461" s="27"/>
      <c r="DN461" s="27"/>
      <c r="DO461" s="27"/>
      <c r="DP461" s="27"/>
      <c r="DQ461" s="27"/>
      <c r="DR461" s="27"/>
      <c r="DS461" s="27"/>
      <c r="DT461" s="27"/>
    </row>
    <row r="462" spans="2:124" x14ac:dyDescent="0.2">
      <c r="B462" s="27"/>
      <c r="C462" s="27"/>
      <c r="D462" s="27"/>
      <c r="E462" s="27"/>
      <c r="F462" s="27"/>
      <c r="G462" s="27"/>
      <c r="H462" s="27"/>
      <c r="I462" s="27"/>
      <c r="J462" s="27"/>
      <c r="K462" s="27"/>
      <c r="L462" s="27"/>
      <c r="M462" s="27"/>
      <c r="N462" s="27"/>
      <c r="O462" s="27"/>
      <c r="P462" s="27"/>
      <c r="Q462" s="27"/>
      <c r="R462" s="27"/>
      <c r="S462" s="27"/>
      <c r="T462" s="27"/>
      <c r="U462" s="27"/>
      <c r="V462" s="27"/>
      <c r="W462" s="27"/>
      <c r="X462" s="27"/>
      <c r="Y462" s="27"/>
      <c r="Z462" s="27"/>
      <c r="AA462" s="27"/>
      <c r="AB462" s="27"/>
      <c r="AC462" s="27"/>
      <c r="AD462" s="27"/>
      <c r="AE462" s="27"/>
      <c r="AF462" s="27"/>
      <c r="AG462" s="27"/>
      <c r="AH462" s="27"/>
      <c r="AI462" s="27"/>
      <c r="AJ462" s="27"/>
      <c r="AK462" s="27"/>
      <c r="AL462" s="27"/>
      <c r="AM462" s="27"/>
      <c r="AN462" s="27"/>
      <c r="AO462" s="27"/>
      <c r="AP462" s="27"/>
      <c r="AQ462" s="27"/>
      <c r="AR462" s="27"/>
      <c r="AS462" s="27"/>
      <c r="AT462" s="27"/>
      <c r="AU462" s="27"/>
      <c r="AV462" s="27"/>
      <c r="AW462" s="27"/>
      <c r="AX462" s="27"/>
      <c r="AY462" s="27"/>
      <c r="AZ462" s="27"/>
      <c r="BA462" s="27"/>
      <c r="BB462" s="27"/>
      <c r="BC462" s="27"/>
      <c r="BD462" s="27"/>
      <c r="BE462" s="27"/>
      <c r="BF462" s="27"/>
      <c r="BG462" s="27"/>
      <c r="BH462" s="27"/>
      <c r="BI462" s="27"/>
      <c r="BJ462" s="27"/>
      <c r="BK462" s="27"/>
      <c r="BL462" s="27"/>
      <c r="BM462" s="27"/>
      <c r="BN462" s="27"/>
      <c r="BO462" s="27"/>
      <c r="BP462" s="27"/>
      <c r="BQ462" s="27"/>
      <c r="BR462" s="27"/>
      <c r="BS462" s="27"/>
      <c r="BT462" s="27"/>
      <c r="BU462" s="27"/>
      <c r="BV462" s="27"/>
      <c r="BW462" s="27"/>
      <c r="BX462" s="27"/>
      <c r="BY462" s="27"/>
      <c r="BZ462" s="27"/>
      <c r="CA462" s="27"/>
      <c r="CB462" s="27"/>
      <c r="CC462" s="27"/>
      <c r="CD462" s="27"/>
      <c r="CE462" s="27"/>
      <c r="CF462" s="27"/>
      <c r="CG462" s="27"/>
      <c r="CH462" s="27"/>
      <c r="CI462" s="27"/>
      <c r="CJ462" s="27"/>
      <c r="CK462" s="27"/>
      <c r="CL462" s="27"/>
      <c r="CM462" s="27"/>
      <c r="CN462" s="27"/>
      <c r="CO462" s="27"/>
      <c r="CP462" s="27"/>
      <c r="CQ462" s="27"/>
      <c r="CR462" s="27"/>
      <c r="CS462" s="27"/>
      <c r="CT462" s="27"/>
      <c r="CU462" s="27"/>
      <c r="CV462" s="27"/>
      <c r="CW462" s="27"/>
      <c r="CX462" s="27"/>
      <c r="CY462" s="27"/>
      <c r="CZ462" s="27"/>
      <c r="DA462" s="27"/>
      <c r="DB462" s="27"/>
      <c r="DC462" s="27"/>
      <c r="DD462" s="27"/>
      <c r="DE462" s="27"/>
      <c r="DF462" s="27"/>
      <c r="DG462" s="27"/>
      <c r="DH462" s="27"/>
      <c r="DI462" s="27"/>
      <c r="DJ462" s="27"/>
      <c r="DK462" s="27"/>
      <c r="DL462" s="27"/>
      <c r="DM462" s="27"/>
      <c r="DN462" s="27"/>
      <c r="DO462" s="27"/>
      <c r="DP462" s="27"/>
      <c r="DQ462" s="27"/>
      <c r="DR462" s="27"/>
      <c r="DS462" s="27"/>
      <c r="DT462" s="27"/>
    </row>
    <row r="463" spans="2:124" x14ac:dyDescent="0.2">
      <c r="B463" s="27"/>
      <c r="C463" s="27"/>
      <c r="D463" s="27"/>
      <c r="E463" s="27"/>
      <c r="F463" s="27"/>
      <c r="G463" s="27"/>
      <c r="H463" s="27"/>
      <c r="I463" s="27"/>
      <c r="J463" s="27"/>
      <c r="K463" s="27"/>
      <c r="L463" s="27"/>
      <c r="M463" s="27"/>
      <c r="N463" s="27"/>
      <c r="O463" s="27"/>
      <c r="P463" s="27"/>
      <c r="Q463" s="27"/>
      <c r="R463" s="27"/>
      <c r="S463" s="27"/>
      <c r="T463" s="27"/>
      <c r="U463" s="27"/>
      <c r="V463" s="27"/>
      <c r="W463" s="27"/>
      <c r="X463" s="27"/>
      <c r="Y463" s="27"/>
      <c r="Z463" s="27"/>
      <c r="AA463" s="27"/>
      <c r="AB463" s="27"/>
      <c r="AC463" s="27"/>
      <c r="AD463" s="27"/>
      <c r="AE463" s="27"/>
      <c r="AF463" s="27"/>
      <c r="AG463" s="27"/>
      <c r="AH463" s="27"/>
      <c r="AI463" s="27"/>
      <c r="AJ463" s="27"/>
      <c r="AK463" s="27"/>
      <c r="AL463" s="27"/>
      <c r="AM463" s="27"/>
      <c r="AN463" s="27"/>
      <c r="AO463" s="27"/>
      <c r="AP463" s="27"/>
      <c r="AQ463" s="27"/>
      <c r="AR463" s="27"/>
      <c r="AS463" s="27"/>
      <c r="AT463" s="27"/>
      <c r="AU463" s="27"/>
      <c r="AV463" s="27"/>
      <c r="AW463" s="27"/>
      <c r="AX463" s="27"/>
      <c r="AY463" s="27"/>
      <c r="AZ463" s="27"/>
      <c r="BA463" s="27"/>
      <c r="BB463" s="27"/>
      <c r="BC463" s="27"/>
      <c r="BD463" s="27"/>
      <c r="BE463" s="27"/>
      <c r="BF463" s="27"/>
      <c r="BG463" s="27"/>
      <c r="BH463" s="27"/>
      <c r="BI463" s="27"/>
      <c r="BJ463" s="27"/>
      <c r="BK463" s="27"/>
      <c r="BL463" s="27"/>
      <c r="BM463" s="27"/>
      <c r="BN463" s="27"/>
      <c r="BO463" s="27"/>
      <c r="BP463" s="27"/>
      <c r="BQ463" s="27"/>
      <c r="BR463" s="27"/>
      <c r="BS463" s="27"/>
      <c r="BT463" s="27"/>
      <c r="BU463" s="27"/>
      <c r="BV463" s="27"/>
      <c r="BW463" s="27"/>
      <c r="BX463" s="27"/>
      <c r="BY463" s="27"/>
      <c r="BZ463" s="27"/>
      <c r="CA463" s="27"/>
      <c r="CB463" s="27"/>
      <c r="CC463" s="27"/>
      <c r="CD463" s="27"/>
      <c r="CE463" s="27"/>
      <c r="CF463" s="27"/>
      <c r="CG463" s="27"/>
      <c r="CH463" s="27"/>
      <c r="CI463" s="27"/>
      <c r="CJ463" s="27"/>
      <c r="CK463" s="27"/>
      <c r="CL463" s="27"/>
      <c r="CM463" s="27"/>
      <c r="CN463" s="27"/>
      <c r="CO463" s="27"/>
      <c r="CP463" s="27"/>
      <c r="CQ463" s="27"/>
      <c r="CR463" s="27"/>
      <c r="CS463" s="27"/>
      <c r="CT463" s="27"/>
      <c r="CU463" s="27"/>
      <c r="CV463" s="27"/>
      <c r="CW463" s="27"/>
      <c r="CX463" s="27"/>
      <c r="CY463" s="27"/>
      <c r="CZ463" s="27"/>
      <c r="DA463" s="27"/>
      <c r="DB463" s="27"/>
      <c r="DC463" s="27"/>
      <c r="DD463" s="27"/>
      <c r="DE463" s="27"/>
      <c r="DF463" s="27"/>
      <c r="DG463" s="27"/>
      <c r="DH463" s="27"/>
      <c r="DI463" s="27"/>
      <c r="DJ463" s="27"/>
      <c r="DK463" s="27"/>
      <c r="DL463" s="27"/>
      <c r="DM463" s="27"/>
      <c r="DN463" s="27"/>
      <c r="DO463" s="27"/>
      <c r="DP463" s="27"/>
      <c r="DQ463" s="27"/>
      <c r="DR463" s="27"/>
      <c r="DS463" s="27"/>
      <c r="DT463" s="27"/>
    </row>
    <row r="464" spans="2:124" x14ac:dyDescent="0.2">
      <c r="B464" s="27"/>
      <c r="C464" s="27"/>
      <c r="D464" s="27"/>
      <c r="E464" s="27"/>
      <c r="F464" s="27"/>
      <c r="G464" s="27"/>
      <c r="H464" s="27"/>
      <c r="I464" s="27"/>
      <c r="J464" s="27"/>
      <c r="K464" s="27"/>
      <c r="L464" s="27"/>
      <c r="M464" s="27"/>
      <c r="N464" s="27"/>
      <c r="O464" s="27"/>
      <c r="P464" s="27"/>
      <c r="Q464" s="27"/>
      <c r="R464" s="27"/>
      <c r="S464" s="27"/>
      <c r="T464" s="27"/>
      <c r="U464" s="27"/>
      <c r="V464" s="27"/>
      <c r="W464" s="27"/>
      <c r="X464" s="27"/>
      <c r="Y464" s="27"/>
      <c r="Z464" s="27"/>
      <c r="AA464" s="27"/>
      <c r="AB464" s="27"/>
      <c r="AC464" s="27"/>
      <c r="AD464" s="27"/>
      <c r="AE464" s="27"/>
      <c r="AF464" s="27"/>
      <c r="AG464" s="27"/>
      <c r="AH464" s="27"/>
      <c r="AI464" s="27"/>
      <c r="AJ464" s="27"/>
      <c r="AK464" s="27"/>
      <c r="AL464" s="27"/>
      <c r="AM464" s="27"/>
      <c r="AN464" s="27"/>
      <c r="AO464" s="27"/>
      <c r="AP464" s="27"/>
      <c r="AQ464" s="27"/>
      <c r="AR464" s="27"/>
      <c r="AS464" s="27"/>
      <c r="AT464" s="27"/>
      <c r="AU464" s="27"/>
      <c r="AV464" s="27"/>
      <c r="AW464" s="27"/>
      <c r="AX464" s="27"/>
      <c r="AY464" s="27"/>
      <c r="AZ464" s="27"/>
      <c r="BA464" s="27"/>
      <c r="BB464" s="27"/>
      <c r="BC464" s="27"/>
      <c r="BD464" s="27"/>
      <c r="BE464" s="27"/>
      <c r="BF464" s="27"/>
      <c r="BG464" s="27"/>
      <c r="BH464" s="27"/>
      <c r="BI464" s="27"/>
      <c r="BJ464" s="27"/>
      <c r="BK464" s="27"/>
      <c r="BL464" s="27"/>
      <c r="BM464" s="27"/>
      <c r="BN464" s="27"/>
      <c r="BO464" s="27"/>
      <c r="BP464" s="27"/>
      <c r="BQ464" s="27"/>
      <c r="BR464" s="27"/>
      <c r="BS464" s="27"/>
      <c r="BT464" s="27"/>
      <c r="BU464" s="27"/>
      <c r="BV464" s="27"/>
      <c r="BW464" s="27"/>
      <c r="BX464" s="27"/>
      <c r="BY464" s="27"/>
      <c r="BZ464" s="27"/>
      <c r="CA464" s="27"/>
      <c r="CB464" s="27"/>
      <c r="CC464" s="27"/>
      <c r="CD464" s="27"/>
      <c r="CE464" s="27"/>
      <c r="CF464" s="27"/>
      <c r="CG464" s="27"/>
      <c r="CH464" s="27"/>
      <c r="CI464" s="27"/>
      <c r="CJ464" s="27"/>
      <c r="CK464" s="27"/>
      <c r="CL464" s="27"/>
      <c r="CM464" s="27"/>
      <c r="CN464" s="27"/>
      <c r="CO464" s="27"/>
      <c r="CP464" s="27"/>
      <c r="CQ464" s="27"/>
      <c r="CR464" s="27"/>
      <c r="CS464" s="27"/>
      <c r="CT464" s="27"/>
      <c r="CU464" s="27"/>
      <c r="CV464" s="27"/>
      <c r="CW464" s="27"/>
      <c r="CX464" s="27"/>
      <c r="CY464" s="27"/>
      <c r="CZ464" s="27"/>
      <c r="DA464" s="27"/>
      <c r="DB464" s="27"/>
      <c r="DC464" s="27"/>
      <c r="DD464" s="27"/>
      <c r="DE464" s="27"/>
      <c r="DF464" s="27"/>
      <c r="DG464" s="27"/>
      <c r="DH464" s="27"/>
      <c r="DI464" s="27"/>
      <c r="DJ464" s="27"/>
      <c r="DK464" s="27"/>
      <c r="DL464" s="27"/>
      <c r="DM464" s="27"/>
      <c r="DN464" s="27"/>
      <c r="DO464" s="27"/>
      <c r="DP464" s="27"/>
      <c r="DQ464" s="27"/>
      <c r="DR464" s="27"/>
      <c r="DS464" s="27"/>
      <c r="DT464" s="27"/>
    </row>
    <row r="465" spans="2:124" x14ac:dyDescent="0.2">
      <c r="B465" s="27"/>
      <c r="C465" s="27"/>
      <c r="D465" s="27"/>
      <c r="E465" s="27"/>
      <c r="F465" s="27"/>
      <c r="G465" s="27"/>
      <c r="H465" s="27"/>
      <c r="I465" s="27"/>
      <c r="J465" s="27"/>
      <c r="K465" s="27"/>
      <c r="L465" s="27"/>
      <c r="M465" s="27"/>
      <c r="N465" s="27"/>
      <c r="O465" s="27"/>
      <c r="P465" s="27"/>
      <c r="Q465" s="27"/>
      <c r="R465" s="27"/>
      <c r="S465" s="27"/>
      <c r="T465" s="27"/>
      <c r="U465" s="27"/>
      <c r="V465" s="27"/>
      <c r="W465" s="27"/>
      <c r="X465" s="27"/>
      <c r="Y465" s="27"/>
      <c r="Z465" s="27"/>
      <c r="AA465" s="27"/>
      <c r="AB465" s="27"/>
      <c r="AC465" s="27"/>
      <c r="AD465" s="27"/>
      <c r="AE465" s="27"/>
      <c r="AF465" s="27"/>
      <c r="AG465" s="27"/>
      <c r="AH465" s="27"/>
      <c r="AI465" s="27"/>
      <c r="AJ465" s="27"/>
      <c r="AK465" s="27"/>
      <c r="AL465" s="27"/>
      <c r="AM465" s="27"/>
      <c r="AN465" s="27"/>
      <c r="AO465" s="27"/>
      <c r="AP465" s="27"/>
      <c r="AQ465" s="27"/>
      <c r="AR465" s="27"/>
      <c r="AS465" s="27"/>
      <c r="AT465" s="27"/>
      <c r="AU465" s="27"/>
      <c r="AV465" s="27"/>
      <c r="AW465" s="27"/>
      <c r="AX465" s="27"/>
      <c r="AY465" s="27"/>
      <c r="AZ465" s="27"/>
      <c r="BA465" s="27"/>
      <c r="BB465" s="27"/>
      <c r="BC465" s="27"/>
      <c r="BD465" s="27"/>
      <c r="BE465" s="27"/>
      <c r="BF465" s="27"/>
      <c r="BG465" s="27"/>
      <c r="BH465" s="27"/>
      <c r="BI465" s="27"/>
      <c r="BJ465" s="27"/>
      <c r="BK465" s="27"/>
      <c r="BL465" s="27"/>
      <c r="BM465" s="27"/>
      <c r="BN465" s="27"/>
      <c r="BO465" s="27"/>
      <c r="BP465" s="27"/>
      <c r="BQ465" s="27"/>
      <c r="BR465" s="27"/>
      <c r="BS465" s="27"/>
      <c r="BT465" s="27"/>
      <c r="BU465" s="27"/>
      <c r="BV465" s="27"/>
      <c r="BW465" s="27"/>
      <c r="BX465" s="27"/>
      <c r="BY465" s="27"/>
      <c r="BZ465" s="27"/>
      <c r="CA465" s="27"/>
      <c r="CB465" s="27"/>
      <c r="CC465" s="27"/>
      <c r="CD465" s="27"/>
      <c r="CE465" s="27"/>
      <c r="CF465" s="27"/>
      <c r="CG465" s="27"/>
      <c r="CH465" s="27"/>
      <c r="CI465" s="27"/>
      <c r="CJ465" s="27"/>
      <c r="CK465" s="27"/>
      <c r="CL465" s="27"/>
      <c r="CM465" s="27"/>
      <c r="CN465" s="27"/>
      <c r="CO465" s="27"/>
      <c r="CP465" s="27"/>
      <c r="CQ465" s="27"/>
      <c r="CR465" s="27"/>
      <c r="CS465" s="27"/>
      <c r="CT465" s="27"/>
      <c r="CU465" s="27"/>
      <c r="CV465" s="27"/>
      <c r="CW465" s="27"/>
      <c r="CX465" s="27"/>
      <c r="CY465" s="27"/>
      <c r="CZ465" s="27"/>
      <c r="DA465" s="27"/>
      <c r="DB465" s="27"/>
      <c r="DC465" s="27"/>
      <c r="DD465" s="27"/>
      <c r="DE465" s="27"/>
      <c r="DF465" s="27"/>
      <c r="DG465" s="27"/>
      <c r="DH465" s="27"/>
      <c r="DI465" s="27"/>
      <c r="DJ465" s="27"/>
      <c r="DK465" s="27"/>
      <c r="DL465" s="27"/>
      <c r="DM465" s="27"/>
      <c r="DN465" s="27"/>
      <c r="DO465" s="27"/>
      <c r="DP465" s="27"/>
      <c r="DQ465" s="27"/>
      <c r="DR465" s="27"/>
      <c r="DS465" s="27"/>
      <c r="DT465" s="27"/>
    </row>
    <row r="466" spans="2:124" x14ac:dyDescent="0.2">
      <c r="B466" s="27"/>
      <c r="C466" s="27"/>
      <c r="D466" s="27"/>
      <c r="E466" s="27"/>
      <c r="F466" s="27"/>
      <c r="G466" s="27"/>
      <c r="H466" s="27"/>
      <c r="I466" s="27"/>
      <c r="J466" s="27"/>
      <c r="K466" s="27"/>
      <c r="L466" s="27"/>
      <c r="M466" s="27"/>
      <c r="N466" s="27"/>
      <c r="O466" s="27"/>
      <c r="P466" s="27"/>
      <c r="Q466" s="27"/>
      <c r="R466" s="27"/>
      <c r="S466" s="27"/>
      <c r="T466" s="27"/>
      <c r="U466" s="27"/>
      <c r="V466" s="27"/>
      <c r="W466" s="27"/>
      <c r="X466" s="27"/>
      <c r="Y466" s="27"/>
      <c r="Z466" s="27"/>
      <c r="AA466" s="27"/>
      <c r="AB466" s="27"/>
      <c r="AC466" s="27"/>
      <c r="AD466" s="27"/>
      <c r="AE466" s="27"/>
      <c r="AF466" s="27"/>
      <c r="AG466" s="27"/>
      <c r="AH466" s="27"/>
      <c r="AI466" s="27"/>
      <c r="AJ466" s="27"/>
      <c r="AK466" s="27"/>
      <c r="AL466" s="27"/>
      <c r="AM466" s="27"/>
      <c r="AN466" s="27"/>
      <c r="AO466" s="27"/>
      <c r="AP466" s="27"/>
      <c r="AQ466" s="27"/>
      <c r="AR466" s="27"/>
      <c r="AS466" s="27"/>
      <c r="AT466" s="27"/>
      <c r="AU466" s="27"/>
      <c r="AV466" s="27"/>
      <c r="AW466" s="27"/>
      <c r="AX466" s="27"/>
      <c r="AY466" s="27"/>
      <c r="AZ466" s="27"/>
      <c r="BA466" s="27"/>
      <c r="BB466" s="27"/>
      <c r="BC466" s="27"/>
      <c r="BD466" s="27"/>
      <c r="BE466" s="27"/>
      <c r="BF466" s="27"/>
      <c r="BG466" s="27"/>
      <c r="BH466" s="27"/>
      <c r="BI466" s="27"/>
      <c r="BJ466" s="27"/>
      <c r="BK466" s="27"/>
      <c r="BL466" s="27"/>
      <c r="BM466" s="27"/>
      <c r="BN466" s="27"/>
      <c r="BO466" s="27"/>
      <c r="BP466" s="27"/>
      <c r="BQ466" s="27"/>
      <c r="BR466" s="27"/>
      <c r="BS466" s="27"/>
      <c r="BT466" s="27"/>
      <c r="BU466" s="27"/>
      <c r="BV466" s="27"/>
      <c r="BW466" s="27"/>
      <c r="BX466" s="27"/>
      <c r="BY466" s="27"/>
      <c r="BZ466" s="27"/>
      <c r="CA466" s="27"/>
      <c r="CB466" s="27"/>
      <c r="CC466" s="27"/>
      <c r="CD466" s="27"/>
      <c r="CE466" s="27"/>
      <c r="CF466" s="27"/>
      <c r="CG466" s="27"/>
      <c r="CH466" s="27"/>
      <c r="CI466" s="27"/>
      <c r="CJ466" s="27"/>
      <c r="CK466" s="27"/>
      <c r="CL466" s="27"/>
      <c r="CM466" s="27"/>
      <c r="CN466" s="27"/>
      <c r="CO466" s="27"/>
      <c r="CP466" s="27"/>
      <c r="CQ466" s="27"/>
      <c r="CR466" s="27"/>
      <c r="CS466" s="27"/>
      <c r="CT466" s="27"/>
      <c r="CU466" s="27"/>
      <c r="CV466" s="27"/>
      <c r="CW466" s="27"/>
      <c r="CX466" s="27"/>
      <c r="CY466" s="27"/>
      <c r="CZ466" s="27"/>
      <c r="DA466" s="27"/>
      <c r="DB466" s="27"/>
      <c r="DC466" s="27"/>
      <c r="DD466" s="27"/>
      <c r="DE466" s="27"/>
      <c r="DF466" s="27"/>
      <c r="DG466" s="27"/>
      <c r="DH466" s="27"/>
      <c r="DI466" s="27"/>
      <c r="DJ466" s="27"/>
      <c r="DK466" s="27"/>
      <c r="DL466" s="27"/>
      <c r="DM466" s="27"/>
      <c r="DN466" s="27"/>
      <c r="DO466" s="27"/>
      <c r="DP466" s="27"/>
      <c r="DQ466" s="27"/>
      <c r="DR466" s="27"/>
      <c r="DS466" s="27"/>
      <c r="DT466" s="27"/>
    </row>
    <row r="467" spans="2:124" x14ac:dyDescent="0.2">
      <c r="B467" s="27"/>
      <c r="C467" s="27"/>
      <c r="D467" s="27"/>
      <c r="E467" s="27"/>
      <c r="F467" s="27"/>
      <c r="G467" s="27"/>
      <c r="H467" s="27"/>
      <c r="I467" s="27"/>
      <c r="J467" s="27"/>
      <c r="K467" s="27"/>
      <c r="L467" s="27"/>
      <c r="M467" s="27"/>
      <c r="N467" s="27"/>
      <c r="O467" s="27"/>
      <c r="P467" s="27"/>
      <c r="Q467" s="27"/>
      <c r="R467" s="27"/>
      <c r="S467" s="27"/>
      <c r="T467" s="27"/>
      <c r="U467" s="27"/>
      <c r="V467" s="27"/>
      <c r="W467" s="27"/>
      <c r="X467" s="27"/>
      <c r="Y467" s="27"/>
      <c r="Z467" s="27"/>
      <c r="AA467" s="27"/>
      <c r="AB467" s="27"/>
      <c r="AC467" s="27"/>
      <c r="AD467" s="27"/>
      <c r="AE467" s="27"/>
      <c r="AF467" s="27"/>
      <c r="AG467" s="27"/>
      <c r="AH467" s="27"/>
      <c r="AI467" s="27"/>
      <c r="AJ467" s="27"/>
      <c r="AK467" s="27"/>
      <c r="AL467" s="27"/>
      <c r="AM467" s="27"/>
      <c r="AN467" s="27"/>
      <c r="AO467" s="27"/>
      <c r="AP467" s="27"/>
      <c r="AQ467" s="27"/>
      <c r="AR467" s="27"/>
      <c r="AS467" s="27"/>
      <c r="AT467" s="27"/>
      <c r="AU467" s="27"/>
      <c r="AV467" s="27"/>
      <c r="AW467" s="27"/>
      <c r="AX467" s="27"/>
      <c r="AY467" s="27"/>
      <c r="AZ467" s="27"/>
      <c r="BA467" s="27"/>
      <c r="BB467" s="27"/>
      <c r="BC467" s="27"/>
      <c r="BD467" s="27"/>
      <c r="BE467" s="27"/>
      <c r="BF467" s="27"/>
      <c r="BG467" s="27"/>
      <c r="BH467" s="27"/>
      <c r="BI467" s="27"/>
      <c r="BJ467" s="27"/>
      <c r="BK467" s="27"/>
      <c r="BL467" s="27"/>
      <c r="BM467" s="27"/>
      <c r="BN467" s="27"/>
      <c r="BO467" s="27"/>
      <c r="BP467" s="27"/>
      <c r="BQ467" s="27"/>
      <c r="BR467" s="27"/>
      <c r="BS467" s="27"/>
      <c r="BT467" s="27"/>
      <c r="BU467" s="27"/>
      <c r="BV467" s="27"/>
      <c r="BW467" s="27"/>
      <c r="BX467" s="27"/>
      <c r="BY467" s="27"/>
      <c r="BZ467" s="27"/>
      <c r="CA467" s="27"/>
      <c r="CB467" s="27"/>
      <c r="CC467" s="27"/>
      <c r="CD467" s="27"/>
      <c r="CE467" s="27"/>
      <c r="CF467" s="27"/>
      <c r="CG467" s="27"/>
      <c r="CH467" s="27"/>
      <c r="CI467" s="27"/>
      <c r="CJ467" s="27"/>
      <c r="CK467" s="27"/>
      <c r="CL467" s="27"/>
      <c r="CM467" s="27"/>
      <c r="CN467" s="27"/>
      <c r="CO467" s="27"/>
      <c r="CP467" s="27"/>
      <c r="CQ467" s="27"/>
      <c r="CR467" s="27"/>
      <c r="CS467" s="27"/>
      <c r="CT467" s="27"/>
      <c r="CU467" s="27"/>
      <c r="CV467" s="27"/>
      <c r="CW467" s="27"/>
      <c r="CX467" s="27"/>
      <c r="CY467" s="27"/>
      <c r="CZ467" s="27"/>
      <c r="DA467" s="27"/>
      <c r="DB467" s="27"/>
      <c r="DC467" s="27"/>
      <c r="DD467" s="27"/>
      <c r="DE467" s="27"/>
      <c r="DF467" s="27"/>
      <c r="DG467" s="27"/>
      <c r="DH467" s="27"/>
      <c r="DI467" s="27"/>
      <c r="DJ467" s="27"/>
      <c r="DK467" s="27"/>
      <c r="DL467" s="27"/>
      <c r="DM467" s="27"/>
      <c r="DN467" s="27"/>
      <c r="DO467" s="27"/>
      <c r="DP467" s="27"/>
      <c r="DQ467" s="27"/>
      <c r="DR467" s="27"/>
      <c r="DS467" s="27"/>
      <c r="DT467" s="27"/>
    </row>
    <row r="468" spans="2:124" x14ac:dyDescent="0.2">
      <c r="B468" s="27"/>
      <c r="C468" s="27"/>
      <c r="D468" s="27"/>
      <c r="E468" s="27"/>
      <c r="F468" s="27"/>
      <c r="G468" s="27"/>
      <c r="H468" s="27"/>
      <c r="I468" s="27"/>
      <c r="J468" s="27"/>
      <c r="K468" s="27"/>
      <c r="L468" s="27"/>
      <c r="M468" s="27"/>
      <c r="N468" s="27"/>
      <c r="O468" s="27"/>
      <c r="P468" s="27"/>
      <c r="Q468" s="27"/>
      <c r="R468" s="27"/>
      <c r="S468" s="27"/>
      <c r="T468" s="27"/>
      <c r="U468" s="27"/>
      <c r="V468" s="27"/>
      <c r="W468" s="27"/>
      <c r="X468" s="27"/>
      <c r="Y468" s="27"/>
      <c r="Z468" s="27"/>
      <c r="AA468" s="27"/>
      <c r="AB468" s="27"/>
      <c r="AC468" s="27"/>
      <c r="AD468" s="27"/>
      <c r="AE468" s="27"/>
      <c r="AF468" s="27"/>
      <c r="AG468" s="27"/>
      <c r="AH468" s="27"/>
      <c r="AI468" s="27"/>
      <c r="AJ468" s="27"/>
      <c r="AK468" s="27"/>
      <c r="AL468" s="27"/>
      <c r="AM468" s="27"/>
      <c r="AN468" s="27"/>
      <c r="AO468" s="27"/>
      <c r="AP468" s="27"/>
      <c r="AQ468" s="27"/>
      <c r="AR468" s="27"/>
      <c r="AS468" s="27"/>
      <c r="AT468" s="27"/>
      <c r="AU468" s="27"/>
      <c r="AV468" s="27"/>
      <c r="AW468" s="27"/>
      <c r="AX468" s="27"/>
      <c r="AY468" s="27"/>
      <c r="AZ468" s="27"/>
      <c r="BA468" s="27"/>
      <c r="BB468" s="27"/>
      <c r="BC468" s="27"/>
      <c r="BD468" s="27"/>
      <c r="BE468" s="27"/>
      <c r="BF468" s="27"/>
      <c r="BG468" s="27"/>
      <c r="BH468" s="27"/>
      <c r="BI468" s="27"/>
      <c r="BJ468" s="27"/>
      <c r="BK468" s="27"/>
      <c r="BL468" s="27"/>
      <c r="BM468" s="27"/>
      <c r="BN468" s="27"/>
      <c r="BO468" s="27"/>
      <c r="BP468" s="27"/>
      <c r="BQ468" s="27"/>
      <c r="BR468" s="27"/>
      <c r="BS468" s="27"/>
      <c r="BT468" s="27"/>
      <c r="BU468" s="27"/>
      <c r="BV468" s="27"/>
      <c r="BW468" s="27"/>
      <c r="BX468" s="27"/>
      <c r="BY468" s="27"/>
      <c r="BZ468" s="27"/>
      <c r="CA468" s="27"/>
      <c r="CB468" s="27"/>
      <c r="CC468" s="27"/>
      <c r="CD468" s="27"/>
      <c r="CE468" s="27"/>
      <c r="CF468" s="27"/>
      <c r="CG468" s="27"/>
      <c r="CH468" s="27"/>
      <c r="CI468" s="27"/>
      <c r="CJ468" s="27"/>
      <c r="CK468" s="27"/>
      <c r="CL468" s="27"/>
      <c r="CM468" s="27"/>
      <c r="CN468" s="27"/>
      <c r="CO468" s="27"/>
      <c r="CP468" s="27"/>
      <c r="CQ468" s="27"/>
      <c r="CR468" s="27"/>
      <c r="CS468" s="27"/>
      <c r="CT468" s="27"/>
      <c r="CU468" s="27"/>
      <c r="CV468" s="27"/>
      <c r="CW468" s="27"/>
      <c r="CX468" s="27"/>
      <c r="CY468" s="27"/>
      <c r="CZ468" s="27"/>
      <c r="DA468" s="27"/>
      <c r="DB468" s="27"/>
      <c r="DC468" s="27"/>
      <c r="DD468" s="27"/>
      <c r="DE468" s="27"/>
      <c r="DF468" s="27"/>
      <c r="DG468" s="27"/>
      <c r="DH468" s="27"/>
      <c r="DI468" s="27"/>
      <c r="DJ468" s="27"/>
      <c r="DK468" s="27"/>
      <c r="DL468" s="27"/>
      <c r="DM468" s="27"/>
      <c r="DN468" s="27"/>
      <c r="DO468" s="27"/>
      <c r="DP468" s="27"/>
      <c r="DQ468" s="27"/>
      <c r="DR468" s="27"/>
      <c r="DS468" s="27"/>
      <c r="DT468" s="27"/>
    </row>
    <row r="469" spans="2:124" x14ac:dyDescent="0.2">
      <c r="B469" s="27"/>
      <c r="C469" s="27"/>
      <c r="D469" s="27"/>
      <c r="E469" s="27"/>
      <c r="F469" s="27"/>
      <c r="G469" s="27"/>
      <c r="H469" s="27"/>
      <c r="I469" s="27"/>
      <c r="J469" s="27"/>
      <c r="K469" s="27"/>
      <c r="L469" s="27"/>
      <c r="M469" s="27"/>
      <c r="N469" s="27"/>
      <c r="O469" s="27"/>
      <c r="P469" s="27"/>
      <c r="Q469" s="27"/>
      <c r="R469" s="27"/>
      <c r="S469" s="27"/>
      <c r="T469" s="27"/>
      <c r="U469" s="27"/>
      <c r="V469" s="27"/>
      <c r="W469" s="27"/>
      <c r="X469" s="27"/>
      <c r="Y469" s="27"/>
      <c r="Z469" s="27"/>
      <c r="AA469" s="27"/>
      <c r="AB469" s="27"/>
      <c r="AC469" s="27"/>
      <c r="AD469" s="27"/>
      <c r="AE469" s="27"/>
      <c r="AF469" s="27"/>
      <c r="AG469" s="27"/>
      <c r="AH469" s="27"/>
      <c r="AI469" s="27"/>
      <c r="AJ469" s="27"/>
      <c r="AK469" s="27"/>
      <c r="AL469" s="27"/>
      <c r="AM469" s="27"/>
      <c r="AN469" s="27"/>
      <c r="AO469" s="27"/>
      <c r="AP469" s="27"/>
      <c r="AQ469" s="27"/>
      <c r="AR469" s="27"/>
      <c r="AS469" s="27"/>
      <c r="AT469" s="27"/>
      <c r="AU469" s="27"/>
      <c r="AV469" s="27"/>
      <c r="AW469" s="27"/>
      <c r="AX469" s="27"/>
      <c r="AY469" s="27"/>
      <c r="AZ469" s="27"/>
      <c r="BA469" s="27"/>
      <c r="BB469" s="27"/>
      <c r="BC469" s="27"/>
      <c r="BD469" s="27"/>
      <c r="BE469" s="27"/>
      <c r="BF469" s="27"/>
      <c r="BG469" s="27"/>
      <c r="BH469" s="27"/>
      <c r="BI469" s="27"/>
      <c r="BJ469" s="27"/>
      <c r="BK469" s="27"/>
      <c r="BL469" s="27"/>
      <c r="BM469" s="27"/>
      <c r="BN469" s="27"/>
      <c r="BO469" s="27"/>
      <c r="BP469" s="27"/>
      <c r="BQ469" s="27"/>
      <c r="BR469" s="27"/>
      <c r="BS469" s="27"/>
      <c r="BT469" s="27"/>
      <c r="BU469" s="27"/>
      <c r="BV469" s="27"/>
      <c r="BW469" s="27"/>
      <c r="BX469" s="27"/>
      <c r="BY469" s="27"/>
      <c r="BZ469" s="27"/>
      <c r="CA469" s="27"/>
      <c r="CB469" s="27"/>
      <c r="CC469" s="27"/>
      <c r="CD469" s="27"/>
      <c r="CE469" s="27"/>
      <c r="CF469" s="27"/>
      <c r="CG469" s="27"/>
      <c r="CH469" s="27"/>
      <c r="CI469" s="27"/>
      <c r="CJ469" s="27"/>
      <c r="CK469" s="27"/>
      <c r="CL469" s="27"/>
      <c r="CM469" s="27"/>
      <c r="CN469" s="27"/>
      <c r="CO469" s="27"/>
      <c r="CP469" s="27"/>
      <c r="CQ469" s="27"/>
      <c r="CR469" s="27"/>
      <c r="CS469" s="27"/>
      <c r="CT469" s="27"/>
      <c r="CU469" s="27"/>
      <c r="CV469" s="27"/>
      <c r="CW469" s="27"/>
      <c r="CX469" s="27"/>
      <c r="CY469" s="27"/>
      <c r="CZ469" s="27"/>
      <c r="DA469" s="27"/>
      <c r="DB469" s="27"/>
      <c r="DC469" s="27"/>
      <c r="DD469" s="27"/>
      <c r="DE469" s="27"/>
      <c r="DF469" s="27"/>
      <c r="DG469" s="27"/>
      <c r="DH469" s="27"/>
      <c r="DI469" s="27"/>
      <c r="DJ469" s="27"/>
      <c r="DK469" s="27"/>
      <c r="DL469" s="27"/>
      <c r="DM469" s="27"/>
      <c r="DN469" s="27"/>
      <c r="DO469" s="27"/>
      <c r="DP469" s="27"/>
      <c r="DQ469" s="27"/>
      <c r="DR469" s="27"/>
      <c r="DS469" s="27"/>
      <c r="DT469" s="27"/>
    </row>
    <row r="470" spans="2:124" x14ac:dyDescent="0.2">
      <c r="B470" s="27"/>
      <c r="C470" s="27"/>
      <c r="D470" s="27"/>
      <c r="E470" s="27"/>
      <c r="F470" s="27"/>
      <c r="G470" s="27"/>
      <c r="H470" s="27"/>
      <c r="I470" s="27"/>
      <c r="J470" s="27"/>
      <c r="K470" s="27"/>
      <c r="L470" s="27"/>
      <c r="M470" s="27"/>
      <c r="N470" s="27"/>
      <c r="O470" s="27"/>
      <c r="P470" s="27"/>
      <c r="Q470" s="27"/>
      <c r="R470" s="27"/>
      <c r="S470" s="27"/>
      <c r="T470" s="27"/>
      <c r="U470" s="27"/>
      <c r="V470" s="27"/>
      <c r="W470" s="27"/>
      <c r="X470" s="27"/>
      <c r="Y470" s="27"/>
      <c r="Z470" s="27"/>
      <c r="AA470" s="27"/>
      <c r="AB470" s="27"/>
      <c r="AC470" s="27"/>
      <c r="AD470" s="27"/>
      <c r="AE470" s="27"/>
      <c r="AF470" s="27"/>
      <c r="AG470" s="27"/>
      <c r="AH470" s="27"/>
      <c r="AI470" s="27"/>
      <c r="AJ470" s="27"/>
      <c r="AK470" s="27"/>
      <c r="AL470" s="27"/>
      <c r="AM470" s="27"/>
      <c r="AN470" s="27"/>
      <c r="AO470" s="27"/>
      <c r="AP470" s="27"/>
      <c r="AQ470" s="27"/>
      <c r="AR470" s="27"/>
      <c r="AS470" s="27"/>
      <c r="AT470" s="27"/>
      <c r="AU470" s="27"/>
      <c r="AV470" s="27"/>
      <c r="AW470" s="27"/>
      <c r="AX470" s="27"/>
      <c r="AY470" s="27"/>
      <c r="AZ470" s="27"/>
      <c r="BA470" s="27"/>
      <c r="BB470" s="27"/>
      <c r="BC470" s="27"/>
      <c r="BD470" s="27"/>
      <c r="BE470" s="27"/>
      <c r="BF470" s="27"/>
      <c r="BG470" s="27"/>
      <c r="BH470" s="27"/>
      <c r="BI470" s="27"/>
      <c r="BJ470" s="27"/>
      <c r="BK470" s="27"/>
      <c r="BL470" s="27"/>
      <c r="BM470" s="27"/>
      <c r="BN470" s="27"/>
      <c r="BO470" s="27"/>
      <c r="BP470" s="27"/>
      <c r="BQ470" s="27"/>
      <c r="BR470" s="27"/>
      <c r="BS470" s="27"/>
      <c r="BT470" s="27"/>
      <c r="BU470" s="27"/>
      <c r="BV470" s="27"/>
      <c r="BW470" s="27"/>
      <c r="BX470" s="27"/>
      <c r="BY470" s="27"/>
      <c r="BZ470" s="27"/>
      <c r="CA470" s="27"/>
      <c r="CB470" s="27"/>
      <c r="CC470" s="27"/>
      <c r="CD470" s="27"/>
      <c r="CE470" s="27"/>
      <c r="CF470" s="27"/>
      <c r="CG470" s="27"/>
      <c r="CH470" s="27"/>
      <c r="CI470" s="27"/>
      <c r="CJ470" s="27"/>
      <c r="CK470" s="27"/>
      <c r="CL470" s="27"/>
      <c r="CM470" s="27"/>
      <c r="CN470" s="27"/>
      <c r="CO470" s="27"/>
      <c r="CP470" s="27"/>
      <c r="CQ470" s="27"/>
      <c r="CR470" s="27"/>
      <c r="CS470" s="27"/>
      <c r="CT470" s="27"/>
      <c r="CU470" s="27"/>
      <c r="CV470" s="27"/>
      <c r="CW470" s="27"/>
      <c r="CX470" s="27"/>
      <c r="CY470" s="27"/>
      <c r="CZ470" s="27"/>
      <c r="DA470" s="27"/>
      <c r="DB470" s="27"/>
      <c r="DC470" s="27"/>
      <c r="DD470" s="27"/>
      <c r="DE470" s="27"/>
      <c r="DF470" s="27"/>
      <c r="DG470" s="27"/>
      <c r="DH470" s="27"/>
      <c r="DI470" s="27"/>
      <c r="DJ470" s="27"/>
      <c r="DK470" s="27"/>
      <c r="DL470" s="27"/>
      <c r="DM470" s="27"/>
      <c r="DN470" s="27"/>
      <c r="DO470" s="27"/>
      <c r="DP470" s="27"/>
      <c r="DQ470" s="27"/>
      <c r="DR470" s="27"/>
      <c r="DS470" s="27"/>
      <c r="DT470" s="27"/>
    </row>
    <row r="471" spans="2:124" x14ac:dyDescent="0.2">
      <c r="B471" s="27"/>
      <c r="C471" s="27"/>
      <c r="D471" s="27"/>
      <c r="E471" s="27"/>
      <c r="F471" s="27"/>
      <c r="G471" s="27"/>
      <c r="H471" s="27"/>
      <c r="I471" s="27"/>
      <c r="J471" s="27"/>
      <c r="K471" s="27"/>
      <c r="L471" s="27"/>
      <c r="M471" s="27"/>
      <c r="N471" s="27"/>
      <c r="O471" s="27"/>
      <c r="P471" s="27"/>
      <c r="Q471" s="27"/>
      <c r="R471" s="27"/>
      <c r="S471" s="27"/>
      <c r="T471" s="27"/>
      <c r="U471" s="27"/>
      <c r="V471" s="27"/>
      <c r="W471" s="27"/>
      <c r="X471" s="27"/>
      <c r="Y471" s="27"/>
      <c r="Z471" s="27"/>
      <c r="AA471" s="27"/>
      <c r="AB471" s="27"/>
      <c r="AC471" s="27"/>
      <c r="AD471" s="27"/>
      <c r="AE471" s="27"/>
      <c r="AF471" s="27"/>
      <c r="AG471" s="27"/>
      <c r="AH471" s="27"/>
      <c r="AI471" s="27"/>
      <c r="AJ471" s="27"/>
      <c r="AK471" s="27"/>
      <c r="AL471" s="27"/>
      <c r="AM471" s="27"/>
      <c r="AN471" s="27"/>
      <c r="AO471" s="27"/>
      <c r="AP471" s="27"/>
      <c r="AQ471" s="27"/>
      <c r="AR471" s="27"/>
      <c r="AS471" s="27"/>
      <c r="AT471" s="27"/>
      <c r="AU471" s="27"/>
      <c r="AV471" s="27"/>
      <c r="AW471" s="27"/>
      <c r="AX471" s="27"/>
      <c r="AY471" s="27"/>
      <c r="AZ471" s="27"/>
      <c r="BA471" s="27"/>
      <c r="BB471" s="27"/>
      <c r="BC471" s="27"/>
      <c r="BD471" s="27"/>
      <c r="BE471" s="27"/>
      <c r="BF471" s="27"/>
      <c r="BG471" s="27"/>
      <c r="BH471" s="27"/>
      <c r="BI471" s="27"/>
      <c r="BJ471" s="27"/>
      <c r="BK471" s="27"/>
      <c r="BL471" s="27"/>
      <c r="BM471" s="27"/>
      <c r="BN471" s="27"/>
      <c r="BO471" s="27"/>
      <c r="BP471" s="27"/>
      <c r="BQ471" s="27"/>
      <c r="BR471" s="27"/>
      <c r="BS471" s="27"/>
      <c r="BT471" s="27"/>
      <c r="BU471" s="27"/>
      <c r="BV471" s="27"/>
      <c r="BW471" s="27"/>
      <c r="BX471" s="27"/>
      <c r="BY471" s="27"/>
      <c r="BZ471" s="27"/>
      <c r="CA471" s="27"/>
      <c r="CB471" s="27"/>
      <c r="CC471" s="27"/>
      <c r="CD471" s="27"/>
      <c r="CE471" s="27"/>
      <c r="CF471" s="27"/>
      <c r="CG471" s="27"/>
      <c r="CH471" s="27"/>
      <c r="CI471" s="27"/>
      <c r="CJ471" s="27"/>
      <c r="CK471" s="27"/>
      <c r="CL471" s="27"/>
      <c r="CM471" s="27"/>
      <c r="CN471" s="27"/>
      <c r="CO471" s="27"/>
      <c r="CP471" s="27"/>
      <c r="CQ471" s="27"/>
      <c r="CR471" s="27"/>
      <c r="CS471" s="27"/>
      <c r="CT471" s="27"/>
      <c r="CU471" s="27"/>
      <c r="CV471" s="27"/>
      <c r="CW471" s="27"/>
      <c r="CX471" s="27"/>
      <c r="CY471" s="27"/>
      <c r="CZ471" s="27"/>
      <c r="DA471" s="27"/>
      <c r="DB471" s="27"/>
      <c r="DC471" s="27"/>
      <c r="DD471" s="27"/>
      <c r="DE471" s="27"/>
      <c r="DF471" s="27"/>
      <c r="DG471" s="27"/>
      <c r="DH471" s="27"/>
      <c r="DI471" s="27"/>
      <c r="DJ471" s="27"/>
      <c r="DK471" s="27"/>
      <c r="DL471" s="27"/>
      <c r="DM471" s="27"/>
      <c r="DN471" s="27"/>
      <c r="DO471" s="27"/>
      <c r="DP471" s="27"/>
      <c r="DQ471" s="27"/>
      <c r="DR471" s="27"/>
      <c r="DS471" s="27"/>
      <c r="DT471" s="27"/>
    </row>
    <row r="472" spans="2:124" x14ac:dyDescent="0.2">
      <c r="B472" s="27"/>
      <c r="C472" s="27"/>
      <c r="D472" s="27"/>
      <c r="E472" s="27"/>
      <c r="F472" s="27"/>
      <c r="G472" s="27"/>
      <c r="H472" s="27"/>
      <c r="I472" s="27"/>
      <c r="J472" s="27"/>
      <c r="K472" s="27"/>
      <c r="L472" s="27"/>
      <c r="M472" s="27"/>
      <c r="N472" s="27"/>
      <c r="O472" s="27"/>
      <c r="P472" s="27"/>
      <c r="Q472" s="27"/>
      <c r="R472" s="27"/>
      <c r="S472" s="27"/>
      <c r="T472" s="27"/>
      <c r="U472" s="27"/>
      <c r="V472" s="27"/>
      <c r="W472" s="27"/>
      <c r="X472" s="27"/>
      <c r="Y472" s="27"/>
      <c r="Z472" s="27"/>
      <c r="AA472" s="27"/>
      <c r="AB472" s="27"/>
      <c r="AC472" s="27"/>
      <c r="AD472" s="27"/>
      <c r="AE472" s="27"/>
      <c r="AF472" s="27"/>
      <c r="AG472" s="27"/>
      <c r="AH472" s="27"/>
      <c r="AI472" s="27"/>
      <c r="AJ472" s="27"/>
      <c r="AK472" s="27"/>
      <c r="AL472" s="27"/>
      <c r="AM472" s="27"/>
      <c r="AN472" s="27"/>
      <c r="AO472" s="27"/>
      <c r="AP472" s="27"/>
      <c r="AQ472" s="27"/>
      <c r="AR472" s="27"/>
      <c r="AS472" s="27"/>
      <c r="AT472" s="27"/>
      <c r="AU472" s="27"/>
      <c r="AV472" s="27"/>
      <c r="AW472" s="27"/>
      <c r="AX472" s="27"/>
      <c r="AY472" s="27"/>
      <c r="AZ472" s="27"/>
      <c r="BA472" s="27"/>
      <c r="BB472" s="27"/>
      <c r="BC472" s="27"/>
      <c r="BD472" s="27"/>
      <c r="BE472" s="27"/>
      <c r="BF472" s="27"/>
      <c r="BG472" s="27"/>
      <c r="BH472" s="27"/>
      <c r="BI472" s="27"/>
      <c r="BJ472" s="27"/>
      <c r="BK472" s="27"/>
      <c r="BL472" s="27"/>
      <c r="BM472" s="27"/>
      <c r="BN472" s="27"/>
      <c r="BO472" s="27"/>
      <c r="BP472" s="27"/>
      <c r="BQ472" s="27"/>
      <c r="BR472" s="27"/>
      <c r="BS472" s="27"/>
      <c r="BT472" s="27"/>
      <c r="BU472" s="27"/>
      <c r="BV472" s="27"/>
      <c r="BW472" s="27"/>
      <c r="BX472" s="27"/>
      <c r="BY472" s="27"/>
      <c r="BZ472" s="27"/>
      <c r="CA472" s="27"/>
      <c r="CB472" s="27"/>
      <c r="CC472" s="27"/>
      <c r="CD472" s="27"/>
      <c r="CE472" s="27"/>
      <c r="CF472" s="27"/>
      <c r="CG472" s="27"/>
      <c r="CH472" s="27"/>
      <c r="CI472" s="27"/>
      <c r="CJ472" s="27"/>
      <c r="CK472" s="27"/>
      <c r="CL472" s="27"/>
      <c r="CM472" s="27"/>
      <c r="CN472" s="27"/>
      <c r="CO472" s="27"/>
      <c r="CP472" s="27"/>
      <c r="CQ472" s="27"/>
      <c r="CR472" s="27"/>
      <c r="CS472" s="27"/>
      <c r="CT472" s="27"/>
      <c r="CU472" s="27"/>
      <c r="CV472" s="27"/>
      <c r="CW472" s="27"/>
      <c r="CX472" s="27"/>
      <c r="CY472" s="27"/>
      <c r="CZ472" s="27"/>
      <c r="DA472" s="27"/>
      <c r="DB472" s="27"/>
      <c r="DC472" s="27"/>
      <c r="DD472" s="27"/>
      <c r="DE472" s="27"/>
      <c r="DF472" s="27"/>
      <c r="DG472" s="27"/>
      <c r="DH472" s="27"/>
      <c r="DI472" s="27"/>
      <c r="DJ472" s="27"/>
      <c r="DK472" s="27"/>
      <c r="DL472" s="27"/>
      <c r="DM472" s="27"/>
      <c r="DN472" s="27"/>
      <c r="DO472" s="27"/>
      <c r="DP472" s="27"/>
      <c r="DQ472" s="27"/>
      <c r="DR472" s="27"/>
      <c r="DS472" s="27"/>
      <c r="DT472" s="27"/>
    </row>
    <row r="473" spans="2:124" x14ac:dyDescent="0.2">
      <c r="B473" s="27"/>
      <c r="C473" s="27"/>
      <c r="D473" s="27"/>
      <c r="E473" s="27"/>
      <c r="F473" s="27"/>
      <c r="G473" s="27"/>
      <c r="H473" s="27"/>
      <c r="I473" s="27"/>
      <c r="J473" s="27"/>
      <c r="K473" s="27"/>
      <c r="L473" s="27"/>
      <c r="M473" s="27"/>
      <c r="N473" s="27"/>
      <c r="O473" s="27"/>
      <c r="P473" s="27"/>
      <c r="Q473" s="27"/>
      <c r="R473" s="27"/>
      <c r="S473" s="27"/>
      <c r="T473" s="27"/>
      <c r="U473" s="27"/>
      <c r="V473" s="27"/>
      <c r="W473" s="27"/>
      <c r="X473" s="27"/>
      <c r="Y473" s="27"/>
      <c r="Z473" s="27"/>
      <c r="AA473" s="27"/>
      <c r="AB473" s="27"/>
      <c r="AC473" s="27"/>
      <c r="AD473" s="27"/>
      <c r="AE473" s="27"/>
      <c r="AF473" s="27"/>
      <c r="AG473" s="27"/>
      <c r="AH473" s="27"/>
      <c r="AI473" s="27"/>
      <c r="AJ473" s="27"/>
      <c r="AK473" s="27"/>
      <c r="AL473" s="27"/>
      <c r="AM473" s="27"/>
      <c r="AN473" s="27"/>
      <c r="AO473" s="27"/>
      <c r="AP473" s="27"/>
      <c r="AQ473" s="27"/>
      <c r="AR473" s="27"/>
      <c r="AS473" s="27"/>
      <c r="AT473" s="27"/>
      <c r="AU473" s="27"/>
      <c r="AV473" s="27"/>
      <c r="AW473" s="27"/>
      <c r="AX473" s="27"/>
      <c r="AY473" s="27"/>
      <c r="AZ473" s="27"/>
      <c r="BA473" s="27"/>
      <c r="BB473" s="27"/>
      <c r="BC473" s="27"/>
      <c r="BD473" s="27"/>
      <c r="BE473" s="27"/>
      <c r="BF473" s="27"/>
      <c r="BG473" s="27"/>
      <c r="BH473" s="27"/>
      <c r="BI473" s="27"/>
      <c r="BJ473" s="27"/>
      <c r="BK473" s="27"/>
      <c r="BL473" s="27"/>
      <c r="BM473" s="27"/>
      <c r="BN473" s="27"/>
      <c r="BO473" s="27"/>
      <c r="BP473" s="27"/>
      <c r="BQ473" s="27"/>
      <c r="BR473" s="27"/>
      <c r="BS473" s="27"/>
      <c r="BT473" s="27"/>
      <c r="BU473" s="27"/>
      <c r="BV473" s="27"/>
      <c r="BW473" s="27"/>
      <c r="BX473" s="27"/>
      <c r="BY473" s="27"/>
      <c r="BZ473" s="27"/>
      <c r="CA473" s="27"/>
      <c r="CB473" s="27"/>
      <c r="CC473" s="27"/>
      <c r="CD473" s="27"/>
      <c r="CE473" s="27"/>
      <c r="CF473" s="27"/>
      <c r="CG473" s="27"/>
      <c r="CH473" s="27"/>
      <c r="CI473" s="27"/>
      <c r="CJ473" s="27"/>
      <c r="CK473" s="27"/>
      <c r="CL473" s="27"/>
      <c r="CM473" s="27"/>
      <c r="CN473" s="27"/>
      <c r="CO473" s="27"/>
      <c r="CP473" s="27"/>
      <c r="CQ473" s="27"/>
      <c r="CR473" s="27"/>
      <c r="CS473" s="27"/>
      <c r="CT473" s="27"/>
      <c r="CU473" s="27"/>
      <c r="CV473" s="27"/>
      <c r="CW473" s="27"/>
      <c r="CX473" s="27"/>
      <c r="CY473" s="27"/>
      <c r="CZ473" s="27"/>
      <c r="DA473" s="27"/>
      <c r="DB473" s="27"/>
      <c r="DC473" s="27"/>
      <c r="DD473" s="27"/>
      <c r="DE473" s="27"/>
      <c r="DF473" s="27"/>
      <c r="DG473" s="27"/>
      <c r="DH473" s="27"/>
      <c r="DI473" s="27"/>
      <c r="DJ473" s="27"/>
      <c r="DK473" s="27"/>
      <c r="DL473" s="27"/>
      <c r="DM473" s="27"/>
      <c r="DN473" s="27"/>
      <c r="DO473" s="27"/>
      <c r="DP473" s="27"/>
      <c r="DQ473" s="27"/>
      <c r="DR473" s="27"/>
      <c r="DS473" s="27"/>
      <c r="DT473" s="27"/>
    </row>
    <row r="474" spans="2:124" x14ac:dyDescent="0.2">
      <c r="B474" s="27"/>
      <c r="C474" s="27"/>
      <c r="D474" s="27"/>
      <c r="E474" s="27"/>
      <c r="F474" s="27"/>
      <c r="G474" s="27"/>
      <c r="H474" s="27"/>
      <c r="I474" s="27"/>
      <c r="J474" s="27"/>
      <c r="K474" s="27"/>
      <c r="L474" s="27"/>
      <c r="M474" s="27"/>
      <c r="N474" s="27"/>
      <c r="O474" s="27"/>
      <c r="P474" s="27"/>
      <c r="Q474" s="27"/>
      <c r="R474" s="27"/>
      <c r="S474" s="27"/>
      <c r="T474" s="27"/>
      <c r="U474" s="27"/>
      <c r="V474" s="27"/>
      <c r="W474" s="27"/>
      <c r="X474" s="27"/>
      <c r="Y474" s="27"/>
      <c r="Z474" s="27"/>
      <c r="AA474" s="27"/>
      <c r="AB474" s="27"/>
      <c r="AC474" s="27"/>
      <c r="AD474" s="27"/>
      <c r="AE474" s="27"/>
      <c r="AF474" s="27"/>
      <c r="AG474" s="27"/>
      <c r="AH474" s="27"/>
      <c r="AI474" s="27"/>
      <c r="AJ474" s="27"/>
      <c r="AK474" s="27"/>
      <c r="AL474" s="27"/>
      <c r="AM474" s="27"/>
      <c r="AN474" s="27"/>
      <c r="AO474" s="27"/>
      <c r="AP474" s="27"/>
      <c r="AQ474" s="27"/>
      <c r="AR474" s="27"/>
      <c r="AS474" s="27"/>
      <c r="AT474" s="27"/>
      <c r="AU474" s="27"/>
      <c r="AV474" s="27"/>
      <c r="AW474" s="27"/>
      <c r="AX474" s="27"/>
      <c r="AY474" s="27"/>
      <c r="AZ474" s="27"/>
      <c r="BA474" s="27"/>
      <c r="BB474" s="27"/>
      <c r="BC474" s="27"/>
      <c r="BD474" s="27"/>
      <c r="BE474" s="27"/>
      <c r="BF474" s="27"/>
      <c r="BG474" s="27"/>
      <c r="BH474" s="27"/>
      <c r="BI474" s="27"/>
      <c r="BJ474" s="27"/>
      <c r="BK474" s="27"/>
      <c r="BL474" s="27"/>
      <c r="BM474" s="27"/>
      <c r="BN474" s="27"/>
      <c r="BO474" s="27"/>
      <c r="BP474" s="27"/>
      <c r="BQ474" s="27"/>
      <c r="BR474" s="27"/>
      <c r="BS474" s="27"/>
      <c r="BT474" s="27"/>
      <c r="BU474" s="27"/>
      <c r="BV474" s="27"/>
      <c r="BW474" s="27"/>
      <c r="BX474" s="27"/>
      <c r="BY474" s="27"/>
      <c r="BZ474" s="27"/>
      <c r="CA474" s="27"/>
      <c r="CB474" s="27"/>
      <c r="CC474" s="27"/>
      <c r="CD474" s="27"/>
      <c r="CE474" s="27"/>
      <c r="CF474" s="27"/>
      <c r="CG474" s="27"/>
      <c r="CH474" s="27"/>
      <c r="CI474" s="27"/>
      <c r="CJ474" s="27"/>
      <c r="CK474" s="27"/>
      <c r="CL474" s="27"/>
      <c r="CM474" s="27"/>
      <c r="CN474" s="27"/>
      <c r="CO474" s="27"/>
      <c r="CP474" s="27"/>
      <c r="CQ474" s="27"/>
      <c r="CR474" s="27"/>
      <c r="CS474" s="27"/>
      <c r="CT474" s="27"/>
      <c r="CU474" s="27"/>
      <c r="CV474" s="27"/>
      <c r="CW474" s="27"/>
      <c r="CX474" s="27"/>
      <c r="CY474" s="27"/>
      <c r="CZ474" s="27"/>
      <c r="DA474" s="27"/>
      <c r="DB474" s="27"/>
      <c r="DC474" s="27"/>
      <c r="DD474" s="27"/>
      <c r="DE474" s="27"/>
      <c r="DF474" s="27"/>
      <c r="DG474" s="27"/>
      <c r="DH474" s="27"/>
      <c r="DI474" s="27"/>
      <c r="DJ474" s="27"/>
      <c r="DK474" s="27"/>
      <c r="DL474" s="27"/>
      <c r="DM474" s="27"/>
      <c r="DN474" s="27"/>
      <c r="DO474" s="27"/>
      <c r="DP474" s="27"/>
      <c r="DQ474" s="27"/>
      <c r="DR474" s="27"/>
      <c r="DS474" s="27"/>
      <c r="DT474" s="27"/>
    </row>
    <row r="475" spans="2:124" x14ac:dyDescent="0.2">
      <c r="B475" s="27"/>
      <c r="C475" s="27"/>
      <c r="D475" s="27"/>
      <c r="E475" s="27"/>
      <c r="F475" s="27"/>
      <c r="G475" s="27"/>
      <c r="H475" s="27"/>
      <c r="I475" s="27"/>
      <c r="J475" s="27"/>
      <c r="K475" s="27"/>
      <c r="L475" s="27"/>
      <c r="M475" s="27"/>
      <c r="N475" s="27"/>
      <c r="O475" s="27"/>
      <c r="P475" s="27"/>
      <c r="Q475" s="27"/>
      <c r="R475" s="27"/>
      <c r="S475" s="27"/>
      <c r="T475" s="27"/>
      <c r="U475" s="27"/>
      <c r="V475" s="27"/>
      <c r="W475" s="27"/>
      <c r="X475" s="27"/>
      <c r="Y475" s="27"/>
      <c r="Z475" s="27"/>
      <c r="AA475" s="27"/>
      <c r="AB475" s="27"/>
      <c r="AC475" s="27"/>
      <c r="AD475" s="27"/>
      <c r="AE475" s="27"/>
      <c r="AF475" s="27"/>
      <c r="AG475" s="27"/>
      <c r="AH475" s="27"/>
      <c r="AI475" s="27"/>
      <c r="AJ475" s="27"/>
      <c r="AK475" s="27"/>
      <c r="AL475" s="27"/>
      <c r="AM475" s="27"/>
      <c r="AN475" s="27"/>
      <c r="AO475" s="27"/>
      <c r="AP475" s="27"/>
      <c r="AQ475" s="27"/>
      <c r="AR475" s="27"/>
      <c r="AS475" s="27"/>
      <c r="AT475" s="27"/>
      <c r="AU475" s="27"/>
      <c r="AV475" s="27"/>
      <c r="AW475" s="27"/>
      <c r="AX475" s="27"/>
      <c r="AY475" s="27"/>
      <c r="AZ475" s="27"/>
      <c r="BA475" s="27"/>
      <c r="BB475" s="27"/>
      <c r="BC475" s="27"/>
      <c r="BD475" s="27"/>
      <c r="BE475" s="27"/>
      <c r="BF475" s="27"/>
      <c r="BG475" s="27"/>
      <c r="BH475" s="27"/>
      <c r="BI475" s="27"/>
      <c r="BJ475" s="27"/>
      <c r="BK475" s="27"/>
      <c r="BL475" s="27"/>
      <c r="BM475" s="27"/>
      <c r="BN475" s="27"/>
      <c r="BO475" s="27"/>
      <c r="BP475" s="27"/>
      <c r="BQ475" s="27"/>
      <c r="BR475" s="27"/>
      <c r="BS475" s="27"/>
      <c r="BT475" s="27"/>
      <c r="BU475" s="27"/>
      <c r="BV475" s="27"/>
      <c r="BW475" s="27"/>
      <c r="BX475" s="27"/>
      <c r="BY475" s="27"/>
      <c r="BZ475" s="27"/>
      <c r="CA475" s="27"/>
      <c r="CB475" s="27"/>
      <c r="CC475" s="27"/>
      <c r="CD475" s="27"/>
      <c r="CE475" s="27"/>
      <c r="CF475" s="27"/>
      <c r="CG475" s="27"/>
      <c r="CH475" s="27"/>
      <c r="CI475" s="27"/>
      <c r="CJ475" s="27"/>
      <c r="CK475" s="27"/>
      <c r="CL475" s="27"/>
      <c r="CM475" s="27"/>
      <c r="CN475" s="27"/>
      <c r="CO475" s="27"/>
      <c r="CP475" s="27"/>
      <c r="CQ475" s="27"/>
      <c r="CR475" s="27"/>
      <c r="CS475" s="27"/>
      <c r="CT475" s="27"/>
      <c r="CU475" s="27"/>
      <c r="CV475" s="27"/>
      <c r="CW475" s="27"/>
      <c r="CX475" s="27"/>
      <c r="CY475" s="27"/>
      <c r="CZ475" s="27"/>
      <c r="DA475" s="27"/>
      <c r="DB475" s="27"/>
      <c r="DC475" s="27"/>
      <c r="DD475" s="27"/>
      <c r="DE475" s="27"/>
      <c r="DF475" s="27"/>
      <c r="DG475" s="27"/>
      <c r="DH475" s="27"/>
      <c r="DI475" s="27"/>
      <c r="DJ475" s="27"/>
      <c r="DK475" s="27"/>
      <c r="DL475" s="27"/>
      <c r="DM475" s="27"/>
      <c r="DN475" s="27"/>
      <c r="DO475" s="27"/>
      <c r="DP475" s="27"/>
      <c r="DQ475" s="27"/>
      <c r="DR475" s="27"/>
      <c r="DS475" s="27"/>
      <c r="DT475" s="27"/>
    </row>
    <row r="476" spans="2:124" x14ac:dyDescent="0.2">
      <c r="B476" s="27"/>
      <c r="C476" s="27"/>
      <c r="D476" s="27"/>
      <c r="E476" s="27"/>
      <c r="F476" s="27"/>
      <c r="G476" s="27"/>
      <c r="H476" s="27"/>
      <c r="I476" s="27"/>
      <c r="J476" s="27"/>
      <c r="K476" s="27"/>
      <c r="L476" s="27"/>
      <c r="M476" s="27"/>
      <c r="N476" s="27"/>
      <c r="O476" s="27"/>
      <c r="P476" s="27"/>
      <c r="Q476" s="27"/>
      <c r="R476" s="27"/>
      <c r="S476" s="27"/>
      <c r="T476" s="27"/>
      <c r="U476" s="27"/>
      <c r="V476" s="27"/>
      <c r="W476" s="27"/>
      <c r="X476" s="27"/>
      <c r="Y476" s="27"/>
      <c r="Z476" s="27"/>
      <c r="AA476" s="27"/>
      <c r="AB476" s="27"/>
      <c r="AC476" s="27"/>
      <c r="AD476" s="27"/>
      <c r="AE476" s="27"/>
      <c r="AF476" s="27"/>
      <c r="AG476" s="27"/>
      <c r="AH476" s="27"/>
      <c r="AI476" s="27"/>
      <c r="AJ476" s="27"/>
      <c r="AK476" s="27"/>
      <c r="AL476" s="27"/>
      <c r="AM476" s="27"/>
      <c r="AN476" s="27"/>
      <c r="AO476" s="27"/>
      <c r="AP476" s="27"/>
      <c r="AQ476" s="27"/>
      <c r="AR476" s="27"/>
      <c r="AS476" s="27"/>
      <c r="AT476" s="27"/>
      <c r="AU476" s="27"/>
      <c r="AV476" s="27"/>
      <c r="AW476" s="27"/>
      <c r="AX476" s="27"/>
      <c r="AY476" s="27"/>
      <c r="AZ476" s="27"/>
      <c r="BA476" s="27"/>
      <c r="BB476" s="27"/>
      <c r="BC476" s="27"/>
      <c r="BD476" s="27"/>
      <c r="BE476" s="27"/>
      <c r="BF476" s="27"/>
      <c r="BG476" s="27"/>
      <c r="BH476" s="27"/>
      <c r="BI476" s="27"/>
      <c r="BJ476" s="27"/>
      <c r="BK476" s="27"/>
      <c r="BL476" s="27"/>
      <c r="BM476" s="27"/>
      <c r="BN476" s="27"/>
      <c r="BO476" s="27"/>
      <c r="BP476" s="27"/>
      <c r="BQ476" s="27"/>
      <c r="BR476" s="27"/>
      <c r="BS476" s="27"/>
      <c r="BT476" s="27"/>
      <c r="BU476" s="27"/>
      <c r="BV476" s="27"/>
      <c r="BW476" s="27"/>
      <c r="BX476" s="27"/>
      <c r="BY476" s="27"/>
      <c r="BZ476" s="27"/>
      <c r="CA476" s="27"/>
      <c r="CB476" s="27"/>
      <c r="CC476" s="27"/>
      <c r="CD476" s="27"/>
      <c r="CE476" s="27"/>
      <c r="CF476" s="27"/>
      <c r="CG476" s="27"/>
      <c r="CH476" s="27"/>
      <c r="CI476" s="27"/>
      <c r="CJ476" s="27"/>
      <c r="CK476" s="27"/>
      <c r="CL476" s="27"/>
      <c r="CM476" s="27"/>
      <c r="CN476" s="27"/>
      <c r="CO476" s="27"/>
      <c r="CP476" s="27"/>
      <c r="CQ476" s="27"/>
      <c r="CR476" s="27"/>
      <c r="CS476" s="27"/>
      <c r="CT476" s="27"/>
      <c r="CU476" s="27"/>
      <c r="CV476" s="27"/>
      <c r="CW476" s="27"/>
      <c r="CX476" s="27"/>
      <c r="CY476" s="27"/>
      <c r="CZ476" s="27"/>
      <c r="DA476" s="27"/>
      <c r="DB476" s="27"/>
      <c r="DC476" s="27"/>
      <c r="DD476" s="27"/>
      <c r="DE476" s="27"/>
      <c r="DF476" s="27"/>
      <c r="DG476" s="27"/>
      <c r="DH476" s="27"/>
      <c r="DI476" s="27"/>
      <c r="DJ476" s="27"/>
      <c r="DK476" s="27"/>
      <c r="DL476" s="27"/>
      <c r="DM476" s="27"/>
      <c r="DN476" s="27"/>
      <c r="DO476" s="27"/>
      <c r="DP476" s="27"/>
      <c r="DQ476" s="27"/>
      <c r="DR476" s="27"/>
      <c r="DS476" s="27"/>
      <c r="DT476" s="27"/>
    </row>
    <row r="477" spans="2:124" x14ac:dyDescent="0.2">
      <c r="B477" s="27"/>
      <c r="C477" s="27"/>
      <c r="D477" s="27"/>
      <c r="E477" s="27"/>
      <c r="F477" s="27"/>
      <c r="G477" s="27"/>
      <c r="H477" s="27"/>
      <c r="I477" s="27"/>
      <c r="J477" s="27"/>
      <c r="K477" s="27"/>
      <c r="L477" s="27"/>
      <c r="M477" s="27"/>
      <c r="N477" s="27"/>
      <c r="O477" s="27"/>
      <c r="P477" s="27"/>
      <c r="Q477" s="27"/>
      <c r="R477" s="27"/>
      <c r="S477" s="27"/>
      <c r="T477" s="27"/>
      <c r="U477" s="27"/>
      <c r="V477" s="27"/>
      <c r="W477" s="27"/>
      <c r="X477" s="27"/>
      <c r="Y477" s="27"/>
      <c r="Z477" s="27"/>
      <c r="AA477" s="27"/>
      <c r="AB477" s="27"/>
      <c r="AC477" s="27"/>
      <c r="AD477" s="27"/>
      <c r="AE477" s="27"/>
      <c r="AF477" s="27"/>
      <c r="AG477" s="27"/>
      <c r="AH477" s="27"/>
      <c r="AI477" s="27"/>
      <c r="AJ477" s="27"/>
      <c r="AK477" s="27"/>
      <c r="AL477" s="27"/>
      <c r="AM477" s="27"/>
      <c r="AN477" s="27"/>
      <c r="AO477" s="27"/>
      <c r="AP477" s="27"/>
      <c r="AQ477" s="27"/>
      <c r="AR477" s="27"/>
      <c r="AS477" s="27"/>
      <c r="AT477" s="27"/>
      <c r="AU477" s="27"/>
      <c r="AV477" s="27"/>
      <c r="AW477" s="27"/>
      <c r="AX477" s="27"/>
      <c r="AY477" s="27"/>
      <c r="AZ477" s="27"/>
      <c r="BA477" s="27"/>
      <c r="BB477" s="27"/>
      <c r="BC477" s="27"/>
      <c r="BD477" s="27"/>
      <c r="BE477" s="27"/>
      <c r="BF477" s="27"/>
      <c r="BG477" s="27"/>
      <c r="BH477" s="27"/>
      <c r="BI477" s="27"/>
      <c r="BJ477" s="27"/>
      <c r="BK477" s="27"/>
      <c r="BL477" s="27"/>
      <c r="BM477" s="27"/>
      <c r="BN477" s="27"/>
      <c r="BO477" s="27"/>
      <c r="BP477" s="27"/>
      <c r="BQ477" s="27"/>
      <c r="BR477" s="27"/>
      <c r="BS477" s="27"/>
      <c r="BT477" s="27"/>
      <c r="BU477" s="27"/>
      <c r="BV477" s="27"/>
      <c r="BW477" s="27"/>
      <c r="BX477" s="27"/>
      <c r="BY477" s="27"/>
      <c r="BZ477" s="27"/>
      <c r="CA477" s="27"/>
      <c r="CB477" s="27"/>
      <c r="CC477" s="27"/>
      <c r="CD477" s="27"/>
      <c r="CE477" s="27"/>
      <c r="CF477" s="27"/>
      <c r="CG477" s="27"/>
      <c r="CH477" s="27"/>
      <c r="CI477" s="27"/>
      <c r="CJ477" s="27"/>
      <c r="CK477" s="27"/>
      <c r="CL477" s="27"/>
      <c r="CM477" s="27"/>
      <c r="CN477" s="27"/>
      <c r="CO477" s="27"/>
      <c r="CP477" s="27"/>
      <c r="CQ477" s="27"/>
      <c r="CR477" s="27"/>
      <c r="CS477" s="27"/>
      <c r="CT477" s="27"/>
      <c r="CU477" s="27"/>
      <c r="CV477" s="27"/>
      <c r="CW477" s="27"/>
      <c r="CX477" s="27"/>
      <c r="CY477" s="27"/>
      <c r="CZ477" s="27"/>
      <c r="DA477" s="27"/>
      <c r="DB477" s="27"/>
      <c r="DC477" s="27"/>
      <c r="DD477" s="27"/>
      <c r="DE477" s="27"/>
      <c r="DF477" s="27"/>
      <c r="DG477" s="27"/>
      <c r="DH477" s="27"/>
      <c r="DI477" s="27"/>
      <c r="DJ477" s="27"/>
      <c r="DK477" s="27"/>
      <c r="DL477" s="27"/>
      <c r="DM477" s="27"/>
      <c r="DN477" s="27"/>
      <c r="DO477" s="27"/>
      <c r="DP477" s="27"/>
      <c r="DQ477" s="27"/>
      <c r="DR477" s="27"/>
      <c r="DS477" s="27"/>
      <c r="DT477" s="27"/>
    </row>
    <row r="478" spans="2:124" x14ac:dyDescent="0.2">
      <c r="B478" s="27"/>
      <c r="C478" s="27"/>
      <c r="D478" s="27"/>
      <c r="E478" s="27"/>
      <c r="F478" s="27"/>
      <c r="G478" s="27"/>
      <c r="H478" s="27"/>
      <c r="I478" s="27"/>
      <c r="J478" s="27"/>
      <c r="K478" s="27"/>
      <c r="L478" s="27"/>
      <c r="M478" s="27"/>
      <c r="N478" s="27"/>
      <c r="O478" s="27"/>
      <c r="P478" s="27"/>
      <c r="Q478" s="27"/>
      <c r="R478" s="27"/>
      <c r="S478" s="27"/>
      <c r="T478" s="27"/>
      <c r="U478" s="27"/>
      <c r="V478" s="27"/>
      <c r="W478" s="27"/>
      <c r="X478" s="27"/>
      <c r="Y478" s="27"/>
      <c r="Z478" s="27"/>
      <c r="AA478" s="27"/>
      <c r="AB478" s="27"/>
      <c r="AC478" s="27"/>
      <c r="AD478" s="27"/>
      <c r="AE478" s="27"/>
      <c r="AF478" s="27"/>
      <c r="AG478" s="27"/>
      <c r="AH478" s="27"/>
      <c r="AI478" s="27"/>
      <c r="AJ478" s="27"/>
      <c r="AK478" s="27"/>
      <c r="AL478" s="27"/>
      <c r="AM478" s="27"/>
      <c r="AN478" s="27"/>
      <c r="AO478" s="27"/>
      <c r="AP478" s="27"/>
      <c r="AQ478" s="27"/>
      <c r="AR478" s="27"/>
      <c r="AS478" s="27"/>
      <c r="AT478" s="27"/>
      <c r="AU478" s="27"/>
      <c r="AV478" s="27"/>
      <c r="AW478" s="27"/>
      <c r="AX478" s="27"/>
      <c r="AY478" s="27"/>
      <c r="AZ478" s="27"/>
      <c r="BA478" s="27"/>
      <c r="BB478" s="27"/>
      <c r="BC478" s="27"/>
      <c r="BD478" s="27"/>
      <c r="BE478" s="27"/>
      <c r="BF478" s="27"/>
      <c r="BG478" s="27"/>
      <c r="BH478" s="27"/>
      <c r="BI478" s="27"/>
      <c r="BJ478" s="27"/>
      <c r="BK478" s="27"/>
      <c r="BL478" s="27"/>
      <c r="BM478" s="27"/>
      <c r="BN478" s="27"/>
      <c r="BO478" s="27"/>
      <c r="BP478" s="27"/>
      <c r="BQ478" s="27"/>
      <c r="BR478" s="27"/>
      <c r="BS478" s="27"/>
      <c r="BT478" s="27"/>
      <c r="BU478" s="27"/>
      <c r="BV478" s="27"/>
      <c r="BW478" s="27"/>
      <c r="BX478" s="27"/>
      <c r="BY478" s="27"/>
      <c r="BZ478" s="27"/>
      <c r="CA478" s="27"/>
      <c r="CB478" s="27"/>
      <c r="CC478" s="27"/>
      <c r="CD478" s="27"/>
      <c r="CE478" s="27"/>
      <c r="CF478" s="27"/>
      <c r="CG478" s="27"/>
      <c r="CH478" s="27"/>
      <c r="CI478" s="27"/>
      <c r="CJ478" s="27"/>
      <c r="CK478" s="27"/>
      <c r="CL478" s="27"/>
      <c r="CM478" s="27"/>
      <c r="CN478" s="27"/>
      <c r="CO478" s="27"/>
      <c r="CP478" s="27"/>
      <c r="CQ478" s="27"/>
      <c r="CR478" s="27"/>
      <c r="CS478" s="27"/>
      <c r="CT478" s="27"/>
      <c r="CU478" s="27"/>
      <c r="CV478" s="27"/>
      <c r="CW478" s="27"/>
      <c r="CX478" s="27"/>
      <c r="CY478" s="27"/>
      <c r="CZ478" s="27"/>
      <c r="DA478" s="27"/>
      <c r="DB478" s="27"/>
      <c r="DC478" s="27"/>
      <c r="DD478" s="27"/>
      <c r="DE478" s="27"/>
      <c r="DF478" s="27"/>
      <c r="DG478" s="27"/>
      <c r="DH478" s="27"/>
      <c r="DI478" s="27"/>
      <c r="DJ478" s="27"/>
      <c r="DK478" s="27"/>
      <c r="DL478" s="27"/>
      <c r="DM478" s="27"/>
      <c r="DN478" s="27"/>
      <c r="DO478" s="27"/>
      <c r="DP478" s="27"/>
      <c r="DQ478" s="27"/>
      <c r="DR478" s="27"/>
      <c r="DS478" s="27"/>
      <c r="DT478" s="27"/>
    </row>
    <row r="479" spans="2:124" x14ac:dyDescent="0.2">
      <c r="B479" s="27"/>
      <c r="C479" s="27"/>
      <c r="D479" s="27"/>
      <c r="E479" s="27"/>
      <c r="F479" s="27"/>
      <c r="G479" s="27"/>
      <c r="H479" s="27"/>
      <c r="I479" s="27"/>
      <c r="J479" s="27"/>
      <c r="K479" s="27"/>
      <c r="L479" s="27"/>
      <c r="M479" s="27"/>
      <c r="N479" s="27"/>
      <c r="O479" s="27"/>
      <c r="P479" s="27"/>
      <c r="Q479" s="27"/>
      <c r="R479" s="27"/>
      <c r="S479" s="27"/>
      <c r="T479" s="27"/>
      <c r="U479" s="27"/>
      <c r="V479" s="27"/>
      <c r="W479" s="27"/>
      <c r="X479" s="27"/>
      <c r="Y479" s="27"/>
      <c r="Z479" s="27"/>
      <c r="AA479" s="27"/>
      <c r="AB479" s="27"/>
      <c r="AC479" s="27"/>
      <c r="AD479" s="27"/>
      <c r="AE479" s="27"/>
      <c r="AF479" s="27"/>
      <c r="AG479" s="27"/>
      <c r="AH479" s="27"/>
      <c r="AI479" s="27"/>
      <c r="AJ479" s="27"/>
      <c r="AK479" s="27"/>
      <c r="AL479" s="27"/>
      <c r="AM479" s="27"/>
      <c r="AN479" s="27"/>
      <c r="AO479" s="27"/>
      <c r="AP479" s="27"/>
      <c r="AQ479" s="27"/>
      <c r="AR479" s="27"/>
      <c r="AS479" s="27"/>
      <c r="AT479" s="27"/>
      <c r="AU479" s="27"/>
      <c r="AV479" s="27"/>
      <c r="AW479" s="27"/>
      <c r="AX479" s="27"/>
      <c r="AY479" s="27"/>
      <c r="AZ479" s="27"/>
      <c r="BA479" s="27"/>
      <c r="BB479" s="27"/>
      <c r="BC479" s="27"/>
      <c r="BD479" s="27"/>
      <c r="BE479" s="27"/>
      <c r="BF479" s="27"/>
      <c r="BG479" s="27"/>
      <c r="BH479" s="27"/>
      <c r="BI479" s="27"/>
      <c r="BJ479" s="27"/>
      <c r="BK479" s="27"/>
      <c r="BL479" s="27"/>
      <c r="BM479" s="27"/>
      <c r="BN479" s="27"/>
      <c r="BO479" s="27"/>
      <c r="BP479" s="27"/>
      <c r="BQ479" s="27"/>
      <c r="BR479" s="27"/>
      <c r="BS479" s="27"/>
      <c r="BT479" s="27"/>
      <c r="BU479" s="27"/>
      <c r="BV479" s="27"/>
      <c r="BW479" s="27"/>
      <c r="BX479" s="27"/>
      <c r="BY479" s="27"/>
      <c r="BZ479" s="27"/>
      <c r="CA479" s="27"/>
      <c r="CB479" s="27"/>
      <c r="CC479" s="27"/>
      <c r="CD479" s="27"/>
      <c r="CE479" s="27"/>
      <c r="CF479" s="27"/>
      <c r="CG479" s="27"/>
      <c r="CH479" s="27"/>
      <c r="CI479" s="27"/>
      <c r="CJ479" s="27"/>
      <c r="CK479" s="27"/>
      <c r="CL479" s="27"/>
      <c r="CM479" s="27"/>
      <c r="CN479" s="27"/>
      <c r="CO479" s="27"/>
      <c r="CP479" s="27"/>
      <c r="CQ479" s="27"/>
      <c r="CR479" s="27"/>
      <c r="CS479" s="27"/>
      <c r="CT479" s="27"/>
      <c r="CU479" s="27"/>
      <c r="CV479" s="27"/>
      <c r="CW479" s="27"/>
      <c r="CX479" s="27"/>
      <c r="CY479" s="27"/>
      <c r="CZ479" s="27"/>
      <c r="DA479" s="27"/>
      <c r="DB479" s="27"/>
      <c r="DC479" s="27"/>
      <c r="DD479" s="27"/>
      <c r="DE479" s="27"/>
      <c r="DF479" s="27"/>
      <c r="DG479" s="27"/>
      <c r="DH479" s="27"/>
      <c r="DI479" s="27"/>
      <c r="DJ479" s="27"/>
      <c r="DK479" s="27"/>
      <c r="DL479" s="27"/>
      <c r="DM479" s="27"/>
      <c r="DN479" s="27"/>
      <c r="DO479" s="27"/>
      <c r="DP479" s="27"/>
      <c r="DQ479" s="27"/>
      <c r="DR479" s="27"/>
      <c r="DS479" s="27"/>
      <c r="DT479" s="27"/>
    </row>
    <row r="480" spans="2:124" x14ac:dyDescent="0.2">
      <c r="B480" s="27"/>
      <c r="C480" s="27"/>
      <c r="D480" s="27"/>
      <c r="E480" s="27"/>
      <c r="F480" s="27"/>
      <c r="G480" s="27"/>
      <c r="H480" s="27"/>
      <c r="I480" s="27"/>
      <c r="J480" s="27"/>
      <c r="K480" s="27"/>
      <c r="L480" s="27"/>
      <c r="M480" s="27"/>
      <c r="N480" s="27"/>
      <c r="O480" s="27"/>
      <c r="P480" s="27"/>
      <c r="Q480" s="27"/>
      <c r="R480" s="27"/>
      <c r="S480" s="27"/>
      <c r="T480" s="27"/>
      <c r="U480" s="27"/>
      <c r="V480" s="27"/>
      <c r="W480" s="27"/>
      <c r="X480" s="27"/>
      <c r="Y480" s="27"/>
      <c r="Z480" s="27"/>
      <c r="AA480" s="27"/>
      <c r="AB480" s="27"/>
      <c r="AC480" s="27"/>
      <c r="AD480" s="27"/>
      <c r="AE480" s="27"/>
      <c r="AF480" s="27"/>
      <c r="AG480" s="27"/>
      <c r="AH480" s="27"/>
      <c r="AI480" s="27"/>
      <c r="AJ480" s="27"/>
      <c r="AK480" s="27"/>
      <c r="AL480" s="27"/>
      <c r="AM480" s="27"/>
      <c r="AN480" s="27"/>
      <c r="AO480" s="27"/>
      <c r="AP480" s="27"/>
      <c r="AQ480" s="27"/>
      <c r="AR480" s="27"/>
      <c r="AS480" s="27"/>
      <c r="AT480" s="27"/>
      <c r="AU480" s="27"/>
      <c r="AV480" s="27"/>
      <c r="AW480" s="27"/>
      <c r="AX480" s="27"/>
      <c r="AY480" s="27"/>
      <c r="AZ480" s="27"/>
      <c r="BA480" s="27"/>
      <c r="BB480" s="27"/>
      <c r="BC480" s="27"/>
      <c r="BD480" s="27"/>
      <c r="BE480" s="27"/>
      <c r="BF480" s="27"/>
      <c r="BG480" s="27"/>
      <c r="BH480" s="27"/>
      <c r="BI480" s="27"/>
      <c r="BJ480" s="27"/>
      <c r="BK480" s="27"/>
      <c r="BL480" s="27"/>
      <c r="BM480" s="27"/>
      <c r="BN480" s="27"/>
      <c r="BO480" s="27"/>
      <c r="BP480" s="27"/>
      <c r="BQ480" s="27"/>
      <c r="BR480" s="27"/>
      <c r="BS480" s="27"/>
      <c r="BT480" s="27"/>
      <c r="BU480" s="27"/>
      <c r="BV480" s="27"/>
      <c r="BW480" s="27"/>
      <c r="BX480" s="27"/>
      <c r="BY480" s="27"/>
      <c r="BZ480" s="27"/>
      <c r="CA480" s="27"/>
      <c r="CB480" s="27"/>
      <c r="CC480" s="27"/>
      <c r="CD480" s="27"/>
      <c r="CE480" s="27"/>
      <c r="CF480" s="27"/>
      <c r="CG480" s="27"/>
      <c r="CH480" s="27"/>
      <c r="CI480" s="27"/>
      <c r="CJ480" s="27"/>
      <c r="CK480" s="27"/>
      <c r="CL480" s="27"/>
      <c r="CM480" s="27"/>
      <c r="CN480" s="27"/>
      <c r="CO480" s="27"/>
      <c r="CP480" s="27"/>
      <c r="CQ480" s="27"/>
      <c r="CR480" s="27"/>
      <c r="CS480" s="27"/>
      <c r="CT480" s="27"/>
      <c r="CU480" s="27"/>
      <c r="CV480" s="27"/>
      <c r="CW480" s="27"/>
      <c r="CX480" s="27"/>
      <c r="CY480" s="27"/>
      <c r="CZ480" s="27"/>
      <c r="DA480" s="27"/>
      <c r="DB480" s="27"/>
      <c r="DC480" s="27"/>
      <c r="DD480" s="27"/>
      <c r="DE480" s="27"/>
      <c r="DF480" s="27"/>
      <c r="DG480" s="27"/>
      <c r="DH480" s="27"/>
      <c r="DI480" s="27"/>
      <c r="DJ480" s="27"/>
      <c r="DK480" s="27"/>
      <c r="DL480" s="27"/>
      <c r="DM480" s="27"/>
      <c r="DN480" s="27"/>
      <c r="DO480" s="27"/>
      <c r="DP480" s="27"/>
      <c r="DQ480" s="27"/>
      <c r="DR480" s="27"/>
      <c r="DS480" s="27"/>
      <c r="DT480" s="27"/>
    </row>
    <row r="481" spans="2:124" x14ac:dyDescent="0.2">
      <c r="B481" s="27"/>
      <c r="C481" s="27"/>
      <c r="D481" s="27"/>
      <c r="E481" s="27"/>
      <c r="F481" s="27"/>
      <c r="G481" s="27"/>
      <c r="H481" s="27"/>
      <c r="I481" s="27"/>
      <c r="J481" s="27"/>
      <c r="K481" s="27"/>
      <c r="L481" s="27"/>
      <c r="M481" s="27"/>
      <c r="N481" s="27"/>
      <c r="O481" s="27"/>
      <c r="P481" s="27"/>
      <c r="Q481" s="27"/>
      <c r="R481" s="27"/>
      <c r="S481" s="27"/>
      <c r="T481" s="27"/>
      <c r="U481" s="27"/>
      <c r="V481" s="27"/>
      <c r="W481" s="27"/>
      <c r="X481" s="27"/>
      <c r="Y481" s="27"/>
      <c r="Z481" s="27"/>
      <c r="AA481" s="27"/>
      <c r="AB481" s="27"/>
      <c r="AC481" s="27"/>
      <c r="AD481" s="27"/>
      <c r="AE481" s="27"/>
      <c r="AF481" s="27"/>
      <c r="AG481" s="27"/>
      <c r="AH481" s="27"/>
      <c r="AI481" s="27"/>
      <c r="AJ481" s="27"/>
      <c r="AK481" s="27"/>
      <c r="AL481" s="27"/>
      <c r="AM481" s="27"/>
      <c r="AN481" s="27"/>
      <c r="AO481" s="27"/>
      <c r="AP481" s="27"/>
      <c r="AQ481" s="27"/>
      <c r="AR481" s="27"/>
      <c r="AS481" s="27"/>
      <c r="AT481" s="27"/>
      <c r="AU481" s="27"/>
      <c r="AV481" s="27"/>
      <c r="AW481" s="27"/>
      <c r="AX481" s="27"/>
      <c r="AY481" s="27"/>
      <c r="AZ481" s="27"/>
      <c r="BA481" s="27"/>
      <c r="BB481" s="27"/>
      <c r="BC481" s="27"/>
      <c r="BD481" s="27"/>
      <c r="BE481" s="27"/>
      <c r="BF481" s="27"/>
      <c r="BG481" s="27"/>
      <c r="BH481" s="27"/>
      <c r="BI481" s="27"/>
      <c r="BJ481" s="27"/>
      <c r="BK481" s="27"/>
      <c r="BL481" s="27"/>
      <c r="BM481" s="27"/>
      <c r="BN481" s="27"/>
      <c r="BO481" s="27"/>
      <c r="BP481" s="27"/>
      <c r="BQ481" s="27"/>
      <c r="BR481" s="27"/>
      <c r="BS481" s="27"/>
      <c r="BT481" s="27"/>
      <c r="BU481" s="27"/>
      <c r="BV481" s="27"/>
      <c r="BW481" s="27"/>
      <c r="BX481" s="27"/>
      <c r="BY481" s="27"/>
      <c r="BZ481" s="27"/>
      <c r="CA481" s="27"/>
      <c r="CB481" s="27"/>
      <c r="CC481" s="27"/>
      <c r="CD481" s="27"/>
      <c r="CE481" s="27"/>
      <c r="CF481" s="27"/>
      <c r="CG481" s="27"/>
      <c r="CH481" s="27"/>
      <c r="CI481" s="27"/>
      <c r="CJ481" s="27"/>
      <c r="CK481" s="27"/>
      <c r="CL481" s="27"/>
      <c r="CM481" s="27"/>
      <c r="CN481" s="27"/>
      <c r="CO481" s="27"/>
      <c r="CP481" s="27"/>
      <c r="CQ481" s="27"/>
      <c r="CR481" s="27"/>
      <c r="CS481" s="27"/>
      <c r="CT481" s="27"/>
      <c r="CU481" s="27"/>
      <c r="CV481" s="27"/>
      <c r="CW481" s="27"/>
      <c r="CX481" s="27"/>
      <c r="CY481" s="27"/>
      <c r="CZ481" s="27"/>
      <c r="DA481" s="27"/>
      <c r="DB481" s="27"/>
      <c r="DC481" s="27"/>
      <c r="DD481" s="27"/>
      <c r="DE481" s="27"/>
      <c r="DF481" s="27"/>
      <c r="DG481" s="27"/>
      <c r="DH481" s="27"/>
      <c r="DI481" s="27"/>
      <c r="DJ481" s="27"/>
      <c r="DK481" s="27"/>
      <c r="DL481" s="27"/>
      <c r="DM481" s="27"/>
      <c r="DN481" s="27"/>
      <c r="DO481" s="27"/>
      <c r="DP481" s="27"/>
      <c r="DQ481" s="27"/>
      <c r="DR481" s="27"/>
      <c r="DS481" s="27"/>
      <c r="DT481" s="27"/>
    </row>
    <row r="482" spans="2:124" x14ac:dyDescent="0.2">
      <c r="B482" s="27"/>
      <c r="C482" s="27"/>
      <c r="D482" s="27"/>
      <c r="E482" s="27"/>
      <c r="F482" s="27"/>
      <c r="G482" s="27"/>
      <c r="H482" s="27"/>
      <c r="I482" s="27"/>
      <c r="J482" s="27"/>
      <c r="K482" s="27"/>
      <c r="L482" s="27"/>
      <c r="M482" s="27"/>
      <c r="N482" s="27"/>
      <c r="O482" s="27"/>
      <c r="P482" s="27"/>
      <c r="Q482" s="27"/>
      <c r="R482" s="27"/>
      <c r="S482" s="27"/>
      <c r="T482" s="27"/>
      <c r="U482" s="27"/>
      <c r="V482" s="27"/>
      <c r="W482" s="27"/>
      <c r="X482" s="27"/>
      <c r="Y482" s="27"/>
      <c r="Z482" s="27"/>
      <c r="AA482" s="27"/>
      <c r="AB482" s="27"/>
      <c r="AC482" s="27"/>
      <c r="AD482" s="27"/>
      <c r="AE482" s="27"/>
      <c r="AF482" s="27"/>
      <c r="AG482" s="27"/>
      <c r="AH482" s="27"/>
      <c r="AI482" s="27"/>
      <c r="AJ482" s="27"/>
      <c r="AK482" s="27"/>
      <c r="AL482" s="27"/>
      <c r="AM482" s="27"/>
      <c r="AN482" s="27"/>
      <c r="AO482" s="27"/>
      <c r="AP482" s="27"/>
      <c r="AQ482" s="27"/>
      <c r="AR482" s="27"/>
      <c r="AS482" s="27"/>
      <c r="AT482" s="27"/>
      <c r="AU482" s="27"/>
      <c r="AV482" s="27"/>
      <c r="AW482" s="27"/>
      <c r="AX482" s="27"/>
      <c r="AY482" s="27"/>
      <c r="AZ482" s="27"/>
      <c r="BA482" s="27"/>
      <c r="BB482" s="27"/>
      <c r="BC482" s="27"/>
      <c r="BD482" s="27"/>
      <c r="BE482" s="27"/>
      <c r="BF482" s="27"/>
      <c r="BG482" s="27"/>
      <c r="BH482" s="27"/>
      <c r="BI482" s="27"/>
      <c r="BJ482" s="27"/>
      <c r="BK482" s="27"/>
      <c r="BL482" s="27"/>
      <c r="BM482" s="27"/>
      <c r="BN482" s="27"/>
      <c r="BO482" s="27"/>
      <c r="BP482" s="27"/>
      <c r="BQ482" s="27"/>
      <c r="BR482" s="27"/>
      <c r="BS482" s="27"/>
      <c r="BT482" s="27"/>
      <c r="BU482" s="27"/>
      <c r="BV482" s="27"/>
      <c r="BW482" s="27"/>
      <c r="BX482" s="27"/>
      <c r="BY482" s="27"/>
      <c r="BZ482" s="27"/>
      <c r="CA482" s="27"/>
      <c r="CB482" s="27"/>
      <c r="CC482" s="27"/>
      <c r="CD482" s="27"/>
      <c r="CE482" s="27"/>
      <c r="CF482" s="27"/>
      <c r="CG482" s="27"/>
      <c r="CH482" s="27"/>
      <c r="CI482" s="27"/>
      <c r="CJ482" s="27"/>
      <c r="CK482" s="27"/>
      <c r="CL482" s="27"/>
      <c r="CM482" s="27"/>
      <c r="CN482" s="27"/>
      <c r="CO482" s="27"/>
      <c r="CP482" s="27"/>
      <c r="CQ482" s="27"/>
      <c r="CR482" s="27"/>
      <c r="CS482" s="27"/>
      <c r="CT482" s="27"/>
      <c r="CU482" s="27"/>
      <c r="CV482" s="27"/>
      <c r="CW482" s="27"/>
      <c r="CX482" s="27"/>
      <c r="CY482" s="27"/>
      <c r="CZ482" s="27"/>
      <c r="DA482" s="27"/>
      <c r="DB482" s="27"/>
      <c r="DC482" s="27"/>
      <c r="DD482" s="27"/>
      <c r="DE482" s="27"/>
      <c r="DF482" s="27"/>
      <c r="DG482" s="27"/>
      <c r="DH482" s="27"/>
      <c r="DI482" s="27"/>
      <c r="DJ482" s="27"/>
      <c r="DK482" s="27"/>
      <c r="DL482" s="27"/>
      <c r="DM482" s="27"/>
      <c r="DN482" s="27"/>
      <c r="DO482" s="27"/>
      <c r="DP482" s="27"/>
      <c r="DQ482" s="27"/>
      <c r="DR482" s="27"/>
      <c r="DS482" s="27"/>
      <c r="DT482" s="27"/>
    </row>
    <row r="483" spans="2:124" x14ac:dyDescent="0.2">
      <c r="G483" s="27"/>
      <c r="H483" s="27"/>
      <c r="I483" s="27"/>
      <c r="J483" s="27"/>
      <c r="K483" s="27"/>
      <c r="L483" s="27"/>
      <c r="M483" s="27"/>
      <c r="N483" s="27"/>
      <c r="O483" s="27"/>
      <c r="P483" s="27"/>
      <c r="Q483" s="27"/>
      <c r="R483" s="27"/>
      <c r="S483" s="27"/>
      <c r="T483" s="27"/>
      <c r="U483" s="27"/>
      <c r="V483" s="27"/>
      <c r="W483" s="27"/>
      <c r="X483" s="27"/>
      <c r="Y483" s="27"/>
      <c r="Z483" s="27"/>
      <c r="AA483" s="27"/>
      <c r="AB483" s="27"/>
      <c r="AC483" s="27"/>
      <c r="AD483" s="27"/>
      <c r="AE483" s="27"/>
      <c r="AF483" s="27"/>
      <c r="AG483" s="27"/>
      <c r="AH483" s="27"/>
      <c r="AI483" s="27"/>
      <c r="AJ483" s="27"/>
      <c r="AK483" s="27"/>
      <c r="AL483" s="27"/>
      <c r="AM483" s="27"/>
      <c r="AN483" s="27"/>
      <c r="AO483" s="27"/>
      <c r="AP483" s="27"/>
      <c r="AQ483" s="27"/>
      <c r="AR483" s="27"/>
      <c r="AS483" s="27"/>
      <c r="AT483" s="27"/>
      <c r="AU483" s="27"/>
      <c r="AV483" s="27"/>
      <c r="AW483" s="27"/>
      <c r="AX483" s="27"/>
      <c r="AY483" s="27"/>
      <c r="AZ483" s="27"/>
      <c r="BA483" s="27"/>
      <c r="BB483" s="27"/>
      <c r="BC483" s="27"/>
      <c r="BD483" s="27"/>
      <c r="BE483" s="27"/>
      <c r="BF483" s="27"/>
      <c r="BG483" s="27"/>
      <c r="BH483" s="27"/>
      <c r="BI483" s="27"/>
      <c r="BJ483" s="27"/>
      <c r="BK483" s="27"/>
      <c r="BL483" s="27"/>
      <c r="BM483" s="27"/>
      <c r="BN483" s="27"/>
      <c r="BO483" s="27"/>
      <c r="BP483" s="27"/>
      <c r="BQ483" s="27"/>
      <c r="BR483" s="27"/>
      <c r="BS483" s="27"/>
      <c r="BT483" s="27"/>
      <c r="BU483" s="27"/>
      <c r="BV483" s="27"/>
      <c r="BW483" s="27"/>
      <c r="BX483" s="27"/>
      <c r="BY483" s="27"/>
      <c r="BZ483" s="27"/>
      <c r="CA483" s="27"/>
      <c r="CB483" s="27"/>
      <c r="CC483" s="27"/>
      <c r="CD483" s="27"/>
      <c r="CE483" s="27"/>
      <c r="CF483" s="27"/>
      <c r="CG483" s="27"/>
      <c r="CH483" s="27"/>
      <c r="CI483" s="27"/>
      <c r="CJ483" s="27"/>
      <c r="CK483" s="27"/>
      <c r="CL483" s="27"/>
      <c r="CM483" s="27"/>
      <c r="CN483" s="27"/>
      <c r="CO483" s="27"/>
      <c r="CP483" s="27"/>
      <c r="CQ483" s="27"/>
      <c r="CR483" s="27"/>
      <c r="CS483" s="27"/>
      <c r="CT483" s="27"/>
      <c r="CU483" s="27"/>
      <c r="CV483" s="27"/>
      <c r="CW483" s="27"/>
      <c r="CX483" s="27"/>
      <c r="CY483" s="27"/>
      <c r="CZ483" s="27"/>
      <c r="DA483" s="27"/>
      <c r="DB483" s="27"/>
      <c r="DC483" s="27"/>
      <c r="DD483" s="27"/>
      <c r="DE483" s="27"/>
      <c r="DF483" s="27"/>
      <c r="DG483" s="27"/>
      <c r="DH483" s="27"/>
      <c r="DI483" s="27"/>
      <c r="DJ483" s="27"/>
      <c r="DK483" s="27"/>
      <c r="DL483" s="27"/>
      <c r="DM483" s="27"/>
      <c r="DN483" s="27"/>
      <c r="DO483" s="27"/>
      <c r="DP483" s="27"/>
      <c r="DQ483" s="27"/>
      <c r="DR483" s="27"/>
      <c r="DS483" s="27"/>
      <c r="DT483" s="27"/>
    </row>
    <row r="484" spans="2:124" x14ac:dyDescent="0.2">
      <c r="G484" s="27"/>
      <c r="H484" s="27"/>
      <c r="I484" s="27"/>
      <c r="J484" s="27"/>
      <c r="K484" s="27"/>
      <c r="L484" s="27"/>
      <c r="M484" s="27"/>
      <c r="N484" s="27"/>
      <c r="O484" s="27"/>
      <c r="P484" s="27"/>
      <c r="Q484" s="27"/>
      <c r="R484" s="27"/>
      <c r="S484" s="27"/>
      <c r="T484" s="27"/>
      <c r="U484" s="27"/>
      <c r="V484" s="27"/>
      <c r="W484" s="27"/>
      <c r="X484" s="27"/>
      <c r="Y484" s="27"/>
      <c r="Z484" s="27"/>
      <c r="AA484" s="27"/>
      <c r="AB484" s="27"/>
      <c r="AC484" s="27"/>
      <c r="AD484" s="27"/>
      <c r="AE484" s="27"/>
      <c r="AF484" s="27"/>
      <c r="AG484" s="27"/>
      <c r="AH484" s="27"/>
      <c r="AI484" s="27"/>
      <c r="AJ484" s="27"/>
      <c r="AK484" s="27"/>
      <c r="AL484" s="27"/>
      <c r="AM484" s="27"/>
      <c r="AN484" s="27"/>
      <c r="AO484" s="27"/>
      <c r="AP484" s="27"/>
      <c r="AQ484" s="27"/>
      <c r="AR484" s="27"/>
      <c r="AS484" s="27"/>
      <c r="AT484" s="27"/>
      <c r="AU484" s="27"/>
      <c r="AV484" s="27"/>
      <c r="AW484" s="27"/>
      <c r="AX484" s="27"/>
      <c r="AY484" s="27"/>
      <c r="AZ484" s="27"/>
      <c r="BA484" s="27"/>
      <c r="BB484" s="27"/>
      <c r="BC484" s="27"/>
      <c r="BD484" s="27"/>
      <c r="BE484" s="27"/>
      <c r="BF484" s="27"/>
      <c r="BG484" s="27"/>
      <c r="BH484" s="27"/>
      <c r="BI484" s="27"/>
      <c r="BJ484" s="27"/>
      <c r="BK484" s="27"/>
      <c r="BL484" s="27"/>
      <c r="BM484" s="27"/>
      <c r="BN484" s="27"/>
      <c r="BO484" s="27"/>
      <c r="BP484" s="27"/>
      <c r="BQ484" s="27"/>
      <c r="BR484" s="27"/>
      <c r="BS484" s="27"/>
      <c r="BT484" s="27"/>
      <c r="BU484" s="27"/>
      <c r="BV484" s="27"/>
      <c r="BW484" s="27"/>
      <c r="BX484" s="27"/>
      <c r="BY484" s="27"/>
      <c r="BZ484" s="27"/>
      <c r="CA484" s="27"/>
      <c r="CB484" s="27"/>
      <c r="CC484" s="27"/>
      <c r="CD484" s="27"/>
      <c r="CE484" s="27"/>
      <c r="CF484" s="27"/>
      <c r="CG484" s="27"/>
      <c r="CH484" s="27"/>
      <c r="CI484" s="27"/>
      <c r="CJ484" s="27"/>
      <c r="CK484" s="27"/>
      <c r="CL484" s="27"/>
      <c r="CM484" s="27"/>
      <c r="CN484" s="27"/>
      <c r="CO484" s="27"/>
      <c r="CP484" s="27"/>
      <c r="CQ484" s="27"/>
      <c r="CR484" s="27"/>
      <c r="CS484" s="27"/>
      <c r="CT484" s="27"/>
      <c r="CU484" s="27"/>
      <c r="CV484" s="27"/>
      <c r="CW484" s="27"/>
      <c r="CX484" s="27"/>
      <c r="CY484" s="27"/>
      <c r="CZ484" s="27"/>
      <c r="DA484" s="27"/>
      <c r="DB484" s="27"/>
      <c r="DC484" s="27"/>
      <c r="DD484" s="27"/>
      <c r="DE484" s="27"/>
      <c r="DF484" s="27"/>
      <c r="DG484" s="27"/>
      <c r="DH484" s="27"/>
      <c r="DI484" s="27"/>
      <c r="DJ484" s="27"/>
      <c r="DK484" s="27"/>
      <c r="DL484" s="27"/>
      <c r="DM484" s="27"/>
      <c r="DN484" s="27"/>
      <c r="DO484" s="27"/>
      <c r="DP484" s="27"/>
      <c r="DQ484" s="27"/>
      <c r="DR484" s="27"/>
      <c r="DS484" s="27"/>
      <c r="DT484" s="27"/>
    </row>
    <row r="485" spans="2:124" x14ac:dyDescent="0.2">
      <c r="G485" s="27"/>
      <c r="H485" s="27"/>
      <c r="I485" s="27"/>
      <c r="J485" s="27"/>
      <c r="K485" s="27"/>
      <c r="L485" s="27"/>
      <c r="M485" s="27"/>
      <c r="N485" s="27"/>
      <c r="O485" s="27"/>
      <c r="P485" s="27"/>
      <c r="Q485" s="27"/>
      <c r="R485" s="27"/>
      <c r="S485" s="27"/>
      <c r="T485" s="27"/>
      <c r="U485" s="27"/>
      <c r="V485" s="27"/>
      <c r="W485" s="27"/>
      <c r="X485" s="27"/>
      <c r="Y485" s="27"/>
      <c r="Z485" s="27"/>
      <c r="AA485" s="27"/>
      <c r="AB485" s="27"/>
      <c r="AC485" s="27"/>
      <c r="AD485" s="27"/>
      <c r="AE485" s="27"/>
      <c r="AF485" s="27"/>
      <c r="AG485" s="27"/>
      <c r="AH485" s="27"/>
      <c r="AI485" s="27"/>
      <c r="AJ485" s="27"/>
      <c r="AK485" s="27"/>
      <c r="AL485" s="27"/>
      <c r="AM485" s="27"/>
      <c r="AN485" s="27"/>
      <c r="AO485" s="27"/>
      <c r="AP485" s="27"/>
      <c r="AQ485" s="27"/>
      <c r="AR485" s="27"/>
      <c r="AS485" s="27"/>
      <c r="AT485" s="27"/>
      <c r="AU485" s="27"/>
      <c r="AV485" s="27"/>
      <c r="AW485" s="27"/>
      <c r="AX485" s="27"/>
      <c r="AY485" s="27"/>
      <c r="AZ485" s="27"/>
      <c r="BA485" s="27"/>
      <c r="BB485" s="27"/>
      <c r="BC485" s="27"/>
      <c r="BD485" s="27"/>
      <c r="BE485" s="27"/>
      <c r="BF485" s="27"/>
      <c r="BG485" s="27"/>
      <c r="BH485" s="27"/>
      <c r="BI485" s="27"/>
      <c r="BJ485" s="27"/>
      <c r="BK485" s="27"/>
      <c r="BL485" s="27"/>
      <c r="BM485" s="27"/>
      <c r="BN485" s="27"/>
      <c r="BO485" s="27"/>
      <c r="BP485" s="27"/>
      <c r="BQ485" s="27"/>
      <c r="BR485" s="27"/>
      <c r="BS485" s="27"/>
      <c r="BT485" s="27"/>
      <c r="BU485" s="27"/>
      <c r="BV485" s="27"/>
      <c r="BW485" s="27"/>
      <c r="BX485" s="27"/>
      <c r="BY485" s="27"/>
      <c r="BZ485" s="27"/>
      <c r="CA485" s="27"/>
      <c r="CB485" s="27"/>
      <c r="CC485" s="27"/>
      <c r="CD485" s="27"/>
      <c r="CE485" s="27"/>
      <c r="CF485" s="27"/>
      <c r="CG485" s="27"/>
      <c r="CH485" s="27"/>
      <c r="CI485" s="27"/>
      <c r="CJ485" s="27"/>
      <c r="CK485" s="27"/>
      <c r="CL485" s="27"/>
      <c r="CM485" s="27"/>
      <c r="CN485" s="27"/>
      <c r="CO485" s="27"/>
      <c r="CP485" s="27"/>
      <c r="CQ485" s="27"/>
      <c r="CR485" s="27"/>
      <c r="CS485" s="27"/>
      <c r="CT485" s="27"/>
      <c r="CU485" s="27"/>
      <c r="CV485" s="27"/>
      <c r="CW485" s="27"/>
      <c r="CX485" s="27"/>
      <c r="CY485" s="27"/>
      <c r="CZ485" s="27"/>
      <c r="DA485" s="27"/>
      <c r="DB485" s="27"/>
      <c r="DC485" s="27"/>
      <c r="DD485" s="27"/>
      <c r="DE485" s="27"/>
      <c r="DF485" s="27"/>
      <c r="DG485" s="27"/>
      <c r="DH485" s="27"/>
      <c r="DI485" s="27"/>
      <c r="DJ485" s="27"/>
      <c r="DK485" s="27"/>
      <c r="DL485" s="27"/>
      <c r="DM485" s="27"/>
      <c r="DN485" s="27"/>
      <c r="DO485" s="27"/>
      <c r="DP485" s="27"/>
      <c r="DQ485" s="27"/>
      <c r="DR485" s="27"/>
      <c r="DS485" s="27"/>
      <c r="DT485" s="27"/>
    </row>
    <row r="486" spans="2:124" x14ac:dyDescent="0.2">
      <c r="G486" s="27"/>
      <c r="H486" s="27"/>
      <c r="I486" s="27"/>
      <c r="J486" s="27"/>
      <c r="K486" s="27"/>
      <c r="L486" s="27"/>
      <c r="M486" s="27"/>
      <c r="N486" s="27"/>
      <c r="O486" s="27"/>
      <c r="P486" s="27"/>
      <c r="Q486" s="27"/>
      <c r="R486" s="27"/>
      <c r="S486" s="27"/>
      <c r="T486" s="27"/>
      <c r="U486" s="27"/>
      <c r="V486" s="27"/>
      <c r="W486" s="27"/>
      <c r="X486" s="27"/>
      <c r="Y486" s="27"/>
      <c r="Z486" s="27"/>
      <c r="AA486" s="27"/>
      <c r="AB486" s="27"/>
      <c r="AC486" s="27"/>
      <c r="AD486" s="27"/>
      <c r="AE486" s="27"/>
      <c r="AF486" s="27"/>
      <c r="AG486" s="27"/>
      <c r="AH486" s="27"/>
      <c r="AI486" s="27"/>
      <c r="AJ486" s="27"/>
      <c r="AK486" s="27"/>
      <c r="AL486" s="27"/>
      <c r="AM486" s="27"/>
      <c r="AN486" s="27"/>
      <c r="AO486" s="27"/>
      <c r="AP486" s="27"/>
      <c r="AQ486" s="27"/>
      <c r="AR486" s="27"/>
      <c r="AS486" s="27"/>
      <c r="AT486" s="27"/>
      <c r="AU486" s="27"/>
      <c r="AV486" s="27"/>
      <c r="AW486" s="27"/>
      <c r="AX486" s="27"/>
      <c r="AY486" s="27"/>
      <c r="AZ486" s="27"/>
      <c r="BA486" s="27"/>
      <c r="BB486" s="27"/>
      <c r="BC486" s="27"/>
      <c r="BD486" s="27"/>
      <c r="BE486" s="27"/>
      <c r="BF486" s="27"/>
      <c r="BG486" s="27"/>
      <c r="BH486" s="27"/>
      <c r="BI486" s="27"/>
      <c r="BJ486" s="27"/>
      <c r="BK486" s="27"/>
      <c r="BL486" s="27"/>
      <c r="BM486" s="27"/>
      <c r="BN486" s="27"/>
      <c r="BO486" s="27"/>
      <c r="BP486" s="27"/>
      <c r="BQ486" s="27"/>
      <c r="BR486" s="27"/>
      <c r="BS486" s="27"/>
      <c r="BT486" s="27"/>
      <c r="BU486" s="27"/>
      <c r="BV486" s="27"/>
      <c r="BW486" s="27"/>
      <c r="BX486" s="27"/>
      <c r="BY486" s="27"/>
      <c r="BZ486" s="27"/>
      <c r="CA486" s="27"/>
      <c r="CB486" s="27"/>
      <c r="CC486" s="27"/>
      <c r="CD486" s="27"/>
      <c r="CE486" s="27"/>
      <c r="CF486" s="27"/>
      <c r="CG486" s="27"/>
      <c r="CH486" s="27"/>
      <c r="CI486" s="27"/>
      <c r="CJ486" s="27"/>
      <c r="CK486" s="27"/>
      <c r="CL486" s="27"/>
      <c r="CM486" s="27"/>
      <c r="CN486" s="27"/>
      <c r="CO486" s="27"/>
      <c r="CP486" s="27"/>
      <c r="CQ486" s="27"/>
      <c r="CR486" s="27"/>
      <c r="CS486" s="27"/>
      <c r="CT486" s="27"/>
      <c r="CU486" s="27"/>
      <c r="CV486" s="27"/>
      <c r="CW486" s="27"/>
      <c r="CX486" s="27"/>
      <c r="CY486" s="27"/>
      <c r="CZ486" s="27"/>
      <c r="DA486" s="27"/>
      <c r="DB486" s="27"/>
      <c r="DC486" s="27"/>
      <c r="DD486" s="27"/>
      <c r="DE486" s="27"/>
      <c r="DF486" s="27"/>
      <c r="DG486" s="27"/>
      <c r="DH486" s="27"/>
      <c r="DI486" s="27"/>
      <c r="DJ486" s="27"/>
      <c r="DK486" s="27"/>
      <c r="DL486" s="27"/>
      <c r="DM486" s="27"/>
      <c r="DN486" s="27"/>
      <c r="DO486" s="27"/>
      <c r="DP486" s="27"/>
      <c r="DQ486" s="27"/>
      <c r="DR486" s="27"/>
      <c r="DS486" s="27"/>
      <c r="DT486" s="27"/>
    </row>
    <row r="487" spans="2:124" x14ac:dyDescent="0.2">
      <c r="G487" s="27"/>
      <c r="H487" s="27"/>
      <c r="I487" s="27"/>
      <c r="J487" s="27"/>
      <c r="K487" s="27"/>
      <c r="L487" s="27"/>
      <c r="M487" s="27"/>
      <c r="N487" s="27"/>
      <c r="O487" s="27"/>
      <c r="P487" s="27"/>
      <c r="Q487" s="27"/>
      <c r="R487" s="27"/>
      <c r="S487" s="27"/>
      <c r="T487" s="27"/>
      <c r="U487" s="27"/>
      <c r="V487" s="27"/>
      <c r="W487" s="27"/>
      <c r="X487" s="27"/>
      <c r="Y487" s="27"/>
      <c r="Z487" s="27"/>
      <c r="AA487" s="27"/>
      <c r="AB487" s="27"/>
      <c r="AC487" s="27"/>
      <c r="AD487" s="27"/>
      <c r="AE487" s="27"/>
      <c r="AF487" s="27"/>
      <c r="AG487" s="27"/>
      <c r="AH487" s="27"/>
      <c r="AI487" s="27"/>
      <c r="AJ487" s="27"/>
      <c r="AK487" s="27"/>
      <c r="AL487" s="27"/>
      <c r="AM487" s="27"/>
      <c r="AN487" s="27"/>
      <c r="AO487" s="27"/>
      <c r="AP487" s="27"/>
      <c r="AQ487" s="27"/>
      <c r="AR487" s="27"/>
      <c r="AS487" s="27"/>
      <c r="AT487" s="27"/>
      <c r="AU487" s="27"/>
      <c r="AV487" s="27"/>
      <c r="AW487" s="27"/>
      <c r="AX487" s="27"/>
      <c r="AY487" s="27"/>
      <c r="AZ487" s="27"/>
      <c r="BA487" s="27"/>
      <c r="BB487" s="27"/>
      <c r="BC487" s="27"/>
      <c r="BD487" s="27"/>
      <c r="BE487" s="27"/>
      <c r="BF487" s="27"/>
      <c r="BG487" s="27"/>
      <c r="BH487" s="27"/>
      <c r="BI487" s="27"/>
      <c r="BJ487" s="27"/>
      <c r="BK487" s="27"/>
      <c r="BL487" s="27"/>
      <c r="BM487" s="27"/>
      <c r="BN487" s="27"/>
      <c r="BO487" s="27"/>
      <c r="BP487" s="27"/>
      <c r="BQ487" s="27"/>
      <c r="BR487" s="27"/>
      <c r="BS487" s="27"/>
      <c r="BT487" s="27"/>
      <c r="BU487" s="27"/>
      <c r="BV487" s="27"/>
      <c r="BW487" s="27"/>
      <c r="BX487" s="27"/>
      <c r="BY487" s="27"/>
      <c r="BZ487" s="27"/>
      <c r="CA487" s="27"/>
      <c r="CB487" s="27"/>
      <c r="CC487" s="27"/>
      <c r="CD487" s="27"/>
      <c r="CE487" s="27"/>
      <c r="CF487" s="27"/>
      <c r="CG487" s="27"/>
      <c r="CH487" s="27"/>
      <c r="CI487" s="27"/>
      <c r="CJ487" s="27"/>
      <c r="CK487" s="27"/>
      <c r="CL487" s="27"/>
      <c r="CM487" s="27"/>
      <c r="CN487" s="27"/>
      <c r="CO487" s="27"/>
      <c r="CP487" s="27"/>
      <c r="CQ487" s="27"/>
      <c r="CR487" s="27"/>
      <c r="CS487" s="27"/>
      <c r="CT487" s="27"/>
      <c r="CU487" s="27"/>
      <c r="CV487" s="27"/>
      <c r="CW487" s="27"/>
      <c r="CX487" s="27"/>
      <c r="CY487" s="27"/>
      <c r="CZ487" s="27"/>
      <c r="DA487" s="27"/>
      <c r="DB487" s="27"/>
      <c r="DC487" s="27"/>
      <c r="DD487" s="27"/>
      <c r="DE487" s="27"/>
      <c r="DF487" s="27"/>
      <c r="DG487" s="27"/>
      <c r="DH487" s="27"/>
      <c r="DI487" s="27"/>
      <c r="DJ487" s="27"/>
      <c r="DK487" s="27"/>
      <c r="DL487" s="27"/>
      <c r="DM487" s="27"/>
      <c r="DN487" s="27"/>
      <c r="DO487" s="27"/>
      <c r="DP487" s="27"/>
      <c r="DQ487" s="27"/>
      <c r="DR487" s="27"/>
      <c r="DS487" s="27"/>
      <c r="DT487" s="27"/>
    </row>
    <row r="488" spans="2:124" x14ac:dyDescent="0.2">
      <c r="G488" s="27"/>
      <c r="H488" s="27"/>
      <c r="I488" s="27"/>
      <c r="J488" s="27"/>
      <c r="K488" s="27"/>
      <c r="L488" s="27"/>
      <c r="M488" s="27"/>
      <c r="N488" s="27"/>
      <c r="O488" s="27"/>
      <c r="P488" s="27"/>
      <c r="Q488" s="27"/>
      <c r="R488" s="27"/>
      <c r="S488" s="27"/>
      <c r="T488" s="27"/>
      <c r="U488" s="27"/>
      <c r="V488" s="27"/>
      <c r="W488" s="27"/>
      <c r="X488" s="27"/>
      <c r="Y488" s="27"/>
      <c r="Z488" s="27"/>
      <c r="AA488" s="27"/>
      <c r="AB488" s="27"/>
      <c r="AC488" s="27"/>
      <c r="AD488" s="27"/>
      <c r="AE488" s="27"/>
      <c r="AF488" s="27"/>
      <c r="AG488" s="27"/>
      <c r="AH488" s="27"/>
      <c r="AI488" s="27"/>
      <c r="AJ488" s="27"/>
      <c r="AK488" s="27"/>
      <c r="AL488" s="27"/>
      <c r="AM488" s="27"/>
      <c r="AN488" s="27"/>
      <c r="AO488" s="27"/>
      <c r="AP488" s="27"/>
      <c r="AQ488" s="27"/>
      <c r="AR488" s="27"/>
      <c r="AS488" s="27"/>
      <c r="AT488" s="27"/>
      <c r="AU488" s="27"/>
      <c r="AV488" s="27"/>
      <c r="AW488" s="27"/>
      <c r="AX488" s="27"/>
      <c r="AY488" s="27"/>
      <c r="AZ488" s="27"/>
      <c r="BA488" s="27"/>
      <c r="BB488" s="27"/>
      <c r="BC488" s="27"/>
      <c r="BD488" s="27"/>
      <c r="BE488" s="27"/>
      <c r="BF488" s="27"/>
      <c r="BG488" s="27"/>
      <c r="BH488" s="27"/>
      <c r="BI488" s="27"/>
      <c r="BJ488" s="27"/>
      <c r="BK488" s="27"/>
      <c r="BL488" s="27"/>
      <c r="BM488" s="27"/>
      <c r="BN488" s="27"/>
      <c r="BO488" s="27"/>
      <c r="BP488" s="27"/>
      <c r="BQ488" s="27"/>
      <c r="BR488" s="27"/>
      <c r="BS488" s="27"/>
      <c r="BT488" s="27"/>
      <c r="BU488" s="27"/>
      <c r="BV488" s="27"/>
      <c r="BW488" s="27"/>
      <c r="BX488" s="27"/>
      <c r="BY488" s="27"/>
      <c r="BZ488" s="27"/>
      <c r="CA488" s="27"/>
      <c r="CB488" s="27"/>
      <c r="CC488" s="27"/>
      <c r="CD488" s="27"/>
      <c r="CE488" s="27"/>
      <c r="CF488" s="27"/>
      <c r="CG488" s="27"/>
      <c r="CH488" s="27"/>
      <c r="CI488" s="27"/>
      <c r="CJ488" s="27"/>
      <c r="CK488" s="27"/>
      <c r="CL488" s="27"/>
      <c r="CM488" s="27"/>
      <c r="CN488" s="27"/>
      <c r="CO488" s="27"/>
      <c r="CP488" s="27"/>
      <c r="CQ488" s="27"/>
      <c r="CR488" s="27"/>
      <c r="CS488" s="27"/>
      <c r="CT488" s="27"/>
      <c r="CU488" s="27"/>
      <c r="CV488" s="27"/>
      <c r="CW488" s="27"/>
      <c r="CX488" s="27"/>
      <c r="CY488" s="27"/>
      <c r="CZ488" s="27"/>
      <c r="DA488" s="27"/>
      <c r="DB488" s="27"/>
      <c r="DC488" s="27"/>
      <c r="DD488" s="27"/>
      <c r="DE488" s="27"/>
      <c r="DF488" s="27"/>
      <c r="DG488" s="27"/>
      <c r="DH488" s="27"/>
      <c r="DI488" s="27"/>
      <c r="DJ488" s="27"/>
      <c r="DK488" s="27"/>
      <c r="DL488" s="27"/>
      <c r="DM488" s="27"/>
      <c r="DN488" s="27"/>
      <c r="DO488" s="27"/>
      <c r="DP488" s="27"/>
      <c r="DQ488" s="27"/>
      <c r="DR488" s="27"/>
      <c r="DS488" s="27"/>
      <c r="DT488" s="27"/>
    </row>
    <row r="489" spans="2:124" x14ac:dyDescent="0.2">
      <c r="G489" s="27"/>
      <c r="H489" s="27"/>
      <c r="I489" s="27"/>
      <c r="J489" s="27"/>
      <c r="K489" s="27"/>
      <c r="L489" s="27"/>
      <c r="M489" s="27"/>
      <c r="N489" s="27"/>
      <c r="O489" s="27"/>
      <c r="P489" s="27"/>
      <c r="Q489" s="27"/>
      <c r="R489" s="27"/>
      <c r="S489" s="27"/>
      <c r="T489" s="27"/>
      <c r="U489" s="27"/>
      <c r="V489" s="27"/>
      <c r="W489" s="27"/>
      <c r="X489" s="27"/>
      <c r="Y489" s="27"/>
      <c r="Z489" s="27"/>
      <c r="AA489" s="27"/>
      <c r="AB489" s="27"/>
      <c r="AC489" s="27"/>
      <c r="AD489" s="27"/>
      <c r="AE489" s="27"/>
      <c r="AF489" s="27"/>
      <c r="AG489" s="27"/>
      <c r="AH489" s="27"/>
      <c r="AI489" s="27"/>
      <c r="AJ489" s="27"/>
      <c r="AK489" s="27"/>
      <c r="AL489" s="27"/>
      <c r="AM489" s="27"/>
      <c r="AN489" s="27"/>
      <c r="AO489" s="27"/>
      <c r="AP489" s="27"/>
      <c r="AQ489" s="27"/>
      <c r="AR489" s="27"/>
      <c r="AS489" s="27"/>
      <c r="AT489" s="27"/>
      <c r="AU489" s="27"/>
      <c r="AV489" s="27"/>
      <c r="AW489" s="27"/>
      <c r="AX489" s="27"/>
      <c r="AY489" s="27"/>
      <c r="AZ489" s="27"/>
      <c r="BA489" s="27"/>
      <c r="BB489" s="27"/>
      <c r="BC489" s="27"/>
      <c r="BD489" s="27"/>
      <c r="BE489" s="27"/>
      <c r="BF489" s="27"/>
      <c r="BG489" s="27"/>
      <c r="BH489" s="27"/>
      <c r="BI489" s="27"/>
      <c r="BJ489" s="27"/>
      <c r="BK489" s="27"/>
      <c r="BL489" s="27"/>
      <c r="BM489" s="27"/>
      <c r="BN489" s="27"/>
      <c r="BO489" s="27"/>
      <c r="BP489" s="27"/>
      <c r="BQ489" s="27"/>
      <c r="BR489" s="27"/>
      <c r="BS489" s="27"/>
      <c r="BT489" s="27"/>
      <c r="BU489" s="27"/>
      <c r="BV489" s="27"/>
      <c r="BW489" s="27"/>
      <c r="BX489" s="27"/>
      <c r="BY489" s="27"/>
      <c r="BZ489" s="27"/>
      <c r="CA489" s="27"/>
      <c r="CB489" s="27"/>
      <c r="CC489" s="27"/>
      <c r="CD489" s="27"/>
      <c r="CE489" s="27"/>
      <c r="CF489" s="27"/>
      <c r="CG489" s="27"/>
      <c r="CH489" s="27"/>
      <c r="CI489" s="27"/>
      <c r="CJ489" s="27"/>
      <c r="CK489" s="27"/>
      <c r="CL489" s="27"/>
      <c r="CM489" s="27"/>
      <c r="CN489" s="27"/>
      <c r="CO489" s="27"/>
      <c r="CP489" s="27"/>
      <c r="CQ489" s="27"/>
      <c r="CR489" s="27"/>
      <c r="CS489" s="27"/>
      <c r="CT489" s="27"/>
      <c r="CU489" s="27"/>
      <c r="CV489" s="27"/>
      <c r="CW489" s="27"/>
      <c r="CX489" s="27"/>
      <c r="CY489" s="27"/>
      <c r="CZ489" s="27"/>
      <c r="DA489" s="27"/>
      <c r="DB489" s="27"/>
      <c r="DC489" s="27"/>
      <c r="DD489" s="27"/>
      <c r="DE489" s="27"/>
      <c r="DF489" s="27"/>
      <c r="DG489" s="27"/>
      <c r="DH489" s="27"/>
      <c r="DI489" s="27"/>
      <c r="DJ489" s="27"/>
      <c r="DK489" s="27"/>
      <c r="DL489" s="27"/>
      <c r="DM489" s="27"/>
      <c r="DN489" s="27"/>
      <c r="DO489" s="27"/>
      <c r="DP489" s="27"/>
      <c r="DQ489" s="27"/>
      <c r="DR489" s="27"/>
      <c r="DS489" s="27"/>
      <c r="DT489" s="27"/>
    </row>
    <row r="490" spans="2:124" x14ac:dyDescent="0.2">
      <c r="G490" s="27"/>
      <c r="H490" s="27"/>
      <c r="I490" s="27"/>
      <c r="J490" s="27"/>
      <c r="K490" s="27"/>
      <c r="L490" s="27"/>
      <c r="M490" s="27"/>
      <c r="N490" s="27"/>
      <c r="O490" s="27"/>
      <c r="P490" s="27"/>
      <c r="Q490" s="27"/>
      <c r="R490" s="27"/>
      <c r="S490" s="27"/>
      <c r="T490" s="27"/>
      <c r="U490" s="27"/>
      <c r="V490" s="27"/>
      <c r="W490" s="27"/>
      <c r="X490" s="27"/>
      <c r="Y490" s="27"/>
      <c r="Z490" s="27"/>
      <c r="AA490" s="27"/>
      <c r="AB490" s="27"/>
      <c r="AC490" s="27"/>
      <c r="AD490" s="27"/>
      <c r="AE490" s="27"/>
      <c r="AF490" s="27"/>
      <c r="AG490" s="27"/>
      <c r="AH490" s="27"/>
      <c r="AI490" s="27"/>
      <c r="AJ490" s="27"/>
      <c r="AK490" s="27"/>
      <c r="AL490" s="27"/>
      <c r="AM490" s="27"/>
      <c r="AN490" s="27"/>
      <c r="AO490" s="27"/>
      <c r="AP490" s="27"/>
      <c r="AQ490" s="27"/>
      <c r="AR490" s="27"/>
      <c r="AS490" s="27"/>
      <c r="AT490" s="27"/>
      <c r="AU490" s="27"/>
      <c r="AV490" s="27"/>
      <c r="AW490" s="27"/>
      <c r="AX490" s="27"/>
      <c r="AY490" s="27"/>
      <c r="AZ490" s="27"/>
      <c r="BA490" s="27"/>
      <c r="BB490" s="27"/>
      <c r="BC490" s="27"/>
      <c r="BD490" s="27"/>
      <c r="BE490" s="27"/>
      <c r="BF490" s="27"/>
      <c r="BG490" s="27"/>
      <c r="BH490" s="27"/>
      <c r="BI490" s="27"/>
      <c r="BJ490" s="27"/>
      <c r="BK490" s="27"/>
      <c r="BL490" s="27"/>
      <c r="BM490" s="27"/>
      <c r="BN490" s="27"/>
      <c r="BO490" s="27"/>
      <c r="BP490" s="27"/>
      <c r="BQ490" s="27"/>
      <c r="BR490" s="27"/>
      <c r="BS490" s="27"/>
      <c r="BT490" s="27"/>
      <c r="BU490" s="27"/>
      <c r="BV490" s="27"/>
      <c r="BW490" s="27"/>
      <c r="BX490" s="27"/>
      <c r="BY490" s="27"/>
      <c r="BZ490" s="27"/>
      <c r="CA490" s="27"/>
      <c r="CB490" s="27"/>
      <c r="CC490" s="27"/>
      <c r="CD490" s="27"/>
      <c r="CE490" s="27"/>
      <c r="CF490" s="27"/>
      <c r="CG490" s="27"/>
      <c r="CH490" s="27"/>
      <c r="CI490" s="27"/>
      <c r="CJ490" s="27"/>
      <c r="CK490" s="27"/>
      <c r="CL490" s="27"/>
      <c r="CM490" s="27"/>
      <c r="CN490" s="27"/>
      <c r="CO490" s="27"/>
      <c r="CP490" s="27"/>
      <c r="CQ490" s="27"/>
      <c r="CR490" s="27"/>
      <c r="CS490" s="27"/>
      <c r="CT490" s="27"/>
      <c r="CU490" s="27"/>
      <c r="CV490" s="27"/>
      <c r="CW490" s="27"/>
      <c r="CX490" s="27"/>
      <c r="CY490" s="27"/>
      <c r="CZ490" s="27"/>
      <c r="DA490" s="27"/>
      <c r="DB490" s="27"/>
      <c r="DC490" s="27"/>
      <c r="DD490" s="27"/>
      <c r="DE490" s="27"/>
      <c r="DF490" s="27"/>
      <c r="DG490" s="27"/>
      <c r="DH490" s="27"/>
      <c r="DI490" s="27"/>
      <c r="DJ490" s="27"/>
      <c r="DK490" s="27"/>
      <c r="DL490" s="27"/>
      <c r="DM490" s="27"/>
      <c r="DN490" s="27"/>
      <c r="DO490" s="27"/>
      <c r="DP490" s="27"/>
      <c r="DQ490" s="27"/>
      <c r="DR490" s="27"/>
      <c r="DS490" s="27"/>
      <c r="DT490" s="27"/>
    </row>
    <row r="491" spans="2:124" x14ac:dyDescent="0.2">
      <c r="G491" s="27"/>
      <c r="H491" s="27"/>
      <c r="I491" s="27"/>
      <c r="J491" s="27"/>
      <c r="K491" s="27"/>
      <c r="L491" s="27"/>
      <c r="M491" s="27"/>
      <c r="N491" s="27"/>
      <c r="O491" s="27"/>
      <c r="P491" s="27"/>
      <c r="Q491" s="27"/>
      <c r="R491" s="27"/>
      <c r="S491" s="27"/>
      <c r="T491" s="27"/>
      <c r="U491" s="27"/>
      <c r="V491" s="27"/>
      <c r="W491" s="27"/>
      <c r="X491" s="27"/>
      <c r="Y491" s="27"/>
      <c r="Z491" s="27"/>
      <c r="AA491" s="27"/>
      <c r="AB491" s="27"/>
      <c r="AC491" s="27"/>
      <c r="AD491" s="27"/>
      <c r="AE491" s="27"/>
      <c r="AF491" s="27"/>
      <c r="AG491" s="27"/>
      <c r="AH491" s="27"/>
      <c r="AI491" s="27"/>
      <c r="AJ491" s="27"/>
      <c r="AK491" s="27"/>
      <c r="AL491" s="27"/>
      <c r="AM491" s="27"/>
      <c r="AN491" s="27"/>
      <c r="AO491" s="27"/>
      <c r="AP491" s="27"/>
      <c r="AQ491" s="27"/>
      <c r="AR491" s="27"/>
      <c r="AS491" s="27"/>
      <c r="AT491" s="27"/>
      <c r="AU491" s="27"/>
      <c r="AV491" s="27"/>
      <c r="AW491" s="27"/>
      <c r="AX491" s="27"/>
      <c r="AY491" s="27"/>
      <c r="AZ491" s="27"/>
      <c r="BA491" s="27"/>
      <c r="BB491" s="27"/>
      <c r="BC491" s="27"/>
      <c r="BD491" s="27"/>
      <c r="BE491" s="27"/>
      <c r="BF491" s="27"/>
      <c r="BG491" s="27"/>
      <c r="BH491" s="27"/>
      <c r="BI491" s="27"/>
      <c r="BJ491" s="27"/>
      <c r="BK491" s="27"/>
      <c r="BL491" s="27"/>
      <c r="BM491" s="27"/>
      <c r="BN491" s="27"/>
      <c r="BO491" s="27"/>
      <c r="BP491" s="27"/>
      <c r="BQ491" s="27"/>
      <c r="BR491" s="27"/>
      <c r="BS491" s="27"/>
      <c r="BT491" s="27"/>
      <c r="BU491" s="27"/>
      <c r="BV491" s="27"/>
      <c r="BW491" s="27"/>
      <c r="BX491" s="27"/>
      <c r="BY491" s="27"/>
      <c r="BZ491" s="27"/>
      <c r="CA491" s="27"/>
      <c r="CB491" s="27"/>
      <c r="CC491" s="27"/>
      <c r="CD491" s="27"/>
      <c r="CE491" s="27"/>
      <c r="CF491" s="27"/>
      <c r="CG491" s="27"/>
      <c r="CH491" s="27"/>
      <c r="CI491" s="27"/>
      <c r="CJ491" s="27"/>
      <c r="CK491" s="27"/>
      <c r="CL491" s="27"/>
      <c r="CM491" s="27"/>
      <c r="CN491" s="27"/>
      <c r="CO491" s="27"/>
      <c r="CP491" s="27"/>
      <c r="CQ491" s="27"/>
      <c r="CR491" s="27"/>
      <c r="CS491" s="27"/>
      <c r="CT491" s="27"/>
      <c r="CU491" s="27"/>
      <c r="CV491" s="27"/>
      <c r="CW491" s="27"/>
      <c r="CX491" s="27"/>
      <c r="CY491" s="27"/>
      <c r="CZ491" s="27"/>
      <c r="DA491" s="27"/>
      <c r="DB491" s="27"/>
      <c r="DC491" s="27"/>
      <c r="DD491" s="27"/>
      <c r="DE491" s="27"/>
      <c r="DF491" s="27"/>
      <c r="DG491" s="27"/>
      <c r="DH491" s="27"/>
      <c r="DI491" s="27"/>
      <c r="DJ491" s="27"/>
      <c r="DK491" s="27"/>
      <c r="DL491" s="27"/>
      <c r="DM491" s="27"/>
      <c r="DN491" s="27"/>
      <c r="DO491" s="27"/>
      <c r="DP491" s="27"/>
      <c r="DQ491" s="27"/>
      <c r="DR491" s="27"/>
      <c r="DS491" s="27"/>
      <c r="DT491" s="27"/>
    </row>
    <row r="492" spans="2:124" x14ac:dyDescent="0.2">
      <c r="G492" s="27"/>
      <c r="H492" s="27"/>
      <c r="I492" s="27"/>
      <c r="J492" s="27"/>
      <c r="K492" s="27"/>
      <c r="L492" s="27"/>
      <c r="M492" s="27"/>
      <c r="N492" s="27"/>
      <c r="O492" s="27"/>
      <c r="P492" s="27"/>
      <c r="Q492" s="27"/>
      <c r="R492" s="27"/>
      <c r="S492" s="27"/>
      <c r="T492" s="27"/>
      <c r="U492" s="27"/>
      <c r="V492" s="27"/>
      <c r="W492" s="27"/>
      <c r="X492" s="27"/>
      <c r="Y492" s="27"/>
      <c r="Z492" s="27"/>
      <c r="AA492" s="27"/>
      <c r="AB492" s="27"/>
      <c r="AC492" s="27"/>
      <c r="AD492" s="27"/>
      <c r="AE492" s="27"/>
      <c r="AF492" s="27"/>
      <c r="AG492" s="27"/>
      <c r="AH492" s="27"/>
      <c r="AI492" s="27"/>
      <c r="AJ492" s="27"/>
      <c r="AK492" s="27"/>
      <c r="AL492" s="27"/>
      <c r="AM492" s="27"/>
      <c r="AN492" s="27"/>
      <c r="AO492" s="27"/>
      <c r="AP492" s="27"/>
      <c r="AQ492" s="27"/>
      <c r="AR492" s="27"/>
      <c r="AS492" s="27"/>
      <c r="AT492" s="27"/>
      <c r="AU492" s="27"/>
      <c r="AV492" s="27"/>
      <c r="AW492" s="27"/>
      <c r="AX492" s="27"/>
      <c r="AY492" s="27"/>
      <c r="AZ492" s="27"/>
      <c r="BA492" s="27"/>
      <c r="BB492" s="27"/>
      <c r="BC492" s="27"/>
      <c r="BD492" s="27"/>
      <c r="BE492" s="27"/>
      <c r="BF492" s="27"/>
      <c r="BG492" s="27"/>
      <c r="BH492" s="27"/>
      <c r="BI492" s="27"/>
      <c r="BJ492" s="27"/>
      <c r="BK492" s="27"/>
      <c r="BL492" s="27"/>
      <c r="BM492" s="27"/>
      <c r="BN492" s="27"/>
      <c r="BO492" s="27"/>
      <c r="BP492" s="27"/>
      <c r="BQ492" s="27"/>
      <c r="BR492" s="27"/>
      <c r="BS492" s="27"/>
      <c r="BT492" s="27"/>
      <c r="BU492" s="27"/>
      <c r="BV492" s="27"/>
      <c r="BW492" s="27"/>
      <c r="BX492" s="27"/>
      <c r="BY492" s="27"/>
      <c r="BZ492" s="27"/>
      <c r="CA492" s="27"/>
      <c r="CB492" s="27"/>
      <c r="CC492" s="27"/>
      <c r="CD492" s="27"/>
      <c r="CE492" s="27"/>
      <c r="CF492" s="27"/>
      <c r="CG492" s="27"/>
      <c r="CH492" s="27"/>
      <c r="CI492" s="27"/>
      <c r="CJ492" s="27"/>
      <c r="CK492" s="27"/>
      <c r="CL492" s="27"/>
      <c r="CM492" s="27"/>
      <c r="CN492" s="27"/>
      <c r="CO492" s="27"/>
      <c r="CP492" s="27"/>
      <c r="CQ492" s="27"/>
      <c r="CR492" s="27"/>
      <c r="CS492" s="27"/>
      <c r="CT492" s="27"/>
      <c r="CU492" s="27"/>
      <c r="CV492" s="27"/>
      <c r="CW492" s="27"/>
      <c r="CX492" s="27"/>
      <c r="CY492" s="27"/>
      <c r="CZ492" s="27"/>
      <c r="DA492" s="27"/>
      <c r="DB492" s="27"/>
      <c r="DC492" s="27"/>
      <c r="DD492" s="27"/>
      <c r="DE492" s="27"/>
      <c r="DF492" s="27"/>
      <c r="DG492" s="27"/>
      <c r="DH492" s="27"/>
      <c r="DI492" s="27"/>
      <c r="DJ492" s="27"/>
      <c r="DK492" s="27"/>
      <c r="DL492" s="27"/>
      <c r="DM492" s="27"/>
      <c r="DN492" s="27"/>
      <c r="DO492" s="27"/>
      <c r="DP492" s="27"/>
      <c r="DQ492" s="27"/>
      <c r="DR492" s="27"/>
      <c r="DS492" s="27"/>
      <c r="DT492" s="27"/>
    </row>
    <row r="493" spans="2:124" x14ac:dyDescent="0.2">
      <c r="G493" s="27"/>
      <c r="H493" s="27"/>
      <c r="I493" s="27"/>
      <c r="J493" s="27"/>
      <c r="K493" s="27"/>
      <c r="L493" s="27"/>
      <c r="M493" s="27"/>
      <c r="N493" s="27"/>
      <c r="O493" s="27"/>
      <c r="P493" s="27"/>
      <c r="Q493" s="27"/>
      <c r="R493" s="27"/>
      <c r="S493" s="27"/>
      <c r="T493" s="27"/>
      <c r="U493" s="27"/>
      <c r="V493" s="27"/>
      <c r="W493" s="27"/>
      <c r="X493" s="27"/>
      <c r="Y493" s="27"/>
      <c r="Z493" s="27"/>
      <c r="AA493" s="27"/>
      <c r="AB493" s="27"/>
      <c r="AC493" s="27"/>
      <c r="AD493" s="27"/>
      <c r="AE493" s="27"/>
      <c r="AF493" s="27"/>
      <c r="AG493" s="27"/>
      <c r="AH493" s="27"/>
      <c r="AI493" s="27"/>
      <c r="AJ493" s="27"/>
      <c r="AK493" s="27"/>
      <c r="AL493" s="27"/>
      <c r="AM493" s="27"/>
      <c r="AN493" s="27"/>
      <c r="AO493" s="27"/>
      <c r="AP493" s="27"/>
      <c r="AQ493" s="27"/>
      <c r="AR493" s="27"/>
      <c r="AS493" s="27"/>
      <c r="AT493" s="27"/>
      <c r="AU493" s="27"/>
      <c r="AV493" s="27"/>
      <c r="AW493" s="27"/>
      <c r="AX493" s="27"/>
      <c r="AY493" s="27"/>
      <c r="AZ493" s="27"/>
      <c r="BA493" s="27"/>
      <c r="BB493" s="27"/>
      <c r="BC493" s="27"/>
      <c r="BD493" s="27"/>
      <c r="BE493" s="27"/>
      <c r="BF493" s="27"/>
      <c r="BG493" s="27"/>
      <c r="BH493" s="27"/>
      <c r="BI493" s="27"/>
      <c r="BJ493" s="27"/>
      <c r="BK493" s="27"/>
      <c r="BL493" s="27"/>
      <c r="BM493" s="27"/>
      <c r="BN493" s="27"/>
      <c r="BO493" s="27"/>
      <c r="BP493" s="27"/>
      <c r="BQ493" s="27"/>
      <c r="BR493" s="27"/>
      <c r="BS493" s="27"/>
      <c r="BT493" s="27"/>
      <c r="BU493" s="27"/>
      <c r="BV493" s="27"/>
      <c r="BW493" s="27"/>
      <c r="BX493" s="27"/>
      <c r="BY493" s="27"/>
      <c r="BZ493" s="27"/>
      <c r="CA493" s="27"/>
      <c r="CB493" s="27"/>
      <c r="CC493" s="27"/>
      <c r="CD493" s="27"/>
      <c r="CE493" s="27"/>
      <c r="CF493" s="27"/>
      <c r="CG493" s="27"/>
      <c r="CH493" s="27"/>
      <c r="CI493" s="27"/>
      <c r="CJ493" s="27"/>
      <c r="CK493" s="27"/>
      <c r="CL493" s="27"/>
      <c r="CM493" s="27"/>
      <c r="CN493" s="27"/>
      <c r="CO493" s="27"/>
      <c r="CP493" s="27"/>
      <c r="CQ493" s="27"/>
      <c r="CR493" s="27"/>
      <c r="CS493" s="27"/>
      <c r="CT493" s="27"/>
      <c r="CU493" s="27"/>
      <c r="CV493" s="27"/>
      <c r="CW493" s="27"/>
      <c r="CX493" s="27"/>
      <c r="CY493" s="27"/>
      <c r="CZ493" s="27"/>
      <c r="DA493" s="27"/>
      <c r="DB493" s="27"/>
      <c r="DC493" s="27"/>
      <c r="DD493" s="27"/>
      <c r="DE493" s="27"/>
      <c r="DF493" s="27"/>
      <c r="DG493" s="27"/>
      <c r="DH493" s="27"/>
      <c r="DI493" s="27"/>
      <c r="DJ493" s="27"/>
      <c r="DK493" s="27"/>
      <c r="DL493" s="27"/>
      <c r="DM493" s="27"/>
      <c r="DN493" s="27"/>
      <c r="DO493" s="27"/>
      <c r="DP493" s="27"/>
      <c r="DQ493" s="27"/>
      <c r="DR493" s="27"/>
      <c r="DS493" s="27"/>
      <c r="DT493" s="27"/>
    </row>
    <row r="494" spans="2:124" x14ac:dyDescent="0.2">
      <c r="G494" s="27"/>
      <c r="H494" s="27"/>
      <c r="I494" s="27"/>
      <c r="J494" s="27"/>
      <c r="K494" s="27"/>
      <c r="L494" s="27"/>
      <c r="M494" s="27"/>
      <c r="N494" s="27"/>
      <c r="O494" s="27"/>
      <c r="P494" s="27"/>
      <c r="Q494" s="27"/>
      <c r="R494" s="27"/>
      <c r="S494" s="27"/>
      <c r="T494" s="27"/>
      <c r="U494" s="27"/>
      <c r="V494" s="27"/>
      <c r="W494" s="27"/>
      <c r="X494" s="27"/>
      <c r="Y494" s="27"/>
      <c r="Z494" s="27"/>
      <c r="AA494" s="27"/>
      <c r="AB494" s="27"/>
      <c r="AC494" s="27"/>
      <c r="AD494" s="27"/>
      <c r="AE494" s="27"/>
      <c r="AF494" s="27"/>
      <c r="AG494" s="27"/>
      <c r="AH494" s="27"/>
      <c r="AI494" s="27"/>
      <c r="AJ494" s="27"/>
      <c r="AK494" s="27"/>
      <c r="AL494" s="27"/>
      <c r="AM494" s="27"/>
      <c r="AN494" s="27"/>
      <c r="AO494" s="27"/>
      <c r="AP494" s="27"/>
      <c r="AQ494" s="27"/>
      <c r="AR494" s="27"/>
      <c r="AS494" s="27"/>
      <c r="AT494" s="27"/>
      <c r="AU494" s="27"/>
      <c r="AV494" s="27"/>
      <c r="AW494" s="27"/>
      <c r="AX494" s="27"/>
      <c r="AY494" s="27"/>
      <c r="AZ494" s="27"/>
      <c r="BA494" s="27"/>
      <c r="BB494" s="27"/>
      <c r="BC494" s="27"/>
      <c r="BD494" s="27"/>
      <c r="BE494" s="27"/>
      <c r="BF494" s="27"/>
      <c r="BG494" s="27"/>
      <c r="BH494" s="27"/>
      <c r="BI494" s="27"/>
      <c r="BJ494" s="27"/>
      <c r="BK494" s="27"/>
      <c r="BL494" s="27"/>
      <c r="BM494" s="27"/>
      <c r="BN494" s="27"/>
      <c r="BO494" s="27"/>
      <c r="BP494" s="27"/>
      <c r="BQ494" s="27"/>
      <c r="BR494" s="27"/>
      <c r="BS494" s="27"/>
      <c r="BT494" s="27"/>
      <c r="BU494" s="27"/>
      <c r="BV494" s="27"/>
      <c r="BW494" s="27"/>
      <c r="BX494" s="27"/>
      <c r="BY494" s="27"/>
      <c r="BZ494" s="27"/>
      <c r="CA494" s="27"/>
      <c r="CB494" s="27"/>
      <c r="CC494" s="27"/>
      <c r="CD494" s="27"/>
      <c r="CE494" s="27"/>
      <c r="CF494" s="27"/>
      <c r="CG494" s="27"/>
      <c r="CH494" s="27"/>
      <c r="CI494" s="27"/>
      <c r="CJ494" s="27"/>
      <c r="CK494" s="27"/>
      <c r="CL494" s="27"/>
      <c r="CM494" s="27"/>
      <c r="CN494" s="27"/>
      <c r="CO494" s="27"/>
      <c r="CP494" s="27"/>
      <c r="CQ494" s="27"/>
      <c r="CR494" s="27"/>
      <c r="CS494" s="27"/>
      <c r="CT494" s="27"/>
      <c r="CU494" s="27"/>
      <c r="CV494" s="27"/>
      <c r="CW494" s="27"/>
      <c r="CX494" s="27"/>
      <c r="CY494" s="27"/>
      <c r="CZ494" s="27"/>
      <c r="DA494" s="27"/>
      <c r="DB494" s="27"/>
      <c r="DC494" s="27"/>
      <c r="DD494" s="27"/>
      <c r="DE494" s="27"/>
      <c r="DF494" s="27"/>
      <c r="DG494" s="27"/>
      <c r="DH494" s="27"/>
      <c r="DI494" s="27"/>
      <c r="DJ494" s="27"/>
      <c r="DK494" s="27"/>
      <c r="DL494" s="27"/>
      <c r="DM494" s="27"/>
      <c r="DN494" s="27"/>
      <c r="DO494" s="27"/>
      <c r="DP494" s="27"/>
      <c r="DQ494" s="27"/>
      <c r="DR494" s="27"/>
      <c r="DS494" s="27"/>
      <c r="DT494" s="27"/>
    </row>
    <row r="495" spans="2:124" x14ac:dyDescent="0.2">
      <c r="G495" s="27"/>
      <c r="H495" s="27"/>
      <c r="I495" s="27"/>
      <c r="J495" s="27"/>
      <c r="K495" s="27"/>
      <c r="L495" s="27"/>
      <c r="M495" s="27"/>
      <c r="N495" s="27"/>
      <c r="O495" s="27"/>
      <c r="P495" s="27"/>
      <c r="Q495" s="27"/>
      <c r="R495" s="27"/>
      <c r="S495" s="27"/>
      <c r="T495" s="27"/>
      <c r="U495" s="27"/>
      <c r="V495" s="27"/>
      <c r="W495" s="27"/>
      <c r="X495" s="27"/>
      <c r="Y495" s="27"/>
      <c r="Z495" s="27"/>
      <c r="AA495" s="27"/>
      <c r="AB495" s="27"/>
      <c r="AC495" s="27"/>
      <c r="AD495" s="27"/>
      <c r="AE495" s="27"/>
      <c r="AF495" s="27"/>
      <c r="AG495" s="27"/>
      <c r="AH495" s="27"/>
      <c r="AI495" s="27"/>
      <c r="AJ495" s="27"/>
      <c r="AK495" s="27"/>
      <c r="AL495" s="27"/>
      <c r="AM495" s="27"/>
      <c r="AN495" s="27"/>
      <c r="AO495" s="27"/>
      <c r="AP495" s="27"/>
      <c r="AQ495" s="27"/>
      <c r="AR495" s="27"/>
      <c r="AS495" s="27"/>
      <c r="AT495" s="27"/>
      <c r="AU495" s="27"/>
      <c r="AV495" s="27"/>
      <c r="AW495" s="27"/>
      <c r="AX495" s="27"/>
      <c r="AY495" s="27"/>
      <c r="AZ495" s="27"/>
      <c r="BA495" s="27"/>
      <c r="BB495" s="27"/>
      <c r="BC495" s="27"/>
      <c r="BD495" s="27"/>
      <c r="BE495" s="27"/>
      <c r="BF495" s="27"/>
      <c r="BG495" s="27"/>
      <c r="BH495" s="27"/>
      <c r="BI495" s="27"/>
      <c r="BJ495" s="27"/>
      <c r="BK495" s="27"/>
      <c r="BL495" s="27"/>
      <c r="BM495" s="27"/>
      <c r="BN495" s="27"/>
      <c r="BO495" s="27"/>
      <c r="BP495" s="27"/>
      <c r="BQ495" s="27"/>
      <c r="BR495" s="27"/>
      <c r="BS495" s="27"/>
      <c r="BT495" s="27"/>
      <c r="BU495" s="27"/>
      <c r="BV495" s="27"/>
      <c r="BW495" s="27"/>
      <c r="BX495" s="27"/>
      <c r="BY495" s="27"/>
      <c r="BZ495" s="27"/>
      <c r="CA495" s="27"/>
      <c r="CB495" s="27"/>
      <c r="CC495" s="27"/>
      <c r="CD495" s="27"/>
      <c r="CE495" s="27"/>
      <c r="CF495" s="27"/>
      <c r="CG495" s="27"/>
      <c r="CH495" s="27"/>
      <c r="CI495" s="27"/>
      <c r="CJ495" s="27"/>
      <c r="CK495" s="27"/>
      <c r="CL495" s="27"/>
      <c r="CM495" s="27"/>
      <c r="CN495" s="27"/>
      <c r="CO495" s="27"/>
      <c r="CP495" s="27"/>
      <c r="CQ495" s="27"/>
      <c r="CR495" s="27"/>
      <c r="CS495" s="27"/>
      <c r="CT495" s="27"/>
      <c r="CU495" s="27"/>
      <c r="CV495" s="27"/>
      <c r="CW495" s="27"/>
      <c r="CX495" s="27"/>
      <c r="CY495" s="27"/>
      <c r="CZ495" s="27"/>
      <c r="DA495" s="27"/>
      <c r="DB495" s="27"/>
      <c r="DC495" s="27"/>
      <c r="DD495" s="27"/>
      <c r="DE495" s="27"/>
      <c r="DF495" s="27"/>
      <c r="DG495" s="27"/>
      <c r="DH495" s="27"/>
      <c r="DI495" s="27"/>
      <c r="DJ495" s="27"/>
      <c r="DK495" s="27"/>
      <c r="DL495" s="27"/>
      <c r="DM495" s="27"/>
      <c r="DN495" s="27"/>
      <c r="DO495" s="27"/>
      <c r="DP495" s="27"/>
      <c r="DQ495" s="27"/>
      <c r="DR495" s="27"/>
      <c r="DS495" s="27"/>
      <c r="DT495" s="27"/>
    </row>
    <row r="496" spans="2:124" x14ac:dyDescent="0.2">
      <c r="G496" s="27"/>
      <c r="H496" s="27"/>
      <c r="I496" s="27"/>
      <c r="J496" s="27"/>
      <c r="K496" s="27"/>
      <c r="L496" s="27"/>
      <c r="M496" s="27"/>
      <c r="N496" s="27"/>
      <c r="O496" s="27"/>
      <c r="P496" s="27"/>
      <c r="Q496" s="27"/>
      <c r="R496" s="27"/>
      <c r="S496" s="27"/>
      <c r="T496" s="27"/>
      <c r="U496" s="27"/>
      <c r="V496" s="27"/>
      <c r="W496" s="27"/>
      <c r="X496" s="27"/>
      <c r="Y496" s="27"/>
      <c r="Z496" s="27"/>
      <c r="AA496" s="27"/>
      <c r="AB496" s="27"/>
      <c r="AC496" s="27"/>
      <c r="AD496" s="27"/>
      <c r="AE496" s="27"/>
      <c r="AF496" s="27"/>
      <c r="AG496" s="27"/>
      <c r="AH496" s="27"/>
      <c r="AI496" s="27"/>
      <c r="AJ496" s="27"/>
      <c r="AK496" s="27"/>
      <c r="AL496" s="27"/>
      <c r="AM496" s="27"/>
      <c r="AN496" s="27"/>
      <c r="AO496" s="27"/>
      <c r="AP496" s="27"/>
      <c r="AQ496" s="27"/>
      <c r="AR496" s="27"/>
      <c r="AS496" s="27"/>
      <c r="AT496" s="27"/>
      <c r="AU496" s="27"/>
      <c r="AV496" s="27"/>
      <c r="AW496" s="27"/>
      <c r="AX496" s="27"/>
      <c r="AY496" s="27"/>
      <c r="AZ496" s="27"/>
      <c r="BA496" s="27"/>
      <c r="BB496" s="27"/>
      <c r="BC496" s="27"/>
      <c r="BD496" s="27"/>
      <c r="BE496" s="27"/>
      <c r="BF496" s="27"/>
      <c r="BG496" s="27"/>
      <c r="BH496" s="27"/>
      <c r="BI496" s="27"/>
      <c r="BJ496" s="27"/>
      <c r="BK496" s="27"/>
      <c r="BL496" s="27"/>
      <c r="BM496" s="27"/>
      <c r="BN496" s="27"/>
      <c r="BO496" s="27"/>
      <c r="BP496" s="27"/>
      <c r="BQ496" s="27"/>
      <c r="BR496" s="27"/>
      <c r="BS496" s="27"/>
      <c r="BT496" s="27"/>
      <c r="BU496" s="27"/>
      <c r="BV496" s="27"/>
      <c r="BW496" s="27"/>
      <c r="BX496" s="27"/>
      <c r="BY496" s="27"/>
      <c r="BZ496" s="27"/>
      <c r="CA496" s="27"/>
      <c r="CB496" s="27"/>
      <c r="CC496" s="27"/>
      <c r="CD496" s="27"/>
      <c r="CE496" s="27"/>
      <c r="CF496" s="27"/>
      <c r="CG496" s="27"/>
      <c r="CH496" s="27"/>
      <c r="CI496" s="27"/>
      <c r="CJ496" s="27"/>
      <c r="CK496" s="27"/>
      <c r="CL496" s="27"/>
      <c r="CM496" s="27"/>
      <c r="CN496" s="27"/>
      <c r="CO496" s="27"/>
      <c r="CP496" s="27"/>
      <c r="CQ496" s="27"/>
      <c r="CR496" s="27"/>
      <c r="CS496" s="27"/>
      <c r="CT496" s="27"/>
      <c r="CU496" s="27"/>
      <c r="CV496" s="27"/>
      <c r="CW496" s="27"/>
      <c r="CX496" s="27"/>
      <c r="CY496" s="27"/>
      <c r="CZ496" s="27"/>
      <c r="DA496" s="27"/>
      <c r="DB496" s="27"/>
      <c r="DC496" s="27"/>
      <c r="DD496" s="27"/>
      <c r="DE496" s="27"/>
      <c r="DF496" s="27"/>
      <c r="DG496" s="27"/>
      <c r="DH496" s="27"/>
      <c r="DI496" s="27"/>
      <c r="DJ496" s="27"/>
      <c r="DK496" s="27"/>
      <c r="DL496" s="27"/>
      <c r="DM496" s="27"/>
      <c r="DN496" s="27"/>
      <c r="DO496" s="27"/>
      <c r="DP496" s="27"/>
      <c r="DQ496" s="27"/>
      <c r="DR496" s="27"/>
      <c r="DS496" s="27"/>
      <c r="DT496" s="27"/>
    </row>
    <row r="497" spans="7:124" x14ac:dyDescent="0.2">
      <c r="G497" s="27"/>
      <c r="H497" s="27"/>
      <c r="I497" s="27"/>
      <c r="J497" s="27"/>
      <c r="K497" s="27"/>
      <c r="L497" s="27"/>
      <c r="M497" s="27"/>
      <c r="N497" s="27"/>
      <c r="O497" s="27"/>
      <c r="P497" s="27"/>
      <c r="Q497" s="27"/>
      <c r="R497" s="27"/>
      <c r="S497" s="27"/>
      <c r="T497" s="27"/>
      <c r="U497" s="27"/>
      <c r="V497" s="27"/>
      <c r="W497" s="27"/>
      <c r="X497" s="27"/>
      <c r="Y497" s="27"/>
      <c r="Z497" s="27"/>
      <c r="AA497" s="27"/>
      <c r="AB497" s="27"/>
      <c r="AC497" s="27"/>
      <c r="AD497" s="27"/>
      <c r="AE497" s="27"/>
      <c r="AF497" s="27"/>
      <c r="AG497" s="27"/>
      <c r="AH497" s="27"/>
      <c r="AI497" s="27"/>
      <c r="AJ497" s="27"/>
      <c r="AK497" s="27"/>
      <c r="AL497" s="27"/>
      <c r="AM497" s="27"/>
      <c r="AN497" s="27"/>
      <c r="AO497" s="27"/>
      <c r="AP497" s="27"/>
      <c r="AQ497" s="27"/>
      <c r="AR497" s="27"/>
      <c r="AS497" s="27"/>
      <c r="AT497" s="27"/>
      <c r="AU497" s="27"/>
      <c r="AV497" s="27"/>
      <c r="AW497" s="27"/>
      <c r="AX497" s="27"/>
      <c r="AY497" s="27"/>
      <c r="AZ497" s="27"/>
      <c r="BA497" s="27"/>
      <c r="BB497" s="27"/>
      <c r="BC497" s="27"/>
      <c r="BD497" s="27"/>
      <c r="BE497" s="27"/>
      <c r="BF497" s="27"/>
      <c r="BG497" s="27"/>
      <c r="BH497" s="27"/>
      <c r="BI497" s="27"/>
      <c r="BJ497" s="27"/>
      <c r="BK497" s="27"/>
      <c r="BL497" s="27"/>
      <c r="BM497" s="27"/>
      <c r="BN497" s="27"/>
      <c r="BO497" s="27"/>
      <c r="BP497" s="27"/>
      <c r="BQ497" s="27"/>
      <c r="BR497" s="27"/>
      <c r="BS497" s="27"/>
      <c r="BT497" s="27"/>
      <c r="BU497" s="27"/>
      <c r="BV497" s="27"/>
      <c r="BW497" s="27"/>
      <c r="BX497" s="27"/>
      <c r="BY497" s="27"/>
      <c r="BZ497" s="27"/>
      <c r="CA497" s="27"/>
      <c r="CB497" s="27"/>
      <c r="CC497" s="27"/>
      <c r="CD497" s="27"/>
      <c r="CE497" s="27"/>
      <c r="CF497" s="27"/>
      <c r="CG497" s="27"/>
      <c r="CH497" s="27"/>
      <c r="CI497" s="27"/>
      <c r="CJ497" s="27"/>
      <c r="CK497" s="27"/>
      <c r="CL497" s="27"/>
      <c r="CM497" s="27"/>
      <c r="CN497" s="27"/>
      <c r="CO497" s="27"/>
      <c r="CP497" s="27"/>
      <c r="CQ497" s="27"/>
      <c r="CR497" s="27"/>
      <c r="CS497" s="27"/>
      <c r="CT497" s="27"/>
      <c r="CU497" s="27"/>
      <c r="CV497" s="27"/>
      <c r="CW497" s="27"/>
      <c r="CX497" s="27"/>
      <c r="CY497" s="27"/>
      <c r="CZ497" s="27"/>
      <c r="DA497" s="27"/>
      <c r="DB497" s="27"/>
      <c r="DC497" s="27"/>
      <c r="DD497" s="27"/>
      <c r="DE497" s="27"/>
      <c r="DF497" s="27"/>
      <c r="DG497" s="27"/>
      <c r="DH497" s="27"/>
      <c r="DI497" s="27"/>
      <c r="DJ497" s="27"/>
      <c r="DK497" s="27"/>
      <c r="DL497" s="27"/>
      <c r="DM497" s="27"/>
      <c r="DN497" s="27"/>
      <c r="DO497" s="27"/>
      <c r="DP497" s="27"/>
      <c r="DQ497" s="27"/>
      <c r="DR497" s="27"/>
      <c r="DS497" s="27"/>
      <c r="DT497" s="27"/>
    </row>
    <row r="498" spans="7:124" x14ac:dyDescent="0.2">
      <c r="G498" s="27"/>
      <c r="H498" s="27"/>
      <c r="I498" s="27"/>
      <c r="J498" s="27"/>
      <c r="K498" s="27"/>
      <c r="L498" s="27"/>
      <c r="M498" s="27"/>
      <c r="N498" s="27"/>
      <c r="O498" s="27"/>
      <c r="P498" s="27"/>
      <c r="Q498" s="27"/>
      <c r="R498" s="27"/>
      <c r="S498" s="27"/>
      <c r="T498" s="27"/>
      <c r="U498" s="27"/>
      <c r="V498" s="27"/>
      <c r="W498" s="27"/>
      <c r="X498" s="27"/>
      <c r="Y498" s="27"/>
      <c r="Z498" s="27"/>
      <c r="AA498" s="27"/>
      <c r="AB498" s="27"/>
      <c r="AC498" s="27"/>
      <c r="AD498" s="27"/>
      <c r="AE498" s="27"/>
      <c r="AF498" s="27"/>
      <c r="AG498" s="27"/>
      <c r="AH498" s="27"/>
      <c r="AI498" s="27"/>
      <c r="AJ498" s="27"/>
      <c r="AK498" s="27"/>
      <c r="AL498" s="27"/>
      <c r="AM498" s="27"/>
      <c r="AN498" s="27"/>
      <c r="AO498" s="27"/>
      <c r="AP498" s="27"/>
      <c r="AQ498" s="27"/>
      <c r="AR498" s="27"/>
      <c r="AS498" s="27"/>
      <c r="AT498" s="27"/>
      <c r="AU498" s="27"/>
      <c r="AV498" s="27"/>
      <c r="AW498" s="27"/>
      <c r="AX498" s="27"/>
      <c r="AY498" s="27"/>
      <c r="AZ498" s="27"/>
      <c r="BA498" s="27"/>
      <c r="BB498" s="27"/>
      <c r="BC498" s="27"/>
      <c r="BD498" s="27"/>
      <c r="BE498" s="27"/>
      <c r="BF498" s="27"/>
      <c r="BG498" s="27"/>
      <c r="BH498" s="27"/>
      <c r="BI498" s="27"/>
      <c r="BJ498" s="27"/>
      <c r="BK498" s="27"/>
      <c r="BL498" s="27"/>
      <c r="BM498" s="27"/>
      <c r="BN498" s="27"/>
      <c r="BO498" s="27"/>
      <c r="BP498" s="27"/>
      <c r="BQ498" s="27"/>
      <c r="BR498" s="27"/>
      <c r="BS498" s="27"/>
      <c r="BT498" s="27"/>
      <c r="BU498" s="27"/>
      <c r="BV498" s="27"/>
      <c r="BW498" s="27"/>
      <c r="BX498" s="27"/>
      <c r="BY498" s="27"/>
      <c r="BZ498" s="27"/>
      <c r="CA498" s="27"/>
      <c r="CB498" s="27"/>
      <c r="CC498" s="27"/>
      <c r="CD498" s="27"/>
      <c r="CE498" s="27"/>
      <c r="CF498" s="27"/>
      <c r="CG498" s="27"/>
      <c r="CH498" s="27"/>
      <c r="CI498" s="27"/>
      <c r="CJ498" s="27"/>
      <c r="CK498" s="27"/>
      <c r="CL498" s="27"/>
      <c r="CM498" s="27"/>
      <c r="CN498" s="27"/>
      <c r="CO498" s="27"/>
      <c r="CP498" s="27"/>
      <c r="CQ498" s="27"/>
      <c r="CR498" s="27"/>
      <c r="CS498" s="27"/>
      <c r="CT498" s="27"/>
      <c r="CU498" s="27"/>
      <c r="CV498" s="27"/>
      <c r="CW498" s="27"/>
      <c r="CX498" s="27"/>
      <c r="CY498" s="27"/>
      <c r="CZ498" s="27"/>
      <c r="DA498" s="27"/>
      <c r="DB498" s="27"/>
      <c r="DC498" s="27"/>
      <c r="DD498" s="27"/>
      <c r="DE498" s="27"/>
      <c r="DF498" s="27"/>
      <c r="DG498" s="27"/>
      <c r="DH498" s="27"/>
      <c r="DI498" s="27"/>
      <c r="DJ498" s="27"/>
      <c r="DK498" s="27"/>
      <c r="DL498" s="27"/>
      <c r="DM498" s="27"/>
      <c r="DN498" s="27"/>
      <c r="DO498" s="27"/>
      <c r="DP498" s="27"/>
      <c r="DQ498" s="27"/>
      <c r="DR498" s="27"/>
      <c r="DS498" s="27"/>
      <c r="DT498" s="27"/>
    </row>
    <row r="499" spans="7:124" x14ac:dyDescent="0.2">
      <c r="G499" s="27"/>
      <c r="H499" s="27"/>
      <c r="I499" s="27"/>
      <c r="J499" s="27"/>
      <c r="K499" s="27"/>
      <c r="L499" s="27"/>
      <c r="M499" s="27"/>
      <c r="N499" s="27"/>
      <c r="O499" s="27"/>
      <c r="P499" s="27"/>
      <c r="Q499" s="27"/>
      <c r="R499" s="27"/>
      <c r="S499" s="27"/>
      <c r="T499" s="27"/>
      <c r="U499" s="27"/>
      <c r="V499" s="27"/>
      <c r="W499" s="27"/>
      <c r="X499" s="27"/>
      <c r="Y499" s="27"/>
      <c r="Z499" s="27"/>
      <c r="AA499" s="27"/>
      <c r="AB499" s="27"/>
      <c r="AC499" s="27"/>
      <c r="AD499" s="27"/>
      <c r="AE499" s="27"/>
      <c r="AF499" s="27"/>
      <c r="AG499" s="27"/>
      <c r="AH499" s="27"/>
      <c r="AI499" s="27"/>
      <c r="AJ499" s="27"/>
      <c r="AK499" s="27"/>
      <c r="AL499" s="27"/>
      <c r="AM499" s="27"/>
      <c r="AN499" s="27"/>
      <c r="AO499" s="27"/>
      <c r="AP499" s="27"/>
      <c r="AQ499" s="27"/>
      <c r="AR499" s="27"/>
      <c r="AS499" s="27"/>
      <c r="AT499" s="27"/>
      <c r="AU499" s="27"/>
      <c r="AV499" s="27"/>
      <c r="AW499" s="27"/>
      <c r="AX499" s="27"/>
      <c r="AY499" s="27"/>
      <c r="AZ499" s="27"/>
      <c r="BA499" s="27"/>
      <c r="BB499" s="27"/>
      <c r="BC499" s="27"/>
      <c r="BD499" s="27"/>
      <c r="BE499" s="27"/>
      <c r="BF499" s="27"/>
      <c r="BG499" s="27"/>
      <c r="BH499" s="27"/>
      <c r="BI499" s="27"/>
      <c r="BJ499" s="27"/>
      <c r="BK499" s="27"/>
      <c r="BL499" s="27"/>
      <c r="BM499" s="27"/>
      <c r="BN499" s="27"/>
      <c r="BO499" s="27"/>
      <c r="BP499" s="27"/>
      <c r="BQ499" s="27"/>
      <c r="BR499" s="27"/>
      <c r="BS499" s="27"/>
      <c r="BT499" s="27"/>
      <c r="BU499" s="27"/>
      <c r="BV499" s="27"/>
      <c r="BW499" s="27"/>
      <c r="BX499" s="27"/>
      <c r="BY499" s="27"/>
      <c r="BZ499" s="27"/>
      <c r="CA499" s="27"/>
      <c r="CB499" s="27"/>
      <c r="CC499" s="27"/>
      <c r="CD499" s="27"/>
      <c r="CE499" s="27"/>
      <c r="CF499" s="27"/>
      <c r="CG499" s="27"/>
      <c r="CH499" s="27"/>
      <c r="CI499" s="27"/>
      <c r="CJ499" s="27"/>
      <c r="CK499" s="27"/>
      <c r="CL499" s="27"/>
      <c r="CM499" s="27"/>
      <c r="CN499" s="27"/>
      <c r="CO499" s="27"/>
      <c r="CP499" s="27"/>
      <c r="CQ499" s="27"/>
      <c r="CR499" s="27"/>
      <c r="CS499" s="27"/>
      <c r="CT499" s="27"/>
      <c r="CU499" s="27"/>
      <c r="CV499" s="27"/>
      <c r="CW499" s="27"/>
      <c r="CX499" s="27"/>
      <c r="CY499" s="27"/>
      <c r="CZ499" s="27"/>
      <c r="DA499" s="27"/>
      <c r="DB499" s="27"/>
      <c r="DC499" s="27"/>
      <c r="DD499" s="27"/>
      <c r="DE499" s="27"/>
      <c r="DF499" s="27"/>
      <c r="DG499" s="27"/>
      <c r="DH499" s="27"/>
      <c r="DI499" s="27"/>
      <c r="DJ499" s="27"/>
      <c r="DK499" s="27"/>
      <c r="DL499" s="27"/>
      <c r="DM499" s="27"/>
      <c r="DN499" s="27"/>
      <c r="DO499" s="27"/>
      <c r="DP499" s="27"/>
      <c r="DQ499" s="27"/>
      <c r="DR499" s="27"/>
      <c r="DS499" s="27"/>
      <c r="DT499" s="27"/>
    </row>
    <row r="500" spans="7:124" x14ac:dyDescent="0.2">
      <c r="G500" s="27"/>
      <c r="H500" s="27"/>
      <c r="I500" s="27"/>
      <c r="J500" s="27"/>
      <c r="K500" s="27"/>
      <c r="L500" s="27"/>
      <c r="M500" s="27"/>
      <c r="N500" s="27"/>
      <c r="O500" s="27"/>
      <c r="P500" s="27"/>
      <c r="Q500" s="27"/>
      <c r="R500" s="27"/>
      <c r="S500" s="27"/>
      <c r="T500" s="27"/>
      <c r="U500" s="27"/>
      <c r="V500" s="27"/>
      <c r="W500" s="27"/>
      <c r="X500" s="27"/>
      <c r="Y500" s="27"/>
      <c r="Z500" s="27"/>
      <c r="AA500" s="27"/>
      <c r="AB500" s="27"/>
      <c r="AC500" s="27"/>
      <c r="AD500" s="27"/>
      <c r="AE500" s="27"/>
      <c r="AF500" s="27"/>
      <c r="AG500" s="27"/>
      <c r="AH500" s="27"/>
      <c r="AI500" s="27"/>
      <c r="AJ500" s="27"/>
      <c r="AK500" s="27"/>
      <c r="AL500" s="27"/>
      <c r="AM500" s="27"/>
      <c r="AN500" s="27"/>
      <c r="AO500" s="27"/>
      <c r="AP500" s="27"/>
      <c r="AQ500" s="27"/>
      <c r="AR500" s="27"/>
      <c r="AS500" s="27"/>
      <c r="AT500" s="27"/>
      <c r="AU500" s="27"/>
      <c r="AV500" s="27"/>
      <c r="AW500" s="27"/>
      <c r="AX500" s="27"/>
      <c r="AY500" s="27"/>
      <c r="AZ500" s="27"/>
      <c r="BA500" s="27"/>
      <c r="BB500" s="27"/>
      <c r="BC500" s="27"/>
      <c r="BD500" s="27"/>
      <c r="BE500" s="27"/>
      <c r="BF500" s="27"/>
      <c r="BG500" s="27"/>
      <c r="BH500" s="27"/>
      <c r="BI500" s="27"/>
      <c r="BJ500" s="27"/>
      <c r="BK500" s="27"/>
      <c r="BL500" s="27"/>
      <c r="BM500" s="27"/>
      <c r="BN500" s="27"/>
      <c r="BO500" s="27"/>
      <c r="BP500" s="27"/>
      <c r="BQ500" s="27"/>
      <c r="BR500" s="27"/>
      <c r="BS500" s="27"/>
      <c r="BT500" s="27"/>
      <c r="BU500" s="27"/>
      <c r="BV500" s="27"/>
      <c r="BW500" s="27"/>
      <c r="BX500" s="27"/>
      <c r="BY500" s="27"/>
      <c r="BZ500" s="27"/>
      <c r="CA500" s="27"/>
      <c r="CB500" s="27"/>
      <c r="CC500" s="27"/>
      <c r="CD500" s="27"/>
      <c r="CE500" s="27"/>
      <c r="CF500" s="27"/>
      <c r="CG500" s="27"/>
      <c r="CH500" s="27"/>
      <c r="CI500" s="27"/>
      <c r="CJ500" s="27"/>
      <c r="CK500" s="27"/>
      <c r="CL500" s="27"/>
      <c r="CM500" s="27"/>
      <c r="CN500" s="27"/>
      <c r="CO500" s="27"/>
      <c r="CP500" s="27"/>
      <c r="CQ500" s="27"/>
      <c r="CR500" s="27"/>
      <c r="CS500" s="27"/>
      <c r="CT500" s="27"/>
      <c r="CU500" s="27"/>
      <c r="CV500" s="27"/>
      <c r="CW500" s="27"/>
      <c r="CX500" s="27"/>
      <c r="CY500" s="27"/>
      <c r="CZ500" s="27"/>
      <c r="DA500" s="27"/>
      <c r="DB500" s="27"/>
      <c r="DC500" s="27"/>
      <c r="DD500" s="27"/>
      <c r="DE500" s="27"/>
      <c r="DF500" s="27"/>
      <c r="DG500" s="27"/>
      <c r="DH500" s="27"/>
      <c r="DI500" s="27"/>
      <c r="DJ500" s="27"/>
      <c r="DK500" s="27"/>
      <c r="DL500" s="27"/>
      <c r="DM500" s="27"/>
      <c r="DN500" s="27"/>
      <c r="DO500" s="27"/>
      <c r="DP500" s="27"/>
      <c r="DQ500" s="27"/>
      <c r="DR500" s="27"/>
      <c r="DS500" s="27"/>
      <c r="DT500" s="27"/>
    </row>
    <row r="501" spans="7:124" x14ac:dyDescent="0.2">
      <c r="G501" s="27"/>
      <c r="H501" s="27"/>
      <c r="I501" s="27"/>
      <c r="J501" s="27"/>
      <c r="K501" s="27"/>
      <c r="L501" s="27"/>
      <c r="M501" s="27"/>
      <c r="N501" s="27"/>
      <c r="O501" s="27"/>
      <c r="P501" s="27"/>
      <c r="Q501" s="27"/>
      <c r="R501" s="27"/>
      <c r="S501" s="27"/>
      <c r="T501" s="27"/>
      <c r="U501" s="27"/>
      <c r="V501" s="27"/>
      <c r="W501" s="27"/>
      <c r="X501" s="27"/>
      <c r="Y501" s="27"/>
      <c r="Z501" s="27"/>
      <c r="AA501" s="27"/>
      <c r="AB501" s="27"/>
      <c r="AC501" s="27"/>
      <c r="AD501" s="27"/>
      <c r="AE501" s="27"/>
      <c r="AF501" s="27"/>
      <c r="AG501" s="27"/>
      <c r="AH501" s="27"/>
      <c r="AI501" s="27"/>
      <c r="AJ501" s="27"/>
      <c r="AK501" s="27"/>
      <c r="AL501" s="27"/>
      <c r="AM501" s="27"/>
      <c r="AN501" s="27"/>
      <c r="AO501" s="27"/>
      <c r="AP501" s="27"/>
      <c r="AQ501" s="27"/>
      <c r="AR501" s="27"/>
      <c r="AS501" s="27"/>
      <c r="AT501" s="27"/>
      <c r="AU501" s="27"/>
      <c r="AV501" s="27"/>
      <c r="AW501" s="27"/>
      <c r="AX501" s="27"/>
      <c r="AY501" s="27"/>
      <c r="AZ501" s="27"/>
      <c r="BA501" s="27"/>
      <c r="BB501" s="27"/>
      <c r="BC501" s="27"/>
      <c r="BD501" s="27"/>
      <c r="BE501" s="27"/>
      <c r="BF501" s="27"/>
      <c r="BG501" s="27"/>
      <c r="BH501" s="27"/>
      <c r="BI501" s="27"/>
      <c r="BJ501" s="27"/>
      <c r="BK501" s="27"/>
      <c r="BL501" s="27"/>
      <c r="BM501" s="27"/>
      <c r="BN501" s="27"/>
      <c r="BO501" s="27"/>
      <c r="BP501" s="27"/>
      <c r="BQ501" s="27"/>
      <c r="BR501" s="27"/>
      <c r="BS501" s="27"/>
      <c r="BT501" s="27"/>
      <c r="BU501" s="27"/>
      <c r="BV501" s="27"/>
      <c r="BW501" s="27"/>
      <c r="BX501" s="27"/>
      <c r="BY501" s="27"/>
      <c r="BZ501" s="27"/>
      <c r="CA501" s="27"/>
      <c r="CB501" s="27"/>
      <c r="CC501" s="27"/>
      <c r="CD501" s="27"/>
      <c r="CE501" s="27"/>
      <c r="CF501" s="27"/>
      <c r="CG501" s="27"/>
      <c r="CH501" s="27"/>
      <c r="CI501" s="27"/>
      <c r="CJ501" s="27"/>
      <c r="CK501" s="27"/>
      <c r="CL501" s="27"/>
      <c r="CM501" s="27"/>
      <c r="CN501" s="27"/>
      <c r="CO501" s="27"/>
      <c r="CP501" s="27"/>
      <c r="CQ501" s="27"/>
      <c r="CR501" s="27"/>
      <c r="CS501" s="27"/>
      <c r="CT501" s="27"/>
      <c r="CU501" s="27"/>
      <c r="CV501" s="27"/>
      <c r="CW501" s="27"/>
      <c r="CX501" s="27"/>
      <c r="CY501" s="27"/>
      <c r="CZ501" s="27"/>
      <c r="DA501" s="27"/>
      <c r="DB501" s="27"/>
      <c r="DC501" s="27"/>
      <c r="DD501" s="27"/>
      <c r="DE501" s="27"/>
      <c r="DF501" s="27"/>
      <c r="DG501" s="27"/>
      <c r="DH501" s="27"/>
      <c r="DI501" s="27"/>
      <c r="DJ501" s="27"/>
      <c r="DK501" s="27"/>
      <c r="DL501" s="27"/>
      <c r="DM501" s="27"/>
      <c r="DN501" s="27"/>
      <c r="DO501" s="27"/>
      <c r="DP501" s="27"/>
      <c r="DQ501" s="27"/>
      <c r="DR501" s="27"/>
      <c r="DS501" s="27"/>
      <c r="DT501" s="27"/>
    </row>
    <row r="502" spans="7:124" x14ac:dyDescent="0.2">
      <c r="G502" s="27"/>
      <c r="H502" s="27"/>
      <c r="I502" s="27"/>
      <c r="J502" s="27"/>
      <c r="K502" s="27"/>
      <c r="L502" s="27"/>
      <c r="M502" s="27"/>
      <c r="N502" s="27"/>
      <c r="O502" s="27"/>
      <c r="P502" s="27"/>
      <c r="Q502" s="27"/>
      <c r="R502" s="27"/>
      <c r="S502" s="27"/>
      <c r="T502" s="27"/>
      <c r="U502" s="27"/>
      <c r="V502" s="27"/>
      <c r="W502" s="27"/>
      <c r="X502" s="27"/>
      <c r="Y502" s="27"/>
      <c r="Z502" s="27"/>
      <c r="AA502" s="27"/>
      <c r="AB502" s="27"/>
      <c r="AC502" s="27"/>
      <c r="AD502" s="27"/>
      <c r="AE502" s="27"/>
      <c r="AF502" s="27"/>
      <c r="AG502" s="27"/>
      <c r="AH502" s="27"/>
      <c r="AI502" s="27"/>
      <c r="AJ502" s="27"/>
      <c r="AK502" s="27"/>
      <c r="AL502" s="27"/>
      <c r="AM502" s="27"/>
      <c r="AN502" s="27"/>
      <c r="AO502" s="27"/>
      <c r="AP502" s="27"/>
      <c r="AQ502" s="27"/>
      <c r="AR502" s="27"/>
      <c r="AS502" s="27"/>
      <c r="AT502" s="27"/>
      <c r="AU502" s="27"/>
      <c r="AV502" s="27"/>
      <c r="AW502" s="27"/>
      <c r="AX502" s="27"/>
      <c r="AY502" s="27"/>
      <c r="AZ502" s="27"/>
      <c r="BA502" s="27"/>
      <c r="BB502" s="27"/>
      <c r="BC502" s="27"/>
      <c r="BD502" s="27"/>
      <c r="BE502" s="27"/>
      <c r="BF502" s="27"/>
      <c r="BG502" s="27"/>
      <c r="BH502" s="27"/>
      <c r="BI502" s="27"/>
      <c r="BJ502" s="27"/>
      <c r="BK502" s="27"/>
      <c r="BL502" s="27"/>
      <c r="BM502" s="27"/>
      <c r="BN502" s="27"/>
      <c r="BO502" s="27"/>
      <c r="BP502" s="27"/>
      <c r="BQ502" s="27"/>
      <c r="BR502" s="27"/>
      <c r="BS502" s="27"/>
      <c r="BT502" s="27"/>
      <c r="BU502" s="27"/>
      <c r="BV502" s="27"/>
      <c r="BW502" s="27"/>
      <c r="BX502" s="27"/>
      <c r="BY502" s="27"/>
      <c r="BZ502" s="27"/>
      <c r="CA502" s="27"/>
      <c r="CB502" s="27"/>
      <c r="CC502" s="27"/>
      <c r="CD502" s="27"/>
      <c r="CE502" s="27"/>
      <c r="CF502" s="27"/>
      <c r="CG502" s="27"/>
      <c r="CH502" s="27"/>
      <c r="CI502" s="27"/>
      <c r="CJ502" s="27"/>
      <c r="CK502" s="27"/>
      <c r="CL502" s="27"/>
      <c r="CM502" s="27"/>
      <c r="CN502" s="27"/>
      <c r="CO502" s="27"/>
      <c r="CP502" s="27"/>
      <c r="CQ502" s="27"/>
      <c r="CR502" s="27"/>
      <c r="CS502" s="27"/>
      <c r="CT502" s="27"/>
      <c r="CU502" s="27"/>
      <c r="CV502" s="27"/>
      <c r="CW502" s="27"/>
      <c r="CX502" s="27"/>
      <c r="CY502" s="27"/>
      <c r="CZ502" s="27"/>
      <c r="DA502" s="27"/>
      <c r="DB502" s="27"/>
      <c r="DC502" s="27"/>
      <c r="DD502" s="27"/>
      <c r="DE502" s="27"/>
      <c r="DF502" s="27"/>
      <c r="DG502" s="27"/>
      <c r="DH502" s="27"/>
      <c r="DI502" s="27"/>
      <c r="DJ502" s="27"/>
      <c r="DK502" s="27"/>
      <c r="DL502" s="27"/>
      <c r="DM502" s="27"/>
      <c r="DN502" s="27"/>
      <c r="DO502" s="27"/>
      <c r="DP502" s="27"/>
      <c r="DQ502" s="27"/>
      <c r="DR502" s="27"/>
      <c r="DS502" s="27"/>
      <c r="DT502" s="27"/>
    </row>
    <row r="503" spans="7:124" x14ac:dyDescent="0.2">
      <c r="G503" s="27"/>
      <c r="H503" s="27"/>
      <c r="I503" s="27"/>
      <c r="J503" s="27"/>
      <c r="K503" s="27"/>
      <c r="L503" s="27"/>
      <c r="M503" s="27"/>
      <c r="N503" s="27"/>
      <c r="O503" s="27"/>
      <c r="P503" s="27"/>
      <c r="Q503" s="27"/>
      <c r="R503" s="27"/>
      <c r="S503" s="27"/>
      <c r="T503" s="27"/>
      <c r="U503" s="27"/>
      <c r="V503" s="27"/>
      <c r="W503" s="27"/>
      <c r="X503" s="27"/>
      <c r="Y503" s="27"/>
      <c r="Z503" s="27"/>
      <c r="AA503" s="27"/>
      <c r="AB503" s="27"/>
      <c r="AC503" s="27"/>
      <c r="AD503" s="27"/>
      <c r="AE503" s="27"/>
      <c r="AF503" s="27"/>
      <c r="AG503" s="27"/>
      <c r="AH503" s="27"/>
      <c r="AI503" s="27"/>
      <c r="AJ503" s="27"/>
      <c r="AK503" s="27"/>
      <c r="AL503" s="27"/>
      <c r="AM503" s="27"/>
      <c r="AN503" s="27"/>
      <c r="AO503" s="27"/>
      <c r="AP503" s="27"/>
      <c r="AQ503" s="27"/>
      <c r="AR503" s="27"/>
      <c r="AS503" s="27"/>
      <c r="AT503" s="27"/>
      <c r="AU503" s="27"/>
      <c r="AV503" s="27"/>
      <c r="AW503" s="27"/>
      <c r="AX503" s="27"/>
      <c r="AY503" s="27"/>
      <c r="AZ503" s="27"/>
      <c r="BA503" s="27"/>
      <c r="BB503" s="27"/>
      <c r="BC503" s="27"/>
      <c r="BD503" s="27"/>
      <c r="BE503" s="27"/>
      <c r="BF503" s="27"/>
      <c r="BG503" s="27"/>
      <c r="BH503" s="27"/>
      <c r="BI503" s="27"/>
      <c r="BJ503" s="27"/>
      <c r="BK503" s="27"/>
      <c r="BL503" s="27"/>
      <c r="BM503" s="27"/>
      <c r="BN503" s="27"/>
      <c r="BO503" s="27"/>
      <c r="BP503" s="27"/>
      <c r="BQ503" s="27"/>
      <c r="BR503" s="27"/>
      <c r="BS503" s="27"/>
      <c r="BT503" s="27"/>
      <c r="BU503" s="27"/>
      <c r="BV503" s="27"/>
      <c r="BW503" s="27"/>
      <c r="BX503" s="27"/>
      <c r="BY503" s="27"/>
      <c r="BZ503" s="27"/>
      <c r="CA503" s="27"/>
      <c r="CB503" s="27"/>
      <c r="CC503" s="27"/>
      <c r="CD503" s="27"/>
      <c r="CE503" s="27"/>
      <c r="CF503" s="27"/>
      <c r="CG503" s="27"/>
      <c r="CH503" s="27"/>
      <c r="CI503" s="27"/>
      <c r="CJ503" s="27"/>
      <c r="CK503" s="27"/>
      <c r="CL503" s="27"/>
      <c r="CM503" s="27"/>
      <c r="CN503" s="27"/>
      <c r="CO503" s="27"/>
      <c r="CP503" s="27"/>
      <c r="CQ503" s="27"/>
      <c r="CR503" s="27"/>
      <c r="CS503" s="27"/>
      <c r="CT503" s="27"/>
      <c r="CU503" s="27"/>
      <c r="CV503" s="27"/>
      <c r="CW503" s="27"/>
      <c r="CX503" s="27"/>
      <c r="CY503" s="27"/>
      <c r="CZ503" s="27"/>
      <c r="DA503" s="27"/>
      <c r="DB503" s="27"/>
      <c r="DC503" s="27"/>
      <c r="DD503" s="27"/>
      <c r="DE503" s="27"/>
      <c r="DF503" s="27"/>
      <c r="DG503" s="27"/>
      <c r="DH503" s="27"/>
      <c r="DI503" s="27"/>
      <c r="DJ503" s="27"/>
      <c r="DK503" s="27"/>
      <c r="DL503" s="27"/>
      <c r="DM503" s="27"/>
      <c r="DN503" s="27"/>
      <c r="DO503" s="27"/>
      <c r="DP503" s="27"/>
      <c r="DQ503" s="27"/>
      <c r="DR503" s="27"/>
      <c r="DS503" s="27"/>
      <c r="DT503" s="27"/>
    </row>
    <row r="504" spans="7:124" x14ac:dyDescent="0.2">
      <c r="G504" s="27"/>
      <c r="H504" s="27"/>
      <c r="I504" s="27"/>
      <c r="J504" s="27"/>
      <c r="K504" s="27"/>
      <c r="L504" s="27"/>
      <c r="M504" s="27"/>
      <c r="N504" s="27"/>
      <c r="O504" s="27"/>
      <c r="P504" s="27"/>
      <c r="Q504" s="27"/>
      <c r="R504" s="27"/>
      <c r="S504" s="27"/>
      <c r="T504" s="27"/>
      <c r="U504" s="27"/>
      <c r="V504" s="27"/>
      <c r="W504" s="27"/>
      <c r="X504" s="27"/>
      <c r="Y504" s="27"/>
      <c r="Z504" s="27"/>
      <c r="AA504" s="27"/>
      <c r="AB504" s="27"/>
      <c r="AC504" s="27"/>
      <c r="AD504" s="27"/>
      <c r="AE504" s="27"/>
      <c r="AF504" s="27"/>
      <c r="AG504" s="27"/>
      <c r="AH504" s="27"/>
      <c r="AI504" s="27"/>
      <c r="AJ504" s="27"/>
      <c r="AK504" s="27"/>
      <c r="AL504" s="27"/>
      <c r="AM504" s="27"/>
      <c r="AN504" s="27"/>
      <c r="AO504" s="27"/>
      <c r="AP504" s="27"/>
      <c r="AQ504" s="27"/>
      <c r="AR504" s="27"/>
      <c r="AS504" s="27"/>
      <c r="AT504" s="27"/>
      <c r="AU504" s="27"/>
      <c r="AV504" s="27"/>
      <c r="AW504" s="27"/>
      <c r="AX504" s="27"/>
      <c r="AY504" s="27"/>
      <c r="AZ504" s="27"/>
      <c r="BA504" s="27"/>
      <c r="BB504" s="27"/>
      <c r="BC504" s="27"/>
      <c r="BD504" s="27"/>
      <c r="BE504" s="27"/>
      <c r="BF504" s="27"/>
      <c r="BG504" s="27"/>
      <c r="BH504" s="27"/>
      <c r="BI504" s="27"/>
      <c r="BJ504" s="27"/>
      <c r="BK504" s="27"/>
      <c r="BL504" s="27"/>
      <c r="BM504" s="27"/>
      <c r="BN504" s="27"/>
      <c r="BO504" s="27"/>
      <c r="BP504" s="27"/>
      <c r="BQ504" s="27"/>
      <c r="BR504" s="27"/>
      <c r="BS504" s="27"/>
      <c r="BT504" s="27"/>
      <c r="BU504" s="27"/>
      <c r="BV504" s="27"/>
      <c r="BW504" s="27"/>
      <c r="BX504" s="27"/>
      <c r="BY504" s="27"/>
      <c r="BZ504" s="27"/>
      <c r="CA504" s="27"/>
      <c r="CB504" s="27"/>
      <c r="CC504" s="27"/>
      <c r="CD504" s="27"/>
      <c r="CE504" s="27"/>
      <c r="CF504" s="27"/>
      <c r="CG504" s="27"/>
      <c r="CH504" s="27"/>
      <c r="CI504" s="27"/>
      <c r="CJ504" s="27"/>
      <c r="CK504" s="27"/>
      <c r="CL504" s="27"/>
      <c r="CM504" s="27"/>
      <c r="CN504" s="27"/>
      <c r="CO504" s="27"/>
      <c r="CP504" s="27"/>
      <c r="CQ504" s="27"/>
      <c r="CR504" s="27"/>
      <c r="CS504" s="27"/>
      <c r="CT504" s="27"/>
      <c r="CU504" s="27"/>
      <c r="CV504" s="27"/>
      <c r="CW504" s="27"/>
      <c r="CX504" s="27"/>
      <c r="CY504" s="27"/>
      <c r="CZ504" s="27"/>
      <c r="DA504" s="27"/>
      <c r="DB504" s="27"/>
      <c r="DC504" s="27"/>
      <c r="DD504" s="27"/>
      <c r="DE504" s="27"/>
      <c r="DF504" s="27"/>
      <c r="DG504" s="27"/>
      <c r="DH504" s="27"/>
      <c r="DI504" s="27"/>
      <c r="DJ504" s="27"/>
      <c r="DK504" s="27"/>
      <c r="DL504" s="27"/>
      <c r="DM504" s="27"/>
      <c r="DN504" s="27"/>
      <c r="DO504" s="27"/>
      <c r="DP504" s="27"/>
      <c r="DQ504" s="27"/>
      <c r="DR504" s="27"/>
      <c r="DS504" s="27"/>
      <c r="DT504" s="27"/>
    </row>
    <row r="505" spans="7:124" x14ac:dyDescent="0.2">
      <c r="G505" s="27"/>
      <c r="H505" s="27"/>
      <c r="I505" s="27"/>
      <c r="J505" s="27"/>
      <c r="K505" s="27"/>
      <c r="L505" s="27"/>
      <c r="M505" s="27"/>
      <c r="N505" s="27"/>
      <c r="O505" s="27"/>
      <c r="P505" s="27"/>
      <c r="Q505" s="27"/>
      <c r="R505" s="27"/>
      <c r="S505" s="27"/>
      <c r="T505" s="27"/>
      <c r="U505" s="27"/>
      <c r="V505" s="27"/>
      <c r="W505" s="27"/>
      <c r="X505" s="27"/>
      <c r="Y505" s="27"/>
      <c r="Z505" s="27"/>
      <c r="AA505" s="27"/>
      <c r="AB505" s="27"/>
      <c r="AC505" s="27"/>
      <c r="AD505" s="27"/>
      <c r="AE505" s="27"/>
      <c r="AF505" s="27"/>
      <c r="AG505" s="27"/>
      <c r="AH505" s="27"/>
      <c r="AI505" s="27"/>
      <c r="AJ505" s="27"/>
      <c r="AK505" s="27"/>
      <c r="AL505" s="27"/>
      <c r="AM505" s="27"/>
      <c r="AN505" s="27"/>
      <c r="AO505" s="27"/>
      <c r="AP505" s="27"/>
      <c r="AQ505" s="27"/>
      <c r="AR505" s="27"/>
      <c r="AS505" s="27"/>
      <c r="AT505" s="27"/>
      <c r="AU505" s="27"/>
      <c r="AV505" s="27"/>
      <c r="AW505" s="27"/>
      <c r="AX505" s="27"/>
      <c r="AY505" s="27"/>
      <c r="AZ505" s="27"/>
      <c r="BA505" s="27"/>
      <c r="BB505" s="27"/>
      <c r="BC505" s="27"/>
      <c r="BD505" s="27"/>
      <c r="BE505" s="27"/>
      <c r="BF505" s="27"/>
      <c r="BG505" s="27"/>
      <c r="BH505" s="27"/>
      <c r="BI505" s="27"/>
      <c r="BJ505" s="27"/>
      <c r="BK505" s="27"/>
      <c r="BL505" s="27"/>
      <c r="BM505" s="27"/>
      <c r="BN505" s="27"/>
      <c r="BO505" s="27"/>
      <c r="BP505" s="27"/>
      <c r="BQ505" s="27"/>
      <c r="BR505" s="27"/>
      <c r="BS505" s="27"/>
      <c r="BT505" s="27"/>
      <c r="BU505" s="27"/>
      <c r="BV505" s="27"/>
      <c r="BW505" s="27"/>
      <c r="BX505" s="27"/>
      <c r="BY505" s="27"/>
      <c r="BZ505" s="27"/>
      <c r="CA505" s="27"/>
      <c r="CB505" s="27"/>
      <c r="CC505" s="27"/>
      <c r="CD505" s="27"/>
      <c r="CE505" s="27"/>
      <c r="CF505" s="27"/>
      <c r="CG505" s="27"/>
      <c r="CH505" s="27"/>
      <c r="CI505" s="27"/>
      <c r="CJ505" s="27"/>
      <c r="CK505" s="27"/>
      <c r="CL505" s="27"/>
      <c r="CM505" s="27"/>
      <c r="CN505" s="27"/>
      <c r="CO505" s="27"/>
      <c r="CP505" s="27"/>
      <c r="CQ505" s="27"/>
      <c r="CR505" s="27"/>
      <c r="CS505" s="27"/>
      <c r="CT505" s="27"/>
      <c r="CU505" s="27"/>
      <c r="CV505" s="27"/>
      <c r="CW505" s="27"/>
      <c r="CX505" s="27"/>
      <c r="CY505" s="27"/>
      <c r="CZ505" s="27"/>
      <c r="DA505" s="27"/>
      <c r="DB505" s="27"/>
      <c r="DC505" s="27"/>
      <c r="DD505" s="27"/>
      <c r="DE505" s="27"/>
      <c r="DF505" s="27"/>
      <c r="DG505" s="27"/>
      <c r="DH505" s="27"/>
      <c r="DI505" s="27"/>
      <c r="DJ505" s="27"/>
      <c r="DK505" s="27"/>
      <c r="DL505" s="27"/>
      <c r="DM505" s="27"/>
      <c r="DN505" s="27"/>
      <c r="DO505" s="27"/>
      <c r="DP505" s="27"/>
      <c r="DQ505" s="27"/>
      <c r="DR505" s="27"/>
      <c r="DS505" s="27"/>
      <c r="DT505" s="27"/>
    </row>
    <row r="506" spans="7:124" x14ac:dyDescent="0.2">
      <c r="G506" s="27"/>
      <c r="H506" s="27"/>
      <c r="I506" s="27"/>
      <c r="J506" s="27"/>
      <c r="K506" s="27"/>
      <c r="L506" s="27"/>
      <c r="M506" s="27"/>
      <c r="N506" s="27"/>
      <c r="O506" s="27"/>
      <c r="P506" s="27"/>
      <c r="Q506" s="27"/>
      <c r="R506" s="27"/>
      <c r="S506" s="27"/>
      <c r="T506" s="27"/>
      <c r="U506" s="27"/>
      <c r="V506" s="27"/>
      <c r="W506" s="27"/>
      <c r="X506" s="27"/>
      <c r="Y506" s="27"/>
      <c r="Z506" s="27"/>
      <c r="AA506" s="27"/>
      <c r="AB506" s="27"/>
      <c r="AC506" s="27"/>
      <c r="AD506" s="27"/>
      <c r="AE506" s="27"/>
      <c r="AF506" s="27"/>
      <c r="AG506" s="27"/>
      <c r="AH506" s="27"/>
      <c r="AI506" s="27"/>
      <c r="AJ506" s="27"/>
      <c r="AK506" s="27"/>
      <c r="AL506" s="27"/>
      <c r="AM506" s="27"/>
      <c r="AN506" s="27"/>
      <c r="AO506" s="27"/>
      <c r="AP506" s="27"/>
      <c r="AQ506" s="27"/>
      <c r="AR506" s="27"/>
      <c r="AS506" s="27"/>
      <c r="AT506" s="27"/>
      <c r="AU506" s="27"/>
      <c r="AV506" s="27"/>
      <c r="AW506" s="27"/>
      <c r="AX506" s="27"/>
      <c r="AY506" s="27"/>
      <c r="AZ506" s="27"/>
      <c r="BA506" s="27"/>
      <c r="BB506" s="27"/>
      <c r="BC506" s="27"/>
      <c r="BD506" s="27"/>
      <c r="BE506" s="27"/>
      <c r="BF506" s="27"/>
      <c r="BG506" s="27"/>
      <c r="BH506" s="27"/>
      <c r="BI506" s="27"/>
      <c r="BJ506" s="27"/>
      <c r="BK506" s="27"/>
      <c r="BL506" s="27"/>
      <c r="BM506" s="27"/>
      <c r="BN506" s="27"/>
      <c r="BO506" s="27"/>
      <c r="BP506" s="27"/>
      <c r="BQ506" s="27"/>
      <c r="BR506" s="27"/>
      <c r="BS506" s="27"/>
      <c r="BT506" s="27"/>
      <c r="BU506" s="27"/>
      <c r="BV506" s="27"/>
      <c r="BW506" s="27"/>
      <c r="BX506" s="27"/>
      <c r="BY506" s="27"/>
      <c r="BZ506" s="27"/>
      <c r="CA506" s="27"/>
      <c r="CB506" s="27"/>
      <c r="CC506" s="27"/>
      <c r="CD506" s="27"/>
      <c r="CE506" s="27"/>
      <c r="CF506" s="27"/>
      <c r="CG506" s="27"/>
      <c r="CH506" s="27"/>
      <c r="CI506" s="27"/>
      <c r="CJ506" s="27"/>
      <c r="CK506" s="27"/>
      <c r="CL506" s="27"/>
      <c r="CM506" s="27"/>
      <c r="CN506" s="27"/>
      <c r="CO506" s="27"/>
      <c r="CP506" s="27"/>
      <c r="CQ506" s="27"/>
      <c r="CR506" s="27"/>
      <c r="CS506" s="27"/>
      <c r="CT506" s="27"/>
      <c r="CU506" s="27"/>
      <c r="CV506" s="27"/>
      <c r="CW506" s="27"/>
      <c r="CX506" s="27"/>
      <c r="CY506" s="27"/>
      <c r="CZ506" s="27"/>
      <c r="DA506" s="27"/>
      <c r="DB506" s="27"/>
      <c r="DC506" s="27"/>
      <c r="DD506" s="27"/>
      <c r="DE506" s="27"/>
      <c r="DF506" s="27"/>
      <c r="DG506" s="27"/>
      <c r="DH506" s="27"/>
      <c r="DI506" s="27"/>
      <c r="DJ506" s="27"/>
      <c r="DK506" s="27"/>
      <c r="DL506" s="27"/>
      <c r="DM506" s="27"/>
      <c r="DN506" s="27"/>
      <c r="DO506" s="27"/>
      <c r="DP506" s="27"/>
      <c r="DQ506" s="27"/>
      <c r="DR506" s="27"/>
      <c r="DS506" s="27"/>
      <c r="DT506" s="27"/>
    </row>
    <row r="507" spans="7:124" x14ac:dyDescent="0.2">
      <c r="G507" s="27"/>
      <c r="H507" s="27"/>
      <c r="I507" s="27"/>
      <c r="J507" s="27"/>
      <c r="K507" s="27"/>
      <c r="L507" s="27"/>
      <c r="M507" s="27"/>
      <c r="N507" s="27"/>
      <c r="O507" s="27"/>
      <c r="P507" s="27"/>
      <c r="Q507" s="27"/>
      <c r="R507" s="27"/>
      <c r="S507" s="27"/>
      <c r="T507" s="27"/>
      <c r="U507" s="27"/>
      <c r="V507" s="27"/>
      <c r="W507" s="27"/>
      <c r="X507" s="27"/>
      <c r="Y507" s="27"/>
      <c r="Z507" s="27"/>
      <c r="AA507" s="27"/>
      <c r="AB507" s="27"/>
      <c r="AC507" s="27"/>
      <c r="AD507" s="27"/>
      <c r="AE507" s="27"/>
      <c r="AF507" s="27"/>
      <c r="AG507" s="27"/>
      <c r="AH507" s="27"/>
      <c r="AI507" s="27"/>
      <c r="AJ507" s="27"/>
      <c r="AK507" s="27"/>
      <c r="AL507" s="27"/>
      <c r="AM507" s="27"/>
      <c r="AN507" s="27"/>
      <c r="AO507" s="27"/>
      <c r="AP507" s="27"/>
      <c r="AQ507" s="27"/>
      <c r="AR507" s="27"/>
      <c r="AS507" s="27"/>
      <c r="AT507" s="27"/>
      <c r="AU507" s="27"/>
      <c r="AV507" s="27"/>
      <c r="AW507" s="27"/>
      <c r="AX507" s="27"/>
      <c r="AY507" s="27"/>
      <c r="AZ507" s="27"/>
      <c r="BA507" s="27"/>
      <c r="BB507" s="27"/>
      <c r="BC507" s="27"/>
      <c r="BD507" s="27"/>
      <c r="BE507" s="27"/>
      <c r="BF507" s="27"/>
      <c r="BG507" s="27"/>
      <c r="BH507" s="27"/>
      <c r="BI507" s="27"/>
      <c r="BJ507" s="27"/>
      <c r="BK507" s="27"/>
      <c r="BL507" s="27"/>
      <c r="BM507" s="27"/>
      <c r="BN507" s="27"/>
      <c r="BO507" s="27"/>
      <c r="BP507" s="27"/>
      <c r="BQ507" s="27"/>
      <c r="BR507" s="27"/>
      <c r="BS507" s="27"/>
      <c r="BT507" s="27"/>
      <c r="BU507" s="27"/>
      <c r="BV507" s="27"/>
      <c r="BW507" s="27"/>
      <c r="BX507" s="27"/>
      <c r="BY507" s="27"/>
      <c r="BZ507" s="27"/>
      <c r="CA507" s="27"/>
      <c r="CB507" s="27"/>
      <c r="CC507" s="27"/>
      <c r="CD507" s="27"/>
      <c r="CE507" s="27"/>
      <c r="CF507" s="27"/>
      <c r="CG507" s="27"/>
      <c r="CH507" s="27"/>
      <c r="CI507" s="27"/>
      <c r="CJ507" s="27"/>
      <c r="CK507" s="27"/>
      <c r="CL507" s="27"/>
      <c r="CM507" s="27"/>
      <c r="CN507" s="27"/>
      <c r="CO507" s="27"/>
      <c r="CP507" s="27"/>
      <c r="CQ507" s="27"/>
      <c r="CR507" s="27"/>
      <c r="CS507" s="27"/>
      <c r="CT507" s="27"/>
      <c r="CU507" s="27"/>
      <c r="CV507" s="27"/>
      <c r="CW507" s="27"/>
      <c r="CX507" s="27"/>
      <c r="CY507" s="27"/>
      <c r="CZ507" s="27"/>
      <c r="DA507" s="27"/>
      <c r="DB507" s="27"/>
      <c r="DC507" s="27"/>
      <c r="DD507" s="27"/>
      <c r="DE507" s="27"/>
      <c r="DF507" s="27"/>
      <c r="DG507" s="27"/>
      <c r="DH507" s="27"/>
      <c r="DI507" s="27"/>
      <c r="DJ507" s="27"/>
      <c r="DK507" s="27"/>
      <c r="DL507" s="27"/>
      <c r="DM507" s="27"/>
      <c r="DN507" s="27"/>
      <c r="DO507" s="27"/>
      <c r="DP507" s="27"/>
      <c r="DQ507" s="27"/>
      <c r="DR507" s="27"/>
      <c r="DS507" s="27"/>
      <c r="DT507" s="27"/>
    </row>
    <row r="508" spans="7:124" x14ac:dyDescent="0.2">
      <c r="G508" s="27"/>
      <c r="H508" s="27"/>
      <c r="I508" s="27"/>
      <c r="J508" s="27"/>
      <c r="K508" s="27"/>
      <c r="L508" s="27"/>
      <c r="M508" s="27"/>
      <c r="N508" s="27"/>
      <c r="O508" s="27"/>
      <c r="P508" s="27"/>
      <c r="Q508" s="27"/>
      <c r="R508" s="27"/>
      <c r="S508" s="27"/>
      <c r="T508" s="27"/>
      <c r="U508" s="27"/>
      <c r="V508" s="27"/>
      <c r="W508" s="27"/>
      <c r="X508" s="27"/>
      <c r="Y508" s="27"/>
      <c r="Z508" s="27"/>
      <c r="AA508" s="27"/>
      <c r="AB508" s="27"/>
      <c r="AC508" s="27"/>
      <c r="AD508" s="27"/>
      <c r="AE508" s="27"/>
      <c r="AF508" s="27"/>
      <c r="AG508" s="27"/>
      <c r="AH508" s="27"/>
      <c r="AI508" s="27"/>
      <c r="AJ508" s="27"/>
      <c r="AK508" s="27"/>
      <c r="AL508" s="27"/>
      <c r="AM508" s="27"/>
      <c r="AN508" s="27"/>
      <c r="AO508" s="27"/>
      <c r="AP508" s="27"/>
      <c r="AQ508" s="27"/>
      <c r="AR508" s="27"/>
      <c r="AS508" s="27"/>
      <c r="AT508" s="27"/>
      <c r="AU508" s="27"/>
      <c r="AV508" s="27"/>
      <c r="AW508" s="27"/>
      <c r="AX508" s="27"/>
      <c r="AY508" s="27"/>
      <c r="AZ508" s="27"/>
      <c r="BA508" s="27"/>
      <c r="BB508" s="27"/>
      <c r="BC508" s="27"/>
      <c r="BD508" s="27"/>
      <c r="BE508" s="27"/>
      <c r="BF508" s="27"/>
      <c r="BG508" s="27"/>
      <c r="BH508" s="27"/>
      <c r="BI508" s="27"/>
      <c r="BJ508" s="27"/>
      <c r="BK508" s="27"/>
      <c r="BL508" s="27"/>
      <c r="BM508" s="27"/>
      <c r="BN508" s="27"/>
      <c r="BO508" s="27"/>
      <c r="BP508" s="27"/>
      <c r="BQ508" s="27"/>
      <c r="BR508" s="27"/>
      <c r="BS508" s="27"/>
      <c r="BT508" s="27"/>
      <c r="BU508" s="27"/>
      <c r="BV508" s="27"/>
      <c r="BW508" s="27"/>
      <c r="BX508" s="27"/>
      <c r="BY508" s="27"/>
      <c r="BZ508" s="27"/>
      <c r="CA508" s="27"/>
      <c r="CB508" s="27"/>
      <c r="CC508" s="27"/>
      <c r="CD508" s="27"/>
      <c r="CE508" s="27"/>
      <c r="CF508" s="27"/>
      <c r="CG508" s="27"/>
      <c r="CH508" s="27"/>
      <c r="CI508" s="27"/>
      <c r="CJ508" s="27"/>
      <c r="CK508" s="27"/>
      <c r="CL508" s="27"/>
      <c r="CM508" s="27"/>
      <c r="CN508" s="27"/>
      <c r="CO508" s="27"/>
      <c r="CP508" s="27"/>
      <c r="CQ508" s="27"/>
      <c r="CR508" s="27"/>
      <c r="CS508" s="27"/>
      <c r="CT508" s="27"/>
      <c r="CU508" s="27"/>
      <c r="CV508" s="27"/>
      <c r="CW508" s="27"/>
      <c r="CX508" s="27"/>
      <c r="CY508" s="27"/>
      <c r="CZ508" s="27"/>
      <c r="DA508" s="27"/>
      <c r="DB508" s="27"/>
      <c r="DC508" s="27"/>
      <c r="DD508" s="27"/>
      <c r="DE508" s="27"/>
      <c r="DF508" s="27"/>
      <c r="DG508" s="27"/>
      <c r="DH508" s="27"/>
      <c r="DI508" s="27"/>
      <c r="DJ508" s="27"/>
      <c r="DK508" s="27"/>
      <c r="DL508" s="27"/>
      <c r="DM508" s="27"/>
      <c r="DN508" s="27"/>
      <c r="DO508" s="27"/>
      <c r="DP508" s="27"/>
      <c r="DQ508" s="27"/>
      <c r="DR508" s="27"/>
      <c r="DS508" s="27"/>
      <c r="DT508" s="27"/>
    </row>
    <row r="509" spans="7:124" x14ac:dyDescent="0.2">
      <c r="G509" s="27"/>
      <c r="H509" s="27"/>
      <c r="I509" s="27"/>
      <c r="J509" s="27"/>
      <c r="K509" s="27"/>
      <c r="L509" s="27"/>
      <c r="M509" s="27"/>
      <c r="N509" s="27"/>
      <c r="O509" s="27"/>
      <c r="P509" s="27"/>
      <c r="Q509" s="27"/>
      <c r="R509" s="27"/>
      <c r="S509" s="27"/>
      <c r="T509" s="27"/>
      <c r="U509" s="27"/>
      <c r="V509" s="27"/>
      <c r="W509" s="27"/>
      <c r="X509" s="27"/>
      <c r="Y509" s="27"/>
      <c r="Z509" s="27"/>
      <c r="AA509" s="27"/>
      <c r="AB509" s="27"/>
      <c r="AC509" s="27"/>
      <c r="AD509" s="27"/>
      <c r="AE509" s="27"/>
      <c r="AF509" s="27"/>
      <c r="AG509" s="27"/>
      <c r="AH509" s="27"/>
      <c r="AI509" s="27"/>
      <c r="AJ509" s="27"/>
      <c r="AK509" s="27"/>
      <c r="AL509" s="27"/>
      <c r="AM509" s="27"/>
      <c r="AN509" s="27"/>
      <c r="AO509" s="27"/>
      <c r="AP509" s="27"/>
      <c r="AQ509" s="27"/>
      <c r="AR509" s="27"/>
      <c r="AS509" s="27"/>
      <c r="AT509" s="27"/>
      <c r="AU509" s="27"/>
      <c r="AV509" s="27"/>
      <c r="AW509" s="27"/>
      <c r="AX509" s="27"/>
      <c r="AY509" s="27"/>
      <c r="AZ509" s="27"/>
      <c r="BA509" s="27"/>
      <c r="BB509" s="27"/>
      <c r="BC509" s="27"/>
      <c r="BD509" s="27"/>
      <c r="BE509" s="27"/>
      <c r="BF509" s="27"/>
      <c r="BG509" s="27"/>
      <c r="BH509" s="27"/>
      <c r="BI509" s="27"/>
      <c r="BJ509" s="27"/>
      <c r="BK509" s="27"/>
      <c r="BL509" s="27"/>
      <c r="BM509" s="27"/>
      <c r="BN509" s="27"/>
      <c r="BO509" s="27"/>
      <c r="BP509" s="27"/>
      <c r="BQ509" s="27"/>
      <c r="BR509" s="27"/>
      <c r="BS509" s="27"/>
      <c r="BT509" s="27"/>
      <c r="BU509" s="27"/>
      <c r="BV509" s="27"/>
      <c r="BW509" s="27"/>
      <c r="BX509" s="27"/>
      <c r="BY509" s="27"/>
      <c r="BZ509" s="27"/>
      <c r="CA509" s="27"/>
      <c r="CB509" s="27"/>
      <c r="CC509" s="27"/>
      <c r="CD509" s="27"/>
      <c r="CE509" s="27"/>
      <c r="CF509" s="27"/>
      <c r="CG509" s="27"/>
      <c r="CH509" s="27"/>
      <c r="CI509" s="27"/>
      <c r="CJ509" s="27"/>
      <c r="CK509" s="27"/>
      <c r="CL509" s="27"/>
      <c r="CM509" s="27"/>
      <c r="CN509" s="27"/>
      <c r="CO509" s="27"/>
      <c r="CP509" s="27"/>
      <c r="CQ509" s="27"/>
      <c r="CR509" s="27"/>
      <c r="CS509" s="27"/>
      <c r="CT509" s="27"/>
      <c r="CU509" s="27"/>
      <c r="CV509" s="27"/>
      <c r="CW509" s="27"/>
      <c r="CX509" s="27"/>
      <c r="CY509" s="27"/>
      <c r="CZ509" s="27"/>
      <c r="DA509" s="27"/>
      <c r="DB509" s="27"/>
      <c r="DC509" s="27"/>
      <c r="DD509" s="27"/>
      <c r="DE509" s="27"/>
      <c r="DF509" s="27"/>
      <c r="DG509" s="27"/>
      <c r="DH509" s="27"/>
      <c r="DI509" s="27"/>
      <c r="DJ509" s="27"/>
      <c r="DK509" s="27"/>
      <c r="DL509" s="27"/>
      <c r="DM509" s="27"/>
      <c r="DN509" s="27"/>
      <c r="DO509" s="27"/>
      <c r="DP509" s="27"/>
      <c r="DQ509" s="27"/>
      <c r="DR509" s="27"/>
      <c r="DS509" s="27"/>
      <c r="DT509" s="27"/>
    </row>
    <row r="510" spans="7:124" x14ac:dyDescent="0.2">
      <c r="G510" s="27"/>
      <c r="H510" s="27"/>
      <c r="I510" s="27"/>
      <c r="J510" s="27"/>
      <c r="K510" s="27"/>
      <c r="L510" s="27"/>
      <c r="M510" s="27"/>
      <c r="N510" s="27"/>
      <c r="O510" s="27"/>
      <c r="P510" s="27"/>
      <c r="Q510" s="27"/>
      <c r="R510" s="27"/>
      <c r="S510" s="27"/>
      <c r="T510" s="27"/>
      <c r="U510" s="27"/>
      <c r="V510" s="27"/>
      <c r="W510" s="27"/>
      <c r="X510" s="27"/>
      <c r="Y510" s="27"/>
      <c r="Z510" s="27"/>
      <c r="AA510" s="27"/>
      <c r="AB510" s="27"/>
      <c r="AC510" s="27"/>
      <c r="AD510" s="27"/>
      <c r="AE510" s="27"/>
      <c r="AF510" s="27"/>
      <c r="AG510" s="27"/>
      <c r="AH510" s="27"/>
      <c r="AI510" s="27"/>
      <c r="AJ510" s="27"/>
      <c r="AK510" s="27"/>
      <c r="AL510" s="27"/>
      <c r="AM510" s="27"/>
      <c r="AN510" s="27"/>
      <c r="AO510" s="27"/>
      <c r="AP510" s="27"/>
      <c r="AQ510" s="27"/>
      <c r="AR510" s="27"/>
      <c r="AS510" s="27"/>
      <c r="AT510" s="27"/>
      <c r="AU510" s="27"/>
      <c r="AV510" s="27"/>
      <c r="AW510" s="27"/>
      <c r="AX510" s="27"/>
      <c r="AY510" s="27"/>
      <c r="AZ510" s="27"/>
      <c r="BA510" s="27"/>
      <c r="BB510" s="27"/>
      <c r="BC510" s="27"/>
      <c r="BD510" s="27"/>
      <c r="BE510" s="27"/>
      <c r="BF510" s="27"/>
      <c r="BG510" s="27"/>
      <c r="BH510" s="27"/>
      <c r="BI510" s="27"/>
      <c r="BJ510" s="27"/>
      <c r="BK510" s="27"/>
      <c r="BL510" s="27"/>
      <c r="BM510" s="27"/>
      <c r="BN510" s="27"/>
      <c r="BO510" s="27"/>
      <c r="BP510" s="27"/>
      <c r="BQ510" s="27"/>
      <c r="BR510" s="27"/>
      <c r="BS510" s="27"/>
      <c r="BT510" s="27"/>
      <c r="BU510" s="27"/>
      <c r="BV510" s="27"/>
      <c r="BW510" s="27"/>
      <c r="BX510" s="27"/>
      <c r="BY510" s="27"/>
      <c r="BZ510" s="27"/>
      <c r="CA510" s="27"/>
      <c r="CB510" s="27"/>
      <c r="CC510" s="27"/>
      <c r="CD510" s="27"/>
      <c r="CE510" s="27"/>
      <c r="CF510" s="27"/>
      <c r="CG510" s="27"/>
      <c r="CH510" s="27"/>
      <c r="CI510" s="27"/>
      <c r="CJ510" s="27"/>
      <c r="CK510" s="27"/>
      <c r="CL510" s="27"/>
      <c r="CM510" s="27"/>
      <c r="CN510" s="27"/>
      <c r="CO510" s="27"/>
      <c r="CP510" s="27"/>
      <c r="CQ510" s="27"/>
      <c r="CR510" s="27"/>
      <c r="CS510" s="27"/>
      <c r="CT510" s="27"/>
      <c r="CU510" s="27"/>
      <c r="CV510" s="27"/>
      <c r="CW510" s="27"/>
      <c r="CX510" s="27"/>
      <c r="CY510" s="27"/>
      <c r="CZ510" s="27"/>
      <c r="DA510" s="27"/>
      <c r="DB510" s="27"/>
      <c r="DC510" s="27"/>
      <c r="DD510" s="27"/>
      <c r="DE510" s="27"/>
      <c r="DF510" s="27"/>
      <c r="DG510" s="27"/>
      <c r="DH510" s="27"/>
      <c r="DI510" s="27"/>
      <c r="DJ510" s="27"/>
      <c r="DK510" s="27"/>
      <c r="DL510" s="27"/>
      <c r="DM510" s="27"/>
      <c r="DN510" s="27"/>
      <c r="DO510" s="27"/>
      <c r="DP510" s="27"/>
      <c r="DQ510" s="27"/>
      <c r="DR510" s="27"/>
      <c r="DS510" s="27"/>
      <c r="DT510" s="27"/>
    </row>
    <row r="511" spans="7:124" x14ac:dyDescent="0.2">
      <c r="G511" s="27"/>
      <c r="H511" s="27"/>
      <c r="I511" s="27"/>
      <c r="J511" s="27"/>
      <c r="K511" s="27"/>
      <c r="L511" s="27"/>
      <c r="M511" s="27"/>
      <c r="N511" s="27"/>
      <c r="O511" s="27"/>
      <c r="P511" s="27"/>
      <c r="Q511" s="27"/>
      <c r="R511" s="27"/>
      <c r="S511" s="27"/>
      <c r="T511" s="27"/>
      <c r="U511" s="27"/>
      <c r="V511" s="27"/>
      <c r="W511" s="27"/>
      <c r="X511" s="27"/>
      <c r="Y511" s="27"/>
      <c r="Z511" s="27"/>
      <c r="AA511" s="27"/>
      <c r="AB511" s="27"/>
      <c r="AC511" s="27"/>
      <c r="AD511" s="27"/>
      <c r="AE511" s="27"/>
      <c r="AF511" s="27"/>
      <c r="AG511" s="27"/>
      <c r="AH511" s="27"/>
      <c r="AI511" s="27"/>
      <c r="AJ511" s="27"/>
      <c r="AK511" s="27"/>
      <c r="AL511" s="27"/>
      <c r="AM511" s="27"/>
      <c r="AN511" s="27"/>
      <c r="AO511" s="27"/>
      <c r="AP511" s="27"/>
      <c r="AQ511" s="27"/>
      <c r="AR511" s="27"/>
      <c r="AS511" s="27"/>
      <c r="AT511" s="27"/>
      <c r="AU511" s="27"/>
      <c r="AV511" s="27"/>
      <c r="AW511" s="27"/>
      <c r="AX511" s="27"/>
      <c r="AY511" s="27"/>
      <c r="AZ511" s="27"/>
      <c r="BA511" s="27"/>
      <c r="BB511" s="27"/>
      <c r="BC511" s="27"/>
      <c r="BD511" s="27"/>
      <c r="BE511" s="27"/>
      <c r="BF511" s="27"/>
      <c r="BG511" s="27"/>
      <c r="BH511" s="27"/>
      <c r="BI511" s="27"/>
      <c r="BJ511" s="27"/>
      <c r="BK511" s="27"/>
      <c r="BL511" s="27"/>
      <c r="BM511" s="27"/>
      <c r="BN511" s="27"/>
      <c r="BO511" s="27"/>
      <c r="BP511" s="27"/>
      <c r="BQ511" s="27"/>
      <c r="BR511" s="27"/>
      <c r="BS511" s="27"/>
      <c r="BT511" s="27"/>
      <c r="BU511" s="27"/>
      <c r="BV511" s="27"/>
      <c r="BW511" s="27"/>
      <c r="BX511" s="27"/>
      <c r="BY511" s="27"/>
      <c r="BZ511" s="27"/>
      <c r="CA511" s="27"/>
      <c r="CB511" s="27"/>
      <c r="CC511" s="27"/>
      <c r="CD511" s="27"/>
      <c r="CE511" s="27"/>
      <c r="CF511" s="27"/>
      <c r="CG511" s="27"/>
      <c r="CH511" s="27"/>
      <c r="CI511" s="27"/>
      <c r="CJ511" s="27"/>
      <c r="CK511" s="27"/>
      <c r="CL511" s="27"/>
      <c r="CM511" s="27"/>
      <c r="CN511" s="27"/>
      <c r="CO511" s="27"/>
      <c r="CP511" s="27"/>
      <c r="CQ511" s="27"/>
      <c r="CR511" s="27"/>
      <c r="CS511" s="27"/>
      <c r="CT511" s="27"/>
      <c r="CU511" s="27"/>
      <c r="CV511" s="27"/>
      <c r="CW511" s="27"/>
      <c r="CX511" s="27"/>
      <c r="CY511" s="27"/>
      <c r="CZ511" s="27"/>
      <c r="DA511" s="27"/>
      <c r="DB511" s="27"/>
      <c r="DC511" s="27"/>
      <c r="DD511" s="27"/>
      <c r="DE511" s="27"/>
      <c r="DF511" s="27"/>
      <c r="DG511" s="27"/>
      <c r="DH511" s="27"/>
      <c r="DI511" s="27"/>
      <c r="DJ511" s="27"/>
      <c r="DK511" s="27"/>
      <c r="DL511" s="27"/>
      <c r="DM511" s="27"/>
      <c r="DN511" s="27"/>
      <c r="DO511" s="27"/>
      <c r="DP511" s="27"/>
      <c r="DQ511" s="27"/>
      <c r="DR511" s="27"/>
      <c r="DS511" s="27"/>
      <c r="DT511" s="27"/>
    </row>
    <row r="512" spans="7:124" x14ac:dyDescent="0.2">
      <c r="G512" s="27"/>
      <c r="H512" s="27"/>
      <c r="I512" s="27"/>
      <c r="J512" s="27"/>
      <c r="K512" s="27"/>
      <c r="L512" s="27"/>
      <c r="M512" s="27"/>
      <c r="N512" s="27"/>
      <c r="O512" s="27"/>
      <c r="P512" s="27"/>
      <c r="Q512" s="27"/>
      <c r="R512" s="27"/>
      <c r="S512" s="27"/>
      <c r="T512" s="27"/>
      <c r="U512" s="27"/>
      <c r="V512" s="27"/>
      <c r="W512" s="27"/>
      <c r="X512" s="27"/>
      <c r="Y512" s="27"/>
      <c r="Z512" s="27"/>
      <c r="AA512" s="27"/>
      <c r="AB512" s="27"/>
      <c r="AC512" s="27"/>
      <c r="AD512" s="27"/>
      <c r="AE512" s="27"/>
      <c r="AF512" s="27"/>
      <c r="AG512" s="27"/>
      <c r="AH512" s="27"/>
      <c r="AI512" s="27"/>
      <c r="AJ512" s="27"/>
      <c r="AK512" s="27"/>
      <c r="AL512" s="27"/>
      <c r="AM512" s="27"/>
      <c r="AN512" s="27"/>
      <c r="AO512" s="27"/>
      <c r="AP512" s="27"/>
      <c r="AQ512" s="27"/>
      <c r="AR512" s="27"/>
      <c r="AS512" s="27"/>
      <c r="AT512" s="27"/>
      <c r="AU512" s="27"/>
      <c r="AV512" s="27"/>
      <c r="AW512" s="27"/>
      <c r="AX512" s="27"/>
      <c r="AY512" s="27"/>
      <c r="AZ512" s="27"/>
      <c r="BA512" s="27"/>
      <c r="BB512" s="27"/>
      <c r="BC512" s="27"/>
      <c r="BD512" s="27"/>
      <c r="BE512" s="27"/>
      <c r="BF512" s="27"/>
      <c r="BG512" s="27"/>
      <c r="BH512" s="27"/>
      <c r="BI512" s="27"/>
      <c r="BJ512" s="27"/>
      <c r="BK512" s="27"/>
      <c r="BL512" s="27"/>
      <c r="BM512" s="27"/>
      <c r="BN512" s="27"/>
      <c r="BO512" s="27"/>
      <c r="BP512" s="27"/>
      <c r="BQ512" s="27"/>
      <c r="BR512" s="27"/>
      <c r="BS512" s="27"/>
      <c r="BT512" s="27"/>
      <c r="BU512" s="27"/>
      <c r="BV512" s="27"/>
      <c r="BW512" s="27"/>
      <c r="BX512" s="27"/>
      <c r="BY512" s="27"/>
      <c r="BZ512" s="27"/>
      <c r="CA512" s="27"/>
      <c r="CB512" s="27"/>
      <c r="CC512" s="27"/>
      <c r="CD512" s="27"/>
      <c r="CE512" s="27"/>
      <c r="CF512" s="27"/>
      <c r="CG512" s="27"/>
      <c r="CH512" s="27"/>
      <c r="CI512" s="27"/>
      <c r="CJ512" s="27"/>
      <c r="CK512" s="27"/>
      <c r="CL512" s="27"/>
      <c r="CM512" s="27"/>
      <c r="CN512" s="27"/>
      <c r="CO512" s="27"/>
      <c r="CP512" s="27"/>
      <c r="CQ512" s="27"/>
      <c r="CR512" s="27"/>
      <c r="CS512" s="27"/>
      <c r="CT512" s="27"/>
      <c r="CU512" s="27"/>
      <c r="CV512" s="27"/>
      <c r="CW512" s="27"/>
      <c r="CX512" s="27"/>
      <c r="CY512" s="27"/>
      <c r="CZ512" s="27"/>
      <c r="DA512" s="27"/>
      <c r="DB512" s="27"/>
      <c r="DC512" s="27"/>
      <c r="DD512" s="27"/>
      <c r="DE512" s="27"/>
      <c r="DF512" s="27"/>
      <c r="DG512" s="27"/>
      <c r="DH512" s="27"/>
      <c r="DI512" s="27"/>
      <c r="DJ512" s="27"/>
      <c r="DK512" s="27"/>
      <c r="DL512" s="27"/>
      <c r="DM512" s="27"/>
      <c r="DN512" s="27"/>
      <c r="DO512" s="27"/>
      <c r="DP512" s="27"/>
      <c r="DQ512" s="27"/>
      <c r="DR512" s="27"/>
      <c r="DS512" s="27"/>
      <c r="DT512" s="27"/>
    </row>
    <row r="513" spans="7:124" x14ac:dyDescent="0.2">
      <c r="G513" s="27"/>
      <c r="H513" s="27"/>
      <c r="I513" s="27"/>
      <c r="J513" s="27"/>
      <c r="K513" s="27"/>
      <c r="L513" s="27"/>
      <c r="M513" s="27"/>
      <c r="N513" s="27"/>
      <c r="O513" s="27"/>
      <c r="P513" s="27"/>
      <c r="Q513" s="27"/>
      <c r="R513" s="27"/>
      <c r="S513" s="27"/>
      <c r="T513" s="27"/>
      <c r="U513" s="27"/>
      <c r="V513" s="27"/>
      <c r="W513" s="27"/>
      <c r="X513" s="27"/>
      <c r="Y513" s="27"/>
      <c r="Z513" s="27"/>
      <c r="AA513" s="27"/>
      <c r="AB513" s="27"/>
      <c r="AC513" s="27"/>
      <c r="AD513" s="27"/>
      <c r="AE513" s="27"/>
      <c r="AF513" s="27"/>
      <c r="AG513" s="27"/>
      <c r="AH513" s="27"/>
      <c r="AI513" s="27"/>
      <c r="AJ513" s="27"/>
      <c r="AK513" s="27"/>
      <c r="AL513" s="27"/>
      <c r="AM513" s="27"/>
      <c r="AN513" s="27"/>
      <c r="AO513" s="27"/>
      <c r="AP513" s="27"/>
      <c r="AQ513" s="27"/>
      <c r="AR513" s="27"/>
      <c r="AS513" s="27"/>
      <c r="AT513" s="27"/>
      <c r="AU513" s="27"/>
      <c r="AV513" s="27"/>
      <c r="AW513" s="27"/>
      <c r="AX513" s="27"/>
      <c r="AY513" s="27"/>
      <c r="AZ513" s="27"/>
      <c r="BA513" s="27"/>
      <c r="BB513" s="27"/>
      <c r="BC513" s="27"/>
      <c r="BD513" s="27"/>
      <c r="BE513" s="27"/>
      <c r="BF513" s="27"/>
      <c r="BG513" s="27"/>
      <c r="BH513" s="27"/>
      <c r="BI513" s="27"/>
      <c r="BJ513" s="27"/>
      <c r="BK513" s="27"/>
      <c r="BL513" s="27"/>
      <c r="BM513" s="27"/>
      <c r="BN513" s="27"/>
      <c r="BO513" s="27"/>
      <c r="BP513" s="27"/>
      <c r="BQ513" s="27"/>
      <c r="BR513" s="27"/>
      <c r="BS513" s="27"/>
      <c r="BT513" s="27"/>
      <c r="BU513" s="27"/>
      <c r="BV513" s="27"/>
      <c r="BW513" s="27"/>
      <c r="BX513" s="27"/>
      <c r="BY513" s="27"/>
      <c r="BZ513" s="27"/>
      <c r="CA513" s="27"/>
      <c r="CB513" s="27"/>
      <c r="CC513" s="27"/>
      <c r="CD513" s="27"/>
      <c r="CE513" s="27"/>
      <c r="CF513" s="27"/>
      <c r="CG513" s="27"/>
      <c r="CH513" s="27"/>
      <c r="CI513" s="27"/>
      <c r="CJ513" s="27"/>
      <c r="CK513" s="27"/>
      <c r="CL513" s="27"/>
      <c r="CM513" s="27"/>
      <c r="CN513" s="27"/>
      <c r="CO513" s="27"/>
      <c r="CP513" s="27"/>
      <c r="CQ513" s="27"/>
      <c r="CR513" s="27"/>
      <c r="CS513" s="27"/>
      <c r="CT513" s="27"/>
      <c r="CU513" s="27"/>
      <c r="CV513" s="27"/>
      <c r="CW513" s="27"/>
      <c r="CX513" s="27"/>
      <c r="CY513" s="27"/>
      <c r="CZ513" s="27"/>
      <c r="DA513" s="27"/>
      <c r="DB513" s="27"/>
      <c r="DC513" s="27"/>
      <c r="DD513" s="27"/>
      <c r="DE513" s="27"/>
      <c r="DF513" s="27"/>
      <c r="DG513" s="27"/>
      <c r="DH513" s="27"/>
      <c r="DI513" s="27"/>
      <c r="DJ513" s="27"/>
      <c r="DK513" s="27"/>
      <c r="DL513" s="27"/>
      <c r="DM513" s="27"/>
      <c r="DN513" s="27"/>
      <c r="DO513" s="27"/>
      <c r="DP513" s="27"/>
      <c r="DQ513" s="27"/>
      <c r="DR513" s="27"/>
      <c r="DS513" s="27"/>
      <c r="DT513" s="27"/>
    </row>
    <row r="514" spans="7:124" x14ac:dyDescent="0.2">
      <c r="G514" s="27"/>
      <c r="H514" s="27"/>
      <c r="I514" s="27"/>
      <c r="J514" s="27"/>
      <c r="K514" s="27"/>
      <c r="L514" s="27"/>
      <c r="M514" s="27"/>
      <c r="N514" s="27"/>
      <c r="O514" s="27"/>
      <c r="P514" s="27"/>
      <c r="Q514" s="27"/>
      <c r="R514" s="27"/>
      <c r="S514" s="27"/>
      <c r="T514" s="27"/>
      <c r="U514" s="27"/>
      <c r="V514" s="27"/>
      <c r="W514" s="27"/>
      <c r="X514" s="27"/>
      <c r="Y514" s="27"/>
      <c r="Z514" s="27"/>
      <c r="AA514" s="27"/>
      <c r="AB514" s="27"/>
      <c r="AC514" s="27"/>
      <c r="AD514" s="27"/>
      <c r="AE514" s="27"/>
      <c r="AF514" s="27"/>
      <c r="AG514" s="27"/>
      <c r="AH514" s="27"/>
      <c r="AI514" s="27"/>
      <c r="AJ514" s="27"/>
      <c r="AK514" s="27"/>
      <c r="AL514" s="27"/>
      <c r="AM514" s="27"/>
      <c r="AN514" s="27"/>
      <c r="AO514" s="27"/>
      <c r="AP514" s="27"/>
      <c r="AQ514" s="27"/>
      <c r="AR514" s="27"/>
      <c r="AS514" s="27"/>
      <c r="AT514" s="27"/>
      <c r="AU514" s="27"/>
      <c r="AV514" s="27"/>
      <c r="AW514" s="27"/>
      <c r="AX514" s="27"/>
      <c r="AY514" s="27"/>
      <c r="AZ514" s="27"/>
      <c r="BA514" s="27"/>
      <c r="BB514" s="27"/>
      <c r="BC514" s="27"/>
      <c r="BD514" s="27"/>
      <c r="BE514" s="27"/>
      <c r="BF514" s="27"/>
      <c r="BG514" s="27"/>
      <c r="BH514" s="27"/>
      <c r="BI514" s="27"/>
      <c r="BJ514" s="27"/>
      <c r="BK514" s="27"/>
      <c r="BL514" s="27"/>
      <c r="BM514" s="27"/>
      <c r="BN514" s="27"/>
      <c r="BO514" s="27"/>
      <c r="BP514" s="27"/>
      <c r="BQ514" s="27"/>
      <c r="BR514" s="27"/>
      <c r="BS514" s="27"/>
      <c r="BT514" s="27"/>
      <c r="BU514" s="27"/>
      <c r="BV514" s="27"/>
      <c r="BW514" s="27"/>
      <c r="BX514" s="27"/>
      <c r="BY514" s="27"/>
      <c r="BZ514" s="27"/>
      <c r="CA514" s="27"/>
      <c r="CB514" s="27"/>
      <c r="CC514" s="27"/>
      <c r="CD514" s="27"/>
      <c r="CE514" s="27"/>
      <c r="CF514" s="27"/>
      <c r="CG514" s="27"/>
      <c r="CH514" s="27"/>
      <c r="CI514" s="27"/>
      <c r="CJ514" s="27"/>
      <c r="CK514" s="27"/>
      <c r="CL514" s="27"/>
      <c r="CM514" s="27"/>
      <c r="CN514" s="27"/>
      <c r="CO514" s="27"/>
      <c r="CP514" s="27"/>
      <c r="CQ514" s="27"/>
      <c r="CR514" s="27"/>
      <c r="CS514" s="27"/>
      <c r="CT514" s="27"/>
      <c r="CU514" s="27"/>
      <c r="CV514" s="27"/>
      <c r="CW514" s="27"/>
      <c r="CX514" s="27"/>
      <c r="CY514" s="27"/>
      <c r="CZ514" s="27"/>
      <c r="DA514" s="27"/>
      <c r="DB514" s="27"/>
      <c r="DC514" s="27"/>
      <c r="DD514" s="27"/>
      <c r="DE514" s="27"/>
      <c r="DF514" s="27"/>
      <c r="DG514" s="27"/>
      <c r="DH514" s="27"/>
      <c r="DI514" s="27"/>
      <c r="DJ514" s="27"/>
      <c r="DK514" s="27"/>
      <c r="DL514" s="27"/>
      <c r="DM514" s="27"/>
      <c r="DN514" s="27"/>
      <c r="DO514" s="27"/>
      <c r="DP514" s="27"/>
      <c r="DQ514" s="27"/>
      <c r="DR514" s="27"/>
      <c r="DS514" s="27"/>
      <c r="DT514" s="27"/>
    </row>
    <row r="515" spans="7:124" x14ac:dyDescent="0.2">
      <c r="G515" s="27"/>
      <c r="H515" s="27"/>
      <c r="I515" s="27"/>
      <c r="J515" s="27"/>
      <c r="K515" s="27"/>
      <c r="L515" s="27"/>
      <c r="M515" s="27"/>
      <c r="N515" s="27"/>
      <c r="O515" s="27"/>
      <c r="P515" s="27"/>
      <c r="Q515" s="27"/>
      <c r="R515" s="27"/>
      <c r="S515" s="27"/>
      <c r="T515" s="27"/>
      <c r="U515" s="27"/>
      <c r="V515" s="27"/>
      <c r="W515" s="27"/>
      <c r="X515" s="27"/>
      <c r="Y515" s="27"/>
      <c r="Z515" s="27"/>
      <c r="AA515" s="27"/>
      <c r="AB515" s="27"/>
      <c r="AC515" s="27"/>
      <c r="AD515" s="27"/>
      <c r="AE515" s="27"/>
      <c r="AF515" s="27"/>
      <c r="AG515" s="27"/>
      <c r="AH515" s="27"/>
      <c r="AI515" s="27"/>
      <c r="AJ515" s="27"/>
      <c r="AK515" s="27"/>
      <c r="AL515" s="27"/>
      <c r="AM515" s="27"/>
      <c r="AN515" s="27"/>
      <c r="AO515" s="27"/>
      <c r="AP515" s="27"/>
      <c r="AQ515" s="27"/>
      <c r="AR515" s="27"/>
      <c r="AS515" s="27"/>
      <c r="AT515" s="27"/>
      <c r="AU515" s="27"/>
      <c r="AV515" s="27"/>
      <c r="AW515" s="27"/>
      <c r="AX515" s="27"/>
      <c r="AY515" s="27"/>
      <c r="AZ515" s="27"/>
      <c r="BA515" s="27"/>
      <c r="BB515" s="27"/>
      <c r="BC515" s="27"/>
      <c r="BD515" s="27"/>
      <c r="BE515" s="27"/>
      <c r="BF515" s="27"/>
      <c r="BG515" s="27"/>
      <c r="BH515" s="27"/>
      <c r="BI515" s="27"/>
      <c r="BJ515" s="27"/>
      <c r="BK515" s="27"/>
      <c r="BL515" s="27"/>
      <c r="BM515" s="27"/>
      <c r="BN515" s="27"/>
      <c r="BO515" s="27"/>
      <c r="BP515" s="27"/>
      <c r="BQ515" s="27"/>
      <c r="BR515" s="27"/>
      <c r="BS515" s="27"/>
      <c r="BT515" s="27"/>
      <c r="BU515" s="27"/>
      <c r="BV515" s="27"/>
      <c r="BW515" s="27"/>
      <c r="BX515" s="27"/>
      <c r="BY515" s="27"/>
      <c r="BZ515" s="27"/>
      <c r="CA515" s="27"/>
      <c r="CB515" s="27"/>
      <c r="CC515" s="27"/>
      <c r="CD515" s="27"/>
      <c r="CE515" s="27"/>
      <c r="CF515" s="27"/>
      <c r="CG515" s="27"/>
      <c r="CH515" s="27"/>
      <c r="CI515" s="27"/>
      <c r="CJ515" s="27"/>
      <c r="CK515" s="27"/>
      <c r="CL515" s="27"/>
      <c r="CM515" s="27"/>
      <c r="CN515" s="27"/>
      <c r="CO515" s="27"/>
      <c r="CP515" s="27"/>
      <c r="CQ515" s="27"/>
      <c r="CR515" s="27"/>
      <c r="CS515" s="27"/>
      <c r="CT515" s="27"/>
      <c r="CU515" s="27"/>
      <c r="CV515" s="27"/>
      <c r="CW515" s="27"/>
      <c r="CX515" s="27"/>
      <c r="CY515" s="27"/>
      <c r="CZ515" s="27"/>
      <c r="DA515" s="27"/>
      <c r="DB515" s="27"/>
      <c r="DC515" s="27"/>
      <c r="DD515" s="27"/>
      <c r="DE515" s="27"/>
      <c r="DF515" s="27"/>
      <c r="DG515" s="27"/>
      <c r="DH515" s="27"/>
      <c r="DI515" s="27"/>
      <c r="DJ515" s="27"/>
      <c r="DK515" s="27"/>
      <c r="DL515" s="27"/>
      <c r="DM515" s="27"/>
      <c r="DN515" s="27"/>
      <c r="DO515" s="27"/>
      <c r="DP515" s="27"/>
      <c r="DQ515" s="27"/>
      <c r="DR515" s="27"/>
      <c r="DS515" s="27"/>
      <c r="DT515" s="27"/>
    </row>
    <row r="516" spans="7:124" x14ac:dyDescent="0.2">
      <c r="G516" s="27"/>
      <c r="H516" s="27"/>
      <c r="I516" s="27"/>
      <c r="J516" s="27"/>
      <c r="K516" s="27"/>
      <c r="L516" s="27"/>
      <c r="M516" s="27"/>
      <c r="N516" s="27"/>
      <c r="O516" s="27"/>
      <c r="P516" s="27"/>
      <c r="Q516" s="27"/>
      <c r="R516" s="27"/>
      <c r="S516" s="27"/>
      <c r="T516" s="27"/>
      <c r="U516" s="27"/>
      <c r="V516" s="27"/>
      <c r="W516" s="27"/>
      <c r="X516" s="27"/>
      <c r="Y516" s="27"/>
      <c r="Z516" s="27"/>
      <c r="AA516" s="27"/>
      <c r="AB516" s="27"/>
      <c r="AC516" s="27"/>
      <c r="AD516" s="27"/>
      <c r="AE516" s="27"/>
      <c r="AF516" s="27"/>
      <c r="AG516" s="27"/>
      <c r="AH516" s="27"/>
      <c r="AI516" s="27"/>
      <c r="AJ516" s="27"/>
      <c r="AK516" s="27"/>
      <c r="AL516" s="27"/>
      <c r="AM516" s="27"/>
      <c r="AN516" s="27"/>
      <c r="AO516" s="27"/>
      <c r="AP516" s="27"/>
      <c r="AQ516" s="27"/>
      <c r="AR516" s="27"/>
      <c r="AS516" s="27"/>
      <c r="AT516" s="27"/>
      <c r="AU516" s="27"/>
      <c r="AV516" s="27"/>
      <c r="AW516" s="27"/>
      <c r="AX516" s="27"/>
      <c r="AY516" s="27"/>
      <c r="AZ516" s="27"/>
      <c r="BA516" s="27"/>
      <c r="BB516" s="27"/>
      <c r="BC516" s="27"/>
      <c r="BD516" s="27"/>
      <c r="BE516" s="27"/>
      <c r="BF516" s="27"/>
      <c r="BG516" s="27"/>
      <c r="BH516" s="27"/>
      <c r="BI516" s="27"/>
      <c r="BJ516" s="27"/>
      <c r="BK516" s="27"/>
      <c r="BL516" s="27"/>
      <c r="BM516" s="27"/>
      <c r="BN516" s="27"/>
      <c r="BO516" s="27"/>
      <c r="BP516" s="27"/>
      <c r="BQ516" s="27"/>
      <c r="BR516" s="27"/>
      <c r="BS516" s="27"/>
      <c r="BT516" s="27"/>
      <c r="BU516" s="27"/>
      <c r="BV516" s="27"/>
      <c r="BW516" s="27"/>
      <c r="BX516" s="27"/>
      <c r="BY516" s="27"/>
      <c r="BZ516" s="27"/>
      <c r="CA516" s="27"/>
      <c r="CB516" s="27"/>
      <c r="CC516" s="27"/>
      <c r="CD516" s="27"/>
      <c r="CE516" s="27"/>
      <c r="CF516" s="27"/>
      <c r="CG516" s="27"/>
      <c r="CH516" s="27"/>
      <c r="CI516" s="27"/>
      <c r="CJ516" s="27"/>
      <c r="CK516" s="27"/>
      <c r="CL516" s="27"/>
      <c r="CM516" s="27"/>
      <c r="CN516" s="27"/>
      <c r="CO516" s="27"/>
      <c r="CP516" s="27"/>
      <c r="CQ516" s="27"/>
      <c r="CR516" s="27"/>
      <c r="CS516" s="27"/>
      <c r="CT516" s="27"/>
      <c r="CU516" s="27"/>
      <c r="CV516" s="27"/>
      <c r="CW516" s="27"/>
      <c r="CX516" s="27"/>
      <c r="CY516" s="27"/>
      <c r="CZ516" s="27"/>
      <c r="DA516" s="27"/>
      <c r="DB516" s="27"/>
      <c r="DC516" s="27"/>
      <c r="DD516" s="27"/>
      <c r="DE516" s="27"/>
      <c r="DF516" s="27"/>
      <c r="DG516" s="27"/>
      <c r="DH516" s="27"/>
      <c r="DI516" s="27"/>
      <c r="DJ516" s="27"/>
      <c r="DK516" s="27"/>
      <c r="DL516" s="27"/>
      <c r="DM516" s="27"/>
      <c r="DN516" s="27"/>
      <c r="DO516" s="27"/>
      <c r="DP516" s="27"/>
      <c r="DQ516" s="27"/>
      <c r="DR516" s="27"/>
      <c r="DS516" s="27"/>
      <c r="DT516" s="27"/>
    </row>
    <row r="517" spans="7:124" x14ac:dyDescent="0.2">
      <c r="G517" s="27"/>
      <c r="H517" s="27"/>
      <c r="I517" s="27"/>
      <c r="J517" s="27"/>
      <c r="K517" s="27"/>
      <c r="L517" s="27"/>
      <c r="M517" s="27"/>
      <c r="N517" s="27"/>
      <c r="O517" s="27"/>
      <c r="P517" s="27"/>
      <c r="Q517" s="27"/>
      <c r="R517" s="27"/>
      <c r="S517" s="27"/>
      <c r="T517" s="27"/>
      <c r="U517" s="27"/>
      <c r="V517" s="27"/>
      <c r="W517" s="27"/>
      <c r="X517" s="27"/>
      <c r="Y517" s="27"/>
      <c r="Z517" s="27"/>
      <c r="AA517" s="27"/>
      <c r="AB517" s="27"/>
      <c r="AC517" s="27"/>
      <c r="AD517" s="27"/>
      <c r="AE517" s="27"/>
      <c r="AF517" s="27"/>
      <c r="AG517" s="27"/>
      <c r="AH517" s="27"/>
      <c r="AI517" s="27"/>
      <c r="AJ517" s="27"/>
      <c r="AK517" s="27"/>
      <c r="AL517" s="27"/>
      <c r="AM517" s="27"/>
      <c r="AN517" s="27"/>
      <c r="AO517" s="27"/>
      <c r="AP517" s="27"/>
      <c r="AQ517" s="27"/>
      <c r="AR517" s="27"/>
      <c r="AS517" s="27"/>
      <c r="AT517" s="27"/>
      <c r="AU517" s="27"/>
      <c r="AV517" s="27"/>
      <c r="AW517" s="27"/>
      <c r="AX517" s="27"/>
      <c r="AY517" s="27"/>
      <c r="AZ517" s="27"/>
      <c r="BA517" s="27"/>
      <c r="BB517" s="27"/>
      <c r="BC517" s="27"/>
      <c r="BD517" s="27"/>
      <c r="BE517" s="27"/>
      <c r="BF517" s="27"/>
      <c r="BG517" s="27"/>
      <c r="BH517" s="27"/>
      <c r="BI517" s="27"/>
      <c r="BJ517" s="27"/>
      <c r="BK517" s="27"/>
      <c r="BL517" s="27"/>
      <c r="BM517" s="27"/>
      <c r="BN517" s="27"/>
      <c r="BO517" s="27"/>
      <c r="BP517" s="27"/>
      <c r="BQ517" s="27"/>
      <c r="BR517" s="27"/>
      <c r="BS517" s="27"/>
      <c r="BT517" s="27"/>
      <c r="BU517" s="27"/>
      <c r="BV517" s="27"/>
      <c r="BW517" s="27"/>
      <c r="BX517" s="27"/>
      <c r="BY517" s="27"/>
      <c r="BZ517" s="27"/>
      <c r="CA517" s="27"/>
      <c r="CB517" s="27"/>
      <c r="CC517" s="27"/>
      <c r="CD517" s="27"/>
      <c r="CE517" s="27"/>
      <c r="CF517" s="27"/>
      <c r="CG517" s="27"/>
      <c r="CH517" s="27"/>
      <c r="CI517" s="27"/>
      <c r="CJ517" s="27"/>
      <c r="CK517" s="27"/>
      <c r="CL517" s="27"/>
      <c r="CM517" s="27"/>
      <c r="CN517" s="27"/>
      <c r="CO517" s="27"/>
      <c r="CP517" s="27"/>
      <c r="CQ517" s="27"/>
      <c r="CR517" s="27"/>
      <c r="CS517" s="27"/>
      <c r="CT517" s="27"/>
      <c r="CU517" s="27"/>
      <c r="CV517" s="27"/>
      <c r="CW517" s="27"/>
      <c r="CX517" s="27"/>
      <c r="CY517" s="27"/>
      <c r="CZ517" s="27"/>
      <c r="DA517" s="27"/>
      <c r="DB517" s="27"/>
      <c r="DC517" s="27"/>
      <c r="DD517" s="27"/>
      <c r="DE517" s="27"/>
      <c r="DF517" s="27"/>
      <c r="DG517" s="27"/>
      <c r="DH517" s="27"/>
      <c r="DI517" s="27"/>
      <c r="DJ517" s="27"/>
      <c r="DK517" s="27"/>
      <c r="DL517" s="27"/>
      <c r="DM517" s="27"/>
      <c r="DN517" s="27"/>
      <c r="DO517" s="27"/>
      <c r="DP517" s="27"/>
      <c r="DQ517" s="27"/>
      <c r="DR517" s="27"/>
      <c r="DS517" s="27"/>
      <c r="DT517" s="27"/>
    </row>
    <row r="518" spans="7:124" x14ac:dyDescent="0.2">
      <c r="G518" s="27"/>
      <c r="H518" s="27"/>
      <c r="I518" s="27"/>
      <c r="J518" s="27"/>
      <c r="K518" s="27"/>
      <c r="L518" s="27"/>
      <c r="M518" s="27"/>
      <c r="N518" s="27"/>
      <c r="O518" s="27"/>
      <c r="P518" s="27"/>
      <c r="Q518" s="27"/>
      <c r="R518" s="27"/>
      <c r="S518" s="27"/>
      <c r="T518" s="27"/>
      <c r="U518" s="27"/>
      <c r="V518" s="27"/>
      <c r="W518" s="27"/>
      <c r="X518" s="27"/>
      <c r="Y518" s="27"/>
      <c r="Z518" s="27"/>
      <c r="AA518" s="27"/>
      <c r="AB518" s="27"/>
      <c r="AC518" s="27"/>
      <c r="AD518" s="27"/>
      <c r="AE518" s="27"/>
      <c r="AF518" s="27"/>
      <c r="AG518" s="27"/>
      <c r="AH518" s="27"/>
      <c r="AI518" s="27"/>
      <c r="AJ518" s="27"/>
      <c r="AK518" s="27"/>
      <c r="AL518" s="27"/>
      <c r="AM518" s="27"/>
      <c r="AN518" s="27"/>
      <c r="AO518" s="27"/>
      <c r="AP518" s="27"/>
      <c r="AQ518" s="27"/>
      <c r="AR518" s="27"/>
      <c r="AS518" s="27"/>
      <c r="AT518" s="27"/>
      <c r="AU518" s="27"/>
      <c r="AV518" s="27"/>
      <c r="AW518" s="27"/>
      <c r="AX518" s="27"/>
      <c r="AY518" s="27"/>
      <c r="AZ518" s="27"/>
      <c r="BA518" s="27"/>
      <c r="BB518" s="27"/>
      <c r="BC518" s="27"/>
      <c r="BD518" s="27"/>
      <c r="BE518" s="27"/>
      <c r="BF518" s="27"/>
      <c r="BG518" s="27"/>
      <c r="BH518" s="27"/>
      <c r="BI518" s="27"/>
      <c r="BJ518" s="27"/>
      <c r="BK518" s="27"/>
      <c r="BL518" s="27"/>
      <c r="BM518" s="27"/>
      <c r="BN518" s="27"/>
      <c r="BO518" s="27"/>
      <c r="BP518" s="27"/>
      <c r="BQ518" s="27"/>
      <c r="BR518" s="27"/>
      <c r="BS518" s="27"/>
      <c r="BT518" s="27"/>
      <c r="BU518" s="27"/>
      <c r="BV518" s="27"/>
      <c r="BW518" s="27"/>
      <c r="BX518" s="27"/>
      <c r="BY518" s="27"/>
      <c r="BZ518" s="27"/>
      <c r="CA518" s="27"/>
      <c r="CB518" s="27"/>
      <c r="CC518" s="27"/>
      <c r="CD518" s="27"/>
      <c r="CE518" s="27"/>
      <c r="CF518" s="27"/>
      <c r="CG518" s="27"/>
      <c r="CH518" s="27"/>
      <c r="CI518" s="27"/>
      <c r="CJ518" s="27"/>
      <c r="CK518" s="27"/>
      <c r="CL518" s="27"/>
      <c r="CM518" s="27"/>
      <c r="CN518" s="27"/>
      <c r="CO518" s="27"/>
      <c r="CP518" s="27"/>
      <c r="CQ518" s="27"/>
      <c r="CR518" s="27"/>
      <c r="CS518" s="27"/>
      <c r="CT518" s="27"/>
      <c r="CU518" s="27"/>
      <c r="CV518" s="27"/>
      <c r="CW518" s="27"/>
      <c r="CX518" s="27"/>
      <c r="CY518" s="27"/>
      <c r="CZ518" s="27"/>
      <c r="DA518" s="27"/>
      <c r="DB518" s="27"/>
      <c r="DC518" s="27"/>
      <c r="DD518" s="27"/>
      <c r="DE518" s="27"/>
      <c r="DF518" s="27"/>
      <c r="DG518" s="27"/>
      <c r="DH518" s="27"/>
      <c r="DI518" s="27"/>
      <c r="DJ518" s="27"/>
      <c r="DK518" s="27"/>
      <c r="DL518" s="27"/>
      <c r="DM518" s="27"/>
      <c r="DN518" s="27"/>
      <c r="DO518" s="27"/>
      <c r="DP518" s="27"/>
      <c r="DQ518" s="27"/>
      <c r="DR518" s="27"/>
      <c r="DS518" s="27"/>
      <c r="DT518" s="27"/>
    </row>
    <row r="519" spans="7:124" x14ac:dyDescent="0.2">
      <c r="G519" s="27"/>
      <c r="H519" s="27"/>
      <c r="I519" s="27"/>
      <c r="J519" s="27"/>
      <c r="K519" s="27"/>
      <c r="L519" s="27"/>
      <c r="M519" s="27"/>
      <c r="N519" s="27"/>
      <c r="O519" s="27"/>
      <c r="P519" s="27"/>
      <c r="Q519" s="27"/>
      <c r="R519" s="27"/>
      <c r="S519" s="27"/>
      <c r="T519" s="27"/>
      <c r="U519" s="27"/>
      <c r="V519" s="27"/>
      <c r="W519" s="27"/>
      <c r="X519" s="27"/>
      <c r="Y519" s="27"/>
      <c r="Z519" s="27"/>
      <c r="AA519" s="27"/>
      <c r="AB519" s="27"/>
      <c r="AC519" s="27"/>
      <c r="AD519" s="27"/>
      <c r="AE519" s="27"/>
      <c r="AF519" s="27"/>
      <c r="AG519" s="27"/>
      <c r="AH519" s="27"/>
      <c r="AI519" s="27"/>
      <c r="AJ519" s="27"/>
      <c r="AK519" s="27"/>
      <c r="AL519" s="27"/>
      <c r="AM519" s="27"/>
      <c r="AN519" s="27"/>
      <c r="AO519" s="27"/>
      <c r="AP519" s="27"/>
      <c r="AQ519" s="27"/>
      <c r="AR519" s="27"/>
      <c r="AS519" s="27"/>
      <c r="AT519" s="27"/>
      <c r="AU519" s="27"/>
      <c r="AV519" s="27"/>
      <c r="AW519" s="27"/>
      <c r="AX519" s="27"/>
      <c r="AY519" s="27"/>
      <c r="AZ519" s="27"/>
      <c r="BA519" s="27"/>
      <c r="BB519" s="27"/>
      <c r="BC519" s="27"/>
      <c r="BD519" s="27"/>
      <c r="BE519" s="27"/>
      <c r="BF519" s="27"/>
      <c r="BG519" s="27"/>
      <c r="BH519" s="27"/>
      <c r="BI519" s="27"/>
      <c r="BJ519" s="27"/>
      <c r="BK519" s="27"/>
      <c r="BL519" s="27"/>
      <c r="BM519" s="27"/>
      <c r="BN519" s="27"/>
      <c r="BO519" s="27"/>
      <c r="BP519" s="27"/>
      <c r="BQ519" s="27"/>
      <c r="BR519" s="27"/>
      <c r="BS519" s="27"/>
      <c r="BT519" s="27"/>
      <c r="BU519" s="27"/>
      <c r="BV519" s="27"/>
      <c r="BW519" s="27"/>
      <c r="BX519" s="27"/>
      <c r="BY519" s="27"/>
      <c r="BZ519" s="27"/>
      <c r="CA519" s="27"/>
      <c r="CB519" s="27"/>
      <c r="CC519" s="27"/>
      <c r="CD519" s="27"/>
      <c r="CE519" s="27"/>
      <c r="CF519" s="27"/>
      <c r="CG519" s="27"/>
      <c r="CH519" s="27"/>
      <c r="CI519" s="27"/>
      <c r="CJ519" s="27"/>
      <c r="CK519" s="27"/>
      <c r="CL519" s="27"/>
      <c r="CM519" s="27"/>
      <c r="CN519" s="27"/>
      <c r="CO519" s="27"/>
      <c r="CP519" s="27"/>
      <c r="CQ519" s="27"/>
      <c r="CR519" s="27"/>
      <c r="CS519" s="27"/>
      <c r="CT519" s="27"/>
      <c r="CU519" s="27"/>
      <c r="CV519" s="27"/>
      <c r="CW519" s="27"/>
      <c r="CX519" s="27"/>
      <c r="CY519" s="27"/>
      <c r="CZ519" s="27"/>
      <c r="DA519" s="27"/>
      <c r="DB519" s="27"/>
      <c r="DC519" s="27"/>
      <c r="DD519" s="27"/>
      <c r="DE519" s="27"/>
      <c r="DF519" s="27"/>
      <c r="DG519" s="27"/>
      <c r="DH519" s="27"/>
      <c r="DI519" s="27"/>
      <c r="DJ519" s="27"/>
      <c r="DK519" s="27"/>
      <c r="DL519" s="27"/>
      <c r="DM519" s="27"/>
      <c r="DN519" s="27"/>
      <c r="DO519" s="27"/>
      <c r="DP519" s="27"/>
      <c r="DQ519" s="27"/>
      <c r="DR519" s="27"/>
      <c r="DS519" s="27"/>
      <c r="DT519" s="27"/>
    </row>
    <row r="520" spans="7:124" x14ac:dyDescent="0.2">
      <c r="G520" s="27"/>
      <c r="H520" s="27"/>
      <c r="I520" s="27"/>
      <c r="J520" s="27"/>
      <c r="K520" s="27"/>
      <c r="L520" s="27"/>
      <c r="M520" s="27"/>
      <c r="N520" s="27"/>
      <c r="O520" s="27"/>
      <c r="P520" s="27"/>
      <c r="Q520" s="27"/>
      <c r="R520" s="27"/>
      <c r="S520" s="27"/>
      <c r="T520" s="27"/>
      <c r="U520" s="27"/>
      <c r="V520" s="27"/>
      <c r="W520" s="27"/>
      <c r="X520" s="27"/>
      <c r="Y520" s="27"/>
      <c r="Z520" s="27"/>
      <c r="AA520" s="27"/>
      <c r="AB520" s="27"/>
      <c r="AC520" s="27"/>
      <c r="AD520" s="27"/>
      <c r="AE520" s="27"/>
      <c r="AF520" s="27"/>
      <c r="AG520" s="27"/>
      <c r="AH520" s="27"/>
      <c r="AI520" s="27"/>
      <c r="AJ520" s="27"/>
      <c r="AK520" s="27"/>
      <c r="AL520" s="27"/>
      <c r="AM520" s="27"/>
      <c r="AN520" s="27"/>
      <c r="AO520" s="27"/>
      <c r="AP520" s="27"/>
      <c r="AQ520" s="27"/>
      <c r="AR520" s="27"/>
      <c r="AS520" s="27"/>
      <c r="AT520" s="27"/>
      <c r="AU520" s="27"/>
      <c r="AV520" s="27"/>
      <c r="AW520" s="27"/>
      <c r="AX520" s="27"/>
      <c r="AY520" s="27"/>
      <c r="AZ520" s="27"/>
      <c r="BA520" s="27"/>
      <c r="BB520" s="27"/>
      <c r="BC520" s="27"/>
      <c r="BD520" s="27"/>
      <c r="BE520" s="27"/>
      <c r="BF520" s="27"/>
      <c r="BG520" s="27"/>
      <c r="BH520" s="27"/>
      <c r="BI520" s="27"/>
      <c r="BJ520" s="27"/>
      <c r="BK520" s="27"/>
      <c r="BL520" s="27"/>
      <c r="BM520" s="27"/>
      <c r="BN520" s="27"/>
      <c r="BO520" s="27"/>
      <c r="BP520" s="27"/>
      <c r="BQ520" s="27"/>
      <c r="BR520" s="27"/>
      <c r="BS520" s="27"/>
      <c r="BT520" s="27"/>
      <c r="BU520" s="27"/>
      <c r="BV520" s="27"/>
      <c r="BW520" s="27"/>
      <c r="BX520" s="27"/>
      <c r="BY520" s="27"/>
      <c r="BZ520" s="27"/>
      <c r="CA520" s="27"/>
      <c r="CB520" s="27"/>
      <c r="CC520" s="27"/>
      <c r="CD520" s="27"/>
      <c r="CE520" s="27"/>
      <c r="CF520" s="27"/>
      <c r="CG520" s="27"/>
      <c r="CH520" s="27"/>
      <c r="CI520" s="27"/>
      <c r="CJ520" s="27"/>
      <c r="CK520" s="27"/>
      <c r="CL520" s="27"/>
      <c r="CM520" s="27"/>
      <c r="CN520" s="27"/>
      <c r="CO520" s="27"/>
      <c r="CP520" s="27"/>
      <c r="CQ520" s="27"/>
      <c r="CR520" s="27"/>
      <c r="CS520" s="27"/>
      <c r="CT520" s="27"/>
      <c r="CU520" s="27"/>
      <c r="CV520" s="27"/>
      <c r="CW520" s="27"/>
      <c r="CX520" s="27"/>
      <c r="CY520" s="27"/>
      <c r="CZ520" s="27"/>
      <c r="DA520" s="27"/>
      <c r="DB520" s="27"/>
      <c r="DC520" s="27"/>
      <c r="DD520" s="27"/>
      <c r="DE520" s="27"/>
      <c r="DF520" s="27"/>
      <c r="DG520" s="27"/>
      <c r="DH520" s="27"/>
      <c r="DI520" s="27"/>
      <c r="DJ520" s="27"/>
      <c r="DK520" s="27"/>
      <c r="DL520" s="27"/>
      <c r="DM520" s="27"/>
      <c r="DN520" s="27"/>
      <c r="DO520" s="27"/>
      <c r="DP520" s="27"/>
      <c r="DQ520" s="27"/>
      <c r="DR520" s="27"/>
      <c r="DS520" s="27"/>
      <c r="DT520" s="27"/>
    </row>
    <row r="521" spans="7:124" x14ac:dyDescent="0.2">
      <c r="G521" s="27"/>
      <c r="H521" s="27"/>
      <c r="I521" s="27"/>
      <c r="J521" s="27"/>
      <c r="K521" s="27"/>
      <c r="L521" s="27"/>
      <c r="M521" s="27"/>
      <c r="N521" s="27"/>
      <c r="O521" s="27"/>
      <c r="P521" s="27"/>
      <c r="Q521" s="27"/>
      <c r="R521" s="27"/>
      <c r="S521" s="27"/>
      <c r="T521" s="27"/>
      <c r="U521" s="27"/>
      <c r="V521" s="27"/>
      <c r="W521" s="27"/>
      <c r="X521" s="27"/>
      <c r="Y521" s="27"/>
      <c r="Z521" s="27"/>
      <c r="AA521" s="27"/>
      <c r="AB521" s="27"/>
      <c r="AC521" s="27"/>
      <c r="AD521" s="27"/>
      <c r="AE521" s="27"/>
      <c r="AF521" s="27"/>
      <c r="AG521" s="27"/>
      <c r="AH521" s="27"/>
      <c r="AI521" s="27"/>
      <c r="AJ521" s="27"/>
      <c r="AK521" s="27"/>
      <c r="AL521" s="27"/>
      <c r="AM521" s="27"/>
      <c r="AN521" s="27"/>
      <c r="AO521" s="27"/>
      <c r="AP521" s="27"/>
      <c r="AQ521" s="27"/>
      <c r="AR521" s="27"/>
      <c r="AS521" s="27"/>
      <c r="AT521" s="27"/>
      <c r="AU521" s="27"/>
      <c r="AV521" s="27"/>
      <c r="AW521" s="27"/>
      <c r="AX521" s="27"/>
      <c r="AY521" s="27"/>
      <c r="AZ521" s="27"/>
      <c r="BA521" s="27"/>
      <c r="BB521" s="27"/>
      <c r="BC521" s="27"/>
      <c r="BD521" s="27"/>
      <c r="BE521" s="27"/>
      <c r="BF521" s="27"/>
      <c r="BG521" s="27"/>
      <c r="BH521" s="27"/>
      <c r="BI521" s="27"/>
      <c r="BJ521" s="27"/>
      <c r="BK521" s="27"/>
      <c r="BL521" s="27"/>
      <c r="BM521" s="27"/>
      <c r="BN521" s="27"/>
      <c r="BO521" s="27"/>
      <c r="BP521" s="27"/>
      <c r="BQ521" s="27"/>
      <c r="BR521" s="27"/>
      <c r="BS521" s="27"/>
      <c r="BT521" s="27"/>
      <c r="BU521" s="27"/>
      <c r="BV521" s="27"/>
      <c r="BW521" s="27"/>
      <c r="BX521" s="27"/>
      <c r="BY521" s="27"/>
      <c r="BZ521" s="27"/>
      <c r="CA521" s="27"/>
      <c r="CB521" s="27"/>
      <c r="CC521" s="27"/>
      <c r="CD521" s="27"/>
      <c r="CE521" s="27"/>
      <c r="CF521" s="27"/>
      <c r="CG521" s="27"/>
      <c r="CH521" s="27"/>
      <c r="CI521" s="27"/>
      <c r="CJ521" s="27"/>
      <c r="CK521" s="27"/>
      <c r="CL521" s="27"/>
      <c r="CM521" s="27"/>
      <c r="CN521" s="27"/>
      <c r="CO521" s="27"/>
      <c r="CP521" s="27"/>
      <c r="CQ521" s="27"/>
      <c r="CR521" s="27"/>
      <c r="CS521" s="27"/>
      <c r="CT521" s="27"/>
      <c r="CU521" s="27"/>
      <c r="CV521" s="27"/>
      <c r="CW521" s="27"/>
      <c r="CX521" s="27"/>
      <c r="CY521" s="27"/>
      <c r="CZ521" s="27"/>
      <c r="DA521" s="27"/>
      <c r="DB521" s="27"/>
      <c r="DC521" s="27"/>
      <c r="DD521" s="27"/>
      <c r="DE521" s="27"/>
      <c r="DF521" s="27"/>
      <c r="DG521" s="27"/>
      <c r="DH521" s="27"/>
      <c r="DI521" s="27"/>
      <c r="DJ521" s="27"/>
      <c r="DK521" s="27"/>
      <c r="DL521" s="27"/>
      <c r="DM521" s="27"/>
      <c r="DN521" s="27"/>
      <c r="DO521" s="27"/>
      <c r="DP521" s="27"/>
      <c r="DQ521" s="27"/>
      <c r="DR521" s="27"/>
      <c r="DS521" s="27"/>
      <c r="DT521" s="27"/>
    </row>
    <row r="522" spans="7:124" x14ac:dyDescent="0.2">
      <c r="G522" s="27"/>
      <c r="H522" s="27"/>
      <c r="I522" s="27"/>
      <c r="J522" s="27"/>
      <c r="K522" s="27"/>
      <c r="L522" s="27"/>
      <c r="M522" s="27"/>
      <c r="N522" s="27"/>
      <c r="O522" s="27"/>
      <c r="P522" s="27"/>
      <c r="Q522" s="27"/>
      <c r="R522" s="27"/>
      <c r="S522" s="27"/>
      <c r="T522" s="27"/>
      <c r="U522" s="27"/>
      <c r="V522" s="27"/>
      <c r="W522" s="27"/>
      <c r="X522" s="27"/>
      <c r="Y522" s="27"/>
      <c r="Z522" s="27"/>
      <c r="AA522" s="27"/>
      <c r="AB522" s="27"/>
      <c r="AC522" s="27"/>
      <c r="AD522" s="27"/>
      <c r="AE522" s="27"/>
      <c r="AF522" s="27"/>
      <c r="AG522" s="27"/>
      <c r="AH522" s="27"/>
      <c r="AI522" s="27"/>
      <c r="AJ522" s="27"/>
      <c r="AK522" s="27"/>
      <c r="AL522" s="27"/>
      <c r="AM522" s="27"/>
      <c r="AN522" s="27"/>
      <c r="AO522" s="27"/>
      <c r="AP522" s="27"/>
      <c r="AQ522" s="27"/>
      <c r="AR522" s="27"/>
      <c r="AS522" s="27"/>
      <c r="AT522" s="27"/>
      <c r="AU522" s="27"/>
      <c r="AV522" s="27"/>
      <c r="AW522" s="27"/>
      <c r="AX522" s="27"/>
      <c r="AY522" s="27"/>
      <c r="AZ522" s="27"/>
      <c r="BA522" s="27"/>
      <c r="BB522" s="27"/>
      <c r="BC522" s="27"/>
      <c r="BD522" s="27"/>
      <c r="BE522" s="27"/>
      <c r="BF522" s="27"/>
      <c r="BG522" s="27"/>
      <c r="BH522" s="27"/>
      <c r="BI522" s="27"/>
      <c r="BJ522" s="27"/>
      <c r="BK522" s="27"/>
      <c r="BL522" s="27"/>
      <c r="BM522" s="27"/>
      <c r="BN522" s="27"/>
      <c r="BO522" s="27"/>
      <c r="BP522" s="27"/>
      <c r="BQ522" s="27"/>
      <c r="BR522" s="27"/>
      <c r="BS522" s="27"/>
      <c r="BT522" s="27"/>
      <c r="BU522" s="27"/>
      <c r="BV522" s="27"/>
      <c r="BW522" s="27"/>
      <c r="BX522" s="27"/>
      <c r="BY522" s="27"/>
      <c r="BZ522" s="27"/>
      <c r="CA522" s="27"/>
      <c r="CB522" s="27"/>
      <c r="CC522" s="27"/>
      <c r="CD522" s="27"/>
      <c r="CE522" s="27"/>
      <c r="CF522" s="27"/>
      <c r="CG522" s="27"/>
      <c r="CH522" s="27"/>
      <c r="CI522" s="27"/>
      <c r="CJ522" s="27"/>
      <c r="CK522" s="27"/>
      <c r="CL522" s="27"/>
      <c r="CM522" s="27"/>
      <c r="CN522" s="27"/>
      <c r="CO522" s="27"/>
      <c r="CP522" s="27"/>
      <c r="CQ522" s="27"/>
      <c r="CR522" s="27"/>
      <c r="CS522" s="27"/>
      <c r="CT522" s="27"/>
      <c r="CU522" s="27"/>
      <c r="CV522" s="27"/>
      <c r="CW522" s="27"/>
      <c r="CX522" s="27"/>
      <c r="CY522" s="27"/>
      <c r="CZ522" s="27"/>
      <c r="DA522" s="27"/>
      <c r="DB522" s="27"/>
      <c r="DC522" s="27"/>
      <c r="DD522" s="27"/>
      <c r="DE522" s="27"/>
      <c r="DF522" s="27"/>
      <c r="DG522" s="27"/>
      <c r="DH522" s="27"/>
      <c r="DI522" s="27"/>
      <c r="DJ522" s="27"/>
      <c r="DK522" s="27"/>
      <c r="DL522" s="27"/>
      <c r="DM522" s="27"/>
      <c r="DN522" s="27"/>
      <c r="DO522" s="27"/>
      <c r="DP522" s="27"/>
      <c r="DQ522" s="27"/>
      <c r="DR522" s="27"/>
      <c r="DS522" s="27"/>
      <c r="DT522" s="27"/>
    </row>
    <row r="523" spans="7:124" x14ac:dyDescent="0.2">
      <c r="G523" s="27"/>
      <c r="H523" s="27"/>
      <c r="I523" s="27"/>
      <c r="J523" s="27"/>
      <c r="K523" s="27"/>
      <c r="L523" s="27"/>
      <c r="M523" s="27"/>
      <c r="N523" s="27"/>
      <c r="O523" s="27"/>
      <c r="P523" s="27"/>
      <c r="Q523" s="27"/>
      <c r="R523" s="27"/>
      <c r="S523" s="27"/>
      <c r="T523" s="27"/>
      <c r="U523" s="27"/>
      <c r="V523" s="27"/>
      <c r="W523" s="27"/>
      <c r="X523" s="27"/>
      <c r="Y523" s="27"/>
      <c r="Z523" s="27"/>
      <c r="AA523" s="27"/>
      <c r="AB523" s="27"/>
      <c r="AC523" s="27"/>
      <c r="AD523" s="27"/>
      <c r="AE523" s="27"/>
      <c r="AF523" s="27"/>
      <c r="AG523" s="27"/>
      <c r="AH523" s="27"/>
      <c r="AI523" s="27"/>
      <c r="AJ523" s="27"/>
      <c r="AK523" s="27"/>
      <c r="AL523" s="27"/>
      <c r="AM523" s="27"/>
      <c r="AN523" s="27"/>
      <c r="AO523" s="27"/>
      <c r="AP523" s="27"/>
      <c r="AQ523" s="27"/>
      <c r="AR523" s="27"/>
      <c r="AS523" s="27"/>
      <c r="AT523" s="27"/>
      <c r="AU523" s="27"/>
      <c r="AV523" s="27"/>
      <c r="AW523" s="27"/>
      <c r="AX523" s="27"/>
      <c r="AY523" s="27"/>
      <c r="AZ523" s="27"/>
      <c r="BA523" s="27"/>
      <c r="BB523" s="27"/>
      <c r="BC523" s="27"/>
      <c r="BD523" s="27"/>
      <c r="BE523" s="27"/>
      <c r="BF523" s="27"/>
      <c r="BG523" s="27"/>
      <c r="BH523" s="27"/>
      <c r="BI523" s="27"/>
      <c r="BJ523" s="27"/>
      <c r="BK523" s="27"/>
      <c r="BL523" s="27"/>
      <c r="BM523" s="27"/>
      <c r="BN523" s="27"/>
      <c r="BO523" s="27"/>
      <c r="BP523" s="27"/>
      <c r="BQ523" s="27"/>
      <c r="BR523" s="27"/>
      <c r="BS523" s="27"/>
      <c r="BT523" s="27"/>
      <c r="BU523" s="27"/>
      <c r="BV523" s="27"/>
      <c r="BW523" s="27"/>
      <c r="BX523" s="27"/>
      <c r="BY523" s="27"/>
      <c r="BZ523" s="27"/>
      <c r="CA523" s="27"/>
      <c r="CB523" s="27"/>
      <c r="CC523" s="27"/>
      <c r="CD523" s="27"/>
      <c r="CE523" s="27"/>
      <c r="CF523" s="27"/>
      <c r="CG523" s="27"/>
      <c r="CH523" s="27"/>
      <c r="CI523" s="27"/>
      <c r="CJ523" s="27"/>
      <c r="CK523" s="27"/>
      <c r="CL523" s="27"/>
      <c r="CM523" s="27"/>
      <c r="CN523" s="27"/>
      <c r="CO523" s="27"/>
      <c r="CP523" s="27"/>
      <c r="CQ523" s="27"/>
      <c r="CR523" s="27"/>
      <c r="CS523" s="27"/>
      <c r="CT523" s="27"/>
      <c r="CU523" s="27"/>
      <c r="CV523" s="27"/>
      <c r="CW523" s="27"/>
      <c r="CX523" s="27"/>
      <c r="CY523" s="27"/>
      <c r="CZ523" s="27"/>
      <c r="DA523" s="27"/>
      <c r="DB523" s="27"/>
      <c r="DC523" s="27"/>
      <c r="DD523" s="27"/>
      <c r="DE523" s="27"/>
      <c r="DF523" s="27"/>
      <c r="DG523" s="27"/>
      <c r="DH523" s="27"/>
      <c r="DI523" s="27"/>
      <c r="DJ523" s="27"/>
      <c r="DK523" s="27"/>
      <c r="DL523" s="27"/>
      <c r="DM523" s="27"/>
      <c r="DN523" s="27"/>
      <c r="DO523" s="27"/>
      <c r="DP523" s="27"/>
      <c r="DQ523" s="27"/>
      <c r="DR523" s="27"/>
      <c r="DS523" s="27"/>
      <c r="DT523" s="27"/>
    </row>
    <row r="524" spans="7:124" x14ac:dyDescent="0.2">
      <c r="G524" s="27"/>
      <c r="H524" s="27"/>
      <c r="I524" s="27"/>
      <c r="J524" s="27"/>
      <c r="K524" s="27"/>
      <c r="L524" s="27"/>
      <c r="M524" s="27"/>
      <c r="N524" s="27"/>
      <c r="O524" s="27"/>
      <c r="P524" s="27"/>
      <c r="Q524" s="27"/>
      <c r="R524" s="27"/>
      <c r="S524" s="27"/>
      <c r="T524" s="27"/>
      <c r="U524" s="27"/>
      <c r="V524" s="27"/>
      <c r="W524" s="27"/>
      <c r="X524" s="27"/>
      <c r="Y524" s="27"/>
      <c r="Z524" s="27"/>
      <c r="AA524" s="27"/>
      <c r="AB524" s="27"/>
      <c r="AC524" s="27"/>
      <c r="AD524" s="27"/>
      <c r="AE524" s="27"/>
      <c r="AF524" s="27"/>
      <c r="AG524" s="27"/>
      <c r="AH524" s="27"/>
      <c r="AI524" s="27"/>
      <c r="AJ524" s="27"/>
      <c r="AK524" s="27"/>
      <c r="AL524" s="27"/>
      <c r="AM524" s="27"/>
      <c r="AN524" s="27"/>
      <c r="AO524" s="27"/>
      <c r="AP524" s="27"/>
      <c r="AQ524" s="27"/>
      <c r="AR524" s="27"/>
      <c r="AS524" s="27"/>
      <c r="AT524" s="27"/>
      <c r="AU524" s="27"/>
      <c r="AV524" s="27"/>
      <c r="AW524" s="27"/>
      <c r="AX524" s="27"/>
      <c r="AY524" s="27"/>
      <c r="AZ524" s="27"/>
      <c r="BA524" s="27"/>
      <c r="BB524" s="27"/>
      <c r="BC524" s="27"/>
      <c r="BD524" s="27"/>
      <c r="BE524" s="27"/>
      <c r="BF524" s="27"/>
      <c r="BG524" s="27"/>
      <c r="BH524" s="27"/>
      <c r="BI524" s="27"/>
      <c r="BJ524" s="27"/>
      <c r="BK524" s="27"/>
      <c r="BL524" s="27"/>
      <c r="BM524" s="27"/>
      <c r="BN524" s="27"/>
      <c r="BO524" s="27"/>
      <c r="BP524" s="27"/>
      <c r="BQ524" s="27"/>
      <c r="BR524" s="27"/>
      <c r="BS524" s="27"/>
      <c r="BT524" s="27"/>
      <c r="BU524" s="27"/>
      <c r="BV524" s="27"/>
      <c r="BW524" s="27"/>
      <c r="BX524" s="27"/>
      <c r="BY524" s="27"/>
      <c r="BZ524" s="27"/>
      <c r="CA524" s="27"/>
      <c r="CB524" s="27"/>
      <c r="CC524" s="27"/>
      <c r="CD524" s="27"/>
      <c r="CE524" s="27"/>
      <c r="CF524" s="27"/>
      <c r="CG524" s="27"/>
      <c r="CH524" s="27"/>
      <c r="CI524" s="27"/>
      <c r="CJ524" s="27"/>
      <c r="CK524" s="27"/>
      <c r="CL524" s="27"/>
      <c r="CM524" s="27"/>
      <c r="CN524" s="27"/>
      <c r="CO524" s="27"/>
      <c r="CP524" s="27"/>
      <c r="CQ524" s="27"/>
      <c r="CR524" s="27"/>
      <c r="CS524" s="27"/>
      <c r="CT524" s="27"/>
      <c r="CU524" s="27"/>
      <c r="CV524" s="27"/>
      <c r="CW524" s="27"/>
      <c r="CX524" s="27"/>
      <c r="CY524" s="27"/>
      <c r="CZ524" s="27"/>
      <c r="DA524" s="27"/>
      <c r="DB524" s="27"/>
      <c r="DC524" s="27"/>
      <c r="DD524" s="27"/>
      <c r="DE524" s="27"/>
      <c r="DF524" s="27"/>
      <c r="DG524" s="27"/>
      <c r="DH524" s="27"/>
      <c r="DI524" s="27"/>
      <c r="DJ524" s="27"/>
      <c r="DK524" s="27"/>
      <c r="DL524" s="27"/>
      <c r="DM524" s="27"/>
      <c r="DN524" s="27"/>
      <c r="DO524" s="27"/>
      <c r="DP524" s="27"/>
      <c r="DQ524" s="27"/>
      <c r="DR524" s="27"/>
      <c r="DS524" s="27"/>
      <c r="DT524" s="27"/>
    </row>
    <row r="525" spans="7:124" x14ac:dyDescent="0.2">
      <c r="G525" s="27"/>
      <c r="H525" s="27"/>
      <c r="I525" s="27"/>
      <c r="J525" s="27"/>
      <c r="K525" s="27"/>
      <c r="L525" s="27"/>
      <c r="M525" s="27"/>
      <c r="N525" s="27"/>
      <c r="O525" s="27"/>
      <c r="P525" s="27"/>
      <c r="Q525" s="27"/>
      <c r="R525" s="27"/>
      <c r="S525" s="27"/>
      <c r="T525" s="27"/>
      <c r="U525" s="27"/>
      <c r="V525" s="27"/>
      <c r="W525" s="27"/>
      <c r="X525" s="27"/>
      <c r="Y525" s="27"/>
      <c r="Z525" s="27"/>
      <c r="AA525" s="27"/>
      <c r="AB525" s="27"/>
      <c r="AC525" s="27"/>
      <c r="AD525" s="27"/>
      <c r="AE525" s="27"/>
      <c r="AF525" s="27"/>
      <c r="AG525" s="27"/>
      <c r="AH525" s="27"/>
      <c r="AI525" s="27"/>
      <c r="AJ525" s="27"/>
      <c r="AK525" s="27"/>
      <c r="AL525" s="27"/>
      <c r="AM525" s="27"/>
      <c r="AN525" s="27"/>
      <c r="AO525" s="27"/>
      <c r="AP525" s="27"/>
      <c r="AQ525" s="27"/>
      <c r="AR525" s="27"/>
      <c r="AS525" s="27"/>
      <c r="AT525" s="27"/>
      <c r="AU525" s="27"/>
      <c r="AV525" s="27"/>
      <c r="AW525" s="27"/>
      <c r="AX525" s="27"/>
      <c r="AY525" s="27"/>
      <c r="AZ525" s="27"/>
      <c r="BA525" s="27"/>
      <c r="BB525" s="27"/>
      <c r="BC525" s="27"/>
      <c r="BD525" s="27"/>
      <c r="BE525" s="27"/>
      <c r="BF525" s="27"/>
      <c r="BG525" s="27"/>
      <c r="BH525" s="27"/>
      <c r="BI525" s="27"/>
      <c r="BJ525" s="27"/>
      <c r="BK525" s="27"/>
      <c r="BL525" s="27"/>
      <c r="BM525" s="27"/>
      <c r="BN525" s="27"/>
      <c r="BO525" s="27"/>
      <c r="BP525" s="27"/>
      <c r="BQ525" s="27"/>
      <c r="BR525" s="27"/>
      <c r="BS525" s="27"/>
      <c r="BT525" s="27"/>
      <c r="BU525" s="27"/>
      <c r="BV525" s="27"/>
      <c r="BW525" s="27"/>
      <c r="BX525" s="27"/>
      <c r="BY525" s="27"/>
      <c r="BZ525" s="27"/>
      <c r="CA525" s="27"/>
      <c r="CB525" s="27"/>
      <c r="CC525" s="27"/>
      <c r="CD525" s="27"/>
      <c r="CE525" s="27"/>
      <c r="CF525" s="27"/>
      <c r="CG525" s="27"/>
      <c r="CH525" s="27"/>
      <c r="CI525" s="27"/>
      <c r="CJ525" s="27"/>
      <c r="CK525" s="27"/>
      <c r="CL525" s="27"/>
      <c r="CM525" s="27"/>
      <c r="CN525" s="27"/>
      <c r="CO525" s="27"/>
      <c r="CP525" s="27"/>
      <c r="CQ525" s="27"/>
      <c r="CR525" s="27"/>
      <c r="CS525" s="27"/>
      <c r="CT525" s="27"/>
      <c r="CU525" s="27"/>
      <c r="CV525" s="27"/>
      <c r="CW525" s="27"/>
      <c r="CX525" s="27"/>
      <c r="CY525" s="27"/>
      <c r="CZ525" s="27"/>
      <c r="DA525" s="27"/>
      <c r="DB525" s="27"/>
      <c r="DC525" s="27"/>
      <c r="DD525" s="27"/>
      <c r="DE525" s="27"/>
      <c r="DF525" s="27"/>
      <c r="DG525" s="27"/>
      <c r="DH525" s="27"/>
      <c r="DI525" s="27"/>
      <c r="DJ525" s="27"/>
      <c r="DK525" s="27"/>
      <c r="DL525" s="27"/>
      <c r="DM525" s="27"/>
      <c r="DN525" s="27"/>
      <c r="DO525" s="27"/>
      <c r="DP525" s="27"/>
      <c r="DQ525" s="27"/>
      <c r="DR525" s="27"/>
      <c r="DS525" s="27"/>
      <c r="DT525" s="27"/>
    </row>
    <row r="526" spans="7:124" x14ac:dyDescent="0.2">
      <c r="G526" s="27"/>
      <c r="H526" s="27"/>
      <c r="I526" s="27"/>
      <c r="J526" s="27"/>
      <c r="K526" s="27"/>
      <c r="L526" s="27"/>
      <c r="M526" s="27"/>
      <c r="N526" s="27"/>
      <c r="O526" s="27"/>
      <c r="P526" s="27"/>
      <c r="Q526" s="27"/>
      <c r="R526" s="27"/>
      <c r="S526" s="27"/>
      <c r="T526" s="27"/>
      <c r="U526" s="27"/>
      <c r="V526" s="27"/>
      <c r="W526" s="27"/>
      <c r="X526" s="27"/>
      <c r="Y526" s="27"/>
      <c r="Z526" s="27"/>
      <c r="AA526" s="27"/>
      <c r="AB526" s="27"/>
      <c r="AC526" s="27"/>
      <c r="AD526" s="27"/>
      <c r="AE526" s="27"/>
      <c r="AF526" s="27"/>
      <c r="AG526" s="27"/>
      <c r="AH526" s="27"/>
      <c r="AI526" s="27"/>
      <c r="AJ526" s="27"/>
      <c r="AK526" s="27"/>
      <c r="AL526" s="27"/>
      <c r="AM526" s="27"/>
      <c r="AN526" s="27"/>
      <c r="AO526" s="27"/>
      <c r="AP526" s="27"/>
      <c r="AQ526" s="27"/>
      <c r="AR526" s="27"/>
      <c r="AS526" s="27"/>
      <c r="AT526" s="27"/>
      <c r="AU526" s="27"/>
      <c r="AV526" s="27"/>
      <c r="AW526" s="27"/>
      <c r="AX526" s="27"/>
      <c r="AY526" s="27"/>
      <c r="AZ526" s="27"/>
      <c r="BA526" s="27"/>
      <c r="BB526" s="27"/>
      <c r="BC526" s="27"/>
      <c r="BD526" s="27"/>
      <c r="BE526" s="27"/>
      <c r="BF526" s="27"/>
      <c r="BG526" s="27"/>
      <c r="BH526" s="27"/>
      <c r="BI526" s="27"/>
      <c r="BJ526" s="27"/>
      <c r="BK526" s="27"/>
      <c r="BL526" s="27"/>
      <c r="BM526" s="27"/>
      <c r="BN526" s="27"/>
      <c r="BO526" s="27"/>
      <c r="BP526" s="27"/>
      <c r="BQ526" s="27"/>
      <c r="BR526" s="27"/>
      <c r="BS526" s="27"/>
      <c r="BT526" s="27"/>
      <c r="BU526" s="27"/>
      <c r="BV526" s="27"/>
      <c r="BW526" s="27"/>
      <c r="BX526" s="27"/>
      <c r="BY526" s="27"/>
      <c r="BZ526" s="27"/>
      <c r="CA526" s="27"/>
      <c r="CB526" s="27"/>
      <c r="CC526" s="27"/>
      <c r="CD526" s="27"/>
      <c r="CE526" s="27"/>
      <c r="CF526" s="27"/>
      <c r="CG526" s="27"/>
      <c r="CH526" s="27"/>
      <c r="CI526" s="27"/>
      <c r="CJ526" s="27"/>
      <c r="CK526" s="27"/>
      <c r="CL526" s="27"/>
      <c r="CM526" s="27"/>
      <c r="CN526" s="27"/>
      <c r="CO526" s="27"/>
      <c r="CP526" s="27"/>
      <c r="CQ526" s="27"/>
      <c r="CR526" s="27"/>
      <c r="CS526" s="27"/>
      <c r="CT526" s="27"/>
      <c r="CU526" s="27"/>
      <c r="CV526" s="27"/>
      <c r="CW526" s="27"/>
      <c r="CX526" s="27"/>
      <c r="CY526" s="27"/>
      <c r="CZ526" s="27"/>
      <c r="DA526" s="27"/>
      <c r="DB526" s="27"/>
      <c r="DC526" s="27"/>
      <c r="DD526" s="27"/>
      <c r="DE526" s="27"/>
      <c r="DF526" s="27"/>
      <c r="DG526" s="27"/>
      <c r="DH526" s="27"/>
      <c r="DI526" s="27"/>
      <c r="DJ526" s="27"/>
      <c r="DK526" s="27"/>
      <c r="DL526" s="27"/>
      <c r="DM526" s="27"/>
      <c r="DN526" s="27"/>
      <c r="DO526" s="27"/>
      <c r="DP526" s="27"/>
      <c r="DQ526" s="27"/>
      <c r="DR526" s="27"/>
      <c r="DS526" s="27"/>
      <c r="DT526" s="27"/>
    </row>
    <row r="527" spans="7:124" x14ac:dyDescent="0.2">
      <c r="G527" s="27"/>
      <c r="H527" s="27"/>
      <c r="I527" s="27"/>
      <c r="J527" s="27"/>
      <c r="K527" s="27"/>
      <c r="L527" s="27"/>
      <c r="M527" s="27"/>
      <c r="N527" s="27"/>
      <c r="O527" s="27"/>
      <c r="P527" s="27"/>
      <c r="Q527" s="27"/>
      <c r="R527" s="27"/>
      <c r="S527" s="27"/>
      <c r="T527" s="27"/>
      <c r="U527" s="27"/>
      <c r="V527" s="27"/>
      <c r="W527" s="27"/>
      <c r="X527" s="27"/>
      <c r="Y527" s="27"/>
      <c r="Z527" s="27"/>
      <c r="AA527" s="27"/>
      <c r="AB527" s="27"/>
      <c r="AC527" s="27"/>
      <c r="AD527" s="27"/>
      <c r="AE527" s="27"/>
      <c r="AF527" s="27"/>
      <c r="AG527" s="27"/>
      <c r="AH527" s="27"/>
      <c r="AI527" s="27"/>
      <c r="AJ527" s="27"/>
      <c r="AK527" s="27"/>
      <c r="AL527" s="27"/>
      <c r="AM527" s="27"/>
      <c r="AN527" s="27"/>
      <c r="AO527" s="27"/>
      <c r="AP527" s="27"/>
      <c r="AQ527" s="27"/>
      <c r="AR527" s="27"/>
      <c r="AS527" s="27"/>
      <c r="AT527" s="27"/>
      <c r="AU527" s="27"/>
      <c r="AV527" s="27"/>
      <c r="AW527" s="27"/>
      <c r="AX527" s="27"/>
      <c r="AY527" s="27"/>
      <c r="AZ527" s="27"/>
      <c r="BA527" s="27"/>
      <c r="BB527" s="27"/>
      <c r="BC527" s="27"/>
      <c r="BD527" s="27"/>
      <c r="BE527" s="27"/>
      <c r="BF527" s="27"/>
      <c r="BG527" s="27"/>
      <c r="BH527" s="27"/>
      <c r="BI527" s="27"/>
      <c r="BJ527" s="27"/>
      <c r="BK527" s="27"/>
      <c r="BL527" s="27"/>
      <c r="BM527" s="27"/>
      <c r="BN527" s="27"/>
      <c r="BO527" s="27"/>
      <c r="BP527" s="27"/>
      <c r="BQ527" s="27"/>
      <c r="BR527" s="27"/>
      <c r="BS527" s="27"/>
      <c r="BT527" s="27"/>
      <c r="BU527" s="27"/>
      <c r="BV527" s="27"/>
      <c r="BW527" s="27"/>
      <c r="BX527" s="27"/>
      <c r="BY527" s="27"/>
      <c r="BZ527" s="27"/>
      <c r="CA527" s="27"/>
      <c r="CB527" s="27"/>
      <c r="CC527" s="27"/>
      <c r="CD527" s="27"/>
      <c r="CE527" s="27"/>
      <c r="CF527" s="27"/>
      <c r="CG527" s="27"/>
      <c r="CH527" s="27"/>
      <c r="CI527" s="27"/>
      <c r="CJ527" s="27"/>
      <c r="CK527" s="27"/>
      <c r="CL527" s="27"/>
      <c r="CM527" s="27"/>
      <c r="CN527" s="27"/>
      <c r="CO527" s="27"/>
      <c r="CP527" s="27"/>
      <c r="CQ527" s="27"/>
      <c r="CR527" s="27"/>
      <c r="CS527" s="27"/>
      <c r="CT527" s="27"/>
      <c r="CU527" s="27"/>
      <c r="CV527" s="27"/>
      <c r="CW527" s="27"/>
      <c r="CX527" s="27"/>
      <c r="CY527" s="27"/>
      <c r="CZ527" s="27"/>
      <c r="DA527" s="27"/>
      <c r="DB527" s="27"/>
      <c r="DC527" s="27"/>
      <c r="DD527" s="27"/>
      <c r="DE527" s="27"/>
      <c r="DF527" s="27"/>
      <c r="DG527" s="27"/>
      <c r="DH527" s="27"/>
      <c r="DI527" s="27"/>
      <c r="DJ527" s="27"/>
      <c r="DK527" s="27"/>
      <c r="DL527" s="27"/>
      <c r="DM527" s="27"/>
      <c r="DN527" s="27"/>
      <c r="DO527" s="27"/>
      <c r="DP527" s="27"/>
      <c r="DQ527" s="27"/>
      <c r="DR527" s="27"/>
      <c r="DS527" s="27"/>
      <c r="DT527" s="27"/>
    </row>
    <row r="528" spans="7:124" x14ac:dyDescent="0.2">
      <c r="G528" s="27"/>
      <c r="H528" s="27"/>
      <c r="I528" s="27"/>
      <c r="J528" s="27"/>
      <c r="K528" s="27"/>
      <c r="L528" s="27"/>
      <c r="M528" s="27"/>
      <c r="N528" s="27"/>
      <c r="O528" s="27"/>
      <c r="P528" s="27"/>
      <c r="Q528" s="27"/>
      <c r="R528" s="27"/>
      <c r="S528" s="27"/>
      <c r="T528" s="27"/>
      <c r="U528" s="27"/>
      <c r="V528" s="27"/>
      <c r="W528" s="27"/>
      <c r="X528" s="27"/>
      <c r="Y528" s="27"/>
      <c r="Z528" s="27"/>
      <c r="AA528" s="27"/>
      <c r="AB528" s="27"/>
      <c r="AC528" s="27"/>
      <c r="AD528" s="27"/>
      <c r="AE528" s="27"/>
      <c r="AF528" s="27"/>
      <c r="AG528" s="27"/>
      <c r="AH528" s="27"/>
      <c r="AI528" s="27"/>
      <c r="AJ528" s="27"/>
      <c r="AK528" s="27"/>
      <c r="AL528" s="27"/>
      <c r="AM528" s="27"/>
      <c r="AN528" s="27"/>
      <c r="AO528" s="27"/>
      <c r="AP528" s="27"/>
      <c r="AQ528" s="27"/>
      <c r="AR528" s="27"/>
      <c r="AS528" s="27"/>
      <c r="AT528" s="27"/>
      <c r="AU528" s="27"/>
      <c r="AV528" s="27"/>
      <c r="AW528" s="27"/>
      <c r="AX528" s="27"/>
      <c r="AY528" s="27"/>
      <c r="AZ528" s="27"/>
      <c r="BA528" s="27"/>
      <c r="BB528" s="27"/>
      <c r="BC528" s="27"/>
      <c r="BD528" s="27"/>
      <c r="BE528" s="27"/>
      <c r="BF528" s="27"/>
      <c r="BG528" s="27"/>
      <c r="BH528" s="27"/>
      <c r="BI528" s="27"/>
      <c r="BJ528" s="27"/>
      <c r="BK528" s="27"/>
      <c r="BL528" s="27"/>
      <c r="BM528" s="27"/>
      <c r="BN528" s="27"/>
      <c r="BO528" s="27"/>
      <c r="BP528" s="27"/>
      <c r="BQ528" s="27"/>
      <c r="BR528" s="27"/>
      <c r="BS528" s="27"/>
      <c r="BT528" s="27"/>
      <c r="BU528" s="27"/>
      <c r="BV528" s="27"/>
      <c r="BW528" s="27"/>
      <c r="BX528" s="27"/>
      <c r="BY528" s="27"/>
      <c r="BZ528" s="27"/>
      <c r="CA528" s="27"/>
      <c r="CB528" s="27"/>
      <c r="CC528" s="27"/>
      <c r="CD528" s="27"/>
      <c r="CE528" s="27"/>
      <c r="CF528" s="27"/>
      <c r="CG528" s="27"/>
      <c r="CH528" s="27"/>
      <c r="CI528" s="27"/>
      <c r="CJ528" s="27"/>
      <c r="CK528" s="27"/>
      <c r="CL528" s="27"/>
      <c r="CM528" s="27"/>
      <c r="CN528" s="27"/>
      <c r="CO528" s="27"/>
      <c r="CP528" s="27"/>
      <c r="CQ528" s="27"/>
      <c r="CR528" s="27"/>
      <c r="CS528" s="27"/>
      <c r="CT528" s="27"/>
      <c r="CU528" s="27"/>
      <c r="CV528" s="27"/>
      <c r="CW528" s="27"/>
      <c r="CX528" s="27"/>
      <c r="CY528" s="27"/>
      <c r="CZ528" s="27"/>
      <c r="DA528" s="27"/>
      <c r="DB528" s="27"/>
      <c r="DC528" s="27"/>
      <c r="DD528" s="27"/>
      <c r="DE528" s="27"/>
      <c r="DF528" s="27"/>
      <c r="DG528" s="27"/>
      <c r="DH528" s="27"/>
      <c r="DI528" s="27"/>
      <c r="DJ528" s="27"/>
      <c r="DK528" s="27"/>
      <c r="DL528" s="27"/>
      <c r="DM528" s="27"/>
      <c r="DN528" s="27"/>
      <c r="DO528" s="27"/>
      <c r="DP528" s="27"/>
      <c r="DQ528" s="27"/>
      <c r="DR528" s="27"/>
      <c r="DS528" s="27"/>
      <c r="DT528" s="27"/>
    </row>
    <row r="529" spans="7:124" x14ac:dyDescent="0.2">
      <c r="G529" s="27"/>
      <c r="H529" s="27"/>
      <c r="I529" s="27"/>
      <c r="J529" s="27"/>
      <c r="K529" s="27"/>
      <c r="L529" s="27"/>
      <c r="M529" s="27"/>
      <c r="N529" s="27"/>
      <c r="O529" s="27"/>
      <c r="P529" s="27"/>
      <c r="Q529" s="27"/>
      <c r="R529" s="27"/>
      <c r="S529" s="27"/>
      <c r="T529" s="27"/>
      <c r="U529" s="27"/>
      <c r="V529" s="27"/>
      <c r="W529" s="27"/>
      <c r="X529" s="27"/>
      <c r="Y529" s="27"/>
      <c r="Z529" s="27"/>
      <c r="AA529" s="27"/>
      <c r="AB529" s="27"/>
      <c r="AC529" s="27"/>
      <c r="AD529" s="27"/>
      <c r="AE529" s="27"/>
      <c r="AF529" s="27"/>
      <c r="AG529" s="27"/>
      <c r="AH529" s="27"/>
      <c r="AI529" s="27"/>
      <c r="AJ529" s="27"/>
      <c r="AK529" s="27"/>
      <c r="AL529" s="27"/>
      <c r="AM529" s="27"/>
      <c r="AN529" s="27"/>
      <c r="AO529" s="27"/>
      <c r="AP529" s="27"/>
      <c r="AQ529" s="27"/>
      <c r="AR529" s="27"/>
      <c r="AS529" s="27"/>
      <c r="AT529" s="27"/>
      <c r="AU529" s="27"/>
      <c r="AV529" s="27"/>
      <c r="AW529" s="27"/>
      <c r="AX529" s="27"/>
      <c r="AY529" s="27"/>
      <c r="AZ529" s="27"/>
      <c r="BA529" s="27"/>
      <c r="BB529" s="27"/>
      <c r="BC529" s="27"/>
      <c r="BD529" s="27"/>
      <c r="BE529" s="27"/>
      <c r="BF529" s="27"/>
      <c r="BG529" s="27"/>
      <c r="BH529" s="27"/>
      <c r="BI529" s="27"/>
      <c r="BJ529" s="27"/>
      <c r="BK529" s="27"/>
      <c r="BL529" s="27"/>
      <c r="BM529" s="27"/>
      <c r="BN529" s="27"/>
      <c r="BO529" s="27"/>
      <c r="BP529" s="27"/>
      <c r="BQ529" s="27"/>
      <c r="BR529" s="27"/>
      <c r="BS529" s="27"/>
      <c r="BT529" s="27"/>
      <c r="BU529" s="27"/>
      <c r="BV529" s="27"/>
      <c r="BW529" s="27"/>
      <c r="BX529" s="27"/>
      <c r="BY529" s="27"/>
      <c r="BZ529" s="27"/>
      <c r="CA529" s="27"/>
      <c r="CB529" s="27"/>
      <c r="CC529" s="27"/>
      <c r="CD529" s="27"/>
      <c r="CE529" s="27"/>
      <c r="CF529" s="27"/>
      <c r="CG529" s="27"/>
      <c r="CH529" s="27"/>
      <c r="CI529" s="27"/>
      <c r="CJ529" s="27"/>
      <c r="CK529" s="27"/>
      <c r="CL529" s="27"/>
      <c r="CM529" s="27"/>
      <c r="CN529" s="27"/>
      <c r="CO529" s="27"/>
      <c r="CP529" s="27"/>
      <c r="CQ529" s="27"/>
      <c r="CR529" s="27"/>
      <c r="CS529" s="27"/>
      <c r="CT529" s="27"/>
      <c r="CU529" s="27"/>
      <c r="CV529" s="27"/>
      <c r="CW529" s="27"/>
      <c r="CX529" s="27"/>
      <c r="CY529" s="27"/>
      <c r="CZ529" s="27"/>
      <c r="DA529" s="27"/>
      <c r="DB529" s="27"/>
      <c r="DC529" s="27"/>
      <c r="DD529" s="27"/>
      <c r="DE529" s="27"/>
      <c r="DF529" s="27"/>
      <c r="DG529" s="27"/>
      <c r="DH529" s="27"/>
      <c r="DI529" s="27"/>
      <c r="DJ529" s="27"/>
      <c r="DK529" s="27"/>
      <c r="DL529" s="27"/>
      <c r="DM529" s="27"/>
      <c r="DN529" s="27"/>
      <c r="DO529" s="27"/>
      <c r="DP529" s="27"/>
      <c r="DQ529" s="27"/>
      <c r="DR529" s="27"/>
      <c r="DS529" s="27"/>
      <c r="DT529" s="27"/>
    </row>
    <row r="530" spans="7:124" x14ac:dyDescent="0.2">
      <c r="G530" s="27"/>
      <c r="H530" s="27"/>
      <c r="I530" s="27"/>
      <c r="J530" s="27"/>
      <c r="K530" s="27"/>
      <c r="L530" s="27"/>
      <c r="M530" s="27"/>
      <c r="N530" s="27"/>
      <c r="O530" s="27"/>
      <c r="P530" s="27"/>
      <c r="Q530" s="27"/>
      <c r="R530" s="27"/>
      <c r="S530" s="27"/>
      <c r="T530" s="27"/>
      <c r="U530" s="27"/>
      <c r="V530" s="27"/>
      <c r="W530" s="27"/>
      <c r="X530" s="27"/>
      <c r="Y530" s="27"/>
      <c r="Z530" s="27"/>
      <c r="AA530" s="27"/>
      <c r="AB530" s="27"/>
      <c r="AC530" s="27"/>
      <c r="AD530" s="27"/>
      <c r="AE530" s="27"/>
      <c r="AF530" s="27"/>
      <c r="AG530" s="27"/>
      <c r="AH530" s="27"/>
      <c r="AI530" s="27"/>
      <c r="AJ530" s="27"/>
      <c r="AK530" s="27"/>
      <c r="AL530" s="27"/>
      <c r="AM530" s="27"/>
      <c r="AN530" s="27"/>
      <c r="AO530" s="27"/>
      <c r="AP530" s="27"/>
      <c r="AQ530" s="27"/>
      <c r="AR530" s="27"/>
      <c r="AS530" s="27"/>
      <c r="AT530" s="27"/>
      <c r="AU530" s="27"/>
      <c r="AV530" s="27"/>
      <c r="AW530" s="27"/>
      <c r="AX530" s="27"/>
      <c r="AY530" s="27"/>
      <c r="AZ530" s="27"/>
      <c r="BA530" s="27"/>
      <c r="BB530" s="27"/>
      <c r="BC530" s="27"/>
      <c r="BD530" s="27"/>
      <c r="BE530" s="27"/>
      <c r="BF530" s="27"/>
      <c r="BG530" s="27"/>
      <c r="BH530" s="27"/>
      <c r="BI530" s="27"/>
      <c r="BJ530" s="27"/>
      <c r="BK530" s="27"/>
      <c r="BL530" s="27"/>
      <c r="BM530" s="27"/>
      <c r="BN530" s="27"/>
      <c r="BO530" s="27"/>
      <c r="BP530" s="27"/>
      <c r="BQ530" s="27"/>
      <c r="BR530" s="27"/>
      <c r="BS530" s="27"/>
      <c r="BT530" s="27"/>
      <c r="BU530" s="27"/>
      <c r="BV530" s="27"/>
      <c r="BW530" s="27"/>
      <c r="BX530" s="27"/>
      <c r="BY530" s="27"/>
      <c r="BZ530" s="27"/>
      <c r="CA530" s="27"/>
      <c r="CB530" s="27"/>
      <c r="CC530" s="27"/>
      <c r="CD530" s="27"/>
      <c r="CE530" s="27"/>
      <c r="CF530" s="27"/>
      <c r="CG530" s="27"/>
      <c r="CH530" s="27"/>
      <c r="CI530" s="27"/>
      <c r="CJ530" s="27"/>
      <c r="CK530" s="27"/>
      <c r="CL530" s="27"/>
      <c r="CM530" s="27"/>
      <c r="CN530" s="27"/>
      <c r="CO530" s="27"/>
      <c r="CP530" s="27"/>
      <c r="CQ530" s="27"/>
      <c r="CR530" s="27"/>
      <c r="CS530" s="27"/>
      <c r="CT530" s="27"/>
      <c r="CU530" s="27"/>
      <c r="CV530" s="27"/>
      <c r="CW530" s="27"/>
      <c r="CX530" s="27"/>
      <c r="CY530" s="27"/>
      <c r="CZ530" s="27"/>
      <c r="DA530" s="27"/>
      <c r="DB530" s="27"/>
      <c r="DC530" s="27"/>
      <c r="DD530" s="27"/>
      <c r="DE530" s="27"/>
      <c r="DF530" s="27"/>
      <c r="DG530" s="27"/>
      <c r="DH530" s="27"/>
      <c r="DI530" s="27"/>
      <c r="DJ530" s="27"/>
      <c r="DK530" s="27"/>
      <c r="DL530" s="27"/>
      <c r="DM530" s="27"/>
      <c r="DN530" s="27"/>
      <c r="DO530" s="27"/>
      <c r="DP530" s="27"/>
      <c r="DQ530" s="27"/>
      <c r="DR530" s="27"/>
      <c r="DS530" s="27"/>
      <c r="DT530" s="27"/>
    </row>
    <row r="531" spans="7:124" x14ac:dyDescent="0.2">
      <c r="G531" s="27"/>
      <c r="H531" s="27"/>
      <c r="I531" s="27"/>
      <c r="J531" s="27"/>
      <c r="K531" s="27"/>
      <c r="L531" s="27"/>
      <c r="M531" s="27"/>
      <c r="N531" s="27"/>
      <c r="O531" s="27"/>
      <c r="P531" s="27"/>
      <c r="Q531" s="27"/>
      <c r="R531" s="27"/>
      <c r="S531" s="27"/>
      <c r="T531" s="27"/>
      <c r="U531" s="27"/>
      <c r="V531" s="27"/>
      <c r="W531" s="27"/>
      <c r="X531" s="27"/>
      <c r="Y531" s="27"/>
      <c r="Z531" s="27"/>
      <c r="AA531" s="27"/>
      <c r="AB531" s="27"/>
      <c r="AC531" s="27"/>
      <c r="AD531" s="27"/>
      <c r="AE531" s="27"/>
      <c r="AF531" s="27"/>
      <c r="AG531" s="27"/>
      <c r="AH531" s="27"/>
      <c r="AI531" s="27"/>
      <c r="AJ531" s="27"/>
      <c r="AK531" s="27"/>
      <c r="AL531" s="27"/>
      <c r="AM531" s="27"/>
      <c r="AN531" s="27"/>
      <c r="AO531" s="27"/>
      <c r="AP531" s="27"/>
      <c r="AQ531" s="27"/>
      <c r="AR531" s="27"/>
      <c r="AS531" s="27"/>
      <c r="AT531" s="27"/>
      <c r="AU531" s="27"/>
      <c r="AV531" s="27"/>
      <c r="AW531" s="27"/>
      <c r="AX531" s="27"/>
      <c r="AY531" s="27"/>
      <c r="AZ531" s="27"/>
      <c r="BA531" s="27"/>
      <c r="BB531" s="27"/>
      <c r="BC531" s="27"/>
      <c r="BD531" s="27"/>
      <c r="BE531" s="27"/>
      <c r="BF531" s="27"/>
      <c r="BG531" s="27"/>
      <c r="BH531" s="27"/>
      <c r="BI531" s="27"/>
      <c r="BJ531" s="27"/>
      <c r="BK531" s="27"/>
      <c r="BL531" s="27"/>
      <c r="BM531" s="27"/>
      <c r="BN531" s="27"/>
      <c r="BO531" s="27"/>
      <c r="BP531" s="27"/>
      <c r="BQ531" s="27"/>
      <c r="BR531" s="27"/>
      <c r="BS531" s="27"/>
      <c r="BT531" s="27"/>
      <c r="BU531" s="27"/>
      <c r="BV531" s="27"/>
      <c r="BW531" s="27"/>
      <c r="BX531" s="27"/>
      <c r="BY531" s="27"/>
      <c r="BZ531" s="27"/>
      <c r="CA531" s="27"/>
      <c r="CB531" s="27"/>
      <c r="CC531" s="27"/>
      <c r="CD531" s="27"/>
      <c r="CE531" s="27"/>
      <c r="CF531" s="27"/>
      <c r="CG531" s="27"/>
      <c r="CH531" s="27"/>
      <c r="CI531" s="27"/>
      <c r="CJ531" s="27"/>
      <c r="CK531" s="27"/>
      <c r="CL531" s="27"/>
      <c r="CM531" s="27"/>
      <c r="CN531" s="27"/>
      <c r="CO531" s="27"/>
      <c r="CP531" s="27"/>
      <c r="CQ531" s="27"/>
      <c r="CR531" s="27"/>
      <c r="CS531" s="27"/>
      <c r="CT531" s="27"/>
      <c r="CU531" s="27"/>
      <c r="CV531" s="27"/>
      <c r="CW531" s="27"/>
      <c r="CX531" s="27"/>
      <c r="CY531" s="27"/>
      <c r="CZ531" s="27"/>
      <c r="DA531" s="27"/>
      <c r="DB531" s="27"/>
      <c r="DC531" s="27"/>
      <c r="DD531" s="27"/>
      <c r="DE531" s="27"/>
      <c r="DF531" s="27"/>
      <c r="DG531" s="27"/>
      <c r="DH531" s="27"/>
      <c r="DI531" s="27"/>
      <c r="DJ531" s="27"/>
      <c r="DK531" s="27"/>
      <c r="DL531" s="27"/>
      <c r="DM531" s="27"/>
      <c r="DN531" s="27"/>
      <c r="DO531" s="27"/>
      <c r="DP531" s="27"/>
      <c r="DQ531" s="27"/>
      <c r="DR531" s="27"/>
      <c r="DS531" s="27"/>
      <c r="DT531" s="27"/>
    </row>
    <row r="532" spans="7:124" x14ac:dyDescent="0.2">
      <c r="G532" s="27"/>
      <c r="H532" s="27"/>
      <c r="I532" s="27"/>
      <c r="J532" s="27"/>
      <c r="K532" s="27"/>
      <c r="L532" s="27"/>
      <c r="M532" s="27"/>
      <c r="N532" s="27"/>
      <c r="O532" s="27"/>
      <c r="P532" s="27"/>
      <c r="Q532" s="27"/>
      <c r="R532" s="27"/>
      <c r="S532" s="27"/>
      <c r="T532" s="27"/>
      <c r="U532" s="27"/>
      <c r="V532" s="27"/>
      <c r="W532" s="27"/>
      <c r="X532" s="27"/>
      <c r="Y532" s="27"/>
      <c r="Z532" s="27"/>
      <c r="AA532" s="27"/>
      <c r="AB532" s="27"/>
      <c r="AC532" s="27"/>
      <c r="AD532" s="27"/>
      <c r="AE532" s="27"/>
      <c r="AF532" s="27"/>
      <c r="AG532" s="27"/>
      <c r="AH532" s="27"/>
      <c r="AI532" s="27"/>
      <c r="AJ532" s="27"/>
      <c r="AK532" s="27"/>
      <c r="AL532" s="27"/>
      <c r="AM532" s="27"/>
      <c r="AN532" s="27"/>
      <c r="AO532" s="27"/>
      <c r="AP532" s="27"/>
      <c r="AQ532" s="27"/>
      <c r="AR532" s="27"/>
      <c r="AS532" s="27"/>
      <c r="AT532" s="27"/>
      <c r="AU532" s="27"/>
      <c r="AV532" s="27"/>
      <c r="AW532" s="27"/>
      <c r="AX532" s="27"/>
      <c r="AY532" s="27"/>
      <c r="AZ532" s="27"/>
      <c r="BA532" s="27"/>
      <c r="BB532" s="27"/>
      <c r="BC532" s="27"/>
      <c r="BD532" s="27"/>
      <c r="BE532" s="27"/>
      <c r="BF532" s="27"/>
      <c r="BG532" s="27"/>
      <c r="BH532" s="27"/>
      <c r="BI532" s="27"/>
      <c r="BJ532" s="27"/>
      <c r="BK532" s="27"/>
      <c r="BL532" s="27"/>
      <c r="BM532" s="27"/>
      <c r="BN532" s="27"/>
      <c r="BO532" s="27"/>
      <c r="BP532" s="27"/>
      <c r="BQ532" s="27"/>
      <c r="BR532" s="27"/>
      <c r="BS532" s="27"/>
      <c r="BT532" s="27"/>
      <c r="BU532" s="27"/>
      <c r="BV532" s="27"/>
      <c r="BW532" s="27"/>
      <c r="BX532" s="27"/>
      <c r="BY532" s="27"/>
      <c r="BZ532" s="27"/>
      <c r="CA532" s="27"/>
      <c r="CB532" s="27"/>
      <c r="CC532" s="27"/>
      <c r="CD532" s="27"/>
      <c r="CE532" s="27"/>
      <c r="CF532" s="27"/>
      <c r="CG532" s="27"/>
      <c r="CH532" s="27"/>
      <c r="CI532" s="27"/>
      <c r="CJ532" s="27"/>
      <c r="CK532" s="27"/>
      <c r="CL532" s="27"/>
      <c r="CM532" s="27"/>
      <c r="CN532" s="27"/>
      <c r="CO532" s="27"/>
      <c r="CP532" s="27"/>
      <c r="CQ532" s="27"/>
      <c r="CR532" s="27"/>
      <c r="CS532" s="27"/>
      <c r="CT532" s="27"/>
      <c r="CU532" s="27"/>
      <c r="CV532" s="27"/>
      <c r="CW532" s="27"/>
      <c r="CX532" s="27"/>
      <c r="CY532" s="27"/>
      <c r="CZ532" s="27"/>
      <c r="DA532" s="27"/>
      <c r="DB532" s="27"/>
      <c r="DC532" s="27"/>
      <c r="DD532" s="27"/>
      <c r="DE532" s="27"/>
      <c r="DF532" s="27"/>
      <c r="DG532" s="27"/>
      <c r="DH532" s="27"/>
      <c r="DI532" s="27"/>
      <c r="DJ532" s="27"/>
      <c r="DK532" s="27"/>
      <c r="DL532" s="27"/>
      <c r="DM532" s="27"/>
      <c r="DN532" s="27"/>
      <c r="DO532" s="27"/>
      <c r="DP532" s="27"/>
      <c r="DQ532" s="27"/>
      <c r="DR532" s="27"/>
      <c r="DS532" s="27"/>
      <c r="DT532" s="27"/>
    </row>
    <row r="533" spans="7:124" x14ac:dyDescent="0.2">
      <c r="G533" s="27"/>
      <c r="H533" s="27"/>
      <c r="I533" s="27"/>
      <c r="J533" s="27"/>
      <c r="K533" s="27"/>
      <c r="L533" s="27"/>
      <c r="M533" s="27"/>
      <c r="N533" s="27"/>
      <c r="O533" s="27"/>
      <c r="P533" s="27"/>
      <c r="Q533" s="27"/>
      <c r="R533" s="27"/>
      <c r="S533" s="27"/>
      <c r="T533" s="27"/>
      <c r="U533" s="27"/>
      <c r="V533" s="27"/>
      <c r="W533" s="27"/>
      <c r="X533" s="27"/>
      <c r="Y533" s="27"/>
      <c r="Z533" s="27"/>
      <c r="AA533" s="27"/>
      <c r="AB533" s="27"/>
      <c r="AC533" s="27"/>
      <c r="AD533" s="27"/>
      <c r="AE533" s="27"/>
      <c r="AF533" s="27"/>
      <c r="AG533" s="27"/>
      <c r="AH533" s="27"/>
      <c r="AI533" s="27"/>
      <c r="AJ533" s="27"/>
      <c r="AK533" s="27"/>
      <c r="AL533" s="27"/>
      <c r="AM533" s="27"/>
      <c r="AN533" s="27"/>
      <c r="AO533" s="27"/>
      <c r="AP533" s="27"/>
      <c r="AQ533" s="27"/>
      <c r="AR533" s="27"/>
      <c r="AS533" s="27"/>
      <c r="AT533" s="27"/>
      <c r="AU533" s="27"/>
      <c r="AV533" s="27"/>
      <c r="AW533" s="27"/>
      <c r="AX533" s="27"/>
      <c r="AY533" s="27"/>
      <c r="AZ533" s="27"/>
      <c r="BA533" s="27"/>
      <c r="BB533" s="27"/>
      <c r="BC533" s="27"/>
      <c r="BD533" s="27"/>
      <c r="BE533" s="27"/>
      <c r="BF533" s="27"/>
      <c r="BG533" s="27"/>
      <c r="BH533" s="27"/>
      <c r="BI533" s="27"/>
      <c r="BJ533" s="27"/>
      <c r="BK533" s="27"/>
      <c r="BL533" s="27"/>
      <c r="BM533" s="27"/>
      <c r="BN533" s="27"/>
      <c r="BO533" s="27"/>
      <c r="BP533" s="27"/>
      <c r="BQ533" s="27"/>
      <c r="BR533" s="27"/>
      <c r="BS533" s="27"/>
      <c r="BT533" s="27"/>
      <c r="BU533" s="27"/>
      <c r="BV533" s="27"/>
      <c r="BW533" s="27"/>
      <c r="BX533" s="27"/>
      <c r="BY533" s="27"/>
      <c r="BZ533" s="27"/>
      <c r="CA533" s="27"/>
      <c r="CB533" s="27"/>
      <c r="CC533" s="27"/>
      <c r="CD533" s="27"/>
      <c r="CE533" s="27"/>
      <c r="CF533" s="27"/>
      <c r="CG533" s="27"/>
      <c r="CH533" s="27"/>
      <c r="CI533" s="27"/>
      <c r="CJ533" s="27"/>
      <c r="CK533" s="27"/>
      <c r="CL533" s="27"/>
      <c r="CM533" s="27"/>
      <c r="CN533" s="27"/>
      <c r="CO533" s="27"/>
      <c r="CP533" s="27"/>
      <c r="CQ533" s="27"/>
      <c r="CR533" s="27"/>
      <c r="CS533" s="27"/>
      <c r="CT533" s="27"/>
      <c r="CU533" s="27"/>
      <c r="CV533" s="27"/>
      <c r="CW533" s="27"/>
      <c r="CX533" s="27"/>
      <c r="CY533" s="27"/>
      <c r="CZ533" s="27"/>
      <c r="DA533" s="27"/>
      <c r="DB533" s="27"/>
      <c r="DC533" s="27"/>
      <c r="DD533" s="27"/>
      <c r="DE533" s="27"/>
      <c r="DF533" s="27"/>
      <c r="DG533" s="27"/>
      <c r="DH533" s="27"/>
      <c r="DI533" s="27"/>
      <c r="DJ533" s="27"/>
      <c r="DK533" s="27"/>
      <c r="DL533" s="27"/>
      <c r="DM533" s="27"/>
      <c r="DN533" s="27"/>
      <c r="DO533" s="27"/>
      <c r="DP533" s="27"/>
      <c r="DQ533" s="27"/>
      <c r="DR533" s="27"/>
      <c r="DS533" s="27"/>
      <c r="DT533" s="27"/>
    </row>
    <row r="534" spans="7:124" x14ac:dyDescent="0.2">
      <c r="G534" s="27"/>
      <c r="H534" s="27"/>
      <c r="I534" s="27"/>
      <c r="J534" s="27"/>
      <c r="K534" s="27"/>
      <c r="L534" s="27"/>
      <c r="M534" s="27"/>
      <c r="N534" s="27"/>
      <c r="O534" s="27"/>
      <c r="P534" s="27"/>
      <c r="Q534" s="27"/>
      <c r="R534" s="27"/>
      <c r="S534" s="27"/>
      <c r="T534" s="27"/>
      <c r="U534" s="27"/>
      <c r="V534" s="27"/>
      <c r="W534" s="27"/>
      <c r="X534" s="27"/>
      <c r="Y534" s="27"/>
      <c r="Z534" s="27"/>
      <c r="AA534" s="27"/>
      <c r="AB534" s="27"/>
      <c r="AC534" s="27"/>
      <c r="AD534" s="27"/>
      <c r="AE534" s="27"/>
      <c r="AF534" s="27"/>
      <c r="AG534" s="27"/>
      <c r="AH534" s="27"/>
      <c r="AI534" s="27"/>
      <c r="AJ534" s="27"/>
      <c r="AK534" s="27"/>
      <c r="AL534" s="27"/>
      <c r="AM534" s="27"/>
      <c r="AN534" s="27"/>
      <c r="AO534" s="27"/>
      <c r="AP534" s="27"/>
      <c r="AQ534" s="27"/>
      <c r="AR534" s="27"/>
      <c r="AS534" s="27"/>
      <c r="AT534" s="27"/>
      <c r="AU534" s="27"/>
      <c r="AV534" s="27"/>
      <c r="AW534" s="27"/>
      <c r="AX534" s="27"/>
      <c r="AY534" s="27"/>
      <c r="AZ534" s="27"/>
      <c r="BA534" s="27"/>
      <c r="BB534" s="27"/>
      <c r="BC534" s="27"/>
      <c r="BD534" s="27"/>
      <c r="BE534" s="27"/>
      <c r="BF534" s="27"/>
      <c r="BG534" s="27"/>
      <c r="BH534" s="27"/>
      <c r="BI534" s="27"/>
      <c r="BJ534" s="27"/>
      <c r="BK534" s="27"/>
      <c r="BL534" s="27"/>
      <c r="BM534" s="27"/>
      <c r="BN534" s="27"/>
      <c r="BO534" s="27"/>
      <c r="BP534" s="27"/>
      <c r="BQ534" s="27"/>
      <c r="BR534" s="27"/>
      <c r="BS534" s="27"/>
      <c r="BT534" s="27"/>
      <c r="BU534" s="27"/>
      <c r="BV534" s="27"/>
      <c r="BW534" s="27"/>
      <c r="BX534" s="27"/>
      <c r="BY534" s="27"/>
      <c r="BZ534" s="27"/>
      <c r="CA534" s="27"/>
      <c r="CB534" s="27"/>
      <c r="CC534" s="27"/>
      <c r="CD534" s="27"/>
      <c r="CE534" s="27"/>
      <c r="CF534" s="27"/>
      <c r="CG534" s="27"/>
      <c r="CH534" s="27"/>
      <c r="CI534" s="27"/>
      <c r="CJ534" s="27"/>
      <c r="CK534" s="27"/>
      <c r="CL534" s="27"/>
      <c r="CM534" s="27"/>
      <c r="CN534" s="27"/>
      <c r="CO534" s="27"/>
      <c r="CP534" s="27"/>
      <c r="CQ534" s="27"/>
      <c r="CR534" s="27"/>
      <c r="CS534" s="27"/>
      <c r="CT534" s="27"/>
      <c r="CU534" s="27"/>
      <c r="CV534" s="27"/>
      <c r="CW534" s="27"/>
      <c r="CX534" s="27"/>
      <c r="CY534" s="27"/>
      <c r="CZ534" s="27"/>
      <c r="DA534" s="27"/>
      <c r="DB534" s="27"/>
      <c r="DC534" s="27"/>
      <c r="DD534" s="27"/>
      <c r="DE534" s="27"/>
      <c r="DF534" s="27"/>
      <c r="DG534" s="27"/>
      <c r="DH534" s="27"/>
      <c r="DI534" s="27"/>
      <c r="DJ534" s="27"/>
      <c r="DK534" s="27"/>
      <c r="DL534" s="27"/>
      <c r="DM534" s="27"/>
      <c r="DN534" s="27"/>
      <c r="DO534" s="27"/>
      <c r="DP534" s="27"/>
      <c r="DQ534" s="27"/>
      <c r="DR534" s="27"/>
      <c r="DS534" s="27"/>
      <c r="DT534" s="27"/>
    </row>
    <row r="535" spans="7:124" x14ac:dyDescent="0.2">
      <c r="G535" s="27"/>
      <c r="H535" s="27"/>
      <c r="I535" s="27"/>
      <c r="J535" s="27"/>
      <c r="K535" s="27"/>
      <c r="L535" s="27"/>
      <c r="M535" s="27"/>
      <c r="N535" s="27"/>
      <c r="O535" s="27"/>
      <c r="P535" s="27"/>
      <c r="Q535" s="27"/>
      <c r="R535" s="27"/>
      <c r="S535" s="27"/>
      <c r="T535" s="27"/>
      <c r="U535" s="27"/>
      <c r="V535" s="27"/>
      <c r="W535" s="27"/>
      <c r="X535" s="27"/>
      <c r="Y535" s="27"/>
      <c r="Z535" s="27"/>
      <c r="AA535" s="27"/>
      <c r="AB535" s="27"/>
      <c r="AC535" s="27"/>
      <c r="AD535" s="27"/>
      <c r="AE535" s="27"/>
      <c r="AF535" s="27"/>
      <c r="AG535" s="27"/>
      <c r="AH535" s="27"/>
      <c r="AI535" s="27"/>
      <c r="AJ535" s="27"/>
      <c r="AK535" s="27"/>
      <c r="AL535" s="27"/>
      <c r="AM535" s="27"/>
      <c r="AN535" s="27"/>
      <c r="AO535" s="27"/>
      <c r="AP535" s="27"/>
      <c r="AQ535" s="27"/>
      <c r="AR535" s="27"/>
      <c r="AS535" s="27"/>
      <c r="AT535" s="27"/>
      <c r="AU535" s="27"/>
      <c r="AV535" s="27"/>
      <c r="AW535" s="27"/>
      <c r="AX535" s="27"/>
      <c r="AY535" s="27"/>
      <c r="AZ535" s="27"/>
      <c r="BA535" s="27"/>
      <c r="BB535" s="27"/>
      <c r="BC535" s="27"/>
      <c r="BD535" s="27"/>
      <c r="BE535" s="27"/>
      <c r="BF535" s="27"/>
      <c r="BG535" s="27"/>
      <c r="BH535" s="27"/>
      <c r="BI535" s="27"/>
      <c r="BJ535" s="27"/>
      <c r="BK535" s="27"/>
      <c r="BL535" s="27"/>
      <c r="BM535" s="27"/>
      <c r="BN535" s="27"/>
      <c r="BO535" s="27"/>
      <c r="BP535" s="27"/>
      <c r="BQ535" s="27"/>
      <c r="BR535" s="27"/>
      <c r="BS535" s="27"/>
      <c r="BT535" s="27"/>
      <c r="BU535" s="27"/>
      <c r="BV535" s="27"/>
      <c r="BW535" s="27"/>
      <c r="BX535" s="27"/>
      <c r="BY535" s="27"/>
      <c r="BZ535" s="27"/>
      <c r="CA535" s="27"/>
      <c r="CB535" s="27"/>
      <c r="CC535" s="27"/>
      <c r="CD535" s="27"/>
      <c r="CE535" s="27"/>
      <c r="CF535" s="27"/>
      <c r="CG535" s="27"/>
      <c r="CH535" s="27"/>
      <c r="CI535" s="27"/>
      <c r="CJ535" s="27"/>
      <c r="CK535" s="27"/>
      <c r="CL535" s="27"/>
      <c r="CM535" s="27"/>
      <c r="CN535" s="27"/>
      <c r="CO535" s="27"/>
      <c r="CP535" s="27"/>
      <c r="CQ535" s="27"/>
      <c r="CR535" s="27"/>
      <c r="CS535" s="27"/>
      <c r="CT535" s="27"/>
      <c r="CU535" s="27"/>
      <c r="CV535" s="27"/>
      <c r="CW535" s="27"/>
      <c r="CX535" s="27"/>
      <c r="CY535" s="27"/>
      <c r="CZ535" s="27"/>
      <c r="DA535" s="27"/>
      <c r="DB535" s="27"/>
      <c r="DC535" s="27"/>
      <c r="DD535" s="27"/>
      <c r="DE535" s="27"/>
      <c r="DF535" s="27"/>
      <c r="DG535" s="27"/>
      <c r="DH535" s="27"/>
      <c r="DI535" s="27"/>
      <c r="DJ535" s="27"/>
      <c r="DK535" s="27"/>
      <c r="DL535" s="27"/>
      <c r="DM535" s="27"/>
      <c r="DN535" s="27"/>
      <c r="DO535" s="27"/>
      <c r="DP535" s="27"/>
      <c r="DQ535" s="27"/>
      <c r="DR535" s="27"/>
      <c r="DS535" s="27"/>
      <c r="DT535" s="27"/>
    </row>
    <row r="536" spans="7:124" x14ac:dyDescent="0.2">
      <c r="G536" s="27"/>
      <c r="H536" s="27"/>
      <c r="I536" s="27"/>
      <c r="J536" s="27"/>
      <c r="K536" s="27"/>
      <c r="L536" s="27"/>
      <c r="M536" s="27"/>
      <c r="N536" s="27"/>
      <c r="O536" s="27"/>
      <c r="P536" s="27"/>
      <c r="Q536" s="27"/>
      <c r="R536" s="27"/>
      <c r="S536" s="27"/>
      <c r="T536" s="27"/>
      <c r="U536" s="27"/>
      <c r="V536" s="27"/>
      <c r="W536" s="27"/>
      <c r="X536" s="27"/>
      <c r="Y536" s="27"/>
      <c r="Z536" s="27"/>
      <c r="AA536" s="27"/>
      <c r="AB536" s="27"/>
      <c r="AC536" s="27"/>
      <c r="AD536" s="27"/>
      <c r="AE536" s="27"/>
      <c r="AF536" s="27"/>
      <c r="AG536" s="27"/>
      <c r="AH536" s="27"/>
      <c r="AI536" s="27"/>
      <c r="AJ536" s="27"/>
      <c r="AK536" s="27"/>
      <c r="AL536" s="27"/>
      <c r="AM536" s="27"/>
      <c r="AN536" s="27"/>
      <c r="AO536" s="27"/>
      <c r="AP536" s="27"/>
      <c r="AQ536" s="27"/>
      <c r="AR536" s="27"/>
      <c r="AS536" s="27"/>
      <c r="AT536" s="27"/>
      <c r="AU536" s="27"/>
      <c r="AV536" s="27"/>
      <c r="AW536" s="27"/>
      <c r="AX536" s="27"/>
      <c r="AY536" s="27"/>
      <c r="AZ536" s="27"/>
      <c r="BA536" s="27"/>
      <c r="BB536" s="27"/>
      <c r="BC536" s="27"/>
      <c r="BD536" s="27"/>
      <c r="BE536" s="27"/>
      <c r="BF536" s="27"/>
      <c r="BG536" s="27"/>
      <c r="BH536" s="27"/>
      <c r="BI536" s="27"/>
      <c r="BJ536" s="27"/>
      <c r="BK536" s="27"/>
      <c r="BL536" s="27"/>
      <c r="BM536" s="27"/>
      <c r="BN536" s="27"/>
      <c r="BO536" s="27"/>
      <c r="BP536" s="27"/>
      <c r="BQ536" s="27"/>
      <c r="BR536" s="27"/>
      <c r="BS536" s="27"/>
      <c r="BT536" s="27"/>
      <c r="BU536" s="27"/>
      <c r="BV536" s="27"/>
      <c r="BW536" s="27"/>
      <c r="BX536" s="27"/>
      <c r="BY536" s="27"/>
      <c r="BZ536" s="27"/>
      <c r="CA536" s="27"/>
      <c r="CB536" s="27"/>
      <c r="CC536" s="27"/>
      <c r="CD536" s="27"/>
      <c r="CE536" s="27"/>
      <c r="CF536" s="27"/>
      <c r="CG536" s="27"/>
      <c r="CH536" s="27"/>
      <c r="CI536" s="27"/>
      <c r="CJ536" s="27"/>
      <c r="CK536" s="27"/>
      <c r="CL536" s="27"/>
      <c r="CM536" s="27"/>
      <c r="CN536" s="27"/>
      <c r="CO536" s="27"/>
      <c r="CP536" s="27"/>
      <c r="CQ536" s="27"/>
      <c r="CR536" s="27"/>
      <c r="CS536" s="27"/>
      <c r="CT536" s="27"/>
      <c r="CU536" s="27"/>
      <c r="CV536" s="27"/>
      <c r="CW536" s="27"/>
      <c r="CX536" s="27"/>
      <c r="CY536" s="27"/>
      <c r="CZ536" s="27"/>
      <c r="DA536" s="27"/>
      <c r="DB536" s="27"/>
      <c r="DC536" s="27"/>
      <c r="DD536" s="27"/>
      <c r="DE536" s="27"/>
      <c r="DF536" s="27"/>
      <c r="DG536" s="27"/>
      <c r="DH536" s="27"/>
      <c r="DI536" s="27"/>
      <c r="DJ536" s="27"/>
      <c r="DK536" s="27"/>
      <c r="DL536" s="27"/>
      <c r="DM536" s="27"/>
      <c r="DN536" s="27"/>
      <c r="DO536" s="27"/>
      <c r="DP536" s="27"/>
      <c r="DQ536" s="27"/>
      <c r="DR536" s="27"/>
      <c r="DS536" s="27"/>
      <c r="DT536" s="27"/>
    </row>
    <row r="537" spans="7:124" x14ac:dyDescent="0.2">
      <c r="G537" s="27"/>
      <c r="H537" s="27"/>
      <c r="I537" s="27"/>
      <c r="J537" s="27"/>
      <c r="K537" s="27"/>
      <c r="L537" s="27"/>
      <c r="M537" s="27"/>
      <c r="N537" s="27"/>
      <c r="O537" s="27"/>
      <c r="P537" s="27"/>
      <c r="Q537" s="27"/>
      <c r="R537" s="27"/>
      <c r="S537" s="27"/>
      <c r="T537" s="27"/>
      <c r="U537" s="27"/>
      <c r="V537" s="27"/>
      <c r="W537" s="27"/>
      <c r="X537" s="27"/>
      <c r="Y537" s="27"/>
      <c r="Z537" s="27"/>
      <c r="AA537" s="27"/>
      <c r="AB537" s="27"/>
      <c r="AC537" s="27"/>
      <c r="AD537" s="27"/>
      <c r="AE537" s="27"/>
      <c r="AF537" s="27"/>
      <c r="AG537" s="27"/>
      <c r="AH537" s="27"/>
      <c r="AI537" s="27"/>
      <c r="AJ537" s="27"/>
      <c r="AK537" s="27"/>
      <c r="AL537" s="27"/>
      <c r="AM537" s="27"/>
      <c r="AN537" s="27"/>
      <c r="AO537" s="27"/>
      <c r="AP537" s="27"/>
      <c r="AQ537" s="27"/>
      <c r="AR537" s="27"/>
      <c r="AS537" s="27"/>
      <c r="AT537" s="27"/>
      <c r="AU537" s="27"/>
      <c r="AV537" s="27"/>
      <c r="AW537" s="27"/>
      <c r="AX537" s="27"/>
      <c r="AY537" s="27"/>
      <c r="AZ537" s="27"/>
      <c r="BA537" s="27"/>
      <c r="BB537" s="27"/>
      <c r="BC537" s="27"/>
      <c r="BD537" s="27"/>
      <c r="BE537" s="27"/>
      <c r="BF537" s="27"/>
      <c r="BG537" s="27"/>
      <c r="BH537" s="27"/>
      <c r="BI537" s="27"/>
      <c r="BJ537" s="27"/>
      <c r="BK537" s="27"/>
      <c r="BL537" s="27"/>
      <c r="BM537" s="27"/>
      <c r="BN537" s="27"/>
      <c r="BO537" s="27"/>
      <c r="BP537" s="27"/>
      <c r="BQ537" s="27"/>
      <c r="BR537" s="27"/>
      <c r="BS537" s="27"/>
      <c r="BT537" s="27"/>
      <c r="BU537" s="27"/>
      <c r="BV537" s="27"/>
      <c r="BW537" s="27"/>
      <c r="BX537" s="27"/>
      <c r="BY537" s="27"/>
      <c r="BZ537" s="27"/>
      <c r="CA537" s="27"/>
      <c r="CB537" s="27"/>
      <c r="CC537" s="27"/>
      <c r="CD537" s="27"/>
      <c r="CE537" s="27"/>
      <c r="CF537" s="27"/>
      <c r="CG537" s="27"/>
      <c r="CH537" s="27"/>
      <c r="CI537" s="27"/>
      <c r="CJ537" s="27"/>
      <c r="CK537" s="27"/>
      <c r="CL537" s="27"/>
      <c r="CM537" s="27"/>
      <c r="CN537" s="27"/>
      <c r="CO537" s="27"/>
      <c r="CP537" s="27"/>
      <c r="CQ537" s="27"/>
      <c r="CR537" s="27"/>
      <c r="CS537" s="27"/>
      <c r="CT537" s="27"/>
      <c r="CU537" s="27"/>
      <c r="CV537" s="27"/>
      <c r="CW537" s="27"/>
      <c r="CX537" s="27"/>
      <c r="CY537" s="27"/>
      <c r="CZ537" s="27"/>
      <c r="DA537" s="27"/>
      <c r="DB537" s="27"/>
      <c r="DC537" s="27"/>
      <c r="DD537" s="27"/>
      <c r="DE537" s="27"/>
      <c r="DF537" s="27"/>
      <c r="DG537" s="27"/>
      <c r="DH537" s="27"/>
      <c r="DI537" s="27"/>
      <c r="DJ537" s="27"/>
      <c r="DK537" s="27"/>
      <c r="DL537" s="27"/>
      <c r="DM537" s="27"/>
      <c r="DN537" s="27"/>
      <c r="DO537" s="27"/>
      <c r="DP537" s="27"/>
      <c r="DQ537" s="27"/>
      <c r="DR537" s="27"/>
      <c r="DS537" s="27"/>
      <c r="DT537" s="27"/>
    </row>
    <row r="538" spans="7:124" x14ac:dyDescent="0.2">
      <c r="G538" s="27"/>
      <c r="H538" s="27"/>
      <c r="I538" s="27"/>
      <c r="J538" s="27"/>
      <c r="K538" s="27"/>
      <c r="L538" s="27"/>
      <c r="M538" s="27"/>
      <c r="N538" s="27"/>
      <c r="O538" s="27"/>
      <c r="P538" s="27"/>
      <c r="Q538" s="27"/>
      <c r="R538" s="27"/>
      <c r="S538" s="27"/>
      <c r="T538" s="27"/>
      <c r="U538" s="27"/>
      <c r="V538" s="27"/>
      <c r="W538" s="27"/>
      <c r="X538" s="27"/>
      <c r="Y538" s="27"/>
      <c r="Z538" s="27"/>
      <c r="AA538" s="27"/>
      <c r="AB538" s="27"/>
      <c r="AC538" s="27"/>
      <c r="AD538" s="27"/>
      <c r="AE538" s="27"/>
      <c r="AF538" s="27"/>
      <c r="AG538" s="27"/>
      <c r="AH538" s="27"/>
      <c r="AI538" s="27"/>
      <c r="AJ538" s="27"/>
      <c r="AK538" s="27"/>
      <c r="AL538" s="27"/>
      <c r="AM538" s="27"/>
      <c r="AN538" s="27"/>
      <c r="AO538" s="27"/>
      <c r="AP538" s="27"/>
      <c r="AQ538" s="27"/>
      <c r="AR538" s="27"/>
      <c r="AS538" s="27"/>
      <c r="AT538" s="27"/>
      <c r="AU538" s="27"/>
      <c r="AV538" s="27"/>
      <c r="AW538" s="27"/>
      <c r="AX538" s="27"/>
      <c r="AY538" s="27"/>
      <c r="AZ538" s="27"/>
      <c r="BA538" s="27"/>
      <c r="BB538" s="27"/>
      <c r="BC538" s="27"/>
      <c r="BD538" s="27"/>
      <c r="BE538" s="27"/>
      <c r="BF538" s="27"/>
      <c r="BG538" s="27"/>
      <c r="BH538" s="27"/>
      <c r="BI538" s="27"/>
      <c r="BJ538" s="27"/>
      <c r="BK538" s="27"/>
      <c r="BL538" s="27"/>
      <c r="BM538" s="27"/>
      <c r="BN538" s="27"/>
      <c r="BO538" s="27"/>
      <c r="BP538" s="27"/>
      <c r="BQ538" s="27"/>
      <c r="BR538" s="27"/>
      <c r="BS538" s="27"/>
      <c r="BT538" s="27"/>
      <c r="BU538" s="27"/>
      <c r="BV538" s="27"/>
      <c r="BW538" s="27"/>
      <c r="BX538" s="27"/>
      <c r="BY538" s="27"/>
      <c r="BZ538" s="27"/>
      <c r="CA538" s="27"/>
      <c r="CB538" s="27"/>
      <c r="CC538" s="27"/>
      <c r="CD538" s="27"/>
      <c r="CE538" s="27"/>
      <c r="CF538" s="27"/>
      <c r="CG538" s="27"/>
      <c r="CH538" s="27"/>
      <c r="CI538" s="27"/>
      <c r="CJ538" s="27"/>
      <c r="CK538" s="27"/>
      <c r="CL538" s="27"/>
      <c r="CM538" s="27"/>
      <c r="CN538" s="27"/>
      <c r="CO538" s="27"/>
      <c r="CP538" s="27"/>
      <c r="CQ538" s="27"/>
      <c r="CR538" s="27"/>
      <c r="CS538" s="27"/>
      <c r="CT538" s="27"/>
      <c r="CU538" s="27"/>
      <c r="CV538" s="27"/>
      <c r="CW538" s="27"/>
      <c r="CX538" s="27"/>
      <c r="CY538" s="27"/>
      <c r="CZ538" s="27"/>
      <c r="DA538" s="27"/>
      <c r="DB538" s="27"/>
      <c r="DC538" s="27"/>
      <c r="DD538" s="27"/>
      <c r="DE538" s="27"/>
      <c r="DF538" s="27"/>
      <c r="DG538" s="27"/>
      <c r="DH538" s="27"/>
      <c r="DI538" s="27"/>
      <c r="DJ538" s="27"/>
      <c r="DK538" s="27"/>
      <c r="DL538" s="27"/>
      <c r="DM538" s="27"/>
      <c r="DN538" s="27"/>
      <c r="DO538" s="27"/>
      <c r="DP538" s="27"/>
      <c r="DQ538" s="27"/>
      <c r="DR538" s="27"/>
      <c r="DS538" s="27"/>
      <c r="DT538" s="27"/>
    </row>
    <row r="539" spans="7:124" x14ac:dyDescent="0.2">
      <c r="G539" s="27"/>
      <c r="H539" s="27"/>
      <c r="I539" s="27"/>
      <c r="J539" s="27"/>
      <c r="K539" s="27"/>
      <c r="L539" s="27"/>
      <c r="M539" s="27"/>
      <c r="N539" s="27"/>
      <c r="O539" s="27"/>
      <c r="P539" s="27"/>
      <c r="Q539" s="27"/>
      <c r="R539" s="27"/>
      <c r="S539" s="27"/>
      <c r="T539" s="27"/>
      <c r="U539" s="27"/>
      <c r="V539" s="27"/>
      <c r="W539" s="27"/>
      <c r="X539" s="27"/>
      <c r="Y539" s="27"/>
      <c r="Z539" s="27"/>
      <c r="AA539" s="27"/>
      <c r="AB539" s="27"/>
      <c r="AC539" s="27"/>
      <c r="AD539" s="27"/>
      <c r="AE539" s="27"/>
      <c r="AF539" s="27"/>
      <c r="AG539" s="27"/>
      <c r="AH539" s="27"/>
      <c r="AI539" s="27"/>
      <c r="AJ539" s="27"/>
      <c r="AK539" s="27"/>
      <c r="AL539" s="27"/>
      <c r="AM539" s="27"/>
      <c r="AN539" s="27"/>
      <c r="AO539" s="27"/>
      <c r="AP539" s="27"/>
      <c r="AQ539" s="27"/>
      <c r="AR539" s="27"/>
      <c r="AS539" s="27"/>
      <c r="AT539" s="27"/>
      <c r="AU539" s="27"/>
      <c r="AV539" s="27"/>
      <c r="AW539" s="27"/>
      <c r="AX539" s="27"/>
      <c r="AY539" s="27"/>
      <c r="AZ539" s="27"/>
      <c r="BA539" s="27"/>
      <c r="BB539" s="27"/>
      <c r="BC539" s="27"/>
      <c r="BD539" s="27"/>
      <c r="BE539" s="27"/>
      <c r="BF539" s="27"/>
      <c r="BG539" s="27"/>
      <c r="BH539" s="27"/>
      <c r="BI539" s="27"/>
      <c r="BJ539" s="27"/>
      <c r="BK539" s="27"/>
      <c r="BL539" s="27"/>
      <c r="BM539" s="27"/>
      <c r="BN539" s="27"/>
      <c r="BO539" s="27"/>
      <c r="BP539" s="27"/>
      <c r="BQ539" s="27"/>
      <c r="BR539" s="27"/>
      <c r="BS539" s="27"/>
      <c r="BT539" s="27"/>
      <c r="BU539" s="27"/>
      <c r="BV539" s="27"/>
      <c r="BW539" s="27"/>
      <c r="BX539" s="27"/>
      <c r="BY539" s="27"/>
      <c r="BZ539" s="27"/>
      <c r="CA539" s="27"/>
      <c r="CB539" s="27"/>
      <c r="CC539" s="27"/>
      <c r="CD539" s="27"/>
      <c r="CE539" s="27"/>
      <c r="CF539" s="27"/>
      <c r="CG539" s="27"/>
      <c r="CH539" s="27"/>
      <c r="CI539" s="27"/>
      <c r="CJ539" s="27"/>
      <c r="CK539" s="27"/>
      <c r="CL539" s="27"/>
      <c r="CM539" s="27"/>
      <c r="CN539" s="27"/>
      <c r="CO539" s="27"/>
      <c r="CP539" s="27"/>
      <c r="CQ539" s="27"/>
      <c r="CR539" s="27"/>
      <c r="CS539" s="27"/>
      <c r="CT539" s="27"/>
      <c r="CU539" s="27"/>
      <c r="CV539" s="27"/>
      <c r="CW539" s="27"/>
      <c r="CX539" s="27"/>
      <c r="CY539" s="27"/>
      <c r="CZ539" s="27"/>
      <c r="DA539" s="27"/>
      <c r="DB539" s="27"/>
      <c r="DC539" s="27"/>
      <c r="DD539" s="27"/>
      <c r="DE539" s="27"/>
      <c r="DF539" s="27"/>
      <c r="DG539" s="27"/>
      <c r="DH539" s="27"/>
      <c r="DI539" s="27"/>
      <c r="DJ539" s="27"/>
      <c r="DK539" s="27"/>
      <c r="DL539" s="27"/>
      <c r="DM539" s="27"/>
      <c r="DN539" s="27"/>
      <c r="DO539" s="27"/>
      <c r="DP539" s="27"/>
      <c r="DQ539" s="27"/>
      <c r="DR539" s="27"/>
      <c r="DS539" s="27"/>
      <c r="DT539" s="27"/>
    </row>
    <row r="540" spans="7:124" x14ac:dyDescent="0.2">
      <c r="G540" s="27"/>
      <c r="H540" s="27"/>
      <c r="I540" s="27"/>
      <c r="J540" s="27"/>
      <c r="K540" s="27"/>
      <c r="L540" s="27"/>
      <c r="M540" s="27"/>
      <c r="N540" s="27"/>
      <c r="O540" s="27"/>
      <c r="P540" s="27"/>
      <c r="Q540" s="27"/>
      <c r="R540" s="27"/>
      <c r="S540" s="27"/>
      <c r="T540" s="27"/>
      <c r="U540" s="27"/>
      <c r="V540" s="27"/>
      <c r="W540" s="27"/>
      <c r="X540" s="27"/>
      <c r="Y540" s="27"/>
      <c r="Z540" s="27"/>
      <c r="AA540" s="27"/>
      <c r="AB540" s="27"/>
      <c r="AC540" s="27"/>
      <c r="AD540" s="27"/>
      <c r="AE540" s="27"/>
      <c r="AF540" s="27"/>
      <c r="AG540" s="27"/>
      <c r="AH540" s="27"/>
      <c r="AI540" s="27"/>
      <c r="AJ540" s="27"/>
      <c r="AK540" s="27"/>
      <c r="AL540" s="27"/>
      <c r="AM540" s="27"/>
      <c r="AN540" s="27"/>
      <c r="AO540" s="27"/>
      <c r="AP540" s="27"/>
      <c r="AQ540" s="27"/>
      <c r="AR540" s="27"/>
      <c r="AS540" s="27"/>
      <c r="AT540" s="27"/>
      <c r="AU540" s="27"/>
      <c r="AV540" s="27"/>
      <c r="AW540" s="27"/>
      <c r="AX540" s="27"/>
      <c r="AY540" s="27"/>
      <c r="AZ540" s="27"/>
      <c r="BA540" s="27"/>
      <c r="BB540" s="27"/>
      <c r="BC540" s="27"/>
      <c r="BD540" s="27"/>
      <c r="BE540" s="27"/>
      <c r="BF540" s="27"/>
      <c r="BG540" s="27"/>
      <c r="BH540" s="27"/>
      <c r="BI540" s="27"/>
      <c r="BJ540" s="27"/>
      <c r="BK540" s="27"/>
      <c r="BL540" s="27"/>
      <c r="BM540" s="27"/>
      <c r="BN540" s="27"/>
      <c r="BO540" s="27"/>
      <c r="BP540" s="27"/>
      <c r="BQ540" s="27"/>
      <c r="BR540" s="27"/>
      <c r="BS540" s="27"/>
      <c r="BT540" s="27"/>
      <c r="BU540" s="27"/>
      <c r="BV540" s="27"/>
      <c r="BW540" s="27"/>
      <c r="BX540" s="27"/>
      <c r="BY540" s="27"/>
      <c r="BZ540" s="27"/>
      <c r="CA540" s="27"/>
      <c r="CB540" s="27"/>
      <c r="CC540" s="27"/>
      <c r="CD540" s="27"/>
      <c r="CE540" s="27"/>
      <c r="CF540" s="27"/>
      <c r="CG540" s="27"/>
      <c r="CH540" s="27"/>
      <c r="CI540" s="27"/>
      <c r="CJ540" s="27"/>
      <c r="CK540" s="27"/>
      <c r="CL540" s="27"/>
      <c r="CM540" s="27"/>
      <c r="CN540" s="27"/>
      <c r="CO540" s="27"/>
      <c r="CP540" s="27"/>
      <c r="CQ540" s="27"/>
      <c r="CR540" s="27"/>
      <c r="CS540" s="27"/>
      <c r="CT540" s="27"/>
      <c r="CU540" s="27"/>
      <c r="CV540" s="27"/>
      <c r="CW540" s="27"/>
      <c r="CX540" s="27"/>
      <c r="CY540" s="27"/>
      <c r="CZ540" s="27"/>
      <c r="DA540" s="27"/>
      <c r="DB540" s="27"/>
      <c r="DC540" s="27"/>
      <c r="DD540" s="27"/>
      <c r="DE540" s="27"/>
      <c r="DF540" s="27"/>
      <c r="DG540" s="27"/>
      <c r="DH540" s="27"/>
      <c r="DI540" s="27"/>
      <c r="DJ540" s="27"/>
      <c r="DK540" s="27"/>
      <c r="DL540" s="27"/>
      <c r="DM540" s="27"/>
      <c r="DN540" s="27"/>
      <c r="DO540" s="27"/>
      <c r="DP540" s="27"/>
      <c r="DQ540" s="27"/>
      <c r="DR540" s="27"/>
      <c r="DS540" s="27"/>
      <c r="DT540" s="27"/>
    </row>
    <row r="541" spans="7:124" x14ac:dyDescent="0.2">
      <c r="G541" s="27"/>
      <c r="H541" s="27"/>
      <c r="I541" s="27"/>
      <c r="J541" s="27"/>
      <c r="K541" s="27"/>
      <c r="L541" s="27"/>
      <c r="M541" s="27"/>
      <c r="N541" s="27"/>
      <c r="O541" s="27"/>
      <c r="P541" s="27"/>
      <c r="Q541" s="27"/>
      <c r="R541" s="27"/>
      <c r="S541" s="27"/>
      <c r="T541" s="27"/>
      <c r="U541" s="27"/>
      <c r="V541" s="27"/>
      <c r="W541" s="27"/>
      <c r="X541" s="27"/>
      <c r="Y541" s="27"/>
      <c r="Z541" s="27"/>
      <c r="AA541" s="27"/>
      <c r="AB541" s="27"/>
      <c r="AC541" s="27"/>
      <c r="AD541" s="27"/>
      <c r="AE541" s="27"/>
      <c r="AF541" s="27"/>
      <c r="AG541" s="27"/>
      <c r="AH541" s="27"/>
      <c r="AI541" s="27"/>
      <c r="AJ541" s="27"/>
      <c r="AK541" s="27"/>
      <c r="AL541" s="27"/>
      <c r="AM541" s="27"/>
      <c r="AN541" s="27"/>
      <c r="AO541" s="27"/>
      <c r="AP541" s="27"/>
      <c r="AQ541" s="27"/>
      <c r="AR541" s="27"/>
      <c r="AS541" s="27"/>
      <c r="AT541" s="27"/>
      <c r="AU541" s="27"/>
      <c r="AV541" s="27"/>
      <c r="AW541" s="27"/>
      <c r="AX541" s="27"/>
      <c r="AY541" s="27"/>
      <c r="AZ541" s="27"/>
      <c r="BA541" s="27"/>
      <c r="BB541" s="27"/>
      <c r="BC541" s="27"/>
      <c r="BD541" s="27"/>
      <c r="BE541" s="27"/>
      <c r="BF541" s="27"/>
      <c r="BG541" s="27"/>
      <c r="BH541" s="27"/>
      <c r="BI541" s="27"/>
      <c r="BJ541" s="27"/>
      <c r="BK541" s="27"/>
      <c r="BL541" s="27"/>
      <c r="BM541" s="27"/>
      <c r="BN541" s="27"/>
      <c r="BO541" s="27"/>
      <c r="BP541" s="27"/>
      <c r="BQ541" s="27"/>
      <c r="BR541" s="27"/>
      <c r="BS541" s="27"/>
      <c r="BT541" s="27"/>
      <c r="BU541" s="27"/>
      <c r="BV541" s="27"/>
      <c r="BW541" s="27"/>
      <c r="BX541" s="27"/>
      <c r="BY541" s="27"/>
      <c r="BZ541" s="27"/>
      <c r="CA541" s="27"/>
      <c r="CB541" s="27"/>
      <c r="CC541" s="27"/>
      <c r="CD541" s="27"/>
      <c r="CE541" s="27"/>
      <c r="CF541" s="27"/>
      <c r="CG541" s="27"/>
      <c r="CH541" s="27"/>
      <c r="CI541" s="27"/>
      <c r="CJ541" s="27"/>
      <c r="CK541" s="27"/>
      <c r="CL541" s="27"/>
      <c r="CM541" s="27"/>
      <c r="CN541" s="27"/>
      <c r="CO541" s="27"/>
      <c r="CP541" s="27"/>
      <c r="CQ541" s="27"/>
      <c r="CR541" s="27"/>
      <c r="CS541" s="27"/>
      <c r="CT541" s="27"/>
      <c r="CU541" s="27"/>
      <c r="CV541" s="27"/>
      <c r="CW541" s="27"/>
      <c r="CX541" s="27"/>
      <c r="CY541" s="27"/>
      <c r="CZ541" s="27"/>
      <c r="DA541" s="27"/>
      <c r="DB541" s="27"/>
      <c r="DC541" s="27"/>
      <c r="DD541" s="27"/>
      <c r="DE541" s="27"/>
      <c r="DF541" s="27"/>
      <c r="DG541" s="27"/>
      <c r="DH541" s="27"/>
      <c r="DI541" s="27"/>
      <c r="DJ541" s="27"/>
      <c r="DK541" s="27"/>
      <c r="DL541" s="27"/>
      <c r="DM541" s="27"/>
      <c r="DN541" s="27"/>
      <c r="DO541" s="27"/>
      <c r="DP541" s="27"/>
      <c r="DQ541" s="27"/>
      <c r="DR541" s="27"/>
      <c r="DS541" s="27"/>
      <c r="DT541" s="27"/>
    </row>
    <row r="542" spans="7:124" x14ac:dyDescent="0.2">
      <c r="G542" s="27"/>
      <c r="H542" s="27"/>
      <c r="I542" s="27"/>
      <c r="J542" s="27"/>
      <c r="K542" s="27"/>
      <c r="L542" s="27"/>
      <c r="M542" s="27"/>
      <c r="N542" s="27"/>
      <c r="O542" s="27"/>
      <c r="P542" s="27"/>
      <c r="Q542" s="27"/>
      <c r="R542" s="27"/>
      <c r="S542" s="27"/>
      <c r="T542" s="27"/>
      <c r="U542" s="27"/>
      <c r="V542" s="27"/>
      <c r="W542" s="27"/>
      <c r="X542" s="27"/>
      <c r="Y542" s="27"/>
      <c r="Z542" s="27"/>
      <c r="AA542" s="27"/>
      <c r="AB542" s="27"/>
      <c r="AC542" s="27"/>
      <c r="AD542" s="27"/>
      <c r="AE542" s="27"/>
      <c r="AF542" s="27"/>
      <c r="AG542" s="27"/>
      <c r="AH542" s="27"/>
      <c r="AI542" s="27"/>
      <c r="AJ542" s="27"/>
      <c r="AK542" s="27"/>
      <c r="AL542" s="27"/>
      <c r="AM542" s="27"/>
      <c r="AN542" s="27"/>
      <c r="AO542" s="27"/>
      <c r="AP542" s="27"/>
      <c r="AQ542" s="27"/>
      <c r="AR542" s="27"/>
      <c r="AS542" s="27"/>
      <c r="AT542" s="27"/>
      <c r="AU542" s="27"/>
      <c r="AV542" s="27"/>
      <c r="AW542" s="27"/>
      <c r="AX542" s="27"/>
      <c r="AY542" s="27"/>
      <c r="AZ542" s="27"/>
      <c r="BA542" s="27"/>
      <c r="BB542" s="27"/>
      <c r="BC542" s="27"/>
      <c r="BD542" s="27"/>
      <c r="BE542" s="27"/>
      <c r="BF542" s="27"/>
      <c r="BG542" s="27"/>
      <c r="BH542" s="27"/>
      <c r="BI542" s="27"/>
      <c r="BJ542" s="27"/>
      <c r="BK542" s="27"/>
      <c r="BL542" s="27"/>
      <c r="BM542" s="27"/>
      <c r="BN542" s="27"/>
      <c r="BO542" s="27"/>
      <c r="BP542" s="27"/>
      <c r="BQ542" s="27"/>
      <c r="BR542" s="27"/>
      <c r="BS542" s="27"/>
      <c r="BT542" s="27"/>
      <c r="BU542" s="27"/>
      <c r="BV542" s="27"/>
      <c r="BW542" s="27"/>
      <c r="BX542" s="27"/>
      <c r="BY542" s="27"/>
      <c r="BZ542" s="27"/>
      <c r="CA542" s="27"/>
      <c r="CB542" s="27"/>
      <c r="CC542" s="27"/>
      <c r="CD542" s="27"/>
      <c r="CE542" s="27"/>
      <c r="CF542" s="27"/>
      <c r="CG542" s="27"/>
      <c r="CH542" s="27"/>
      <c r="CI542" s="27"/>
      <c r="CJ542" s="27"/>
      <c r="CK542" s="27"/>
      <c r="CL542" s="27"/>
      <c r="CM542" s="27"/>
      <c r="CN542" s="27"/>
      <c r="CO542" s="27"/>
      <c r="CP542" s="27"/>
      <c r="CQ542" s="27"/>
      <c r="CR542" s="27"/>
      <c r="CS542" s="27"/>
      <c r="CT542" s="27"/>
      <c r="CU542" s="27"/>
      <c r="CV542" s="27"/>
      <c r="CW542" s="27"/>
      <c r="CX542" s="27"/>
      <c r="CY542" s="27"/>
      <c r="CZ542" s="27"/>
      <c r="DA542" s="27"/>
      <c r="DB542" s="27"/>
      <c r="DC542" s="27"/>
      <c r="DD542" s="27"/>
      <c r="DE542" s="27"/>
      <c r="DF542" s="27"/>
      <c r="DG542" s="27"/>
      <c r="DH542" s="27"/>
      <c r="DI542" s="27"/>
      <c r="DJ542" s="27"/>
      <c r="DK542" s="27"/>
      <c r="DL542" s="27"/>
      <c r="DM542" s="27"/>
      <c r="DN542" s="27"/>
      <c r="DO542" s="27"/>
      <c r="DP542" s="27"/>
      <c r="DQ542" s="27"/>
      <c r="DR542" s="27"/>
      <c r="DS542" s="27"/>
      <c r="DT542" s="27"/>
    </row>
    <row r="543" spans="7:124" x14ac:dyDescent="0.2">
      <c r="G543" s="27"/>
      <c r="H543" s="27"/>
      <c r="I543" s="27"/>
      <c r="J543" s="27"/>
      <c r="K543" s="27"/>
      <c r="L543" s="27"/>
      <c r="M543" s="27"/>
      <c r="N543" s="27"/>
      <c r="O543" s="27"/>
      <c r="P543" s="27"/>
      <c r="Q543" s="27"/>
      <c r="R543" s="27"/>
      <c r="S543" s="27"/>
      <c r="T543" s="27"/>
      <c r="U543" s="27"/>
      <c r="V543" s="27"/>
      <c r="W543" s="27"/>
      <c r="X543" s="27"/>
      <c r="Y543" s="27"/>
      <c r="Z543" s="27"/>
      <c r="AA543" s="27"/>
      <c r="AB543" s="27"/>
      <c r="AC543" s="27"/>
      <c r="AD543" s="27"/>
      <c r="AE543" s="27"/>
      <c r="AF543" s="27"/>
      <c r="AG543" s="27"/>
      <c r="AH543" s="27"/>
      <c r="AI543" s="27"/>
      <c r="AJ543" s="27"/>
      <c r="AK543" s="27"/>
      <c r="AL543" s="27"/>
      <c r="AM543" s="27"/>
      <c r="AN543" s="27"/>
      <c r="AO543" s="27"/>
      <c r="AP543" s="27"/>
      <c r="AQ543" s="27"/>
      <c r="AR543" s="27"/>
      <c r="AS543" s="27"/>
      <c r="AT543" s="27"/>
      <c r="AU543" s="27"/>
      <c r="AV543" s="27"/>
      <c r="AW543" s="27"/>
      <c r="AX543" s="27"/>
      <c r="AY543" s="27"/>
      <c r="AZ543" s="27"/>
      <c r="BA543" s="27"/>
      <c r="BB543" s="27"/>
      <c r="BC543" s="27"/>
      <c r="BD543" s="27"/>
      <c r="BE543" s="27"/>
      <c r="BF543" s="27"/>
      <c r="BG543" s="27"/>
      <c r="BH543" s="27"/>
      <c r="BI543" s="27"/>
      <c r="BJ543" s="27"/>
      <c r="BK543" s="27"/>
      <c r="BL543" s="27"/>
      <c r="BM543" s="27"/>
      <c r="BN543" s="27"/>
      <c r="BO543" s="27"/>
      <c r="BP543" s="27"/>
      <c r="BQ543" s="27"/>
      <c r="BR543" s="27"/>
      <c r="BS543" s="27"/>
      <c r="BT543" s="27"/>
      <c r="BU543" s="27"/>
      <c r="BV543" s="27"/>
      <c r="BW543" s="27"/>
      <c r="BX543" s="27"/>
      <c r="BY543" s="27"/>
      <c r="BZ543" s="27"/>
      <c r="CA543" s="27"/>
      <c r="CB543" s="27"/>
      <c r="CC543" s="27"/>
      <c r="CD543" s="27"/>
      <c r="CE543" s="27"/>
      <c r="CF543" s="27"/>
      <c r="CG543" s="27"/>
      <c r="CH543" s="27"/>
      <c r="CI543" s="27"/>
      <c r="CJ543" s="27"/>
      <c r="CK543" s="27"/>
      <c r="CL543" s="27"/>
      <c r="CM543" s="27"/>
      <c r="CN543" s="27"/>
      <c r="CO543" s="27"/>
      <c r="CP543" s="27"/>
      <c r="CQ543" s="27"/>
      <c r="CR543" s="27"/>
      <c r="CS543" s="27"/>
      <c r="CT543" s="27"/>
      <c r="CU543" s="27"/>
      <c r="CV543" s="27"/>
      <c r="CW543" s="27"/>
      <c r="CX543" s="27"/>
      <c r="CY543" s="27"/>
      <c r="CZ543" s="27"/>
      <c r="DA543" s="27"/>
      <c r="DB543" s="27"/>
      <c r="DC543" s="27"/>
      <c r="DD543" s="27"/>
      <c r="DE543" s="27"/>
      <c r="DF543" s="27"/>
      <c r="DG543" s="27"/>
      <c r="DH543" s="27"/>
      <c r="DI543" s="27"/>
      <c r="DJ543" s="27"/>
      <c r="DK543" s="27"/>
      <c r="DL543" s="27"/>
      <c r="DM543" s="27"/>
      <c r="DN543" s="27"/>
      <c r="DO543" s="27"/>
      <c r="DP543" s="27"/>
      <c r="DQ543" s="27"/>
      <c r="DR543" s="27"/>
      <c r="DS543" s="27"/>
      <c r="DT543" s="27"/>
    </row>
    <row r="544" spans="7:124" x14ac:dyDescent="0.2">
      <c r="G544" s="27"/>
      <c r="H544" s="27"/>
      <c r="I544" s="27"/>
      <c r="J544" s="27"/>
      <c r="K544" s="27"/>
      <c r="L544" s="27"/>
      <c r="M544" s="27"/>
      <c r="N544" s="27"/>
      <c r="O544" s="27"/>
      <c r="P544" s="27"/>
      <c r="Q544" s="27"/>
      <c r="R544" s="27"/>
      <c r="S544" s="27"/>
      <c r="T544" s="27"/>
      <c r="U544" s="27"/>
      <c r="V544" s="27"/>
      <c r="W544" s="27"/>
      <c r="X544" s="27"/>
      <c r="Y544" s="27"/>
      <c r="Z544" s="27"/>
      <c r="AA544" s="27"/>
      <c r="AB544" s="27"/>
      <c r="AC544" s="27"/>
      <c r="AD544" s="27"/>
      <c r="AE544" s="27"/>
      <c r="AF544" s="27"/>
      <c r="AG544" s="27"/>
      <c r="AH544" s="27"/>
      <c r="AI544" s="27"/>
      <c r="AJ544" s="27"/>
      <c r="AK544" s="27"/>
      <c r="AL544" s="27"/>
      <c r="AM544" s="27"/>
      <c r="AN544" s="27"/>
      <c r="AO544" s="27"/>
      <c r="AP544" s="27"/>
      <c r="AQ544" s="27"/>
      <c r="AR544" s="27"/>
      <c r="AS544" s="27"/>
      <c r="AT544" s="27"/>
      <c r="AU544" s="27"/>
      <c r="AV544" s="27"/>
      <c r="AW544" s="27"/>
      <c r="AX544" s="27"/>
      <c r="AY544" s="27"/>
      <c r="AZ544" s="27"/>
      <c r="BA544" s="27"/>
      <c r="BB544" s="27"/>
      <c r="BC544" s="27"/>
      <c r="BD544" s="27"/>
      <c r="BE544" s="27"/>
      <c r="BF544" s="27"/>
      <c r="BG544" s="27"/>
      <c r="BH544" s="27"/>
      <c r="BI544" s="27"/>
      <c r="BJ544" s="27"/>
      <c r="BK544" s="27"/>
      <c r="BL544" s="27"/>
      <c r="BM544" s="27"/>
      <c r="BN544" s="27"/>
      <c r="BO544" s="27"/>
      <c r="BP544" s="27"/>
      <c r="BQ544" s="27"/>
      <c r="BR544" s="27"/>
      <c r="BS544" s="27"/>
      <c r="BT544" s="27"/>
      <c r="BU544" s="27"/>
      <c r="BV544" s="27"/>
      <c r="BW544" s="27"/>
      <c r="BX544" s="27"/>
      <c r="BY544" s="27"/>
      <c r="BZ544" s="27"/>
      <c r="CA544" s="27"/>
      <c r="CB544" s="27"/>
      <c r="CC544" s="27"/>
      <c r="CD544" s="27"/>
      <c r="CE544" s="27"/>
      <c r="CF544" s="27"/>
      <c r="CG544" s="27"/>
      <c r="CH544" s="27"/>
      <c r="CI544" s="27"/>
      <c r="CJ544" s="27"/>
      <c r="CK544" s="27"/>
      <c r="CL544" s="27"/>
      <c r="CM544" s="27"/>
      <c r="CN544" s="27"/>
      <c r="CO544" s="27"/>
      <c r="CP544" s="27"/>
      <c r="CQ544" s="27"/>
      <c r="CR544" s="27"/>
      <c r="CS544" s="27"/>
      <c r="CT544" s="27"/>
      <c r="CU544" s="27"/>
      <c r="CV544" s="27"/>
      <c r="CW544" s="27"/>
      <c r="CX544" s="27"/>
      <c r="CY544" s="27"/>
      <c r="CZ544" s="27"/>
      <c r="DA544" s="27"/>
      <c r="DB544" s="27"/>
      <c r="DC544" s="27"/>
      <c r="DD544" s="27"/>
      <c r="DE544" s="27"/>
      <c r="DF544" s="27"/>
      <c r="DG544" s="27"/>
      <c r="DH544" s="27"/>
      <c r="DI544" s="27"/>
      <c r="DJ544" s="27"/>
      <c r="DK544" s="27"/>
      <c r="DL544" s="27"/>
      <c r="DM544" s="27"/>
      <c r="DN544" s="27"/>
      <c r="DO544" s="27"/>
      <c r="DP544" s="27"/>
      <c r="DQ544" s="27"/>
      <c r="DR544" s="27"/>
      <c r="DS544" s="27"/>
      <c r="DT544" s="27"/>
    </row>
    <row r="545" spans="7:124" x14ac:dyDescent="0.2">
      <c r="G545" s="27"/>
      <c r="H545" s="27"/>
      <c r="I545" s="27"/>
      <c r="J545" s="27"/>
      <c r="K545" s="27"/>
      <c r="L545" s="27"/>
      <c r="M545" s="27"/>
      <c r="N545" s="27"/>
      <c r="O545" s="27"/>
      <c r="P545" s="27"/>
      <c r="Q545" s="27"/>
      <c r="R545" s="27"/>
      <c r="S545" s="27"/>
      <c r="T545" s="27"/>
      <c r="U545" s="27"/>
      <c r="V545" s="27"/>
      <c r="W545" s="27"/>
      <c r="X545" s="27"/>
      <c r="Y545" s="27"/>
      <c r="Z545" s="27"/>
      <c r="AA545" s="27"/>
      <c r="AB545" s="27"/>
      <c r="AC545" s="27"/>
      <c r="AD545" s="27"/>
      <c r="AE545" s="27"/>
      <c r="AF545" s="27"/>
      <c r="AG545" s="27"/>
      <c r="AH545" s="27"/>
      <c r="AI545" s="27"/>
      <c r="AJ545" s="27"/>
      <c r="AK545" s="27"/>
      <c r="AL545" s="27"/>
      <c r="AM545" s="27"/>
      <c r="AN545" s="27"/>
      <c r="AO545" s="27"/>
      <c r="AP545" s="27"/>
      <c r="AQ545" s="27"/>
      <c r="AR545" s="27"/>
      <c r="AS545" s="27"/>
      <c r="AT545" s="27"/>
      <c r="AU545" s="27"/>
      <c r="AV545" s="27"/>
      <c r="AW545" s="27"/>
      <c r="AX545" s="27"/>
      <c r="AY545" s="27"/>
      <c r="AZ545" s="27"/>
      <c r="BA545" s="27"/>
      <c r="BB545" s="27"/>
      <c r="BC545" s="27"/>
      <c r="BD545" s="27"/>
      <c r="BE545" s="27"/>
      <c r="BF545" s="27"/>
      <c r="BG545" s="27"/>
      <c r="BH545" s="27"/>
      <c r="BI545" s="27"/>
      <c r="BJ545" s="27"/>
      <c r="BK545" s="27"/>
      <c r="BL545" s="27"/>
      <c r="BM545" s="27"/>
      <c r="BN545" s="27"/>
      <c r="BO545" s="27"/>
      <c r="BP545" s="27"/>
      <c r="BQ545" s="27"/>
      <c r="BR545" s="27"/>
      <c r="BS545" s="27"/>
      <c r="BT545" s="27"/>
      <c r="BU545" s="27"/>
      <c r="BV545" s="27"/>
      <c r="BW545" s="27"/>
      <c r="BX545" s="27"/>
      <c r="BY545" s="27"/>
      <c r="BZ545" s="27"/>
      <c r="CA545" s="27"/>
      <c r="CB545" s="27"/>
      <c r="CC545" s="27"/>
      <c r="CD545" s="27"/>
      <c r="CE545" s="27"/>
      <c r="CF545" s="27"/>
      <c r="CG545" s="27"/>
      <c r="CH545" s="27"/>
      <c r="CI545" s="27"/>
      <c r="CJ545" s="27"/>
      <c r="CK545" s="27"/>
      <c r="CL545" s="27"/>
      <c r="CM545" s="27"/>
      <c r="CN545" s="27"/>
      <c r="CO545" s="27"/>
      <c r="CP545" s="27"/>
      <c r="CQ545" s="27"/>
      <c r="CR545" s="27"/>
      <c r="CS545" s="27"/>
      <c r="CT545" s="27"/>
      <c r="CU545" s="27"/>
      <c r="CV545" s="27"/>
      <c r="CW545" s="27"/>
      <c r="CX545" s="27"/>
      <c r="CY545" s="27"/>
      <c r="CZ545" s="27"/>
      <c r="DA545" s="27"/>
      <c r="DB545" s="27"/>
      <c r="DC545" s="27"/>
      <c r="DD545" s="27"/>
      <c r="DE545" s="27"/>
      <c r="DF545" s="27"/>
      <c r="DG545" s="27"/>
      <c r="DH545" s="27"/>
      <c r="DI545" s="27"/>
      <c r="DJ545" s="27"/>
      <c r="DK545" s="27"/>
      <c r="DL545" s="27"/>
      <c r="DM545" s="27"/>
      <c r="DN545" s="27"/>
      <c r="DO545" s="27"/>
      <c r="DP545" s="27"/>
      <c r="DQ545" s="27"/>
      <c r="DR545" s="27"/>
      <c r="DS545" s="27"/>
      <c r="DT545" s="27"/>
    </row>
    <row r="546" spans="7:124" x14ac:dyDescent="0.2">
      <c r="G546" s="27"/>
      <c r="H546" s="27"/>
      <c r="I546" s="27"/>
      <c r="J546" s="27"/>
      <c r="K546" s="27"/>
      <c r="L546" s="27"/>
      <c r="M546" s="27"/>
      <c r="N546" s="27"/>
      <c r="O546" s="27"/>
      <c r="P546" s="27"/>
      <c r="Q546" s="27"/>
      <c r="R546" s="27"/>
      <c r="S546" s="27"/>
      <c r="T546" s="27"/>
      <c r="U546" s="27"/>
      <c r="V546" s="27"/>
      <c r="W546" s="27"/>
      <c r="X546" s="27"/>
      <c r="Y546" s="27"/>
      <c r="Z546" s="27"/>
      <c r="AA546" s="27"/>
      <c r="AB546" s="27"/>
      <c r="AC546" s="27"/>
      <c r="AD546" s="27"/>
      <c r="AE546" s="27"/>
      <c r="AF546" s="27"/>
      <c r="AG546" s="27"/>
      <c r="AH546" s="27"/>
      <c r="AI546" s="27"/>
      <c r="AJ546" s="27"/>
      <c r="AK546" s="27"/>
      <c r="AL546" s="27"/>
      <c r="AM546" s="27"/>
      <c r="AN546" s="27"/>
      <c r="AO546" s="27"/>
      <c r="AP546" s="27"/>
      <c r="AQ546" s="27"/>
      <c r="AR546" s="27"/>
      <c r="AS546" s="27"/>
      <c r="AT546" s="27"/>
      <c r="AU546" s="27"/>
      <c r="AV546" s="27"/>
      <c r="AW546" s="27"/>
      <c r="AX546" s="27"/>
      <c r="AY546" s="27"/>
      <c r="AZ546" s="27"/>
      <c r="BA546" s="27"/>
      <c r="BB546" s="27"/>
      <c r="BC546" s="27"/>
      <c r="BD546" s="27"/>
      <c r="BE546" s="27"/>
      <c r="BF546" s="27"/>
      <c r="BG546" s="27"/>
      <c r="BH546" s="27"/>
      <c r="BI546" s="27"/>
      <c r="BJ546" s="27"/>
      <c r="BK546" s="27"/>
      <c r="BL546" s="27"/>
      <c r="BM546" s="27"/>
      <c r="BN546" s="27"/>
      <c r="BO546" s="27"/>
      <c r="BP546" s="27"/>
      <c r="BQ546" s="27"/>
      <c r="BR546" s="27"/>
      <c r="BS546" s="27"/>
      <c r="BT546" s="27"/>
      <c r="BU546" s="27"/>
      <c r="BV546" s="27"/>
      <c r="BW546" s="27"/>
      <c r="BX546" s="27"/>
      <c r="BY546" s="27"/>
      <c r="BZ546" s="27"/>
      <c r="CA546" s="27"/>
      <c r="CB546" s="27"/>
      <c r="CC546" s="27"/>
      <c r="CD546" s="27"/>
      <c r="CE546" s="27"/>
      <c r="CF546" s="27"/>
      <c r="CG546" s="27"/>
      <c r="CH546" s="27"/>
      <c r="CI546" s="27"/>
      <c r="CJ546" s="27"/>
      <c r="CK546" s="27"/>
      <c r="CL546" s="27"/>
      <c r="CM546" s="27"/>
      <c r="CN546" s="27"/>
      <c r="CO546" s="27"/>
      <c r="CP546" s="27"/>
      <c r="CQ546" s="27"/>
      <c r="CR546" s="27"/>
      <c r="CS546" s="27"/>
      <c r="CT546" s="27"/>
      <c r="CU546" s="27"/>
      <c r="CV546" s="27"/>
      <c r="CW546" s="27"/>
      <c r="CX546" s="27"/>
      <c r="CY546" s="27"/>
      <c r="CZ546" s="27"/>
      <c r="DA546" s="27"/>
      <c r="DB546" s="27"/>
      <c r="DC546" s="27"/>
      <c r="DD546" s="27"/>
      <c r="DE546" s="27"/>
      <c r="DF546" s="27"/>
      <c r="DG546" s="27"/>
      <c r="DH546" s="27"/>
      <c r="DI546" s="27"/>
      <c r="DJ546" s="27"/>
      <c r="DK546" s="27"/>
      <c r="DL546" s="27"/>
      <c r="DM546" s="27"/>
      <c r="DN546" s="27"/>
      <c r="DO546" s="27"/>
      <c r="DP546" s="27"/>
      <c r="DQ546" s="27"/>
      <c r="DR546" s="27"/>
      <c r="DS546" s="27"/>
      <c r="DT546" s="27"/>
    </row>
    <row r="547" spans="7:124" x14ac:dyDescent="0.2">
      <c r="G547" s="27"/>
      <c r="H547" s="27"/>
      <c r="I547" s="27"/>
      <c r="J547" s="27"/>
      <c r="K547" s="27"/>
      <c r="L547" s="27"/>
      <c r="M547" s="27"/>
      <c r="N547" s="27"/>
      <c r="O547" s="27"/>
      <c r="P547" s="27"/>
      <c r="Q547" s="27"/>
      <c r="R547" s="27"/>
      <c r="S547" s="27"/>
      <c r="T547" s="27"/>
      <c r="U547" s="27"/>
      <c r="V547" s="27"/>
      <c r="W547" s="27"/>
      <c r="X547" s="27"/>
      <c r="Y547" s="27"/>
      <c r="Z547" s="27"/>
      <c r="AA547" s="27"/>
      <c r="AB547" s="27"/>
      <c r="AC547" s="27"/>
      <c r="AD547" s="27"/>
      <c r="AE547" s="27"/>
      <c r="AF547" s="27"/>
      <c r="AG547" s="27"/>
      <c r="AH547" s="27"/>
      <c r="AI547" s="27"/>
      <c r="AJ547" s="27"/>
      <c r="AK547" s="27"/>
      <c r="AL547" s="27"/>
      <c r="AM547" s="27"/>
      <c r="AN547" s="27"/>
      <c r="AO547" s="27"/>
      <c r="AP547" s="27"/>
      <c r="AQ547" s="27"/>
      <c r="AR547" s="27"/>
      <c r="AS547" s="27"/>
      <c r="AT547" s="27"/>
      <c r="AU547" s="27"/>
      <c r="AV547" s="27"/>
      <c r="AW547" s="27"/>
      <c r="AX547" s="27"/>
      <c r="AY547" s="27"/>
      <c r="AZ547" s="27"/>
      <c r="BA547" s="27"/>
      <c r="BB547" s="27"/>
      <c r="BC547" s="27"/>
      <c r="BD547" s="27"/>
      <c r="BE547" s="27"/>
      <c r="BF547" s="27"/>
      <c r="BG547" s="27"/>
      <c r="BH547" s="27"/>
      <c r="BI547" s="27"/>
      <c r="BJ547" s="27"/>
      <c r="BK547" s="27"/>
      <c r="BL547" s="27"/>
      <c r="BM547" s="27"/>
      <c r="BN547" s="27"/>
      <c r="BO547" s="27"/>
      <c r="BP547" s="27"/>
      <c r="BQ547" s="27"/>
      <c r="BR547" s="27"/>
      <c r="BS547" s="27"/>
      <c r="BT547" s="27"/>
      <c r="BU547" s="27"/>
      <c r="BV547" s="27"/>
      <c r="BW547" s="27"/>
      <c r="BX547" s="27"/>
      <c r="BY547" s="27"/>
      <c r="BZ547" s="27"/>
      <c r="CA547" s="27"/>
      <c r="CB547" s="27"/>
      <c r="CC547" s="27"/>
      <c r="CD547" s="27"/>
      <c r="CE547" s="27"/>
      <c r="CF547" s="27"/>
      <c r="CG547" s="27"/>
      <c r="CH547" s="27"/>
      <c r="CI547" s="27"/>
      <c r="CJ547" s="27"/>
      <c r="CK547" s="27"/>
      <c r="CL547" s="27"/>
      <c r="CM547" s="27"/>
      <c r="CN547" s="27"/>
      <c r="CO547" s="27"/>
      <c r="CP547" s="27"/>
      <c r="CQ547" s="27"/>
      <c r="CR547" s="27"/>
      <c r="CS547" s="27"/>
      <c r="CT547" s="27"/>
      <c r="CU547" s="27"/>
      <c r="CV547" s="27"/>
      <c r="CW547" s="27"/>
      <c r="CX547" s="27"/>
      <c r="CY547" s="27"/>
      <c r="CZ547" s="27"/>
      <c r="DA547" s="27"/>
      <c r="DB547" s="27"/>
      <c r="DC547" s="27"/>
      <c r="DD547" s="27"/>
      <c r="DE547" s="27"/>
      <c r="DF547" s="27"/>
      <c r="DG547" s="27"/>
      <c r="DH547" s="27"/>
      <c r="DI547" s="27"/>
      <c r="DJ547" s="27"/>
      <c r="DK547" s="27"/>
      <c r="DL547" s="27"/>
      <c r="DM547" s="27"/>
      <c r="DN547" s="27"/>
      <c r="DO547" s="27"/>
      <c r="DP547" s="27"/>
      <c r="DQ547" s="27"/>
      <c r="DR547" s="27"/>
      <c r="DS547" s="27"/>
      <c r="DT547" s="27"/>
    </row>
    <row r="548" spans="7:124" x14ac:dyDescent="0.2">
      <c r="G548" s="27"/>
      <c r="H548" s="27"/>
      <c r="I548" s="27"/>
      <c r="J548" s="27"/>
      <c r="K548" s="27"/>
      <c r="L548" s="27"/>
      <c r="M548" s="27"/>
      <c r="N548" s="27"/>
      <c r="O548" s="27"/>
      <c r="P548" s="27"/>
      <c r="Q548" s="27"/>
      <c r="R548" s="27"/>
      <c r="S548" s="27"/>
      <c r="T548" s="27"/>
      <c r="U548" s="27"/>
      <c r="V548" s="27"/>
      <c r="W548" s="27"/>
      <c r="X548" s="27"/>
      <c r="Y548" s="27"/>
      <c r="Z548" s="27"/>
      <c r="AA548" s="27"/>
      <c r="AB548" s="27"/>
      <c r="AC548" s="27"/>
      <c r="AD548" s="27"/>
      <c r="AE548" s="27"/>
      <c r="AF548" s="27"/>
      <c r="AG548" s="27"/>
      <c r="AH548" s="27"/>
      <c r="AI548" s="27"/>
      <c r="AJ548" s="27"/>
      <c r="AK548" s="27"/>
      <c r="AL548" s="27"/>
      <c r="AM548" s="27"/>
      <c r="AN548" s="27"/>
      <c r="AO548" s="27"/>
      <c r="AP548" s="27"/>
      <c r="AQ548" s="27"/>
      <c r="AR548" s="27"/>
      <c r="AS548" s="27"/>
      <c r="AT548" s="27"/>
      <c r="AU548" s="27"/>
      <c r="AV548" s="27"/>
      <c r="AW548" s="27"/>
      <c r="AX548" s="27"/>
      <c r="AY548" s="27"/>
      <c r="AZ548" s="27"/>
      <c r="BA548" s="27"/>
      <c r="BB548" s="27"/>
      <c r="BC548" s="27"/>
      <c r="BD548" s="27"/>
      <c r="BE548" s="27"/>
      <c r="BF548" s="27"/>
      <c r="BG548" s="27"/>
      <c r="BH548" s="27"/>
      <c r="BI548" s="27"/>
      <c r="BJ548" s="27"/>
      <c r="BK548" s="27"/>
      <c r="BL548" s="27"/>
      <c r="BM548" s="27"/>
      <c r="BN548" s="27"/>
      <c r="BO548" s="27"/>
      <c r="BP548" s="27"/>
      <c r="BQ548" s="27"/>
      <c r="BR548" s="27"/>
      <c r="BS548" s="27"/>
      <c r="BT548" s="27"/>
      <c r="BU548" s="27"/>
      <c r="BV548" s="27"/>
      <c r="BW548" s="27"/>
      <c r="BX548" s="27"/>
      <c r="BY548" s="27"/>
      <c r="BZ548" s="27"/>
      <c r="CA548" s="27"/>
      <c r="CB548" s="27"/>
      <c r="CC548" s="27"/>
      <c r="CD548" s="27"/>
      <c r="CE548" s="27"/>
      <c r="CF548" s="27"/>
      <c r="CG548" s="27"/>
      <c r="CH548" s="27"/>
      <c r="CI548" s="27"/>
      <c r="CJ548" s="27"/>
      <c r="CK548" s="27"/>
      <c r="CL548" s="27"/>
      <c r="CM548" s="27"/>
      <c r="CN548" s="27"/>
      <c r="CO548" s="27"/>
      <c r="CP548" s="27"/>
      <c r="CQ548" s="27"/>
      <c r="CR548" s="27"/>
      <c r="CS548" s="27"/>
      <c r="CT548" s="27"/>
      <c r="CU548" s="27"/>
      <c r="CV548" s="27"/>
      <c r="CW548" s="27"/>
      <c r="CX548" s="27"/>
      <c r="CY548" s="27"/>
      <c r="CZ548" s="27"/>
      <c r="DA548" s="27"/>
      <c r="DB548" s="27"/>
      <c r="DC548" s="27"/>
      <c r="DD548" s="27"/>
      <c r="DE548" s="27"/>
      <c r="DF548" s="27"/>
      <c r="DG548" s="27"/>
      <c r="DH548" s="27"/>
      <c r="DI548" s="27"/>
      <c r="DJ548" s="27"/>
      <c r="DK548" s="27"/>
      <c r="DL548" s="27"/>
      <c r="DM548" s="27"/>
      <c r="DN548" s="27"/>
      <c r="DO548" s="27"/>
      <c r="DP548" s="27"/>
      <c r="DQ548" s="27"/>
      <c r="DR548" s="27"/>
      <c r="DS548" s="27"/>
      <c r="DT548" s="27"/>
    </row>
    <row r="549" spans="7:124" x14ac:dyDescent="0.2">
      <c r="G549" s="27"/>
      <c r="H549" s="27"/>
      <c r="I549" s="27"/>
      <c r="J549" s="27"/>
      <c r="K549" s="27"/>
      <c r="L549" s="27"/>
      <c r="M549" s="27"/>
      <c r="N549" s="27"/>
      <c r="O549" s="27"/>
      <c r="P549" s="27"/>
      <c r="Q549" s="27"/>
      <c r="R549" s="27"/>
      <c r="S549" s="27"/>
      <c r="T549" s="27"/>
      <c r="U549" s="27"/>
      <c r="V549" s="27"/>
      <c r="W549" s="27"/>
      <c r="X549" s="27"/>
      <c r="Y549" s="27"/>
      <c r="Z549" s="27"/>
      <c r="AA549" s="27"/>
      <c r="AB549" s="27"/>
      <c r="AC549" s="27"/>
      <c r="AD549" s="27"/>
      <c r="AE549" s="27"/>
      <c r="AF549" s="27"/>
      <c r="AG549" s="27"/>
      <c r="AH549" s="27"/>
      <c r="AI549" s="27"/>
      <c r="AJ549" s="27"/>
      <c r="AK549" s="27"/>
      <c r="AL549" s="27"/>
      <c r="AM549" s="27"/>
      <c r="AN549" s="27"/>
      <c r="AO549" s="27"/>
      <c r="AP549" s="27"/>
      <c r="AQ549" s="27"/>
      <c r="AR549" s="27"/>
      <c r="AS549" s="27"/>
      <c r="AT549" s="27"/>
      <c r="AU549" s="27"/>
      <c r="AV549" s="27"/>
      <c r="AW549" s="27"/>
      <c r="AX549" s="27"/>
      <c r="AY549" s="27"/>
      <c r="AZ549" s="27"/>
      <c r="BA549" s="27"/>
      <c r="BB549" s="27"/>
      <c r="BC549" s="27"/>
      <c r="BD549" s="27"/>
      <c r="BE549" s="27"/>
      <c r="BF549" s="27"/>
      <c r="BG549" s="27"/>
      <c r="BH549" s="27"/>
      <c r="BI549" s="27"/>
      <c r="BJ549" s="27"/>
      <c r="BK549" s="27"/>
      <c r="BL549" s="27"/>
      <c r="BM549" s="27"/>
      <c r="BN549" s="27"/>
      <c r="BO549" s="27"/>
      <c r="BP549" s="27"/>
      <c r="BQ549" s="27"/>
      <c r="BR549" s="27"/>
      <c r="BS549" s="27"/>
      <c r="BT549" s="27"/>
      <c r="BU549" s="27"/>
      <c r="BV549" s="27"/>
      <c r="BW549" s="27"/>
      <c r="BX549" s="27"/>
      <c r="BY549" s="27"/>
      <c r="BZ549" s="27"/>
      <c r="CA549" s="27"/>
      <c r="CB549" s="27"/>
      <c r="CC549" s="27"/>
      <c r="CD549" s="27"/>
      <c r="CE549" s="27"/>
      <c r="CF549" s="27"/>
      <c r="CG549" s="27"/>
      <c r="CH549" s="27"/>
      <c r="CI549" s="27"/>
      <c r="CJ549" s="27"/>
      <c r="CK549" s="27"/>
      <c r="CL549" s="27"/>
      <c r="CM549" s="27"/>
      <c r="CN549" s="27"/>
      <c r="CO549" s="27"/>
      <c r="CP549" s="27"/>
      <c r="CQ549" s="27"/>
      <c r="CR549" s="27"/>
      <c r="CS549" s="27"/>
      <c r="CT549" s="27"/>
      <c r="CU549" s="27"/>
      <c r="CV549" s="27"/>
      <c r="CW549" s="27"/>
      <c r="CX549" s="27"/>
      <c r="CY549" s="27"/>
      <c r="CZ549" s="27"/>
      <c r="DA549" s="27"/>
      <c r="DB549" s="27"/>
      <c r="DC549" s="27"/>
      <c r="DD549" s="27"/>
      <c r="DE549" s="27"/>
      <c r="DF549" s="27"/>
      <c r="DG549" s="27"/>
      <c r="DH549" s="27"/>
      <c r="DI549" s="27"/>
      <c r="DJ549" s="27"/>
      <c r="DK549" s="27"/>
      <c r="DL549" s="27"/>
      <c r="DM549" s="27"/>
      <c r="DN549" s="27"/>
      <c r="DO549" s="27"/>
      <c r="DP549" s="27"/>
      <c r="DQ549" s="27"/>
      <c r="DR549" s="27"/>
      <c r="DS549" s="27"/>
      <c r="DT549" s="27"/>
    </row>
    <row r="550" spans="7:124" x14ac:dyDescent="0.2">
      <c r="G550" s="27"/>
      <c r="H550" s="27"/>
      <c r="I550" s="27"/>
      <c r="J550" s="27"/>
      <c r="K550" s="27"/>
      <c r="L550" s="27"/>
      <c r="M550" s="27"/>
      <c r="N550" s="27"/>
      <c r="O550" s="27"/>
      <c r="P550" s="27"/>
      <c r="Q550" s="27"/>
      <c r="R550" s="27"/>
      <c r="S550" s="27"/>
      <c r="T550" s="27"/>
      <c r="U550" s="27"/>
      <c r="V550" s="27"/>
      <c r="W550" s="27"/>
      <c r="X550" s="27"/>
      <c r="Y550" s="27"/>
      <c r="Z550" s="27"/>
      <c r="AA550" s="27"/>
      <c r="AB550" s="27"/>
      <c r="AC550" s="27"/>
      <c r="AD550" s="27"/>
      <c r="AE550" s="27"/>
      <c r="AF550" s="27"/>
      <c r="AG550" s="27"/>
      <c r="AH550" s="27"/>
      <c r="AI550" s="27"/>
      <c r="AJ550" s="27"/>
      <c r="AK550" s="27"/>
      <c r="AL550" s="27"/>
      <c r="AM550" s="27"/>
      <c r="AN550" s="27"/>
      <c r="AO550" s="27"/>
      <c r="AP550" s="27"/>
      <c r="AQ550" s="27"/>
      <c r="AR550" s="27"/>
      <c r="AS550" s="27"/>
      <c r="AT550" s="27"/>
      <c r="AU550" s="27"/>
      <c r="AV550" s="27"/>
      <c r="AW550" s="27"/>
      <c r="AX550" s="27"/>
      <c r="AY550" s="27"/>
      <c r="AZ550" s="27"/>
      <c r="BA550" s="27"/>
      <c r="BB550" s="27"/>
      <c r="BC550" s="27"/>
      <c r="BD550" s="27"/>
      <c r="BE550" s="27"/>
      <c r="BF550" s="27"/>
      <c r="BG550" s="27"/>
      <c r="BH550" s="27"/>
      <c r="BI550" s="27"/>
      <c r="BJ550" s="27"/>
      <c r="BK550" s="27"/>
      <c r="BL550" s="27"/>
      <c r="BM550" s="27"/>
      <c r="BN550" s="27"/>
      <c r="BO550" s="27"/>
      <c r="BP550" s="27"/>
      <c r="BQ550" s="27"/>
      <c r="BR550" s="27"/>
      <c r="BS550" s="27"/>
      <c r="BT550" s="27"/>
      <c r="BU550" s="27"/>
      <c r="BV550" s="27"/>
      <c r="BW550" s="27"/>
      <c r="BX550" s="27"/>
      <c r="BY550" s="27"/>
      <c r="BZ550" s="27"/>
      <c r="CA550" s="27"/>
      <c r="CB550" s="27"/>
      <c r="CC550" s="27"/>
      <c r="CD550" s="27"/>
      <c r="CE550" s="27"/>
      <c r="CF550" s="27"/>
      <c r="CG550" s="27"/>
      <c r="CH550" s="27"/>
      <c r="CI550" s="27"/>
      <c r="CJ550" s="27"/>
      <c r="CK550" s="27"/>
      <c r="CL550" s="27"/>
      <c r="CM550" s="27"/>
      <c r="CN550" s="27"/>
      <c r="CO550" s="27"/>
      <c r="CP550" s="27"/>
      <c r="CQ550" s="27"/>
      <c r="CR550" s="27"/>
      <c r="CS550" s="27"/>
      <c r="CT550" s="27"/>
      <c r="CU550" s="27"/>
      <c r="CV550" s="27"/>
      <c r="CW550" s="27"/>
      <c r="CX550" s="27"/>
      <c r="CY550" s="27"/>
      <c r="CZ550" s="27"/>
      <c r="DA550" s="27"/>
      <c r="DB550" s="27"/>
      <c r="DC550" s="27"/>
      <c r="DD550" s="27"/>
      <c r="DE550" s="27"/>
      <c r="DF550" s="27"/>
      <c r="DG550" s="27"/>
      <c r="DH550" s="27"/>
      <c r="DI550" s="27"/>
      <c r="DJ550" s="27"/>
      <c r="DK550" s="27"/>
      <c r="DL550" s="27"/>
      <c r="DM550" s="27"/>
      <c r="DN550" s="27"/>
      <c r="DO550" s="27"/>
      <c r="DP550" s="27"/>
      <c r="DQ550" s="27"/>
      <c r="DR550" s="27"/>
      <c r="DS550" s="27"/>
      <c r="DT550" s="27"/>
    </row>
    <row r="551" spans="7:124" x14ac:dyDescent="0.2">
      <c r="G551" s="27"/>
      <c r="H551" s="27"/>
      <c r="I551" s="27"/>
      <c r="J551" s="27"/>
      <c r="K551" s="27"/>
      <c r="L551" s="27"/>
      <c r="M551" s="27"/>
      <c r="N551" s="27"/>
      <c r="O551" s="27"/>
      <c r="P551" s="27"/>
      <c r="Q551" s="27"/>
      <c r="R551" s="27"/>
      <c r="S551" s="27"/>
      <c r="T551" s="27"/>
      <c r="U551" s="27"/>
      <c r="V551" s="27"/>
      <c r="W551" s="27"/>
      <c r="X551" s="27"/>
      <c r="Y551" s="27"/>
      <c r="Z551" s="27"/>
      <c r="AA551" s="27"/>
      <c r="AB551" s="27"/>
      <c r="AC551" s="27"/>
      <c r="AD551" s="27"/>
      <c r="AE551" s="27"/>
      <c r="AF551" s="27"/>
      <c r="AG551" s="27"/>
      <c r="AH551" s="27"/>
      <c r="AI551" s="27"/>
      <c r="AJ551" s="27"/>
      <c r="AK551" s="27"/>
      <c r="AL551" s="27"/>
      <c r="AM551" s="27"/>
      <c r="AN551" s="27"/>
      <c r="AO551" s="27"/>
      <c r="AP551" s="27"/>
      <c r="AQ551" s="27"/>
      <c r="AR551" s="27"/>
      <c r="AS551" s="27"/>
      <c r="AT551" s="27"/>
      <c r="AU551" s="27"/>
      <c r="AV551" s="27"/>
      <c r="AW551" s="27"/>
      <c r="AX551" s="27"/>
      <c r="AY551" s="27"/>
      <c r="AZ551" s="27"/>
      <c r="BA551" s="27"/>
      <c r="BB551" s="27"/>
      <c r="BC551" s="27"/>
      <c r="BD551" s="27"/>
      <c r="BE551" s="27"/>
      <c r="BF551" s="27"/>
      <c r="BG551" s="27"/>
      <c r="BH551" s="27"/>
      <c r="BI551" s="27"/>
      <c r="BJ551" s="27"/>
      <c r="BK551" s="27"/>
      <c r="BL551" s="27"/>
      <c r="BM551" s="27"/>
      <c r="BN551" s="27"/>
      <c r="BO551" s="27"/>
      <c r="BP551" s="27"/>
      <c r="BQ551" s="27"/>
      <c r="BR551" s="27"/>
      <c r="BS551" s="27"/>
      <c r="BT551" s="27"/>
      <c r="BU551" s="27"/>
      <c r="BV551" s="27"/>
      <c r="BW551" s="27"/>
      <c r="BX551" s="27"/>
      <c r="BY551" s="27"/>
      <c r="BZ551" s="27"/>
      <c r="CA551" s="27"/>
      <c r="CB551" s="27"/>
      <c r="CC551" s="27"/>
      <c r="CD551" s="27"/>
      <c r="CE551" s="27"/>
      <c r="CF551" s="27"/>
      <c r="CG551" s="27"/>
      <c r="CH551" s="27"/>
      <c r="CI551" s="27"/>
      <c r="CJ551" s="27"/>
      <c r="CK551" s="27"/>
      <c r="CL551" s="27"/>
      <c r="CM551" s="27"/>
      <c r="CN551" s="27"/>
      <c r="CO551" s="27"/>
      <c r="CP551" s="27"/>
      <c r="CQ551" s="27"/>
      <c r="CR551" s="27"/>
      <c r="CS551" s="27"/>
      <c r="CT551" s="27"/>
      <c r="CU551" s="27"/>
      <c r="CV551" s="27"/>
      <c r="CW551" s="27"/>
      <c r="CX551" s="27"/>
      <c r="CY551" s="27"/>
      <c r="CZ551" s="27"/>
      <c r="DA551" s="27"/>
      <c r="DB551" s="27"/>
      <c r="DC551" s="27"/>
      <c r="DD551" s="27"/>
      <c r="DE551" s="27"/>
      <c r="DF551" s="27"/>
      <c r="DG551" s="27"/>
      <c r="DH551" s="27"/>
      <c r="DI551" s="27"/>
      <c r="DJ551" s="27"/>
      <c r="DK551" s="27"/>
      <c r="DL551" s="27"/>
      <c r="DM551" s="27"/>
      <c r="DN551" s="27"/>
      <c r="DO551" s="27"/>
      <c r="DP551" s="27"/>
      <c r="DQ551" s="27"/>
      <c r="DR551" s="27"/>
      <c r="DS551" s="27"/>
      <c r="DT551" s="27"/>
    </row>
    <row r="552" spans="7:124" x14ac:dyDescent="0.2">
      <c r="G552" s="27"/>
      <c r="H552" s="27"/>
      <c r="I552" s="27"/>
      <c r="J552" s="27"/>
      <c r="K552" s="27"/>
      <c r="L552" s="27"/>
      <c r="M552" s="27"/>
      <c r="N552" s="27"/>
      <c r="O552" s="27"/>
      <c r="P552" s="27"/>
      <c r="Q552" s="27"/>
      <c r="R552" s="27"/>
      <c r="S552" s="27"/>
      <c r="T552" s="27"/>
      <c r="U552" s="27"/>
      <c r="V552" s="27"/>
      <c r="W552" s="27"/>
      <c r="X552" s="27"/>
      <c r="Y552" s="27"/>
      <c r="Z552" s="27"/>
      <c r="AA552" s="27"/>
      <c r="AB552" s="27"/>
      <c r="AC552" s="27"/>
      <c r="AD552" s="27"/>
      <c r="AE552" s="27"/>
      <c r="AF552" s="27"/>
      <c r="AG552" s="27"/>
      <c r="AH552" s="27"/>
      <c r="AI552" s="27"/>
      <c r="AJ552" s="27"/>
      <c r="AK552" s="27"/>
      <c r="AL552" s="27"/>
      <c r="AM552" s="27"/>
      <c r="AN552" s="27"/>
      <c r="AO552" s="27"/>
      <c r="AP552" s="27"/>
      <c r="AQ552" s="27"/>
      <c r="AR552" s="27"/>
      <c r="AS552" s="27"/>
      <c r="AT552" s="27"/>
      <c r="AU552" s="27"/>
      <c r="AV552" s="27"/>
      <c r="AW552" s="27"/>
      <c r="AX552" s="27"/>
      <c r="AY552" s="27"/>
      <c r="AZ552" s="27"/>
      <c r="BA552" s="27"/>
      <c r="BB552" s="27"/>
      <c r="BC552" s="27"/>
      <c r="BD552" s="27"/>
      <c r="BE552" s="27"/>
      <c r="BF552" s="27"/>
      <c r="BG552" s="27"/>
      <c r="BH552" s="27"/>
      <c r="BI552" s="27"/>
      <c r="BJ552" s="27"/>
      <c r="BK552" s="27"/>
      <c r="BL552" s="27"/>
      <c r="BM552" s="27"/>
      <c r="BN552" s="27"/>
      <c r="BO552" s="27"/>
      <c r="BP552" s="27"/>
      <c r="BQ552" s="27"/>
      <c r="BR552" s="27"/>
      <c r="BS552" s="27"/>
      <c r="BT552" s="27"/>
      <c r="BU552" s="27"/>
      <c r="BV552" s="27"/>
      <c r="BW552" s="27"/>
      <c r="BX552" s="27"/>
      <c r="BY552" s="27"/>
      <c r="BZ552" s="27"/>
      <c r="CA552" s="27"/>
      <c r="CB552" s="27"/>
      <c r="CC552" s="27"/>
      <c r="CD552" s="27"/>
      <c r="CE552" s="27"/>
      <c r="CF552" s="27"/>
      <c r="CG552" s="27"/>
      <c r="CH552" s="27"/>
      <c r="CI552" s="27"/>
      <c r="CJ552" s="27"/>
      <c r="CK552" s="27"/>
      <c r="CL552" s="27"/>
      <c r="CM552" s="27"/>
      <c r="CN552" s="27"/>
      <c r="CO552" s="27"/>
      <c r="CP552" s="27"/>
      <c r="CQ552" s="27"/>
      <c r="CR552" s="27"/>
      <c r="CS552" s="27"/>
      <c r="CT552" s="27"/>
      <c r="CU552" s="27"/>
      <c r="CV552" s="27"/>
      <c r="CW552" s="27"/>
      <c r="CX552" s="27"/>
      <c r="CY552" s="27"/>
      <c r="CZ552" s="27"/>
      <c r="DA552" s="27"/>
      <c r="DB552" s="27"/>
      <c r="DC552" s="27"/>
      <c r="DD552" s="27"/>
      <c r="DE552" s="27"/>
      <c r="DF552" s="27"/>
      <c r="DG552" s="27"/>
      <c r="DH552" s="27"/>
      <c r="DI552" s="27"/>
      <c r="DJ552" s="27"/>
      <c r="DK552" s="27"/>
      <c r="DL552" s="27"/>
      <c r="DM552" s="27"/>
      <c r="DN552" s="27"/>
      <c r="DO552" s="27"/>
      <c r="DP552" s="27"/>
      <c r="DQ552" s="27"/>
      <c r="DR552" s="27"/>
      <c r="DS552" s="27"/>
      <c r="DT552" s="27"/>
    </row>
    <row r="553" spans="7:124" x14ac:dyDescent="0.2">
      <c r="G553" s="27"/>
      <c r="H553" s="27"/>
      <c r="I553" s="27"/>
      <c r="J553" s="27"/>
      <c r="K553" s="27"/>
      <c r="L553" s="27"/>
      <c r="M553" s="27"/>
      <c r="N553" s="27"/>
      <c r="O553" s="27"/>
      <c r="P553" s="27"/>
      <c r="Q553" s="27"/>
      <c r="R553" s="27"/>
      <c r="S553" s="27"/>
      <c r="T553" s="27"/>
      <c r="U553" s="27"/>
      <c r="V553" s="27"/>
      <c r="W553" s="27"/>
      <c r="X553" s="27"/>
      <c r="Y553" s="27"/>
      <c r="Z553" s="27"/>
      <c r="AA553" s="27"/>
      <c r="AB553" s="27"/>
      <c r="AC553" s="27"/>
      <c r="AD553" s="27"/>
      <c r="AE553" s="27"/>
      <c r="AF553" s="27"/>
      <c r="AG553" s="27"/>
      <c r="AH553" s="27"/>
      <c r="AI553" s="27"/>
      <c r="AJ553" s="27"/>
      <c r="AK553" s="27"/>
      <c r="AL553" s="27"/>
      <c r="AM553" s="27"/>
      <c r="AN553" s="27"/>
      <c r="AO553" s="27"/>
      <c r="AP553" s="27"/>
      <c r="AQ553" s="27"/>
      <c r="AR553" s="27"/>
      <c r="AS553" s="27"/>
      <c r="AT553" s="27"/>
      <c r="AU553" s="27"/>
      <c r="AV553" s="27"/>
      <c r="AW553" s="27"/>
      <c r="AX553" s="27"/>
      <c r="AY553" s="27"/>
      <c r="AZ553" s="27"/>
      <c r="BA553" s="27"/>
      <c r="BB553" s="27"/>
      <c r="BC553" s="27"/>
      <c r="BD553" s="27"/>
      <c r="BE553" s="27"/>
      <c r="BF553" s="27"/>
      <c r="BG553" s="27"/>
      <c r="BH553" s="27"/>
      <c r="BI553" s="27"/>
      <c r="BJ553" s="27"/>
      <c r="BK553" s="27"/>
      <c r="BL553" s="27"/>
      <c r="BM553" s="27"/>
      <c r="BN553" s="27"/>
      <c r="BO553" s="27"/>
      <c r="BP553" s="27"/>
      <c r="BQ553" s="27"/>
      <c r="BR553" s="27"/>
      <c r="BS553" s="27"/>
      <c r="BT553" s="27"/>
      <c r="BU553" s="27"/>
      <c r="BV553" s="27"/>
      <c r="BW553" s="27"/>
      <c r="BX553" s="27"/>
      <c r="BY553" s="27"/>
      <c r="BZ553" s="27"/>
      <c r="CA553" s="27"/>
      <c r="CB553" s="27"/>
      <c r="CC553" s="27"/>
      <c r="CD553" s="27"/>
      <c r="CE553" s="27"/>
      <c r="CF553" s="27"/>
      <c r="CG553" s="27"/>
      <c r="CH553" s="27"/>
      <c r="CI553" s="27"/>
      <c r="CJ553" s="27"/>
      <c r="CK553" s="27"/>
      <c r="CL553" s="27"/>
      <c r="CM553" s="27"/>
      <c r="CN553" s="27"/>
      <c r="CO553" s="27"/>
      <c r="CP553" s="27"/>
      <c r="CQ553" s="27"/>
      <c r="CR553" s="27"/>
      <c r="CS553" s="27"/>
      <c r="CT553" s="27"/>
      <c r="CU553" s="27"/>
      <c r="CV553" s="27"/>
      <c r="CW553" s="27"/>
      <c r="CX553" s="27"/>
      <c r="CY553" s="27"/>
      <c r="CZ553" s="27"/>
      <c r="DA553" s="27"/>
      <c r="DB553" s="27"/>
      <c r="DC553" s="27"/>
      <c r="DD553" s="27"/>
      <c r="DE553" s="27"/>
      <c r="DF553" s="27"/>
      <c r="DG553" s="27"/>
      <c r="DH553" s="27"/>
      <c r="DI553" s="27"/>
      <c r="DJ553" s="27"/>
      <c r="DK553" s="27"/>
      <c r="DL553" s="27"/>
      <c r="DM553" s="27"/>
      <c r="DN553" s="27"/>
      <c r="DO553" s="27"/>
      <c r="DP553" s="27"/>
      <c r="DQ553" s="27"/>
      <c r="DR553" s="27"/>
      <c r="DS553" s="27"/>
      <c r="DT553" s="27"/>
    </row>
    <row r="554" spans="7:124" x14ac:dyDescent="0.2">
      <c r="G554" s="27"/>
      <c r="H554" s="27"/>
      <c r="I554" s="27"/>
      <c r="J554" s="27"/>
      <c r="K554" s="27"/>
      <c r="L554" s="27"/>
      <c r="M554" s="27"/>
      <c r="N554" s="27"/>
      <c r="O554" s="27"/>
      <c r="P554" s="27"/>
      <c r="Q554" s="27"/>
      <c r="R554" s="27"/>
      <c r="S554" s="27"/>
      <c r="T554" s="27"/>
      <c r="U554" s="27"/>
      <c r="V554" s="27"/>
      <c r="W554" s="27"/>
      <c r="X554" s="27"/>
      <c r="Y554" s="27"/>
      <c r="Z554" s="27"/>
      <c r="AA554" s="27"/>
      <c r="AB554" s="27"/>
      <c r="AC554" s="27"/>
      <c r="AD554" s="27"/>
      <c r="AE554" s="27"/>
      <c r="AF554" s="27"/>
      <c r="AG554" s="27"/>
      <c r="AH554" s="27"/>
      <c r="AI554" s="27"/>
      <c r="AJ554" s="27"/>
      <c r="AK554" s="27"/>
      <c r="AL554" s="27"/>
      <c r="AM554" s="27"/>
      <c r="AN554" s="27"/>
      <c r="AO554" s="27"/>
      <c r="AP554" s="27"/>
      <c r="AQ554" s="27"/>
      <c r="AR554" s="27"/>
      <c r="AS554" s="27"/>
      <c r="AT554" s="27"/>
      <c r="AU554" s="27"/>
      <c r="AV554" s="27"/>
      <c r="AW554" s="27"/>
      <c r="AX554" s="27"/>
      <c r="AY554" s="27"/>
      <c r="AZ554" s="27"/>
      <c r="BA554" s="27"/>
      <c r="BB554" s="27"/>
      <c r="BC554" s="27"/>
      <c r="BD554" s="27"/>
      <c r="BE554" s="27"/>
      <c r="BF554" s="27"/>
      <c r="BG554" s="27"/>
      <c r="BH554" s="27"/>
      <c r="BI554" s="27"/>
      <c r="BJ554" s="27"/>
      <c r="BK554" s="27"/>
      <c r="BL554" s="27"/>
      <c r="BM554" s="27"/>
      <c r="BN554" s="27"/>
      <c r="BO554" s="27"/>
      <c r="BP554" s="27"/>
      <c r="BQ554" s="27"/>
      <c r="BR554" s="27"/>
      <c r="BS554" s="27"/>
      <c r="BT554" s="27"/>
      <c r="BU554" s="27"/>
      <c r="BV554" s="27"/>
      <c r="BW554" s="27"/>
      <c r="BX554" s="27"/>
      <c r="BY554" s="27"/>
      <c r="BZ554" s="27"/>
      <c r="CA554" s="27"/>
      <c r="CB554" s="27"/>
      <c r="CC554" s="27"/>
      <c r="CD554" s="27"/>
      <c r="CE554" s="27"/>
      <c r="CF554" s="27"/>
      <c r="CG554" s="27"/>
      <c r="CH554" s="27"/>
      <c r="CI554" s="27"/>
      <c r="CJ554" s="27"/>
      <c r="CK554" s="27"/>
      <c r="CL554" s="27"/>
      <c r="CM554" s="27"/>
      <c r="CN554" s="27"/>
      <c r="CO554" s="27"/>
      <c r="CP554" s="27"/>
      <c r="CQ554" s="27"/>
      <c r="CR554" s="27"/>
      <c r="CS554" s="27"/>
      <c r="CT554" s="27"/>
      <c r="CU554" s="27"/>
      <c r="CV554" s="27"/>
      <c r="CW554" s="27"/>
      <c r="CX554" s="27"/>
      <c r="CY554" s="27"/>
      <c r="CZ554" s="27"/>
      <c r="DA554" s="27"/>
      <c r="DB554" s="27"/>
      <c r="DC554" s="27"/>
      <c r="DD554" s="27"/>
      <c r="DE554" s="27"/>
      <c r="DF554" s="27"/>
      <c r="DG554" s="27"/>
      <c r="DH554" s="27"/>
      <c r="DI554" s="27"/>
      <c r="DJ554" s="27"/>
      <c r="DK554" s="27"/>
      <c r="DL554" s="27"/>
      <c r="DM554" s="27"/>
      <c r="DN554" s="27"/>
      <c r="DO554" s="27"/>
      <c r="DP554" s="27"/>
      <c r="DQ554" s="27"/>
      <c r="DR554" s="27"/>
      <c r="DS554" s="27"/>
      <c r="DT554" s="27"/>
    </row>
    <row r="555" spans="7:124" x14ac:dyDescent="0.2">
      <c r="G555" s="27"/>
      <c r="H555" s="27"/>
      <c r="I555" s="27"/>
      <c r="J555" s="27"/>
      <c r="K555" s="27"/>
      <c r="L555" s="27"/>
      <c r="M555" s="27"/>
      <c r="N555" s="27"/>
      <c r="O555" s="27"/>
      <c r="P555" s="27"/>
      <c r="Q555" s="27"/>
      <c r="R555" s="27"/>
      <c r="S555" s="27"/>
      <c r="T555" s="27"/>
      <c r="U555" s="27"/>
      <c r="V555" s="27"/>
      <c r="W555" s="27"/>
      <c r="X555" s="27"/>
      <c r="Y555" s="27"/>
      <c r="Z555" s="27"/>
      <c r="AA555" s="27"/>
      <c r="AB555" s="27"/>
      <c r="AC555" s="27"/>
      <c r="AD555" s="27"/>
      <c r="AE555" s="27"/>
      <c r="AF555" s="27"/>
      <c r="AG555" s="27"/>
      <c r="AH555" s="27"/>
      <c r="AI555" s="27"/>
      <c r="AJ555" s="27"/>
      <c r="AK555" s="27"/>
      <c r="AL555" s="27"/>
      <c r="AM555" s="27"/>
      <c r="AN555" s="27"/>
      <c r="AO555" s="27"/>
      <c r="AP555" s="27"/>
      <c r="AQ555" s="27"/>
      <c r="AR555" s="27"/>
      <c r="AS555" s="27"/>
      <c r="AT555" s="27"/>
      <c r="AU555" s="27"/>
      <c r="AV555" s="27"/>
      <c r="AW555" s="27"/>
      <c r="AX555" s="27"/>
      <c r="AY555" s="27"/>
      <c r="AZ555" s="27"/>
      <c r="BA555" s="27"/>
      <c r="BB555" s="27"/>
      <c r="BC555" s="27"/>
      <c r="BD555" s="27"/>
      <c r="BE555" s="27"/>
      <c r="BF555" s="27"/>
      <c r="BG555" s="27"/>
      <c r="BH555" s="27"/>
      <c r="BI555" s="27"/>
      <c r="BJ555" s="27"/>
      <c r="BK555" s="27"/>
      <c r="BL555" s="27"/>
      <c r="BM555" s="27"/>
      <c r="BN555" s="27"/>
      <c r="BO555" s="27"/>
      <c r="BP555" s="27"/>
      <c r="BQ555" s="27"/>
      <c r="BR555" s="27"/>
      <c r="BS555" s="27"/>
      <c r="BT555" s="27"/>
      <c r="BU555" s="27"/>
      <c r="BV555" s="27"/>
      <c r="BW555" s="27"/>
      <c r="BX555" s="27"/>
      <c r="BY555" s="27"/>
      <c r="BZ555" s="27"/>
      <c r="CA555" s="27"/>
      <c r="CB555" s="27"/>
      <c r="CC555" s="27"/>
      <c r="CD555" s="27"/>
      <c r="CE555" s="27"/>
      <c r="CF555" s="27"/>
      <c r="CG555" s="27"/>
      <c r="CH555" s="27"/>
      <c r="CI555" s="27"/>
      <c r="CJ555" s="27"/>
      <c r="CK555" s="27"/>
      <c r="CL555" s="27"/>
      <c r="CM555" s="27"/>
      <c r="CN555" s="27"/>
      <c r="CO555" s="27"/>
      <c r="CP555" s="27"/>
      <c r="CQ555" s="27"/>
      <c r="CR555" s="27"/>
      <c r="CS555" s="27"/>
      <c r="CT555" s="27"/>
      <c r="CU555" s="27"/>
      <c r="CV555" s="27"/>
      <c r="CW555" s="27"/>
      <c r="CX555" s="27"/>
      <c r="CY555" s="27"/>
      <c r="CZ555" s="27"/>
      <c r="DA555" s="27"/>
      <c r="DB555" s="27"/>
      <c r="DC555" s="27"/>
      <c r="DD555" s="27"/>
      <c r="DE555" s="27"/>
      <c r="DF555" s="27"/>
      <c r="DG555" s="27"/>
      <c r="DH555" s="27"/>
      <c r="DI555" s="27"/>
      <c r="DJ555" s="27"/>
      <c r="DK555" s="27"/>
      <c r="DL555" s="27"/>
      <c r="DM555" s="27"/>
      <c r="DN555" s="27"/>
      <c r="DO555" s="27"/>
      <c r="DP555" s="27"/>
      <c r="DQ555" s="27"/>
      <c r="DR555" s="27"/>
      <c r="DS555" s="27"/>
      <c r="DT555" s="27"/>
    </row>
    <row r="556" spans="7:124" x14ac:dyDescent="0.2">
      <c r="G556" s="27"/>
      <c r="H556" s="27"/>
      <c r="I556" s="27"/>
      <c r="J556" s="27"/>
      <c r="K556" s="27"/>
      <c r="L556" s="27"/>
      <c r="M556" s="27"/>
      <c r="N556" s="27"/>
      <c r="O556" s="27"/>
      <c r="P556" s="27"/>
      <c r="Q556" s="27"/>
      <c r="R556" s="27"/>
      <c r="S556" s="27"/>
      <c r="T556" s="27"/>
      <c r="U556" s="27"/>
      <c r="V556" s="27"/>
      <c r="W556" s="27"/>
      <c r="X556" s="27"/>
      <c r="Y556" s="27"/>
      <c r="Z556" s="27"/>
      <c r="AA556" s="27"/>
      <c r="AB556" s="27"/>
      <c r="AC556" s="27"/>
      <c r="AD556" s="27"/>
      <c r="AE556" s="27"/>
      <c r="AF556" s="27"/>
      <c r="AG556" s="27"/>
      <c r="AH556" s="27"/>
      <c r="AI556" s="27"/>
      <c r="AJ556" s="27"/>
      <c r="AK556" s="27"/>
      <c r="AL556" s="27"/>
      <c r="AM556" s="27"/>
      <c r="AN556" s="27"/>
      <c r="AO556" s="27"/>
      <c r="AP556" s="27"/>
      <c r="AQ556" s="27"/>
      <c r="AR556" s="27"/>
      <c r="AS556" s="27"/>
      <c r="AT556" s="27"/>
      <c r="AU556" s="27"/>
      <c r="AV556" s="27"/>
      <c r="AW556" s="27"/>
      <c r="AX556" s="27"/>
      <c r="AY556" s="27"/>
      <c r="AZ556" s="27"/>
      <c r="BA556" s="27"/>
      <c r="BB556" s="27"/>
      <c r="BC556" s="27"/>
      <c r="BD556" s="27"/>
      <c r="BE556" s="27"/>
      <c r="BF556" s="27"/>
      <c r="BG556" s="27"/>
      <c r="BH556" s="27"/>
      <c r="BI556" s="27"/>
      <c r="BJ556" s="27"/>
      <c r="BK556" s="27"/>
      <c r="BL556" s="27"/>
      <c r="BM556" s="27"/>
      <c r="BN556" s="27"/>
      <c r="BO556" s="27"/>
      <c r="BP556" s="27"/>
      <c r="BQ556" s="27"/>
      <c r="BR556" s="27"/>
      <c r="BS556" s="27"/>
      <c r="BT556" s="27"/>
      <c r="BU556" s="27"/>
      <c r="BV556" s="27"/>
      <c r="BW556" s="27"/>
      <c r="BX556" s="27"/>
      <c r="BY556" s="27"/>
      <c r="BZ556" s="27"/>
      <c r="CA556" s="27"/>
      <c r="CB556" s="27"/>
      <c r="CC556" s="27"/>
      <c r="CD556" s="27"/>
      <c r="CE556" s="27"/>
      <c r="CF556" s="27"/>
      <c r="CG556" s="27"/>
      <c r="CH556" s="27"/>
      <c r="CI556" s="27"/>
      <c r="CJ556" s="27"/>
      <c r="CK556" s="27"/>
      <c r="CL556" s="27"/>
      <c r="CM556" s="27"/>
      <c r="CN556" s="27"/>
      <c r="CO556" s="27"/>
      <c r="CP556" s="27"/>
      <c r="CQ556" s="27"/>
      <c r="CR556" s="27"/>
      <c r="CS556" s="27"/>
      <c r="CT556" s="27"/>
      <c r="CU556" s="27"/>
      <c r="CV556" s="27"/>
      <c r="CW556" s="27"/>
      <c r="CX556" s="27"/>
      <c r="CY556" s="27"/>
      <c r="CZ556" s="27"/>
      <c r="DA556" s="27"/>
      <c r="DB556" s="27"/>
      <c r="DC556" s="27"/>
      <c r="DD556" s="27"/>
      <c r="DE556" s="27"/>
      <c r="DF556" s="27"/>
      <c r="DG556" s="27"/>
      <c r="DH556" s="27"/>
      <c r="DI556" s="27"/>
      <c r="DJ556" s="27"/>
      <c r="DK556" s="27"/>
      <c r="DL556" s="27"/>
      <c r="DM556" s="27"/>
      <c r="DN556" s="27"/>
      <c r="DO556" s="27"/>
      <c r="DP556" s="27"/>
      <c r="DQ556" s="27"/>
      <c r="DR556" s="27"/>
      <c r="DS556" s="27"/>
      <c r="DT556" s="27"/>
    </row>
    <row r="557" spans="7:124" x14ac:dyDescent="0.2">
      <c r="G557" s="27"/>
      <c r="H557" s="27"/>
      <c r="I557" s="27"/>
      <c r="J557" s="27"/>
      <c r="K557" s="27"/>
      <c r="L557" s="27"/>
      <c r="M557" s="27"/>
      <c r="N557" s="27"/>
      <c r="O557" s="27"/>
      <c r="P557" s="27"/>
      <c r="Q557" s="27"/>
      <c r="R557" s="27"/>
      <c r="S557" s="27"/>
      <c r="T557" s="27"/>
      <c r="U557" s="27"/>
      <c r="V557" s="27"/>
      <c r="W557" s="27"/>
      <c r="X557" s="27"/>
      <c r="Y557" s="27"/>
      <c r="Z557" s="27"/>
      <c r="AA557" s="27"/>
      <c r="AB557" s="27"/>
      <c r="AC557" s="27"/>
      <c r="AD557" s="27"/>
      <c r="AE557" s="27"/>
      <c r="AF557" s="27"/>
      <c r="AG557" s="27"/>
      <c r="AH557" s="27"/>
      <c r="AI557" s="27"/>
      <c r="AJ557" s="27"/>
      <c r="AK557" s="27"/>
      <c r="AL557" s="27"/>
      <c r="AM557" s="27"/>
      <c r="AN557" s="27"/>
      <c r="AO557" s="27"/>
      <c r="AP557" s="27"/>
      <c r="AQ557" s="27"/>
      <c r="AR557" s="27"/>
      <c r="AS557" s="27"/>
      <c r="AT557" s="27"/>
      <c r="AU557" s="27"/>
      <c r="AV557" s="27"/>
      <c r="AW557" s="27"/>
      <c r="AX557" s="27"/>
      <c r="AY557" s="27"/>
      <c r="AZ557" s="27"/>
      <c r="BA557" s="27"/>
      <c r="BB557" s="27"/>
      <c r="BC557" s="27"/>
      <c r="BD557" s="27"/>
      <c r="BE557" s="27"/>
      <c r="BF557" s="27"/>
      <c r="BG557" s="27"/>
      <c r="BH557" s="27"/>
      <c r="BI557" s="27"/>
      <c r="BJ557" s="27"/>
      <c r="BK557" s="27"/>
      <c r="BL557" s="27"/>
      <c r="BM557" s="27"/>
      <c r="BN557" s="27"/>
      <c r="BO557" s="27"/>
      <c r="BP557" s="27"/>
      <c r="BQ557" s="27"/>
      <c r="BR557" s="27"/>
      <c r="BS557" s="27"/>
      <c r="BT557" s="27"/>
      <c r="BU557" s="27"/>
      <c r="BV557" s="27"/>
      <c r="BW557" s="27"/>
      <c r="BX557" s="27"/>
      <c r="BY557" s="27"/>
      <c r="BZ557" s="27"/>
      <c r="CA557" s="27"/>
      <c r="CB557" s="27"/>
      <c r="CC557" s="27"/>
      <c r="CD557" s="27"/>
      <c r="CE557" s="27"/>
      <c r="CF557" s="27"/>
      <c r="CG557" s="27"/>
      <c r="CH557" s="27"/>
      <c r="CI557" s="27"/>
      <c r="CJ557" s="27"/>
      <c r="CK557" s="27"/>
      <c r="CL557" s="27"/>
      <c r="CM557" s="27"/>
      <c r="CN557" s="27"/>
      <c r="CO557" s="27"/>
      <c r="CP557" s="27"/>
      <c r="CQ557" s="27"/>
      <c r="CR557" s="27"/>
      <c r="CS557" s="27"/>
      <c r="CT557" s="27"/>
      <c r="CU557" s="27"/>
      <c r="CV557" s="27"/>
      <c r="CW557" s="27"/>
      <c r="CX557" s="27"/>
      <c r="CY557" s="27"/>
      <c r="CZ557" s="27"/>
      <c r="DA557" s="27"/>
      <c r="DB557" s="27"/>
      <c r="DC557" s="27"/>
      <c r="DD557" s="27"/>
      <c r="DE557" s="27"/>
      <c r="DF557" s="27"/>
      <c r="DG557" s="27"/>
      <c r="DH557" s="27"/>
      <c r="DI557" s="27"/>
      <c r="DJ557" s="27"/>
      <c r="DK557" s="27"/>
      <c r="DL557" s="27"/>
      <c r="DM557" s="27"/>
      <c r="DN557" s="27"/>
      <c r="DO557" s="27"/>
      <c r="DP557" s="27"/>
      <c r="DQ557" s="27"/>
      <c r="DR557" s="27"/>
      <c r="DS557" s="27"/>
      <c r="DT557" s="27"/>
    </row>
    <row r="558" spans="7:124" x14ac:dyDescent="0.2">
      <c r="G558" s="27"/>
      <c r="H558" s="27"/>
      <c r="I558" s="27"/>
      <c r="J558" s="27"/>
      <c r="K558" s="27"/>
      <c r="L558" s="27"/>
      <c r="M558" s="27"/>
      <c r="N558" s="27"/>
      <c r="O558" s="27"/>
      <c r="P558" s="27"/>
      <c r="Q558" s="27"/>
      <c r="R558" s="27"/>
      <c r="S558" s="27"/>
      <c r="T558" s="27"/>
      <c r="U558" s="27"/>
      <c r="V558" s="27"/>
      <c r="W558" s="27"/>
      <c r="X558" s="27"/>
      <c r="Y558" s="27"/>
      <c r="Z558" s="27"/>
      <c r="AA558" s="27"/>
      <c r="AB558" s="27"/>
      <c r="AC558" s="27"/>
      <c r="AD558" s="27"/>
      <c r="AE558" s="27"/>
      <c r="AF558" s="27"/>
      <c r="AG558" s="27"/>
      <c r="AH558" s="27"/>
      <c r="AI558" s="27"/>
      <c r="AJ558" s="27"/>
      <c r="AK558" s="27"/>
      <c r="AL558" s="27"/>
      <c r="AM558" s="27"/>
      <c r="AN558" s="27"/>
      <c r="AO558" s="27"/>
      <c r="AP558" s="27"/>
      <c r="AQ558" s="27"/>
      <c r="AR558" s="27"/>
      <c r="AS558" s="27"/>
      <c r="AT558" s="27"/>
      <c r="AU558" s="27"/>
      <c r="AV558" s="27"/>
      <c r="AW558" s="27"/>
      <c r="AX558" s="27"/>
      <c r="AY558" s="27"/>
      <c r="AZ558" s="27"/>
      <c r="BA558" s="27"/>
      <c r="BB558" s="27"/>
      <c r="BC558" s="27"/>
      <c r="BD558" s="27"/>
      <c r="BE558" s="27"/>
      <c r="BF558" s="27"/>
      <c r="BG558" s="27"/>
      <c r="BH558" s="27"/>
      <c r="BI558" s="27"/>
      <c r="BJ558" s="27"/>
      <c r="BK558" s="27"/>
      <c r="BL558" s="27"/>
      <c r="BM558" s="27"/>
      <c r="BN558" s="27"/>
      <c r="BO558" s="27"/>
      <c r="BP558" s="27"/>
      <c r="BQ558" s="27"/>
      <c r="BR558" s="27"/>
      <c r="BS558" s="27"/>
      <c r="BT558" s="27"/>
      <c r="BU558" s="27"/>
      <c r="BV558" s="27"/>
      <c r="BW558" s="27"/>
      <c r="BX558" s="27"/>
      <c r="BY558" s="27"/>
      <c r="BZ558" s="27"/>
      <c r="CA558" s="27"/>
      <c r="CB558" s="27"/>
      <c r="CC558" s="27"/>
      <c r="CD558" s="27"/>
      <c r="CE558" s="27"/>
      <c r="CF558" s="27"/>
      <c r="CG558" s="27"/>
      <c r="CH558" s="27"/>
      <c r="CI558" s="27"/>
      <c r="CJ558" s="27"/>
      <c r="CK558" s="27"/>
      <c r="CL558" s="27"/>
      <c r="CM558" s="27"/>
      <c r="CN558" s="27"/>
      <c r="CO558" s="27"/>
      <c r="CP558" s="27"/>
      <c r="CQ558" s="27"/>
      <c r="CR558" s="27"/>
      <c r="CS558" s="27"/>
      <c r="CT558" s="27"/>
      <c r="CU558" s="27"/>
      <c r="CV558" s="27"/>
      <c r="CW558" s="27"/>
      <c r="CX558" s="27"/>
      <c r="CY558" s="27"/>
      <c r="CZ558" s="27"/>
      <c r="DA558" s="27"/>
      <c r="DB558" s="27"/>
      <c r="DC558" s="27"/>
      <c r="DD558" s="27"/>
      <c r="DE558" s="27"/>
      <c r="DF558" s="27"/>
      <c r="DG558" s="27"/>
      <c r="DH558" s="27"/>
      <c r="DI558" s="27"/>
      <c r="DJ558" s="27"/>
      <c r="DK558" s="27"/>
      <c r="DL558" s="27"/>
      <c r="DM558" s="27"/>
      <c r="DN558" s="27"/>
      <c r="DO558" s="27"/>
      <c r="DP558" s="27"/>
      <c r="DQ558" s="27"/>
      <c r="DR558" s="27"/>
      <c r="DS558" s="27"/>
      <c r="DT558" s="27"/>
    </row>
    <row r="559" spans="7:124" x14ac:dyDescent="0.2">
      <c r="G559" s="27"/>
      <c r="H559" s="27"/>
      <c r="I559" s="27"/>
      <c r="J559" s="27"/>
      <c r="K559" s="27"/>
      <c r="L559" s="27"/>
      <c r="M559" s="27"/>
      <c r="N559" s="27"/>
      <c r="O559" s="27"/>
      <c r="P559" s="27"/>
      <c r="Q559" s="27"/>
      <c r="R559" s="27"/>
      <c r="S559" s="27"/>
      <c r="T559" s="27"/>
      <c r="U559" s="27"/>
      <c r="V559" s="27"/>
      <c r="W559" s="27"/>
      <c r="X559" s="27"/>
      <c r="Y559" s="27"/>
      <c r="Z559" s="27"/>
      <c r="AA559" s="27"/>
      <c r="AB559" s="27"/>
      <c r="AC559" s="27"/>
      <c r="AD559" s="27"/>
      <c r="AE559" s="27"/>
      <c r="AF559" s="27"/>
      <c r="AG559" s="27"/>
      <c r="AH559" s="27"/>
      <c r="AI559" s="27"/>
      <c r="AJ559" s="27"/>
      <c r="AK559" s="27"/>
      <c r="AL559" s="27"/>
      <c r="AM559" s="27"/>
      <c r="AN559" s="27"/>
      <c r="AO559" s="27"/>
      <c r="AP559" s="27"/>
      <c r="AQ559" s="27"/>
      <c r="AR559" s="27"/>
      <c r="AS559" s="27"/>
      <c r="AT559" s="27"/>
      <c r="AU559" s="27"/>
      <c r="AV559" s="27"/>
      <c r="AW559" s="27"/>
      <c r="AX559" s="27"/>
      <c r="AY559" s="27"/>
      <c r="AZ559" s="27"/>
      <c r="BA559" s="27"/>
      <c r="BB559" s="27"/>
      <c r="BC559" s="27"/>
      <c r="BD559" s="27"/>
      <c r="BE559" s="27"/>
      <c r="BF559" s="27"/>
      <c r="BG559" s="27"/>
      <c r="BH559" s="27"/>
      <c r="BI559" s="27"/>
      <c r="BJ559" s="27"/>
      <c r="BK559" s="27"/>
      <c r="BL559" s="27"/>
      <c r="BM559" s="27"/>
      <c r="BN559" s="27"/>
      <c r="BO559" s="27"/>
      <c r="BP559" s="27"/>
      <c r="BQ559" s="27"/>
      <c r="BR559" s="27"/>
      <c r="BS559" s="27"/>
      <c r="BT559" s="27"/>
      <c r="BU559" s="27"/>
      <c r="BV559" s="27"/>
      <c r="BW559" s="27"/>
      <c r="BX559" s="27"/>
      <c r="BY559" s="27"/>
      <c r="BZ559" s="27"/>
      <c r="CA559" s="27"/>
      <c r="CB559" s="27"/>
      <c r="CC559" s="27"/>
      <c r="CD559" s="27"/>
      <c r="CE559" s="27"/>
      <c r="CF559" s="27"/>
      <c r="CG559" s="27"/>
      <c r="CH559" s="27"/>
      <c r="CI559" s="27"/>
      <c r="CJ559" s="27"/>
      <c r="CK559" s="27"/>
      <c r="CL559" s="27"/>
      <c r="CM559" s="27"/>
      <c r="CN559" s="27"/>
      <c r="CO559" s="27"/>
      <c r="CP559" s="27"/>
      <c r="CQ559" s="27"/>
      <c r="CR559" s="27"/>
      <c r="CS559" s="27"/>
      <c r="CT559" s="27"/>
      <c r="CU559" s="27"/>
      <c r="CV559" s="27"/>
      <c r="CW559" s="27"/>
      <c r="CX559" s="27"/>
      <c r="CY559" s="27"/>
      <c r="CZ559" s="27"/>
      <c r="DA559" s="27"/>
      <c r="DB559" s="27"/>
      <c r="DC559" s="27"/>
      <c r="DD559" s="27"/>
      <c r="DE559" s="27"/>
      <c r="DF559" s="27"/>
      <c r="DG559" s="27"/>
      <c r="DH559" s="27"/>
      <c r="DI559" s="27"/>
      <c r="DJ559" s="27"/>
      <c r="DK559" s="27"/>
      <c r="DL559" s="27"/>
      <c r="DM559" s="27"/>
      <c r="DN559" s="27"/>
      <c r="DO559" s="27"/>
      <c r="DP559" s="27"/>
      <c r="DQ559" s="27"/>
      <c r="DR559" s="27"/>
      <c r="DS559" s="27"/>
      <c r="DT559" s="27"/>
    </row>
    <row r="560" spans="7:124" x14ac:dyDescent="0.2">
      <c r="G560" s="27"/>
      <c r="H560" s="27"/>
      <c r="I560" s="27"/>
      <c r="J560" s="27"/>
      <c r="K560" s="27"/>
      <c r="L560" s="27"/>
      <c r="M560" s="27"/>
      <c r="N560" s="27"/>
      <c r="O560" s="27"/>
      <c r="P560" s="27"/>
      <c r="Q560" s="27"/>
      <c r="R560" s="27"/>
      <c r="S560" s="27"/>
      <c r="T560" s="27"/>
      <c r="U560" s="27"/>
      <c r="V560" s="27"/>
      <c r="W560" s="27"/>
      <c r="X560" s="27"/>
      <c r="Y560" s="27"/>
      <c r="Z560" s="27"/>
      <c r="AA560" s="27"/>
      <c r="AB560" s="27"/>
      <c r="AC560" s="27"/>
      <c r="AD560" s="27"/>
      <c r="AE560" s="27"/>
      <c r="AF560" s="27"/>
      <c r="AG560" s="27"/>
      <c r="AH560" s="27"/>
      <c r="AI560" s="27"/>
      <c r="AJ560" s="27"/>
      <c r="AK560" s="27"/>
      <c r="AL560" s="27"/>
      <c r="AM560" s="27"/>
      <c r="AN560" s="27"/>
      <c r="AO560" s="27"/>
      <c r="AP560" s="27"/>
      <c r="AQ560" s="27"/>
      <c r="AR560" s="27"/>
      <c r="AS560" s="27"/>
      <c r="AT560" s="27"/>
      <c r="AU560" s="27"/>
      <c r="AV560" s="27"/>
      <c r="AW560" s="27"/>
      <c r="AX560" s="27"/>
      <c r="AY560" s="27"/>
      <c r="AZ560" s="27"/>
      <c r="BA560" s="27"/>
      <c r="BB560" s="27"/>
      <c r="BC560" s="27"/>
      <c r="BD560" s="27"/>
      <c r="BE560" s="27"/>
      <c r="BF560" s="27"/>
      <c r="BG560" s="27"/>
      <c r="BH560" s="27"/>
      <c r="BI560" s="27"/>
      <c r="BJ560" s="27"/>
      <c r="BK560" s="27"/>
      <c r="BL560" s="27"/>
      <c r="BM560" s="27"/>
      <c r="BN560" s="27"/>
      <c r="BO560" s="27"/>
      <c r="BP560" s="27"/>
      <c r="BQ560" s="27"/>
      <c r="BR560" s="27"/>
      <c r="BS560" s="27"/>
      <c r="BT560" s="27"/>
      <c r="BU560" s="27"/>
      <c r="BV560" s="27"/>
      <c r="BW560" s="27"/>
      <c r="BX560" s="27"/>
      <c r="BY560" s="27"/>
      <c r="BZ560" s="27"/>
      <c r="CA560" s="27"/>
      <c r="CB560" s="27"/>
      <c r="CC560" s="27"/>
      <c r="CD560" s="27"/>
      <c r="CE560" s="27"/>
      <c r="CF560" s="27"/>
      <c r="CG560" s="27"/>
      <c r="CH560" s="27"/>
      <c r="CI560" s="27"/>
      <c r="CJ560" s="27"/>
      <c r="CK560" s="27"/>
      <c r="CL560" s="27"/>
      <c r="CM560" s="27"/>
      <c r="CN560" s="27"/>
      <c r="CO560" s="27"/>
      <c r="CP560" s="27"/>
      <c r="CQ560" s="27"/>
      <c r="CR560" s="27"/>
      <c r="CS560" s="27"/>
      <c r="CT560" s="27"/>
      <c r="CU560" s="27"/>
      <c r="CV560" s="27"/>
      <c r="CW560" s="27"/>
      <c r="CX560" s="27"/>
      <c r="CY560" s="27"/>
      <c r="CZ560" s="27"/>
      <c r="DA560" s="27"/>
      <c r="DB560" s="27"/>
      <c r="DC560" s="27"/>
      <c r="DD560" s="27"/>
      <c r="DE560" s="27"/>
      <c r="DF560" s="27"/>
      <c r="DG560" s="27"/>
      <c r="DH560" s="27"/>
      <c r="DI560" s="27"/>
      <c r="DJ560" s="27"/>
      <c r="DK560" s="27"/>
      <c r="DL560" s="27"/>
      <c r="DM560" s="27"/>
      <c r="DN560" s="27"/>
      <c r="DO560" s="27"/>
      <c r="DP560" s="27"/>
      <c r="DQ560" s="27"/>
      <c r="DR560" s="27"/>
      <c r="DS560" s="27"/>
      <c r="DT560" s="27"/>
    </row>
    <row r="561" spans="7:124" x14ac:dyDescent="0.2">
      <c r="G561" s="27"/>
      <c r="H561" s="27"/>
      <c r="I561" s="27"/>
      <c r="J561" s="27"/>
      <c r="K561" s="27"/>
      <c r="L561" s="27"/>
      <c r="M561" s="27"/>
      <c r="N561" s="27"/>
      <c r="O561" s="27"/>
      <c r="P561" s="27"/>
      <c r="Q561" s="27"/>
      <c r="R561" s="27"/>
      <c r="S561" s="27"/>
      <c r="T561" s="27"/>
      <c r="U561" s="27"/>
      <c r="V561" s="27"/>
      <c r="W561" s="27"/>
      <c r="X561" s="27"/>
      <c r="Y561" s="27"/>
      <c r="Z561" s="27"/>
      <c r="AA561" s="27"/>
      <c r="AB561" s="27"/>
      <c r="AC561" s="27"/>
      <c r="AD561" s="27"/>
      <c r="AE561" s="27"/>
      <c r="AF561" s="27"/>
      <c r="AG561" s="27"/>
      <c r="AH561" s="27"/>
      <c r="AI561" s="27"/>
      <c r="AJ561" s="27"/>
      <c r="AK561" s="27"/>
      <c r="AL561" s="27"/>
      <c r="AM561" s="27"/>
      <c r="AN561" s="27"/>
      <c r="AO561" s="27"/>
      <c r="AP561" s="27"/>
      <c r="AQ561" s="27"/>
      <c r="AR561" s="27"/>
      <c r="AS561" s="27"/>
      <c r="AT561" s="27"/>
      <c r="AU561" s="27"/>
      <c r="AV561" s="27"/>
      <c r="AW561" s="27"/>
      <c r="AX561" s="27"/>
      <c r="AY561" s="27"/>
      <c r="AZ561" s="27"/>
      <c r="BA561" s="27"/>
      <c r="BB561" s="27"/>
      <c r="BC561" s="27"/>
      <c r="BD561" s="27"/>
      <c r="BE561" s="27"/>
      <c r="BF561" s="27"/>
      <c r="BG561" s="27"/>
      <c r="BH561" s="27"/>
      <c r="BI561" s="27"/>
      <c r="BJ561" s="27"/>
      <c r="BK561" s="27"/>
      <c r="BL561" s="27"/>
      <c r="BM561" s="27"/>
      <c r="BN561" s="27"/>
      <c r="BO561" s="27"/>
      <c r="BP561" s="27"/>
      <c r="BQ561" s="27"/>
      <c r="BR561" s="27"/>
      <c r="BS561" s="27"/>
      <c r="BT561" s="27"/>
      <c r="BU561" s="27"/>
      <c r="BV561" s="27"/>
      <c r="BW561" s="27"/>
      <c r="BX561" s="27"/>
      <c r="BY561" s="27"/>
      <c r="BZ561" s="27"/>
      <c r="CA561" s="27"/>
      <c r="CB561" s="27"/>
      <c r="CC561" s="27"/>
      <c r="CD561" s="27"/>
      <c r="CE561" s="27"/>
      <c r="CF561" s="27"/>
      <c r="CG561" s="27"/>
      <c r="CH561" s="27"/>
      <c r="CI561" s="27"/>
      <c r="CJ561" s="27"/>
      <c r="CK561" s="27"/>
      <c r="CL561" s="27"/>
      <c r="CM561" s="27"/>
      <c r="CN561" s="27"/>
      <c r="CO561" s="27"/>
      <c r="CP561" s="27"/>
      <c r="CQ561" s="27"/>
      <c r="CR561" s="27"/>
      <c r="CS561" s="27"/>
      <c r="CT561" s="27"/>
      <c r="CU561" s="27"/>
      <c r="CV561" s="27"/>
      <c r="CW561" s="27"/>
      <c r="CX561" s="27"/>
      <c r="CY561" s="27"/>
      <c r="CZ561" s="27"/>
      <c r="DA561" s="27"/>
      <c r="DB561" s="27"/>
      <c r="DC561" s="27"/>
      <c r="DD561" s="27"/>
      <c r="DE561" s="27"/>
      <c r="DF561" s="27"/>
      <c r="DG561" s="27"/>
      <c r="DH561" s="27"/>
      <c r="DI561" s="27"/>
      <c r="DJ561" s="27"/>
      <c r="DK561" s="27"/>
      <c r="DL561" s="27"/>
      <c r="DM561" s="27"/>
      <c r="DN561" s="27"/>
      <c r="DO561" s="27"/>
      <c r="DP561" s="27"/>
      <c r="DQ561" s="27"/>
      <c r="DR561" s="27"/>
      <c r="DS561" s="27"/>
      <c r="DT561" s="27"/>
    </row>
    <row r="562" spans="7:124" x14ac:dyDescent="0.2">
      <c r="G562" s="27"/>
      <c r="H562" s="27"/>
      <c r="I562" s="27"/>
      <c r="J562" s="27"/>
      <c r="K562" s="27"/>
      <c r="L562" s="27"/>
      <c r="M562" s="27"/>
      <c r="N562" s="27"/>
      <c r="O562" s="27"/>
      <c r="P562" s="27"/>
      <c r="Q562" s="27"/>
      <c r="R562" s="27"/>
      <c r="S562" s="27"/>
      <c r="T562" s="27"/>
      <c r="U562" s="27"/>
      <c r="V562" s="27"/>
      <c r="W562" s="27"/>
      <c r="X562" s="27"/>
      <c r="Y562" s="27"/>
      <c r="Z562" s="27"/>
      <c r="AA562" s="27"/>
      <c r="AB562" s="27"/>
      <c r="AC562" s="27"/>
      <c r="AD562" s="27"/>
      <c r="AE562" s="27"/>
      <c r="AF562" s="27"/>
      <c r="AG562" s="27"/>
      <c r="AH562" s="27"/>
      <c r="AI562" s="27"/>
      <c r="AJ562" s="27"/>
      <c r="AK562" s="27"/>
      <c r="AL562" s="27"/>
      <c r="AM562" s="27"/>
      <c r="AN562" s="27"/>
      <c r="AO562" s="27"/>
      <c r="AP562" s="27"/>
      <c r="AQ562" s="27"/>
      <c r="AR562" s="27"/>
      <c r="AS562" s="27"/>
      <c r="AT562" s="27"/>
      <c r="AU562" s="27"/>
      <c r="AV562" s="27"/>
      <c r="AW562" s="27"/>
      <c r="AX562" s="27"/>
      <c r="AY562" s="27"/>
      <c r="AZ562" s="27"/>
      <c r="BA562" s="27"/>
      <c r="BB562" s="27"/>
      <c r="BC562" s="27"/>
      <c r="BD562" s="27"/>
      <c r="BE562" s="27"/>
      <c r="BF562" s="27"/>
      <c r="BG562" s="27"/>
      <c r="BH562" s="27"/>
      <c r="BI562" s="27"/>
      <c r="BJ562" s="27"/>
      <c r="BK562" s="27"/>
      <c r="BL562" s="27"/>
      <c r="BM562" s="27"/>
      <c r="BN562" s="27"/>
      <c r="BO562" s="27"/>
      <c r="BP562" s="27"/>
      <c r="BQ562" s="27"/>
      <c r="BR562" s="27"/>
      <c r="BS562" s="27"/>
      <c r="BT562" s="27"/>
      <c r="BU562" s="27"/>
      <c r="BV562" s="27"/>
      <c r="BW562" s="27"/>
      <c r="BX562" s="27"/>
      <c r="BY562" s="27"/>
      <c r="BZ562" s="27"/>
      <c r="CA562" s="27"/>
      <c r="CB562" s="27"/>
      <c r="CC562" s="27"/>
      <c r="CD562" s="27"/>
      <c r="CE562" s="27"/>
      <c r="CF562" s="27"/>
      <c r="CG562" s="27"/>
      <c r="CH562" s="27"/>
      <c r="CI562" s="27"/>
      <c r="CJ562" s="27"/>
      <c r="CK562" s="27"/>
      <c r="CL562" s="27"/>
      <c r="CM562" s="27"/>
      <c r="CN562" s="27"/>
      <c r="CO562" s="27"/>
      <c r="CP562" s="27"/>
      <c r="CQ562" s="27"/>
      <c r="CR562" s="27"/>
      <c r="CS562" s="27"/>
      <c r="CT562" s="27"/>
      <c r="CU562" s="27"/>
      <c r="CV562" s="27"/>
      <c r="CW562" s="27"/>
      <c r="CX562" s="27"/>
      <c r="CY562" s="27"/>
      <c r="CZ562" s="27"/>
      <c r="DA562" s="27"/>
      <c r="DB562" s="27"/>
      <c r="DC562" s="27"/>
      <c r="DD562" s="27"/>
      <c r="DE562" s="27"/>
      <c r="DF562" s="27"/>
      <c r="DG562" s="27"/>
      <c r="DH562" s="27"/>
      <c r="DI562" s="27"/>
      <c r="DJ562" s="27"/>
      <c r="DK562" s="27"/>
      <c r="DL562" s="27"/>
      <c r="DM562" s="27"/>
      <c r="DN562" s="27"/>
      <c r="DO562" s="27"/>
      <c r="DP562" s="27"/>
      <c r="DQ562" s="27"/>
      <c r="DR562" s="27"/>
      <c r="DS562" s="27"/>
      <c r="DT562" s="27"/>
    </row>
    <row r="563" spans="7:124" x14ac:dyDescent="0.2">
      <c r="G563" s="27"/>
      <c r="H563" s="27"/>
      <c r="I563" s="27"/>
      <c r="J563" s="27"/>
      <c r="K563" s="27"/>
      <c r="L563" s="27"/>
      <c r="M563" s="27"/>
      <c r="N563" s="27"/>
      <c r="O563" s="27"/>
      <c r="P563" s="27"/>
      <c r="Q563" s="27"/>
      <c r="R563" s="27"/>
      <c r="S563" s="27"/>
      <c r="T563" s="27"/>
      <c r="U563" s="27"/>
      <c r="V563" s="27"/>
      <c r="W563" s="27"/>
      <c r="X563" s="27"/>
      <c r="Y563" s="27"/>
      <c r="Z563" s="27"/>
      <c r="AA563" s="27"/>
      <c r="AB563" s="27"/>
      <c r="AC563" s="27"/>
      <c r="AD563" s="27"/>
      <c r="AE563" s="27"/>
      <c r="AF563" s="27"/>
      <c r="AG563" s="27"/>
      <c r="AH563" s="27"/>
      <c r="AI563" s="27"/>
      <c r="AJ563" s="27"/>
      <c r="AK563" s="27"/>
      <c r="AL563" s="27"/>
      <c r="AM563" s="27"/>
      <c r="AN563" s="27"/>
      <c r="AO563" s="27"/>
      <c r="AP563" s="27"/>
      <c r="AQ563" s="27"/>
      <c r="AR563" s="27"/>
      <c r="AS563" s="27"/>
      <c r="AT563" s="27"/>
      <c r="AU563" s="27"/>
      <c r="AV563" s="27"/>
      <c r="AW563" s="27"/>
      <c r="AX563" s="27"/>
      <c r="AY563" s="27"/>
      <c r="AZ563" s="27"/>
      <c r="BA563" s="27"/>
      <c r="BB563" s="27"/>
      <c r="BC563" s="27"/>
      <c r="BD563" s="27"/>
      <c r="BE563" s="27"/>
      <c r="BF563" s="27"/>
      <c r="BG563" s="27"/>
      <c r="BH563" s="27"/>
      <c r="BI563" s="27"/>
      <c r="BJ563" s="27"/>
      <c r="BK563" s="27"/>
      <c r="BL563" s="27"/>
      <c r="BM563" s="27"/>
      <c r="BN563" s="27"/>
      <c r="BO563" s="27"/>
      <c r="BP563" s="27"/>
      <c r="BQ563" s="27"/>
      <c r="BR563" s="27"/>
      <c r="BS563" s="27"/>
      <c r="BT563" s="27"/>
      <c r="BU563" s="27"/>
      <c r="BV563" s="27"/>
      <c r="BW563" s="27"/>
      <c r="BX563" s="27"/>
      <c r="BY563" s="27"/>
      <c r="BZ563" s="27"/>
      <c r="CA563" s="27"/>
      <c r="CB563" s="27"/>
      <c r="CC563" s="27"/>
      <c r="CD563" s="27"/>
      <c r="CE563" s="27"/>
      <c r="CF563" s="27"/>
      <c r="CG563" s="27"/>
      <c r="CH563" s="27"/>
      <c r="CI563" s="27"/>
      <c r="CJ563" s="27"/>
      <c r="CK563" s="27"/>
      <c r="CL563" s="27"/>
      <c r="CM563" s="27"/>
      <c r="CN563" s="27"/>
      <c r="CO563" s="27"/>
      <c r="CP563" s="27"/>
      <c r="CQ563" s="27"/>
      <c r="CR563" s="27"/>
      <c r="CS563" s="27"/>
      <c r="CT563" s="27"/>
      <c r="CU563" s="27"/>
      <c r="CV563" s="27"/>
      <c r="CW563" s="27"/>
      <c r="CX563" s="27"/>
      <c r="CY563" s="27"/>
      <c r="CZ563" s="27"/>
      <c r="DA563" s="27"/>
      <c r="DB563" s="27"/>
      <c r="DC563" s="27"/>
      <c r="DD563" s="27"/>
      <c r="DE563" s="27"/>
      <c r="DF563" s="27"/>
      <c r="DG563" s="27"/>
      <c r="DH563" s="27"/>
      <c r="DI563" s="27"/>
      <c r="DJ563" s="27"/>
      <c r="DK563" s="27"/>
      <c r="DL563" s="27"/>
      <c r="DM563" s="27"/>
      <c r="DN563" s="27"/>
      <c r="DO563" s="27"/>
      <c r="DP563" s="27"/>
      <c r="DQ563" s="27"/>
      <c r="DR563" s="27"/>
      <c r="DS563" s="27"/>
      <c r="DT563" s="27"/>
    </row>
    <row r="564" spans="7:124" x14ac:dyDescent="0.2">
      <c r="G564" s="27"/>
      <c r="H564" s="27"/>
      <c r="I564" s="27"/>
      <c r="J564" s="27"/>
      <c r="K564" s="27"/>
      <c r="L564" s="27"/>
      <c r="M564" s="27"/>
      <c r="N564" s="27"/>
      <c r="O564" s="27"/>
      <c r="P564" s="27"/>
      <c r="Q564" s="27"/>
      <c r="R564" s="27"/>
      <c r="S564" s="27"/>
      <c r="T564" s="27"/>
      <c r="U564" s="27"/>
      <c r="V564" s="27"/>
      <c r="W564" s="27"/>
      <c r="X564" s="27"/>
      <c r="Y564" s="27"/>
      <c r="Z564" s="27"/>
      <c r="AA564" s="27"/>
      <c r="AB564" s="27"/>
      <c r="AC564" s="27"/>
      <c r="AD564" s="27"/>
      <c r="AE564" s="27"/>
      <c r="AF564" s="27"/>
      <c r="AG564" s="27"/>
      <c r="AH564" s="27"/>
      <c r="AI564" s="27"/>
      <c r="AJ564" s="27"/>
      <c r="AK564" s="27"/>
      <c r="AL564" s="27"/>
      <c r="AM564" s="27"/>
      <c r="AN564" s="27"/>
      <c r="AO564" s="27"/>
      <c r="AP564" s="27"/>
      <c r="AQ564" s="27"/>
      <c r="AR564" s="27"/>
      <c r="AS564" s="27"/>
      <c r="AT564" s="27"/>
      <c r="AU564" s="27"/>
      <c r="AV564" s="27"/>
      <c r="AW564" s="27"/>
      <c r="AX564" s="27"/>
      <c r="AY564" s="27"/>
      <c r="AZ564" s="27"/>
      <c r="BA564" s="27"/>
      <c r="BB564" s="27"/>
      <c r="BC564" s="27"/>
      <c r="BD564" s="27"/>
      <c r="BE564" s="27"/>
      <c r="BF564" s="27"/>
      <c r="BG564" s="27"/>
      <c r="BH564" s="27"/>
      <c r="BI564" s="27"/>
      <c r="BJ564" s="27"/>
      <c r="BK564" s="27"/>
      <c r="BL564" s="27"/>
      <c r="BM564" s="27"/>
      <c r="BN564" s="27"/>
      <c r="BO564" s="27"/>
      <c r="BP564" s="27"/>
      <c r="BQ564" s="27"/>
      <c r="BR564" s="27"/>
      <c r="BS564" s="27"/>
      <c r="BT564" s="27"/>
      <c r="BU564" s="27"/>
      <c r="BV564" s="27"/>
      <c r="BW564" s="27"/>
      <c r="BX564" s="27"/>
      <c r="BY564" s="27"/>
      <c r="BZ564" s="27"/>
      <c r="CA564" s="27"/>
      <c r="CB564" s="27"/>
      <c r="CC564" s="27"/>
      <c r="CD564" s="27"/>
      <c r="CE564" s="27"/>
      <c r="CF564" s="27"/>
      <c r="CG564" s="27"/>
      <c r="CH564" s="27"/>
      <c r="CI564" s="27"/>
      <c r="CJ564" s="27"/>
      <c r="CK564" s="27"/>
      <c r="CL564" s="27"/>
      <c r="CM564" s="27"/>
      <c r="CN564" s="27"/>
      <c r="CO564" s="27"/>
      <c r="CP564" s="27"/>
      <c r="CQ564" s="27"/>
      <c r="CR564" s="27"/>
      <c r="CS564" s="27"/>
      <c r="CT564" s="27"/>
      <c r="CU564" s="27"/>
      <c r="CV564" s="27"/>
      <c r="CW564" s="27"/>
      <c r="CX564" s="27"/>
      <c r="CY564" s="27"/>
      <c r="CZ564" s="27"/>
      <c r="DA564" s="27"/>
      <c r="DB564" s="27"/>
      <c r="DC564" s="27"/>
      <c r="DD564" s="27"/>
      <c r="DE564" s="27"/>
      <c r="DF564" s="27"/>
      <c r="DG564" s="27"/>
      <c r="DH564" s="27"/>
      <c r="DI564" s="27"/>
      <c r="DJ564" s="27"/>
      <c r="DK564" s="27"/>
      <c r="DL564" s="27"/>
      <c r="DM564" s="27"/>
      <c r="DN564" s="27"/>
      <c r="DO564" s="27"/>
      <c r="DP564" s="27"/>
      <c r="DQ564" s="27"/>
      <c r="DR564" s="27"/>
      <c r="DS564" s="27"/>
      <c r="DT564" s="27"/>
    </row>
    <row r="565" spans="7:124" x14ac:dyDescent="0.2">
      <c r="G565" s="27"/>
      <c r="H565" s="27"/>
      <c r="I565" s="27"/>
      <c r="J565" s="27"/>
      <c r="K565" s="27"/>
      <c r="L565" s="27"/>
      <c r="M565" s="27"/>
      <c r="N565" s="27"/>
      <c r="O565" s="27"/>
      <c r="P565" s="27"/>
      <c r="Q565" s="27"/>
      <c r="R565" s="27"/>
      <c r="S565" s="27"/>
      <c r="T565" s="27"/>
      <c r="U565" s="27"/>
      <c r="V565" s="27"/>
      <c r="W565" s="27"/>
      <c r="X565" s="27"/>
      <c r="Y565" s="27"/>
      <c r="Z565" s="27"/>
      <c r="AA565" s="27"/>
      <c r="AB565" s="27"/>
      <c r="AC565" s="27"/>
      <c r="AD565" s="27"/>
      <c r="AE565" s="27"/>
      <c r="AF565" s="27"/>
      <c r="AG565" s="27"/>
      <c r="AH565" s="27"/>
      <c r="AI565" s="27"/>
      <c r="AJ565" s="27"/>
      <c r="AK565" s="27"/>
      <c r="AL565" s="27"/>
      <c r="AM565" s="27"/>
      <c r="AN565" s="27"/>
      <c r="AO565" s="27"/>
      <c r="AP565" s="27"/>
      <c r="AQ565" s="27"/>
      <c r="AR565" s="27"/>
      <c r="AS565" s="27"/>
      <c r="AT565" s="27"/>
      <c r="AU565" s="27"/>
      <c r="AV565" s="27"/>
      <c r="AW565" s="27"/>
      <c r="AX565" s="27"/>
      <c r="AY565" s="27"/>
      <c r="AZ565" s="27"/>
      <c r="BA565" s="27"/>
      <c r="BB565" s="27"/>
      <c r="BC565" s="27"/>
      <c r="BD565" s="27"/>
      <c r="BE565" s="27"/>
      <c r="BF565" s="27"/>
      <c r="BG565" s="27"/>
      <c r="BH565" s="27"/>
      <c r="BI565" s="27"/>
      <c r="BJ565" s="27"/>
      <c r="BK565" s="27"/>
      <c r="BL565" s="27"/>
      <c r="BM565" s="27"/>
      <c r="BN565" s="27"/>
      <c r="BO565" s="27"/>
      <c r="BP565" s="27"/>
      <c r="BQ565" s="27"/>
      <c r="BR565" s="27"/>
      <c r="BS565" s="27"/>
      <c r="BT565" s="27"/>
      <c r="BU565" s="27"/>
      <c r="BV565" s="27"/>
      <c r="BW565" s="27"/>
      <c r="BX565" s="27"/>
      <c r="BY565" s="27"/>
      <c r="BZ565" s="27"/>
      <c r="CA565" s="27"/>
      <c r="CB565" s="27"/>
      <c r="CC565" s="27"/>
      <c r="CD565" s="27"/>
      <c r="CE565" s="27"/>
      <c r="CF565" s="27"/>
      <c r="CG565" s="27"/>
      <c r="CH565" s="27"/>
      <c r="CI565" s="27"/>
      <c r="CJ565" s="27"/>
      <c r="CK565" s="27"/>
      <c r="CL565" s="27"/>
      <c r="CM565" s="27"/>
      <c r="CN565" s="27"/>
      <c r="CO565" s="27"/>
      <c r="CP565" s="27"/>
      <c r="CQ565" s="27"/>
      <c r="CR565" s="27"/>
      <c r="CS565" s="27"/>
      <c r="CT565" s="27"/>
      <c r="CU565" s="27"/>
      <c r="CV565" s="27"/>
      <c r="CW565" s="27"/>
      <c r="CX565" s="27"/>
      <c r="CY565" s="27"/>
      <c r="CZ565" s="27"/>
      <c r="DA565" s="27"/>
      <c r="DB565" s="27"/>
      <c r="DC565" s="27"/>
      <c r="DD565" s="27"/>
      <c r="DE565" s="27"/>
      <c r="DF565" s="27"/>
      <c r="DG565" s="27"/>
      <c r="DH565" s="27"/>
      <c r="DI565" s="27"/>
      <c r="DJ565" s="27"/>
      <c r="DK565" s="27"/>
      <c r="DL565" s="27"/>
      <c r="DM565" s="27"/>
      <c r="DN565" s="27"/>
      <c r="DO565" s="27"/>
      <c r="DP565" s="27"/>
      <c r="DQ565" s="27"/>
      <c r="DR565" s="27"/>
      <c r="DS565" s="27"/>
      <c r="DT565" s="27"/>
    </row>
    <row r="566" spans="7:124" x14ac:dyDescent="0.2">
      <c r="G566" s="27"/>
      <c r="H566" s="27"/>
      <c r="I566" s="27"/>
      <c r="J566" s="27"/>
      <c r="K566" s="27"/>
      <c r="L566" s="27"/>
      <c r="M566" s="27"/>
      <c r="N566" s="27"/>
      <c r="O566" s="27"/>
      <c r="P566" s="27"/>
      <c r="Q566" s="27"/>
      <c r="R566" s="27"/>
      <c r="S566" s="27"/>
      <c r="T566" s="27"/>
      <c r="U566" s="27"/>
      <c r="V566" s="27"/>
      <c r="W566" s="27"/>
      <c r="X566" s="27"/>
      <c r="Y566" s="27"/>
      <c r="Z566" s="27"/>
      <c r="AA566" s="27"/>
      <c r="AB566" s="27"/>
      <c r="AC566" s="27"/>
      <c r="AD566" s="27"/>
      <c r="AE566" s="27"/>
      <c r="AF566" s="27"/>
      <c r="AG566" s="27"/>
      <c r="AH566" s="27"/>
      <c r="AI566" s="27"/>
      <c r="AJ566" s="27"/>
      <c r="AK566" s="27"/>
      <c r="AL566" s="27"/>
      <c r="AM566" s="27"/>
      <c r="AN566" s="27"/>
      <c r="AO566" s="27"/>
      <c r="AP566" s="27"/>
      <c r="AQ566" s="27"/>
      <c r="AR566" s="27"/>
      <c r="AS566" s="27"/>
      <c r="AT566" s="27"/>
      <c r="AU566" s="27"/>
      <c r="AV566" s="27"/>
      <c r="AW566" s="27"/>
      <c r="AX566" s="27"/>
      <c r="AY566" s="27"/>
      <c r="AZ566" s="27"/>
      <c r="BA566" s="27"/>
      <c r="BB566" s="27"/>
      <c r="BC566" s="27"/>
      <c r="BD566" s="27"/>
      <c r="BE566" s="27"/>
      <c r="BF566" s="27"/>
      <c r="BG566" s="27"/>
      <c r="BH566" s="27"/>
      <c r="BI566" s="27"/>
      <c r="BJ566" s="27"/>
      <c r="BK566" s="27"/>
      <c r="BL566" s="27"/>
      <c r="BM566" s="27"/>
      <c r="BN566" s="27"/>
      <c r="BO566" s="27"/>
      <c r="BP566" s="27"/>
      <c r="BQ566" s="27"/>
      <c r="BR566" s="27"/>
      <c r="BS566" s="27"/>
      <c r="BT566" s="27"/>
      <c r="BU566" s="27"/>
      <c r="BV566" s="27"/>
      <c r="BW566" s="27"/>
      <c r="BX566" s="27"/>
      <c r="BY566" s="27"/>
      <c r="BZ566" s="27"/>
      <c r="CA566" s="27"/>
      <c r="CB566" s="27"/>
      <c r="CC566" s="27"/>
      <c r="CD566" s="27"/>
      <c r="CE566" s="27"/>
      <c r="CF566" s="27"/>
      <c r="CG566" s="27"/>
      <c r="CH566" s="27"/>
      <c r="CI566" s="27"/>
      <c r="CJ566" s="27"/>
      <c r="CK566" s="27"/>
      <c r="CL566" s="27"/>
      <c r="CM566" s="27"/>
      <c r="CN566" s="27"/>
      <c r="CO566" s="27"/>
      <c r="CP566" s="27"/>
      <c r="CQ566" s="27"/>
      <c r="CR566" s="27"/>
      <c r="CS566" s="27"/>
      <c r="CT566" s="27"/>
      <c r="CU566" s="27"/>
      <c r="CV566" s="27"/>
      <c r="CW566" s="27"/>
      <c r="CX566" s="27"/>
      <c r="CY566" s="27"/>
      <c r="CZ566" s="27"/>
      <c r="DA566" s="27"/>
      <c r="DB566" s="27"/>
      <c r="DC566" s="27"/>
      <c r="DD566" s="27"/>
      <c r="DE566" s="27"/>
      <c r="DF566" s="27"/>
      <c r="DG566" s="27"/>
      <c r="DH566" s="27"/>
      <c r="DI566" s="27"/>
      <c r="DJ566" s="27"/>
      <c r="DK566" s="27"/>
      <c r="DL566" s="27"/>
      <c r="DM566" s="27"/>
      <c r="DN566" s="27"/>
      <c r="DO566" s="27"/>
      <c r="DP566" s="27"/>
      <c r="DQ566" s="27"/>
      <c r="DR566" s="27"/>
      <c r="DS566" s="27"/>
      <c r="DT566" s="27"/>
    </row>
    <row r="567" spans="7:124" x14ac:dyDescent="0.2">
      <c r="G567" s="27"/>
      <c r="H567" s="27"/>
      <c r="I567" s="27"/>
      <c r="J567" s="27"/>
      <c r="K567" s="27"/>
      <c r="L567" s="27"/>
      <c r="M567" s="27"/>
      <c r="N567" s="27"/>
      <c r="O567" s="27"/>
      <c r="P567" s="27"/>
      <c r="Q567" s="27"/>
      <c r="R567" s="27"/>
      <c r="S567" s="27"/>
      <c r="T567" s="27"/>
      <c r="U567" s="27"/>
      <c r="V567" s="27"/>
      <c r="W567" s="27"/>
      <c r="X567" s="27"/>
      <c r="Y567" s="27"/>
      <c r="Z567" s="27"/>
      <c r="AA567" s="27"/>
      <c r="AB567" s="27"/>
      <c r="AC567" s="27"/>
      <c r="AD567" s="27"/>
      <c r="AE567" s="27"/>
      <c r="AF567" s="27"/>
      <c r="AG567" s="27"/>
      <c r="AH567" s="27"/>
      <c r="AI567" s="27"/>
      <c r="AJ567" s="27"/>
      <c r="AK567" s="27"/>
      <c r="AL567" s="27"/>
      <c r="AM567" s="27"/>
      <c r="AN567" s="27"/>
      <c r="AO567" s="27"/>
      <c r="AP567" s="27"/>
      <c r="AQ567" s="27"/>
      <c r="AR567" s="27"/>
      <c r="AS567" s="27"/>
      <c r="AT567" s="27"/>
      <c r="AU567" s="27"/>
      <c r="AV567" s="27"/>
      <c r="AW567" s="27"/>
      <c r="AX567" s="27"/>
      <c r="AY567" s="27"/>
      <c r="AZ567" s="27"/>
      <c r="BA567" s="27"/>
      <c r="BB567" s="27"/>
      <c r="BC567" s="27"/>
      <c r="BD567" s="27"/>
      <c r="BE567" s="27"/>
      <c r="BF567" s="27"/>
      <c r="BG567" s="27"/>
      <c r="BH567" s="27"/>
      <c r="BI567" s="27"/>
      <c r="BJ567" s="27"/>
      <c r="BK567" s="27"/>
      <c r="BL567" s="27"/>
      <c r="BM567" s="27"/>
      <c r="BN567" s="27"/>
      <c r="BO567" s="27"/>
      <c r="BP567" s="27"/>
      <c r="BQ567" s="27"/>
      <c r="BR567" s="27"/>
      <c r="BS567" s="27"/>
      <c r="BT567" s="27"/>
      <c r="BU567" s="27"/>
      <c r="BV567" s="27"/>
      <c r="BW567" s="27"/>
      <c r="BX567" s="27"/>
      <c r="BY567" s="27"/>
      <c r="BZ567" s="27"/>
      <c r="CA567" s="27"/>
      <c r="CB567" s="27"/>
      <c r="CC567" s="27"/>
      <c r="CD567" s="27"/>
      <c r="CE567" s="27"/>
      <c r="CF567" s="27"/>
      <c r="CG567" s="27"/>
      <c r="CH567" s="27"/>
      <c r="CI567" s="27"/>
      <c r="CJ567" s="27"/>
      <c r="CK567" s="27"/>
      <c r="CL567" s="27"/>
      <c r="CM567" s="27"/>
      <c r="CN567" s="27"/>
      <c r="CO567" s="27"/>
      <c r="CP567" s="27"/>
      <c r="CQ567" s="27"/>
      <c r="CR567" s="27"/>
      <c r="CS567" s="27"/>
      <c r="CT567" s="27"/>
      <c r="CU567" s="27"/>
      <c r="CV567" s="27"/>
      <c r="CW567" s="27"/>
      <c r="CX567" s="27"/>
      <c r="CY567" s="27"/>
      <c r="CZ567" s="27"/>
      <c r="DA567" s="27"/>
      <c r="DB567" s="27"/>
      <c r="DC567" s="27"/>
      <c r="DD567" s="27"/>
      <c r="DE567" s="27"/>
      <c r="DF567" s="27"/>
      <c r="DG567" s="27"/>
      <c r="DH567" s="27"/>
      <c r="DI567" s="27"/>
      <c r="DJ567" s="27"/>
      <c r="DK567" s="27"/>
      <c r="DL567" s="27"/>
      <c r="DM567" s="27"/>
      <c r="DN567" s="27"/>
      <c r="DO567" s="27"/>
      <c r="DP567" s="27"/>
      <c r="DQ567" s="27"/>
      <c r="DR567" s="27"/>
      <c r="DS567" s="27"/>
      <c r="DT567" s="27"/>
    </row>
    <row r="568" spans="7:124" x14ac:dyDescent="0.2">
      <c r="G568" s="27"/>
      <c r="H568" s="27"/>
      <c r="I568" s="27"/>
      <c r="J568" s="27"/>
      <c r="K568" s="27"/>
      <c r="L568" s="27"/>
      <c r="M568" s="27"/>
      <c r="N568" s="27"/>
      <c r="O568" s="27"/>
      <c r="P568" s="27"/>
      <c r="Q568" s="27"/>
      <c r="R568" s="27"/>
      <c r="S568" s="27"/>
      <c r="T568" s="27"/>
      <c r="U568" s="27"/>
      <c r="V568" s="27"/>
      <c r="W568" s="27"/>
      <c r="X568" s="27"/>
      <c r="Y568" s="27"/>
      <c r="Z568" s="27"/>
      <c r="AA568" s="27"/>
      <c r="AB568" s="27"/>
      <c r="AC568" s="27"/>
      <c r="AD568" s="27"/>
      <c r="AE568" s="27"/>
      <c r="AF568" s="27"/>
      <c r="AG568" s="27"/>
      <c r="AH568" s="27"/>
      <c r="AI568" s="27"/>
      <c r="AJ568" s="27"/>
      <c r="AK568" s="27"/>
      <c r="AL568" s="27"/>
      <c r="AM568" s="27"/>
      <c r="AN568" s="27"/>
      <c r="AO568" s="27"/>
      <c r="AP568" s="27"/>
      <c r="AQ568" s="27"/>
      <c r="AR568" s="27"/>
      <c r="AS568" s="27"/>
      <c r="AT568" s="27"/>
      <c r="AU568" s="27"/>
      <c r="AV568" s="27"/>
      <c r="AW568" s="27"/>
      <c r="AX568" s="27"/>
      <c r="AY568" s="27"/>
      <c r="AZ568" s="27"/>
      <c r="BA568" s="27"/>
      <c r="BB568" s="27"/>
      <c r="BC568" s="27"/>
      <c r="BD568" s="27"/>
      <c r="BE568" s="27"/>
      <c r="BF568" s="27"/>
      <c r="BG568" s="27"/>
      <c r="BH568" s="27"/>
      <c r="BI568" s="27"/>
      <c r="BJ568" s="27"/>
      <c r="BK568" s="27"/>
      <c r="BL568" s="27"/>
      <c r="BM568" s="27"/>
      <c r="BN568" s="27"/>
      <c r="BO568" s="27"/>
      <c r="BP568" s="27"/>
      <c r="BQ568" s="27"/>
      <c r="BR568" s="27"/>
      <c r="BS568" s="27"/>
      <c r="BT568" s="27"/>
      <c r="BU568" s="27"/>
      <c r="BV568" s="27"/>
      <c r="BW568" s="27"/>
      <c r="BX568" s="27"/>
      <c r="BY568" s="27"/>
      <c r="BZ568" s="27"/>
      <c r="CA568" s="27"/>
      <c r="CB568" s="27"/>
      <c r="CC568" s="27"/>
      <c r="CD568" s="27"/>
      <c r="CE568" s="27"/>
      <c r="CF568" s="27"/>
      <c r="CG568" s="27"/>
      <c r="CH568" s="27"/>
      <c r="CI568" s="27"/>
      <c r="CJ568" s="27"/>
      <c r="CK568" s="27"/>
      <c r="CL568" s="27"/>
      <c r="CM568" s="27"/>
      <c r="CN568" s="27"/>
      <c r="CO568" s="27"/>
      <c r="CP568" s="27"/>
      <c r="CQ568" s="27"/>
      <c r="CR568" s="27"/>
      <c r="CS568" s="27"/>
      <c r="CT568" s="27"/>
      <c r="CU568" s="27"/>
      <c r="CV568" s="27"/>
      <c r="CW568" s="27"/>
      <c r="CX568" s="27"/>
      <c r="CY568" s="27"/>
      <c r="CZ568" s="27"/>
      <c r="DA568" s="27"/>
      <c r="DB568" s="27"/>
      <c r="DC568" s="27"/>
      <c r="DD568" s="27"/>
      <c r="DE568" s="27"/>
      <c r="DF568" s="27"/>
      <c r="DG568" s="27"/>
      <c r="DH568" s="27"/>
      <c r="DI568" s="27"/>
      <c r="DJ568" s="27"/>
      <c r="DK568" s="27"/>
      <c r="DL568" s="27"/>
      <c r="DM568" s="27"/>
      <c r="DN568" s="27"/>
      <c r="DO568" s="27"/>
      <c r="DP568" s="27"/>
      <c r="DQ568" s="27"/>
      <c r="DR568" s="27"/>
      <c r="DS568" s="27"/>
      <c r="DT568" s="27"/>
    </row>
    <row r="569" spans="7:124" x14ac:dyDescent="0.2">
      <c r="G569" s="27"/>
      <c r="H569" s="27"/>
      <c r="I569" s="27"/>
      <c r="J569" s="27"/>
      <c r="K569" s="27"/>
      <c r="L569" s="27"/>
      <c r="M569" s="27"/>
      <c r="N569" s="27"/>
      <c r="O569" s="27"/>
      <c r="P569" s="27"/>
      <c r="Q569" s="27"/>
      <c r="R569" s="27"/>
      <c r="S569" s="27"/>
      <c r="T569" s="27"/>
      <c r="U569" s="27"/>
      <c r="V569" s="27"/>
      <c r="W569" s="27"/>
      <c r="X569" s="27"/>
      <c r="Y569" s="27"/>
      <c r="Z569" s="27"/>
      <c r="AA569" s="27"/>
      <c r="AB569" s="27"/>
      <c r="AC569" s="27"/>
      <c r="AD569" s="27"/>
      <c r="AE569" s="27"/>
      <c r="AF569" s="27"/>
      <c r="AG569" s="27"/>
      <c r="AH569" s="27"/>
      <c r="AI569" s="27"/>
      <c r="AJ569" s="27"/>
      <c r="AK569" s="27"/>
      <c r="AL569" s="27"/>
      <c r="AM569" s="27"/>
      <c r="AN569" s="27"/>
      <c r="AO569" s="27"/>
      <c r="AP569" s="27"/>
      <c r="AQ569" s="27"/>
      <c r="AR569" s="27"/>
      <c r="AS569" s="27"/>
      <c r="AT569" s="27"/>
      <c r="AU569" s="27"/>
      <c r="AV569" s="27"/>
      <c r="AW569" s="27"/>
      <c r="AX569" s="27"/>
      <c r="AY569" s="27"/>
      <c r="AZ569" s="27"/>
      <c r="BA569" s="27"/>
      <c r="BB569" s="27"/>
      <c r="BC569" s="27"/>
      <c r="BD569" s="27"/>
      <c r="BE569" s="27"/>
      <c r="BF569" s="27"/>
      <c r="BG569" s="27"/>
      <c r="BH569" s="27"/>
      <c r="BI569" s="27"/>
      <c r="BJ569" s="27"/>
      <c r="BK569" s="27"/>
      <c r="BL569" s="27"/>
      <c r="BM569" s="27"/>
      <c r="BN569" s="27"/>
      <c r="BO569" s="27"/>
      <c r="BP569" s="27"/>
      <c r="BQ569" s="27"/>
      <c r="BR569" s="27"/>
      <c r="BS569" s="27"/>
      <c r="BT569" s="27"/>
      <c r="BU569" s="27"/>
      <c r="BV569" s="27"/>
      <c r="BW569" s="27"/>
      <c r="BX569" s="27"/>
      <c r="BY569" s="27"/>
      <c r="BZ569" s="27"/>
      <c r="CA569" s="27"/>
      <c r="CB569" s="27"/>
      <c r="CC569" s="27"/>
      <c r="CD569" s="27"/>
      <c r="CE569" s="27"/>
      <c r="CF569" s="27"/>
      <c r="CG569" s="27"/>
      <c r="CH569" s="27"/>
      <c r="CI569" s="27"/>
      <c r="CJ569" s="27"/>
      <c r="CK569" s="27"/>
      <c r="CL569" s="27"/>
      <c r="CM569" s="27"/>
      <c r="CN569" s="27"/>
      <c r="CO569" s="27"/>
      <c r="CP569" s="27"/>
      <c r="CQ569" s="27"/>
      <c r="CR569" s="27"/>
      <c r="CS569" s="27"/>
      <c r="CT569" s="27"/>
      <c r="CU569" s="27"/>
      <c r="CV569" s="27"/>
      <c r="CW569" s="27"/>
      <c r="CX569" s="27"/>
      <c r="CY569" s="27"/>
      <c r="CZ569" s="27"/>
      <c r="DA569" s="27"/>
      <c r="DB569" s="27"/>
      <c r="DC569" s="27"/>
      <c r="DD569" s="27"/>
      <c r="DE569" s="27"/>
      <c r="DF569" s="27"/>
      <c r="DG569" s="27"/>
      <c r="DH569" s="27"/>
      <c r="DI569" s="27"/>
      <c r="DJ569" s="27"/>
      <c r="DK569" s="27"/>
      <c r="DL569" s="27"/>
      <c r="DM569" s="27"/>
      <c r="DN569" s="27"/>
      <c r="DO569" s="27"/>
      <c r="DP569" s="27"/>
      <c r="DQ569" s="27"/>
      <c r="DR569" s="27"/>
      <c r="DS569" s="27"/>
      <c r="DT569" s="27"/>
    </row>
    <row r="570" spans="7:124" x14ac:dyDescent="0.2">
      <c r="G570" s="27"/>
      <c r="H570" s="27"/>
      <c r="I570" s="27"/>
      <c r="J570" s="27"/>
      <c r="K570" s="27"/>
      <c r="L570" s="27"/>
      <c r="M570" s="27"/>
      <c r="N570" s="27"/>
      <c r="O570" s="27"/>
      <c r="P570" s="27"/>
      <c r="Q570" s="27"/>
      <c r="R570" s="27"/>
      <c r="S570" s="27"/>
      <c r="T570" s="27"/>
      <c r="U570" s="27"/>
      <c r="V570" s="27"/>
      <c r="W570" s="27"/>
      <c r="X570" s="27"/>
      <c r="Y570" s="27"/>
      <c r="Z570" s="27"/>
      <c r="AA570" s="27"/>
      <c r="AB570" s="27"/>
      <c r="AC570" s="27"/>
      <c r="AD570" s="27"/>
      <c r="AE570" s="27"/>
      <c r="AF570" s="27"/>
      <c r="AG570" s="27"/>
      <c r="AH570" s="27"/>
      <c r="AI570" s="27"/>
      <c r="AJ570" s="27"/>
      <c r="AK570" s="27"/>
      <c r="AL570" s="27"/>
      <c r="AM570" s="27"/>
      <c r="AN570" s="27"/>
      <c r="AO570" s="27"/>
      <c r="AP570" s="27"/>
      <c r="AQ570" s="27"/>
      <c r="AR570" s="27"/>
      <c r="AS570" s="27"/>
      <c r="AT570" s="27"/>
      <c r="AU570" s="27"/>
      <c r="AV570" s="27"/>
      <c r="AW570" s="27"/>
      <c r="AX570" s="27"/>
      <c r="AY570" s="27"/>
      <c r="AZ570" s="27"/>
      <c r="BA570" s="27"/>
      <c r="BB570" s="27"/>
      <c r="BC570" s="27"/>
      <c r="BD570" s="27"/>
      <c r="BE570" s="27"/>
      <c r="BF570" s="27"/>
      <c r="BG570" s="27"/>
      <c r="BH570" s="27"/>
      <c r="BI570" s="27"/>
      <c r="BJ570" s="27"/>
      <c r="BK570" s="27"/>
      <c r="BL570" s="27"/>
      <c r="BM570" s="27"/>
      <c r="BN570" s="27"/>
      <c r="BO570" s="27"/>
      <c r="BP570" s="27"/>
      <c r="BQ570" s="27"/>
      <c r="BR570" s="27"/>
      <c r="BS570" s="27"/>
      <c r="BT570" s="27"/>
      <c r="BU570" s="27"/>
      <c r="BV570" s="27"/>
      <c r="BW570" s="27"/>
      <c r="BX570" s="27"/>
      <c r="BY570" s="27"/>
      <c r="BZ570" s="27"/>
      <c r="CA570" s="27"/>
      <c r="CB570" s="27"/>
      <c r="CC570" s="27"/>
      <c r="CD570" s="27"/>
      <c r="CE570" s="27"/>
      <c r="CF570" s="27"/>
      <c r="CG570" s="27"/>
      <c r="CH570" s="27"/>
      <c r="CI570" s="27"/>
      <c r="CJ570" s="27"/>
      <c r="CK570" s="27"/>
      <c r="CL570" s="27"/>
      <c r="CM570" s="27"/>
      <c r="CN570" s="27"/>
      <c r="CO570" s="27"/>
      <c r="CP570" s="27"/>
      <c r="CQ570" s="27"/>
      <c r="CR570" s="27"/>
      <c r="CS570" s="27"/>
      <c r="CT570" s="27"/>
      <c r="CU570" s="27"/>
      <c r="CV570" s="27"/>
      <c r="CW570" s="27"/>
      <c r="CX570" s="27"/>
      <c r="CY570" s="27"/>
      <c r="CZ570" s="27"/>
      <c r="DA570" s="27"/>
      <c r="DB570" s="27"/>
      <c r="DC570" s="27"/>
      <c r="DD570" s="27"/>
      <c r="DE570" s="27"/>
      <c r="DF570" s="27"/>
      <c r="DG570" s="27"/>
      <c r="DH570" s="27"/>
      <c r="DI570" s="27"/>
      <c r="DJ570" s="27"/>
      <c r="DK570" s="27"/>
      <c r="DL570" s="27"/>
      <c r="DM570" s="27"/>
      <c r="DN570" s="27"/>
      <c r="DO570" s="27"/>
      <c r="DP570" s="27"/>
      <c r="DQ570" s="27"/>
      <c r="DR570" s="27"/>
      <c r="DS570" s="27"/>
      <c r="DT570" s="27"/>
    </row>
    <row r="571" spans="7:124" x14ac:dyDescent="0.2">
      <c r="G571" s="27"/>
      <c r="H571" s="27"/>
      <c r="I571" s="27"/>
      <c r="J571" s="27"/>
      <c r="K571" s="27"/>
      <c r="L571" s="27"/>
      <c r="M571" s="27"/>
      <c r="N571" s="27"/>
      <c r="O571" s="27"/>
      <c r="P571" s="27"/>
      <c r="Q571" s="27"/>
      <c r="R571" s="27"/>
      <c r="S571" s="27"/>
      <c r="T571" s="27"/>
      <c r="U571" s="27"/>
      <c r="V571" s="27"/>
      <c r="W571" s="27"/>
      <c r="X571" s="27"/>
      <c r="Y571" s="27"/>
      <c r="Z571" s="27"/>
      <c r="AA571" s="27"/>
      <c r="AB571" s="27"/>
      <c r="AC571" s="27"/>
      <c r="AD571" s="27"/>
      <c r="AE571" s="27"/>
      <c r="AF571" s="27"/>
      <c r="AG571" s="27"/>
      <c r="AH571" s="27"/>
      <c r="AI571" s="27"/>
      <c r="AJ571" s="27"/>
      <c r="AK571" s="27"/>
      <c r="AL571" s="27"/>
      <c r="AM571" s="27"/>
      <c r="AN571" s="27"/>
      <c r="AO571" s="27"/>
      <c r="AP571" s="27"/>
      <c r="AQ571" s="27"/>
      <c r="AR571" s="27"/>
      <c r="AS571" s="27"/>
      <c r="AT571" s="27"/>
      <c r="AU571" s="27"/>
      <c r="AV571" s="27"/>
      <c r="AW571" s="27"/>
      <c r="AX571" s="27"/>
      <c r="AY571" s="27"/>
      <c r="AZ571" s="27"/>
      <c r="BA571" s="27"/>
      <c r="BB571" s="27"/>
      <c r="BC571" s="27"/>
      <c r="BD571" s="27"/>
      <c r="BE571" s="27"/>
      <c r="BF571" s="27"/>
      <c r="BG571" s="27"/>
      <c r="BH571" s="27"/>
      <c r="BI571" s="27"/>
      <c r="BJ571" s="27"/>
      <c r="BK571" s="27"/>
      <c r="BL571" s="27"/>
      <c r="BM571" s="27"/>
      <c r="BN571" s="27"/>
      <c r="BO571" s="27"/>
      <c r="BP571" s="27"/>
      <c r="BQ571" s="27"/>
      <c r="BR571" s="27"/>
      <c r="BS571" s="27"/>
      <c r="BT571" s="27"/>
      <c r="BU571" s="27"/>
      <c r="BV571" s="27"/>
      <c r="BW571" s="27"/>
      <c r="BX571" s="27"/>
      <c r="BY571" s="27"/>
      <c r="BZ571" s="27"/>
      <c r="CA571" s="27"/>
      <c r="CB571" s="27"/>
      <c r="CC571" s="27"/>
      <c r="CD571" s="27"/>
      <c r="CE571" s="27"/>
      <c r="CF571" s="27"/>
      <c r="CG571" s="27"/>
      <c r="CH571" s="27"/>
      <c r="CI571" s="27"/>
      <c r="CJ571" s="27"/>
      <c r="CK571" s="27"/>
      <c r="CL571" s="27"/>
      <c r="CM571" s="27"/>
      <c r="CN571" s="27"/>
      <c r="CO571" s="27"/>
      <c r="CP571" s="27"/>
      <c r="CQ571" s="27"/>
      <c r="CR571" s="27"/>
      <c r="CS571" s="27"/>
      <c r="CT571" s="27"/>
      <c r="CU571" s="27"/>
      <c r="CV571" s="27"/>
      <c r="CW571" s="27"/>
      <c r="CX571" s="27"/>
      <c r="CY571" s="27"/>
      <c r="CZ571" s="27"/>
      <c r="DA571" s="27"/>
      <c r="DB571" s="27"/>
      <c r="DC571" s="27"/>
      <c r="DD571" s="27"/>
      <c r="DE571" s="27"/>
      <c r="DF571" s="27"/>
      <c r="DG571" s="27"/>
      <c r="DH571" s="27"/>
      <c r="DI571" s="27"/>
      <c r="DJ571" s="27"/>
      <c r="DK571" s="27"/>
      <c r="DL571" s="27"/>
      <c r="DM571" s="27"/>
      <c r="DN571" s="27"/>
      <c r="DO571" s="27"/>
      <c r="DP571" s="27"/>
      <c r="DQ571" s="27"/>
      <c r="DR571" s="27"/>
      <c r="DS571" s="27"/>
      <c r="DT571" s="27"/>
    </row>
    <row r="572" spans="7:124" x14ac:dyDescent="0.2">
      <c r="G572" s="27"/>
      <c r="H572" s="27"/>
      <c r="I572" s="27"/>
      <c r="J572" s="27"/>
      <c r="K572" s="27"/>
      <c r="L572" s="27"/>
      <c r="M572" s="27"/>
      <c r="N572" s="27"/>
      <c r="O572" s="27"/>
      <c r="P572" s="27"/>
      <c r="Q572" s="27"/>
      <c r="R572" s="27"/>
      <c r="S572" s="27"/>
      <c r="T572" s="27"/>
      <c r="U572" s="27"/>
      <c r="V572" s="27"/>
      <c r="W572" s="27"/>
      <c r="X572" s="27"/>
      <c r="Y572" s="27"/>
      <c r="Z572" s="27"/>
      <c r="AA572" s="27"/>
      <c r="AB572" s="27"/>
      <c r="AC572" s="27"/>
      <c r="AD572" s="27"/>
      <c r="AE572" s="27"/>
      <c r="AF572" s="27"/>
      <c r="AG572" s="27"/>
      <c r="AH572" s="27"/>
      <c r="AI572" s="27"/>
      <c r="AJ572" s="27"/>
      <c r="AK572" s="27"/>
      <c r="AL572" s="27"/>
      <c r="AM572" s="27"/>
      <c r="AN572" s="27"/>
      <c r="AO572" s="27"/>
      <c r="AP572" s="27"/>
      <c r="AQ572" s="27"/>
      <c r="AR572" s="27"/>
      <c r="AS572" s="27"/>
      <c r="AT572" s="27"/>
      <c r="AU572" s="27"/>
      <c r="AV572" s="27"/>
      <c r="AW572" s="27"/>
      <c r="AX572" s="27"/>
      <c r="AY572" s="27"/>
      <c r="AZ572" s="27"/>
      <c r="BA572" s="27"/>
      <c r="BB572" s="27"/>
      <c r="BC572" s="27"/>
      <c r="BD572" s="27"/>
      <c r="BE572" s="27"/>
      <c r="BF572" s="27"/>
      <c r="BG572" s="27"/>
      <c r="BH572" s="27"/>
      <c r="BI572" s="27"/>
      <c r="BJ572" s="27"/>
      <c r="BK572" s="27"/>
      <c r="BL572" s="27"/>
      <c r="BM572" s="27"/>
      <c r="BN572" s="27"/>
      <c r="BO572" s="27"/>
      <c r="BP572" s="27"/>
      <c r="BQ572" s="27"/>
      <c r="BR572" s="27"/>
      <c r="BS572" s="27"/>
      <c r="BT572" s="27"/>
      <c r="BU572" s="27"/>
      <c r="BV572" s="27"/>
      <c r="BW572" s="27"/>
      <c r="BX572" s="27"/>
      <c r="BY572" s="27"/>
      <c r="BZ572" s="27"/>
      <c r="CA572" s="27"/>
      <c r="CB572" s="27"/>
      <c r="CC572" s="27"/>
      <c r="CD572" s="27"/>
      <c r="CE572" s="27"/>
      <c r="CF572" s="27"/>
      <c r="CG572" s="27"/>
      <c r="CH572" s="27"/>
      <c r="CI572" s="27"/>
      <c r="CJ572" s="27"/>
      <c r="CK572" s="27"/>
      <c r="CL572" s="27"/>
      <c r="CM572" s="27"/>
      <c r="CN572" s="27"/>
      <c r="CO572" s="27"/>
      <c r="CP572" s="27"/>
      <c r="CQ572" s="27"/>
      <c r="CR572" s="27"/>
      <c r="CS572" s="27"/>
      <c r="CT572" s="27"/>
      <c r="CU572" s="27"/>
      <c r="CV572" s="27"/>
      <c r="CW572" s="27"/>
      <c r="CX572" s="27"/>
      <c r="CY572" s="27"/>
      <c r="CZ572" s="27"/>
      <c r="DA572" s="27"/>
      <c r="DB572" s="27"/>
      <c r="DC572" s="27"/>
      <c r="DD572" s="27"/>
      <c r="DE572" s="27"/>
      <c r="DF572" s="27"/>
      <c r="DG572" s="27"/>
      <c r="DH572" s="27"/>
      <c r="DI572" s="27"/>
      <c r="DJ572" s="27"/>
      <c r="DK572" s="27"/>
      <c r="DL572" s="27"/>
      <c r="DM572" s="27"/>
      <c r="DN572" s="27"/>
      <c r="DO572" s="27"/>
      <c r="DP572" s="27"/>
      <c r="DQ572" s="27"/>
      <c r="DR572" s="27"/>
      <c r="DS572" s="27"/>
      <c r="DT572" s="27"/>
    </row>
    <row r="573" spans="7:124" x14ac:dyDescent="0.2">
      <c r="G573" s="27"/>
      <c r="H573" s="27"/>
      <c r="I573" s="27"/>
      <c r="J573" s="27"/>
      <c r="K573" s="27"/>
      <c r="L573" s="27"/>
      <c r="M573" s="27"/>
      <c r="N573" s="27"/>
      <c r="O573" s="27"/>
      <c r="P573" s="27"/>
      <c r="Q573" s="27"/>
      <c r="R573" s="27"/>
      <c r="S573" s="27"/>
      <c r="T573" s="27"/>
      <c r="U573" s="27"/>
      <c r="V573" s="27"/>
      <c r="W573" s="27"/>
      <c r="X573" s="27"/>
      <c r="Y573" s="27"/>
      <c r="Z573" s="27"/>
      <c r="AA573" s="27"/>
      <c r="AB573" s="27"/>
      <c r="AC573" s="27"/>
      <c r="AD573" s="27"/>
      <c r="AE573" s="27"/>
      <c r="AF573" s="27"/>
      <c r="AG573" s="27"/>
      <c r="AH573" s="27"/>
      <c r="AI573" s="27"/>
      <c r="AJ573" s="27"/>
      <c r="AK573" s="27"/>
      <c r="AL573" s="27"/>
      <c r="AM573" s="27"/>
      <c r="AN573" s="27"/>
      <c r="AO573" s="27"/>
      <c r="AP573" s="27"/>
      <c r="AQ573" s="27"/>
      <c r="AR573" s="27"/>
      <c r="AS573" s="27"/>
      <c r="AT573" s="27"/>
      <c r="AU573" s="27"/>
      <c r="AV573" s="27"/>
      <c r="AW573" s="27"/>
      <c r="AX573" s="27"/>
      <c r="AY573" s="27"/>
      <c r="AZ573" s="27"/>
      <c r="BA573" s="27"/>
      <c r="BB573" s="27"/>
      <c r="BC573" s="27"/>
      <c r="BD573" s="27"/>
      <c r="BE573" s="27"/>
      <c r="BF573" s="27"/>
      <c r="BG573" s="27"/>
      <c r="BH573" s="27"/>
      <c r="BI573" s="27"/>
      <c r="BJ573" s="27"/>
      <c r="BK573" s="27"/>
      <c r="BL573" s="27"/>
      <c r="BM573" s="27"/>
      <c r="BN573" s="27"/>
      <c r="BO573" s="27"/>
      <c r="BP573" s="27"/>
      <c r="BQ573" s="27"/>
      <c r="BR573" s="27"/>
      <c r="BS573" s="27"/>
      <c r="BT573" s="27"/>
      <c r="BU573" s="27"/>
      <c r="BV573" s="27"/>
      <c r="BW573" s="27"/>
      <c r="BX573" s="27"/>
      <c r="BY573" s="27"/>
      <c r="BZ573" s="27"/>
      <c r="CA573" s="27"/>
      <c r="CB573" s="27"/>
      <c r="CC573" s="27"/>
      <c r="CD573" s="27"/>
      <c r="CE573" s="27"/>
      <c r="CF573" s="27"/>
      <c r="CG573" s="27"/>
      <c r="CH573" s="27"/>
      <c r="CI573" s="27"/>
      <c r="CJ573" s="27"/>
      <c r="CK573" s="27"/>
      <c r="CL573" s="27"/>
      <c r="CM573" s="27"/>
      <c r="CN573" s="27"/>
      <c r="CO573" s="27"/>
      <c r="CP573" s="27"/>
      <c r="CQ573" s="27"/>
      <c r="CR573" s="27"/>
      <c r="CS573" s="27"/>
      <c r="CT573" s="27"/>
      <c r="CU573" s="27"/>
      <c r="CV573" s="27"/>
      <c r="CW573" s="27"/>
      <c r="CX573" s="27"/>
      <c r="CY573" s="27"/>
      <c r="CZ573" s="27"/>
      <c r="DA573" s="27"/>
      <c r="DB573" s="27"/>
      <c r="DC573" s="27"/>
      <c r="DD573" s="27"/>
      <c r="DE573" s="27"/>
      <c r="DF573" s="27"/>
      <c r="DG573" s="27"/>
      <c r="DH573" s="27"/>
      <c r="DI573" s="27"/>
      <c r="DJ573" s="27"/>
      <c r="DK573" s="27"/>
      <c r="DL573" s="27"/>
      <c r="DM573" s="27"/>
      <c r="DN573" s="27"/>
      <c r="DO573" s="27"/>
      <c r="DP573" s="27"/>
      <c r="DQ573" s="27"/>
      <c r="DR573" s="27"/>
      <c r="DS573" s="27"/>
      <c r="DT573" s="27"/>
    </row>
    <row r="574" spans="7:124" x14ac:dyDescent="0.2">
      <c r="G574" s="27"/>
      <c r="H574" s="27"/>
      <c r="I574" s="27"/>
      <c r="J574" s="27"/>
      <c r="K574" s="27"/>
      <c r="L574" s="27"/>
      <c r="M574" s="27"/>
      <c r="N574" s="27"/>
      <c r="O574" s="27"/>
      <c r="P574" s="27"/>
      <c r="Q574" s="27"/>
      <c r="R574" s="27"/>
      <c r="S574" s="27"/>
      <c r="T574" s="27"/>
      <c r="U574" s="27"/>
      <c r="V574" s="27"/>
      <c r="W574" s="27"/>
      <c r="X574" s="27"/>
      <c r="Y574" s="27"/>
      <c r="Z574" s="27"/>
      <c r="AA574" s="27"/>
      <c r="AB574" s="27"/>
      <c r="AC574" s="27"/>
      <c r="AD574" s="27"/>
      <c r="AE574" s="27"/>
      <c r="AF574" s="27"/>
      <c r="AG574" s="27"/>
      <c r="AH574" s="27"/>
      <c r="AI574" s="27"/>
      <c r="AJ574" s="27"/>
      <c r="AK574" s="27"/>
      <c r="AL574" s="27"/>
      <c r="AM574" s="27"/>
      <c r="AN574" s="27"/>
      <c r="AO574" s="27"/>
      <c r="AP574" s="27"/>
      <c r="AQ574" s="27"/>
      <c r="AR574" s="27"/>
      <c r="AS574" s="27"/>
      <c r="AT574" s="27"/>
      <c r="AU574" s="27"/>
      <c r="AV574" s="27"/>
      <c r="AW574" s="27"/>
      <c r="AX574" s="27"/>
      <c r="AY574" s="27"/>
      <c r="AZ574" s="27"/>
      <c r="BA574" s="27"/>
      <c r="BB574" s="27"/>
      <c r="BC574" s="27"/>
      <c r="BD574" s="27"/>
      <c r="BE574" s="27"/>
      <c r="BF574" s="27"/>
      <c r="BG574" s="27"/>
      <c r="BH574" s="27"/>
      <c r="BI574" s="27"/>
      <c r="BJ574" s="27"/>
      <c r="BK574" s="27"/>
      <c r="BL574" s="27"/>
      <c r="BM574" s="27"/>
      <c r="BN574" s="27"/>
      <c r="BO574" s="27"/>
      <c r="BP574" s="27"/>
      <c r="BQ574" s="27"/>
      <c r="BR574" s="27"/>
      <c r="BS574" s="27"/>
      <c r="BT574" s="27"/>
      <c r="BU574" s="27"/>
      <c r="BV574" s="27"/>
      <c r="BW574" s="27"/>
      <c r="BX574" s="27"/>
      <c r="BY574" s="27"/>
      <c r="BZ574" s="27"/>
      <c r="CA574" s="27"/>
      <c r="CB574" s="27"/>
      <c r="CC574" s="27"/>
      <c r="CD574" s="27"/>
      <c r="CE574" s="27"/>
      <c r="CF574" s="27"/>
      <c r="CG574" s="27"/>
      <c r="CH574" s="27"/>
      <c r="CI574" s="27"/>
      <c r="CJ574" s="27"/>
      <c r="CK574" s="27"/>
      <c r="CL574" s="27"/>
      <c r="CM574" s="27"/>
      <c r="CN574" s="27"/>
      <c r="CO574" s="27"/>
      <c r="CP574" s="27"/>
      <c r="CQ574" s="27"/>
      <c r="CR574" s="27"/>
      <c r="CS574" s="27"/>
      <c r="CT574" s="27"/>
      <c r="CU574" s="27"/>
      <c r="CV574" s="27"/>
      <c r="CW574" s="27"/>
      <c r="CX574" s="27"/>
      <c r="CY574" s="27"/>
      <c r="CZ574" s="27"/>
      <c r="DA574" s="27"/>
      <c r="DB574" s="27"/>
      <c r="DC574" s="27"/>
      <c r="DD574" s="27"/>
      <c r="DE574" s="27"/>
      <c r="DF574" s="27"/>
      <c r="DG574" s="27"/>
      <c r="DH574" s="27"/>
      <c r="DI574" s="27"/>
      <c r="DJ574" s="27"/>
      <c r="DK574" s="27"/>
      <c r="DL574" s="27"/>
      <c r="DM574" s="27"/>
      <c r="DN574" s="27"/>
      <c r="DO574" s="27"/>
      <c r="DP574" s="27"/>
      <c r="DQ574" s="27"/>
      <c r="DR574" s="27"/>
      <c r="DS574" s="27"/>
      <c r="DT574" s="27"/>
    </row>
    <row r="575" spans="7:124" x14ac:dyDescent="0.2">
      <c r="G575" s="27"/>
      <c r="H575" s="27"/>
      <c r="I575" s="27"/>
      <c r="J575" s="27"/>
      <c r="K575" s="27"/>
      <c r="L575" s="27"/>
      <c r="M575" s="27"/>
      <c r="N575" s="27"/>
      <c r="O575" s="27"/>
      <c r="P575" s="27"/>
      <c r="Q575" s="27"/>
      <c r="R575" s="27"/>
      <c r="S575" s="27"/>
      <c r="T575" s="27"/>
      <c r="U575" s="27"/>
      <c r="V575" s="27"/>
      <c r="W575" s="27"/>
      <c r="X575" s="27"/>
      <c r="Y575" s="27"/>
      <c r="Z575" s="27"/>
      <c r="AA575" s="27"/>
      <c r="AB575" s="27"/>
      <c r="AC575" s="27"/>
      <c r="AD575" s="27"/>
      <c r="AE575" s="27"/>
      <c r="AF575" s="27"/>
      <c r="AG575" s="27"/>
      <c r="AH575" s="27"/>
      <c r="AI575" s="27"/>
      <c r="AJ575" s="27"/>
      <c r="AK575" s="27"/>
      <c r="AL575" s="27"/>
      <c r="AM575" s="27"/>
      <c r="AN575" s="27"/>
      <c r="AO575" s="27"/>
      <c r="AP575" s="27"/>
      <c r="AQ575" s="27"/>
      <c r="AR575" s="27"/>
      <c r="AS575" s="27"/>
      <c r="AT575" s="27"/>
      <c r="AU575" s="27"/>
      <c r="AV575" s="27"/>
      <c r="AW575" s="27"/>
      <c r="AX575" s="27"/>
      <c r="AY575" s="27"/>
      <c r="AZ575" s="27"/>
      <c r="BA575" s="27"/>
      <c r="BB575" s="27"/>
      <c r="BC575" s="27"/>
      <c r="BD575" s="27"/>
      <c r="BE575" s="27"/>
      <c r="BF575" s="27"/>
      <c r="BG575" s="27"/>
      <c r="BH575" s="27"/>
      <c r="BI575" s="27"/>
      <c r="BJ575" s="27"/>
      <c r="BK575" s="27"/>
      <c r="BL575" s="27"/>
      <c r="BM575" s="27"/>
      <c r="BN575" s="27"/>
      <c r="BO575" s="27"/>
      <c r="BP575" s="27"/>
      <c r="BQ575" s="27"/>
      <c r="BR575" s="27"/>
      <c r="BS575" s="27"/>
      <c r="BT575" s="27"/>
      <c r="BU575" s="27"/>
      <c r="BV575" s="27"/>
      <c r="BW575" s="27"/>
      <c r="BX575" s="27"/>
      <c r="BY575" s="27"/>
      <c r="BZ575" s="27"/>
      <c r="CA575" s="27"/>
      <c r="CB575" s="27"/>
      <c r="CC575" s="27"/>
      <c r="CD575" s="27"/>
      <c r="CE575" s="27"/>
      <c r="CF575" s="27"/>
      <c r="CG575" s="27"/>
      <c r="CH575" s="27"/>
      <c r="CI575" s="27"/>
      <c r="CJ575" s="27"/>
      <c r="CK575" s="27"/>
      <c r="CL575" s="27"/>
      <c r="CM575" s="27"/>
      <c r="CN575" s="27"/>
      <c r="CO575" s="27"/>
      <c r="CP575" s="27"/>
      <c r="CQ575" s="27"/>
      <c r="CR575" s="27"/>
      <c r="CS575" s="27"/>
      <c r="CT575" s="27"/>
      <c r="CU575" s="27"/>
      <c r="CV575" s="27"/>
      <c r="CW575" s="27"/>
      <c r="CX575" s="27"/>
      <c r="CY575" s="27"/>
      <c r="CZ575" s="27"/>
      <c r="DA575" s="27"/>
      <c r="DB575" s="27"/>
      <c r="DC575" s="27"/>
      <c r="DD575" s="27"/>
      <c r="DE575" s="27"/>
      <c r="DF575" s="27"/>
      <c r="DG575" s="27"/>
      <c r="DH575" s="27"/>
      <c r="DI575" s="27"/>
      <c r="DJ575" s="27"/>
      <c r="DK575" s="27"/>
      <c r="DL575" s="27"/>
      <c r="DM575" s="27"/>
      <c r="DN575" s="27"/>
      <c r="DO575" s="27"/>
      <c r="DP575" s="27"/>
      <c r="DQ575" s="27"/>
      <c r="DR575" s="27"/>
      <c r="DS575" s="27"/>
      <c r="DT575" s="27"/>
    </row>
    <row r="576" spans="7:124" x14ac:dyDescent="0.2">
      <c r="G576" s="27"/>
      <c r="H576" s="27"/>
      <c r="I576" s="27"/>
      <c r="J576" s="27"/>
      <c r="K576" s="27"/>
      <c r="L576" s="27"/>
      <c r="M576" s="27"/>
      <c r="N576" s="27"/>
      <c r="O576" s="27"/>
      <c r="P576" s="27"/>
      <c r="Q576" s="27"/>
      <c r="R576" s="27"/>
      <c r="S576" s="27"/>
      <c r="T576" s="27"/>
      <c r="U576" s="27"/>
      <c r="V576" s="27"/>
      <c r="W576" s="27"/>
      <c r="X576" s="27"/>
      <c r="Y576" s="27"/>
      <c r="Z576" s="27"/>
      <c r="AA576" s="27"/>
      <c r="AB576" s="27"/>
      <c r="AC576" s="27"/>
      <c r="AD576" s="27"/>
      <c r="AE576" s="27"/>
      <c r="AF576" s="27"/>
      <c r="AG576" s="27"/>
      <c r="AH576" s="27"/>
      <c r="AI576" s="27"/>
      <c r="AJ576" s="27"/>
      <c r="AK576" s="27"/>
      <c r="AL576" s="27"/>
      <c r="AM576" s="27"/>
      <c r="AN576" s="27"/>
      <c r="AO576" s="27"/>
      <c r="AP576" s="27"/>
      <c r="AQ576" s="27"/>
      <c r="AR576" s="27"/>
      <c r="AS576" s="27"/>
      <c r="AT576" s="27"/>
      <c r="AU576" s="27"/>
      <c r="AV576" s="27"/>
      <c r="AW576" s="27"/>
      <c r="AX576" s="27"/>
      <c r="AY576" s="27"/>
      <c r="AZ576" s="27"/>
      <c r="BA576" s="27"/>
      <c r="BB576" s="27"/>
      <c r="BC576" s="27"/>
      <c r="BD576" s="27"/>
      <c r="BE576" s="27"/>
      <c r="BF576" s="27"/>
      <c r="BG576" s="27"/>
      <c r="BH576" s="27"/>
      <c r="BI576" s="27"/>
      <c r="BJ576" s="27"/>
      <c r="BK576" s="27"/>
      <c r="BL576" s="27"/>
      <c r="BM576" s="27"/>
      <c r="BN576" s="27"/>
      <c r="BO576" s="27"/>
      <c r="BP576" s="27"/>
      <c r="BQ576" s="27"/>
      <c r="BR576" s="27"/>
      <c r="BS576" s="27"/>
      <c r="BT576" s="27"/>
      <c r="BU576" s="27"/>
      <c r="BV576" s="27"/>
      <c r="BW576" s="27"/>
      <c r="BX576" s="27"/>
      <c r="BY576" s="27"/>
      <c r="BZ576" s="27"/>
      <c r="CA576" s="27"/>
      <c r="CB576" s="27"/>
      <c r="CC576" s="27"/>
      <c r="CD576" s="27"/>
      <c r="CE576" s="27"/>
      <c r="CF576" s="27"/>
      <c r="CG576" s="27"/>
      <c r="CH576" s="27"/>
      <c r="CI576" s="27"/>
      <c r="CJ576" s="27"/>
      <c r="CK576" s="27"/>
      <c r="CL576" s="27"/>
      <c r="CM576" s="27"/>
      <c r="CN576" s="27"/>
      <c r="CO576" s="27"/>
      <c r="CP576" s="27"/>
      <c r="CQ576" s="27"/>
      <c r="CR576" s="27"/>
      <c r="CS576" s="27"/>
      <c r="CT576" s="27"/>
      <c r="CU576" s="27"/>
      <c r="CV576" s="27"/>
      <c r="CW576" s="27"/>
      <c r="CX576" s="27"/>
      <c r="CY576" s="27"/>
      <c r="CZ576" s="27"/>
      <c r="DA576" s="27"/>
      <c r="DB576" s="27"/>
      <c r="DC576" s="27"/>
      <c r="DD576" s="27"/>
      <c r="DE576" s="27"/>
      <c r="DF576" s="27"/>
      <c r="DG576" s="27"/>
      <c r="DH576" s="27"/>
      <c r="DI576" s="27"/>
      <c r="DJ576" s="27"/>
      <c r="DK576" s="27"/>
      <c r="DL576" s="27"/>
      <c r="DM576" s="27"/>
      <c r="DN576" s="27"/>
      <c r="DO576" s="27"/>
      <c r="DP576" s="27"/>
      <c r="DQ576" s="27"/>
      <c r="DR576" s="27"/>
      <c r="DS576" s="27"/>
      <c r="DT576" s="27"/>
    </row>
    <row r="577" spans="7:124" x14ac:dyDescent="0.2">
      <c r="G577" s="27"/>
      <c r="H577" s="27"/>
      <c r="I577" s="27"/>
      <c r="J577" s="27"/>
      <c r="K577" s="27"/>
      <c r="L577" s="27"/>
      <c r="M577" s="27"/>
      <c r="N577" s="27"/>
      <c r="O577" s="27"/>
      <c r="P577" s="27"/>
      <c r="Q577" s="27"/>
      <c r="R577" s="27"/>
      <c r="S577" s="27"/>
      <c r="T577" s="27"/>
      <c r="U577" s="27"/>
      <c r="V577" s="27"/>
      <c r="W577" s="27"/>
      <c r="X577" s="27"/>
      <c r="Y577" s="27"/>
      <c r="Z577" s="27"/>
      <c r="AA577" s="27"/>
      <c r="AB577" s="27"/>
      <c r="AC577" s="27"/>
      <c r="AD577" s="27"/>
      <c r="AE577" s="27"/>
      <c r="AF577" s="27"/>
      <c r="AG577" s="27"/>
      <c r="AH577" s="27"/>
      <c r="AI577" s="27"/>
      <c r="AJ577" s="27"/>
      <c r="AK577" s="27"/>
      <c r="AL577" s="27"/>
      <c r="AM577" s="27"/>
      <c r="AN577" s="27"/>
      <c r="AO577" s="27"/>
      <c r="AP577" s="27"/>
      <c r="AQ577" s="27"/>
      <c r="AR577" s="27"/>
      <c r="AS577" s="27"/>
      <c r="AT577" s="27"/>
      <c r="AU577" s="27"/>
      <c r="AV577" s="27"/>
      <c r="AW577" s="27"/>
      <c r="AX577" s="27"/>
      <c r="AY577" s="27"/>
      <c r="AZ577" s="27"/>
      <c r="BA577" s="27"/>
      <c r="BB577" s="27"/>
      <c r="BC577" s="27"/>
      <c r="BD577" s="27"/>
      <c r="BE577" s="27"/>
      <c r="BF577" s="27"/>
      <c r="BG577" s="27"/>
      <c r="BH577" s="27"/>
      <c r="BI577" s="27"/>
      <c r="BJ577" s="27"/>
      <c r="BK577" s="27"/>
      <c r="BL577" s="27"/>
      <c r="BM577" s="27"/>
      <c r="BN577" s="27"/>
      <c r="BO577" s="27"/>
      <c r="BP577" s="27"/>
      <c r="BQ577" s="27"/>
      <c r="BR577" s="27"/>
      <c r="BS577" s="27"/>
      <c r="BT577" s="27"/>
      <c r="BU577" s="27"/>
      <c r="BV577" s="27"/>
      <c r="BW577" s="27"/>
      <c r="BX577" s="27"/>
      <c r="BY577" s="27"/>
      <c r="BZ577" s="27"/>
      <c r="CA577" s="27"/>
      <c r="CB577" s="27"/>
      <c r="CC577" s="27"/>
      <c r="CD577" s="27"/>
      <c r="CE577" s="27"/>
      <c r="CF577" s="27"/>
      <c r="CG577" s="27"/>
      <c r="CH577" s="27"/>
      <c r="CI577" s="27"/>
      <c r="CJ577" s="27"/>
      <c r="CK577" s="27"/>
      <c r="CL577" s="27"/>
      <c r="CM577" s="27"/>
      <c r="CN577" s="27"/>
      <c r="CO577" s="27"/>
      <c r="CP577" s="27"/>
      <c r="CQ577" s="27"/>
      <c r="CR577" s="27"/>
      <c r="CS577" s="27"/>
      <c r="CT577" s="27"/>
      <c r="CU577" s="27"/>
      <c r="CV577" s="27"/>
      <c r="CW577" s="27"/>
      <c r="CX577" s="27"/>
      <c r="CY577" s="27"/>
      <c r="CZ577" s="27"/>
      <c r="DA577" s="27"/>
      <c r="DB577" s="27"/>
      <c r="DC577" s="27"/>
      <c r="DD577" s="27"/>
      <c r="DE577" s="27"/>
      <c r="DF577" s="27"/>
      <c r="DG577" s="27"/>
      <c r="DH577" s="27"/>
      <c r="DI577" s="27"/>
      <c r="DJ577" s="27"/>
      <c r="DK577" s="27"/>
      <c r="DL577" s="27"/>
      <c r="DM577" s="27"/>
      <c r="DN577" s="27"/>
      <c r="DO577" s="27"/>
      <c r="DP577" s="27"/>
      <c r="DQ577" s="27"/>
      <c r="DR577" s="27"/>
      <c r="DS577" s="27"/>
      <c r="DT577" s="27"/>
    </row>
    <row r="578" spans="7:124" x14ac:dyDescent="0.2">
      <c r="G578" s="27"/>
      <c r="H578" s="27"/>
      <c r="I578" s="27"/>
      <c r="J578" s="27"/>
      <c r="K578" s="27"/>
      <c r="L578" s="27"/>
      <c r="M578" s="27"/>
      <c r="N578" s="27"/>
      <c r="O578" s="27"/>
      <c r="P578" s="27"/>
      <c r="Q578" s="27"/>
      <c r="R578" s="27"/>
      <c r="S578" s="27"/>
      <c r="T578" s="27"/>
      <c r="U578" s="27"/>
      <c r="V578" s="27"/>
      <c r="W578" s="27"/>
      <c r="X578" s="27"/>
      <c r="Y578" s="27"/>
      <c r="Z578" s="27"/>
      <c r="AA578" s="27"/>
      <c r="AB578" s="27"/>
      <c r="AC578" s="27"/>
      <c r="AD578" s="27"/>
      <c r="AE578" s="27"/>
      <c r="AF578" s="27"/>
      <c r="AG578" s="27"/>
      <c r="AH578" s="27"/>
      <c r="AI578" s="27"/>
      <c r="AJ578" s="27"/>
      <c r="AK578" s="27"/>
      <c r="AL578" s="27"/>
      <c r="AM578" s="27"/>
      <c r="AN578" s="27"/>
      <c r="AO578" s="27"/>
      <c r="AP578" s="27"/>
      <c r="AQ578" s="27"/>
      <c r="AR578" s="27"/>
      <c r="AS578" s="27"/>
      <c r="AT578" s="27"/>
      <c r="AU578" s="27"/>
      <c r="AV578" s="27"/>
      <c r="AW578" s="27"/>
      <c r="AX578" s="27"/>
      <c r="AY578" s="27"/>
      <c r="AZ578" s="27"/>
      <c r="BA578" s="27"/>
      <c r="BB578" s="27"/>
      <c r="BC578" s="27"/>
      <c r="BD578" s="27"/>
      <c r="BE578" s="27"/>
      <c r="BF578" s="27"/>
      <c r="BG578" s="27"/>
      <c r="BH578" s="27"/>
      <c r="BI578" s="27"/>
      <c r="BJ578" s="27"/>
      <c r="BK578" s="27"/>
      <c r="BL578" s="27"/>
      <c r="BM578" s="27"/>
      <c r="BN578" s="27"/>
      <c r="BO578" s="27"/>
      <c r="BP578" s="27"/>
      <c r="BQ578" s="27"/>
      <c r="BR578" s="27"/>
      <c r="BS578" s="27"/>
      <c r="BT578" s="27"/>
      <c r="BU578" s="27"/>
      <c r="BV578" s="27"/>
      <c r="BW578" s="27"/>
      <c r="BX578" s="27"/>
      <c r="BY578" s="27"/>
      <c r="BZ578" s="27"/>
      <c r="CA578" s="27"/>
      <c r="CB578" s="27"/>
      <c r="CC578" s="27"/>
      <c r="CD578" s="27"/>
      <c r="CE578" s="27"/>
      <c r="CF578" s="27"/>
      <c r="CG578" s="27"/>
      <c r="CH578" s="27"/>
      <c r="CI578" s="27"/>
      <c r="CJ578" s="27"/>
      <c r="CK578" s="27"/>
      <c r="CL578" s="27"/>
      <c r="CM578" s="27"/>
      <c r="CN578" s="27"/>
      <c r="CO578" s="27"/>
      <c r="CP578" s="27"/>
      <c r="CQ578" s="27"/>
      <c r="CR578" s="27"/>
      <c r="CS578" s="27"/>
      <c r="CT578" s="27"/>
      <c r="CU578" s="27"/>
      <c r="CV578" s="27"/>
      <c r="CW578" s="27"/>
      <c r="CX578" s="27"/>
      <c r="CY578" s="27"/>
      <c r="CZ578" s="27"/>
      <c r="DA578" s="27"/>
      <c r="DB578" s="27"/>
      <c r="DC578" s="27"/>
      <c r="DD578" s="27"/>
      <c r="DE578" s="27"/>
      <c r="DF578" s="27"/>
      <c r="DG578" s="27"/>
      <c r="DH578" s="27"/>
      <c r="DI578" s="27"/>
      <c r="DJ578" s="27"/>
      <c r="DK578" s="27"/>
      <c r="DL578" s="27"/>
      <c r="DM578" s="27"/>
      <c r="DN578" s="27"/>
      <c r="DO578" s="27"/>
      <c r="DP578" s="27"/>
      <c r="DQ578" s="27"/>
      <c r="DR578" s="27"/>
      <c r="DS578" s="27"/>
      <c r="DT578" s="27"/>
    </row>
    <row r="579" spans="7:124" x14ac:dyDescent="0.2">
      <c r="G579" s="27"/>
      <c r="H579" s="27"/>
      <c r="I579" s="27"/>
      <c r="J579" s="27"/>
      <c r="K579" s="27"/>
      <c r="L579" s="27"/>
      <c r="M579" s="27"/>
      <c r="N579" s="27"/>
      <c r="O579" s="27"/>
      <c r="P579" s="27"/>
      <c r="Q579" s="27"/>
      <c r="R579" s="27"/>
      <c r="S579" s="27"/>
      <c r="T579" s="27"/>
      <c r="U579" s="27"/>
      <c r="V579" s="27"/>
      <c r="W579" s="27"/>
      <c r="X579" s="27"/>
      <c r="Y579" s="27"/>
      <c r="Z579" s="27"/>
      <c r="AA579" s="27"/>
      <c r="AB579" s="27"/>
      <c r="AC579" s="27"/>
      <c r="AD579" s="27"/>
      <c r="AE579" s="27"/>
      <c r="AF579" s="27"/>
      <c r="AG579" s="27"/>
      <c r="AH579" s="27"/>
      <c r="AI579" s="27"/>
      <c r="AJ579" s="27"/>
      <c r="AK579" s="27"/>
      <c r="AL579" s="27"/>
      <c r="AM579" s="27"/>
      <c r="AN579" s="27"/>
      <c r="AO579" s="27"/>
      <c r="AP579" s="27"/>
      <c r="AQ579" s="27"/>
      <c r="AR579" s="27"/>
      <c r="AS579" s="27"/>
      <c r="AT579" s="27"/>
      <c r="AU579" s="27"/>
      <c r="AV579" s="27"/>
      <c r="AW579" s="27"/>
      <c r="AX579" s="27"/>
      <c r="AY579" s="27"/>
      <c r="AZ579" s="27"/>
      <c r="BA579" s="27"/>
      <c r="BB579" s="27"/>
      <c r="BC579" s="27"/>
      <c r="BD579" s="27"/>
      <c r="BE579" s="27"/>
      <c r="BF579" s="27"/>
      <c r="BG579" s="27"/>
      <c r="BH579" s="27"/>
      <c r="BI579" s="27"/>
      <c r="BJ579" s="27"/>
      <c r="BK579" s="27"/>
      <c r="BL579" s="27"/>
      <c r="BM579" s="27"/>
      <c r="BN579" s="27"/>
      <c r="BO579" s="27"/>
      <c r="BP579" s="27"/>
      <c r="BQ579" s="27"/>
      <c r="BR579" s="27"/>
      <c r="BS579" s="27"/>
      <c r="BT579" s="27"/>
      <c r="BU579" s="27"/>
      <c r="BV579" s="27"/>
      <c r="BW579" s="27"/>
      <c r="BX579" s="27"/>
      <c r="BY579" s="27"/>
      <c r="BZ579" s="27"/>
      <c r="CA579" s="27"/>
      <c r="CB579" s="27"/>
      <c r="CC579" s="27"/>
      <c r="CD579" s="27"/>
      <c r="CE579" s="27"/>
      <c r="CF579" s="27"/>
      <c r="CG579" s="27"/>
      <c r="CH579" s="27"/>
      <c r="CI579" s="27"/>
      <c r="CJ579" s="27"/>
      <c r="CK579" s="27"/>
      <c r="CL579" s="27"/>
      <c r="CM579" s="27"/>
      <c r="CN579" s="27"/>
      <c r="CO579" s="27"/>
      <c r="CP579" s="27"/>
      <c r="CQ579" s="27"/>
      <c r="CR579" s="27"/>
      <c r="CS579" s="27"/>
      <c r="CT579" s="27"/>
      <c r="CU579" s="27"/>
      <c r="CV579" s="27"/>
      <c r="CW579" s="27"/>
      <c r="CX579" s="27"/>
      <c r="CY579" s="27"/>
      <c r="CZ579" s="27"/>
      <c r="DA579" s="27"/>
      <c r="DB579" s="27"/>
      <c r="DC579" s="27"/>
      <c r="DD579" s="27"/>
      <c r="DE579" s="27"/>
      <c r="DF579" s="27"/>
      <c r="DG579" s="27"/>
      <c r="DH579" s="27"/>
      <c r="DI579" s="27"/>
      <c r="DJ579" s="27"/>
      <c r="DK579" s="27"/>
      <c r="DL579" s="27"/>
      <c r="DM579" s="27"/>
      <c r="DN579" s="27"/>
      <c r="DO579" s="27"/>
      <c r="DP579" s="27"/>
      <c r="DQ579" s="27"/>
      <c r="DR579" s="27"/>
      <c r="DS579" s="27"/>
      <c r="DT579" s="27"/>
    </row>
    <row r="580" spans="7:124" x14ac:dyDescent="0.2">
      <c r="G580" s="27"/>
      <c r="H580" s="27"/>
      <c r="I580" s="27"/>
      <c r="J580" s="27"/>
      <c r="K580" s="27"/>
      <c r="L580" s="27"/>
      <c r="M580" s="27"/>
      <c r="N580" s="27"/>
      <c r="O580" s="27"/>
      <c r="P580" s="27"/>
      <c r="Q580" s="27"/>
      <c r="R580" s="27"/>
      <c r="S580" s="27"/>
      <c r="T580" s="27"/>
      <c r="U580" s="27"/>
      <c r="V580" s="27"/>
      <c r="W580" s="27"/>
      <c r="X580" s="27"/>
      <c r="Y580" s="27"/>
      <c r="Z580" s="27"/>
      <c r="AA580" s="27"/>
      <c r="AB580" s="27"/>
      <c r="AC580" s="27"/>
      <c r="AD580" s="27"/>
      <c r="AE580" s="27"/>
      <c r="AF580" s="27"/>
      <c r="AG580" s="27"/>
      <c r="AH580" s="27"/>
      <c r="AI580" s="27"/>
      <c r="AJ580" s="27"/>
      <c r="AK580" s="27"/>
      <c r="AL580" s="27"/>
      <c r="AM580" s="27"/>
      <c r="AN580" s="27"/>
      <c r="AO580" s="27"/>
      <c r="AP580" s="27"/>
      <c r="AQ580" s="27"/>
      <c r="AR580" s="27"/>
      <c r="AS580" s="27"/>
      <c r="AT580" s="27"/>
      <c r="AU580" s="27"/>
      <c r="AV580" s="27"/>
      <c r="AW580" s="27"/>
      <c r="AX580" s="27"/>
      <c r="AY580" s="27"/>
      <c r="AZ580" s="27"/>
      <c r="BA580" s="27"/>
      <c r="BB580" s="27"/>
      <c r="BC580" s="27"/>
      <c r="BD580" s="27"/>
      <c r="BE580" s="27"/>
      <c r="BF580" s="27"/>
      <c r="BG580" s="27"/>
      <c r="BH580" s="27"/>
      <c r="BI580" s="27"/>
      <c r="BJ580" s="27"/>
      <c r="BK580" s="27"/>
      <c r="BL580" s="27"/>
      <c r="BM580" s="27"/>
      <c r="BN580" s="27"/>
      <c r="BO580" s="27"/>
      <c r="BP580" s="27"/>
      <c r="BQ580" s="27"/>
      <c r="BR580" s="27"/>
      <c r="BS580" s="27"/>
      <c r="BT580" s="27"/>
      <c r="BU580" s="27"/>
      <c r="BV580" s="27"/>
      <c r="BW580" s="27"/>
      <c r="BX580" s="27"/>
      <c r="BY580" s="27"/>
      <c r="BZ580" s="27"/>
      <c r="CA580" s="27"/>
      <c r="CB580" s="27"/>
      <c r="CC580" s="27"/>
      <c r="CD580" s="27"/>
      <c r="CE580" s="27"/>
      <c r="CF580" s="27"/>
      <c r="CG580" s="27"/>
      <c r="CH580" s="27"/>
      <c r="CI580" s="27"/>
      <c r="CJ580" s="27"/>
      <c r="CK580" s="27"/>
      <c r="CL580" s="27"/>
      <c r="CM580" s="27"/>
      <c r="CN580" s="27"/>
      <c r="CO580" s="27"/>
      <c r="CP580" s="27"/>
      <c r="CQ580" s="27"/>
      <c r="CR580" s="27"/>
      <c r="CS580" s="27"/>
      <c r="CT580" s="27"/>
      <c r="CU580" s="27"/>
      <c r="CV580" s="27"/>
      <c r="CW580" s="27"/>
      <c r="CX580" s="27"/>
      <c r="CY580" s="27"/>
      <c r="CZ580" s="27"/>
      <c r="DA580" s="27"/>
      <c r="DB580" s="27"/>
      <c r="DC580" s="27"/>
      <c r="DD580" s="27"/>
      <c r="DE580" s="27"/>
      <c r="DF580" s="27"/>
      <c r="DG580" s="27"/>
      <c r="DH580" s="27"/>
      <c r="DI580" s="27"/>
      <c r="DJ580" s="27"/>
      <c r="DK580" s="27"/>
      <c r="DL580" s="27"/>
      <c r="DM580" s="27"/>
      <c r="DN580" s="27"/>
      <c r="DO580" s="27"/>
      <c r="DP580" s="27"/>
      <c r="DQ580" s="27"/>
      <c r="DR580" s="27"/>
      <c r="DS580" s="27"/>
      <c r="DT580" s="27"/>
    </row>
    <row r="581" spans="7:124" x14ac:dyDescent="0.2">
      <c r="G581" s="27"/>
      <c r="H581" s="27"/>
      <c r="I581" s="27"/>
      <c r="J581" s="27"/>
      <c r="K581" s="27"/>
      <c r="L581" s="27"/>
      <c r="M581" s="27"/>
      <c r="N581" s="27"/>
      <c r="O581" s="27"/>
      <c r="P581" s="27"/>
      <c r="Q581" s="27"/>
      <c r="R581" s="27"/>
      <c r="S581" s="27"/>
      <c r="T581" s="27"/>
      <c r="U581" s="27"/>
      <c r="V581" s="27"/>
      <c r="W581" s="27"/>
      <c r="X581" s="27"/>
      <c r="Y581" s="27"/>
      <c r="Z581" s="27"/>
      <c r="AA581" s="27"/>
      <c r="AB581" s="27"/>
      <c r="AC581" s="27"/>
      <c r="AD581" s="27"/>
      <c r="AE581" s="27"/>
      <c r="AF581" s="27"/>
      <c r="AG581" s="27"/>
      <c r="AH581" s="27"/>
      <c r="AI581" s="27"/>
      <c r="AJ581" s="27"/>
      <c r="AK581" s="27"/>
      <c r="AL581" s="27"/>
      <c r="AM581" s="27"/>
      <c r="AN581" s="27"/>
      <c r="AO581" s="27"/>
      <c r="AP581" s="27"/>
      <c r="AQ581" s="27"/>
      <c r="AR581" s="27"/>
      <c r="AS581" s="27"/>
      <c r="AT581" s="27"/>
      <c r="AU581" s="27"/>
      <c r="AV581" s="27"/>
      <c r="AW581" s="27"/>
      <c r="AX581" s="27"/>
      <c r="AY581" s="27"/>
      <c r="AZ581" s="27"/>
      <c r="BA581" s="27"/>
      <c r="BB581" s="27"/>
      <c r="BC581" s="27"/>
      <c r="BD581" s="27"/>
      <c r="BE581" s="27"/>
      <c r="BF581" s="27"/>
      <c r="BG581" s="27"/>
      <c r="BH581" s="27"/>
      <c r="BI581" s="27"/>
      <c r="BJ581" s="27"/>
      <c r="BK581" s="27"/>
      <c r="BL581" s="27"/>
      <c r="BM581" s="27"/>
      <c r="BN581" s="27"/>
      <c r="BO581" s="27"/>
      <c r="BP581" s="27"/>
      <c r="BQ581" s="27"/>
      <c r="BR581" s="27"/>
      <c r="BS581" s="27"/>
      <c r="BT581" s="27"/>
      <c r="BU581" s="27"/>
      <c r="BV581" s="27"/>
      <c r="BW581" s="27"/>
      <c r="BX581" s="27"/>
      <c r="BY581" s="27"/>
      <c r="BZ581" s="27"/>
      <c r="CA581" s="27"/>
      <c r="CB581" s="27"/>
      <c r="CC581" s="27"/>
      <c r="CD581" s="27"/>
      <c r="CE581" s="27"/>
      <c r="CF581" s="27"/>
      <c r="CG581" s="27"/>
      <c r="CH581" s="27"/>
      <c r="CI581" s="27"/>
      <c r="CJ581" s="27"/>
      <c r="CK581" s="27"/>
      <c r="CL581" s="27"/>
      <c r="CM581" s="27"/>
      <c r="CN581" s="27"/>
      <c r="CO581" s="27"/>
      <c r="CP581" s="27"/>
      <c r="CQ581" s="27"/>
      <c r="CR581" s="27"/>
      <c r="CS581" s="27"/>
      <c r="CT581" s="27"/>
      <c r="CU581" s="27"/>
      <c r="CV581" s="27"/>
      <c r="CW581" s="27"/>
      <c r="CX581" s="27"/>
      <c r="CY581" s="27"/>
      <c r="CZ581" s="27"/>
      <c r="DA581" s="27"/>
      <c r="DB581" s="27"/>
      <c r="DC581" s="27"/>
      <c r="DD581" s="27"/>
      <c r="DE581" s="27"/>
      <c r="DF581" s="27"/>
      <c r="DG581" s="27"/>
      <c r="DH581" s="27"/>
      <c r="DI581" s="27"/>
      <c r="DJ581" s="27"/>
      <c r="DK581" s="27"/>
      <c r="DL581" s="27"/>
      <c r="DM581" s="27"/>
      <c r="DN581" s="27"/>
      <c r="DO581" s="27"/>
      <c r="DP581" s="27"/>
      <c r="DQ581" s="27"/>
      <c r="DR581" s="27"/>
      <c r="DS581" s="27"/>
      <c r="DT581" s="27"/>
    </row>
    <row r="582" spans="7:124" x14ac:dyDescent="0.2">
      <c r="G582" s="27"/>
      <c r="H582" s="27"/>
      <c r="I582" s="27"/>
      <c r="J582" s="27"/>
      <c r="K582" s="27"/>
      <c r="L582" s="27"/>
      <c r="M582" s="27"/>
      <c r="N582" s="27"/>
      <c r="O582" s="27"/>
      <c r="P582" s="27"/>
      <c r="Q582" s="27"/>
      <c r="R582" s="27"/>
      <c r="S582" s="27"/>
      <c r="T582" s="27"/>
      <c r="U582" s="27"/>
      <c r="V582" s="27"/>
      <c r="W582" s="27"/>
      <c r="X582" s="27"/>
      <c r="Y582" s="27"/>
      <c r="Z582" s="27"/>
      <c r="AA582" s="27"/>
      <c r="AB582" s="27"/>
      <c r="AC582" s="27"/>
      <c r="AD582" s="27"/>
      <c r="AE582" s="27"/>
      <c r="AF582" s="27"/>
      <c r="AG582" s="27"/>
      <c r="AH582" s="27"/>
      <c r="AI582" s="27"/>
      <c r="AJ582" s="27"/>
      <c r="AK582" s="27"/>
      <c r="AL582" s="27"/>
      <c r="AM582" s="27"/>
      <c r="AN582" s="27"/>
      <c r="AO582" s="27"/>
      <c r="AP582" s="27"/>
      <c r="AQ582" s="27"/>
      <c r="AR582" s="27"/>
      <c r="AS582" s="27"/>
      <c r="AT582" s="27"/>
      <c r="AU582" s="27"/>
      <c r="AV582" s="27"/>
      <c r="AW582" s="27"/>
      <c r="AX582" s="27"/>
      <c r="AY582" s="27"/>
      <c r="AZ582" s="27"/>
      <c r="BA582" s="27"/>
      <c r="BB582" s="27"/>
      <c r="BC582" s="27"/>
      <c r="BD582" s="27"/>
      <c r="BE582" s="27"/>
      <c r="BF582" s="27"/>
      <c r="BG582" s="27"/>
      <c r="BH582" s="27"/>
      <c r="BI582" s="27"/>
      <c r="BJ582" s="27"/>
      <c r="BK582" s="27"/>
      <c r="BL582" s="27"/>
      <c r="BM582" s="27"/>
      <c r="BN582" s="27"/>
      <c r="BO582" s="27"/>
      <c r="BP582" s="27"/>
      <c r="BQ582" s="27"/>
      <c r="BR582" s="27"/>
      <c r="BS582" s="27"/>
      <c r="BT582" s="27"/>
      <c r="BU582" s="27"/>
      <c r="BV582" s="27"/>
      <c r="BW582" s="27"/>
      <c r="BX582" s="27"/>
      <c r="BY582" s="27"/>
      <c r="BZ582" s="27"/>
      <c r="CA582" s="27"/>
      <c r="CB582" s="27"/>
      <c r="CC582" s="27"/>
      <c r="CD582" s="27"/>
      <c r="CE582" s="27"/>
      <c r="CF582" s="27"/>
      <c r="CG582" s="27"/>
      <c r="CH582" s="27"/>
      <c r="CI582" s="27"/>
      <c r="CJ582" s="27"/>
      <c r="CK582" s="27"/>
      <c r="CL582" s="27"/>
      <c r="CM582" s="27"/>
      <c r="CN582" s="27"/>
      <c r="CO582" s="27"/>
      <c r="CP582" s="27"/>
      <c r="CQ582" s="27"/>
      <c r="CR582" s="27"/>
      <c r="CS582" s="27"/>
      <c r="CT582" s="27"/>
      <c r="CU582" s="27"/>
      <c r="CV582" s="27"/>
      <c r="CW582" s="27"/>
      <c r="CX582" s="27"/>
      <c r="CY582" s="27"/>
      <c r="CZ582" s="27"/>
      <c r="DA582" s="27"/>
      <c r="DB582" s="27"/>
      <c r="DC582" s="27"/>
      <c r="DD582" s="27"/>
      <c r="DE582" s="27"/>
      <c r="DF582" s="27"/>
      <c r="DG582" s="27"/>
      <c r="DH582" s="27"/>
      <c r="DI582" s="27"/>
      <c r="DJ582" s="27"/>
      <c r="DK582" s="27"/>
      <c r="DL582" s="27"/>
      <c r="DM582" s="27"/>
      <c r="DN582" s="27"/>
      <c r="DO582" s="27"/>
      <c r="DP582" s="27"/>
      <c r="DQ582" s="27"/>
      <c r="DR582" s="27"/>
      <c r="DS582" s="27"/>
      <c r="DT582" s="27"/>
    </row>
    <row r="583" spans="7:124" x14ac:dyDescent="0.2">
      <c r="G583" s="27"/>
      <c r="H583" s="27"/>
      <c r="I583" s="27"/>
      <c r="J583" s="27"/>
      <c r="K583" s="27"/>
      <c r="L583" s="27"/>
      <c r="M583" s="27"/>
      <c r="N583" s="27"/>
      <c r="O583" s="27"/>
      <c r="P583" s="27"/>
      <c r="Q583" s="27"/>
      <c r="R583" s="27"/>
      <c r="S583" s="27"/>
      <c r="T583" s="27"/>
      <c r="U583" s="27"/>
      <c r="V583" s="27"/>
      <c r="W583" s="27"/>
      <c r="X583" s="27"/>
      <c r="Y583" s="27"/>
      <c r="Z583" s="27"/>
      <c r="AA583" s="27"/>
      <c r="AB583" s="27"/>
      <c r="AC583" s="27"/>
      <c r="AD583" s="27"/>
      <c r="AE583" s="27"/>
      <c r="AF583" s="27"/>
      <c r="AG583" s="27"/>
      <c r="AH583" s="27"/>
      <c r="AI583" s="27"/>
      <c r="AJ583" s="27"/>
      <c r="AK583" s="27"/>
      <c r="AL583" s="27"/>
      <c r="AM583" s="27"/>
      <c r="AN583" s="27"/>
      <c r="AO583" s="27"/>
      <c r="AP583" s="27"/>
      <c r="AQ583" s="27"/>
      <c r="AR583" s="27"/>
      <c r="AS583" s="27"/>
      <c r="AT583" s="27"/>
      <c r="AU583" s="27"/>
      <c r="AV583" s="27"/>
      <c r="AW583" s="27"/>
      <c r="AX583" s="27"/>
      <c r="AY583" s="27"/>
      <c r="AZ583" s="27"/>
      <c r="BA583" s="27"/>
      <c r="BB583" s="27"/>
      <c r="BC583" s="27"/>
      <c r="BD583" s="27"/>
      <c r="BE583" s="27"/>
      <c r="BF583" s="27"/>
      <c r="BG583" s="27"/>
      <c r="BH583" s="27"/>
      <c r="BI583" s="27"/>
      <c r="BJ583" s="27"/>
      <c r="BK583" s="27"/>
      <c r="BL583" s="27"/>
      <c r="BM583" s="27"/>
      <c r="BN583" s="27"/>
      <c r="BO583" s="27"/>
      <c r="BP583" s="27"/>
      <c r="BQ583" s="27"/>
      <c r="BR583" s="27"/>
      <c r="BS583" s="27"/>
      <c r="BT583" s="27"/>
      <c r="BU583" s="27"/>
      <c r="BV583" s="27"/>
      <c r="BW583" s="27"/>
      <c r="BX583" s="27"/>
      <c r="BY583" s="27"/>
      <c r="BZ583" s="27"/>
      <c r="CA583" s="27"/>
      <c r="CB583" s="27"/>
      <c r="CC583" s="27"/>
      <c r="CD583" s="27"/>
      <c r="CE583" s="27"/>
      <c r="CF583" s="27"/>
      <c r="CG583" s="27"/>
      <c r="CH583" s="27"/>
      <c r="CI583" s="27"/>
      <c r="CJ583" s="27"/>
      <c r="CK583" s="27"/>
      <c r="CL583" s="27"/>
      <c r="CM583" s="27"/>
      <c r="CN583" s="27"/>
      <c r="CO583" s="27"/>
      <c r="CP583" s="27"/>
      <c r="CQ583" s="27"/>
      <c r="CR583" s="27"/>
      <c r="CS583" s="27"/>
      <c r="CT583" s="27"/>
      <c r="CU583" s="27"/>
      <c r="CV583" s="27"/>
      <c r="CW583" s="27"/>
      <c r="CX583" s="27"/>
      <c r="CY583" s="27"/>
      <c r="CZ583" s="27"/>
      <c r="DA583" s="27"/>
      <c r="DB583" s="27"/>
      <c r="DC583" s="27"/>
      <c r="DD583" s="27"/>
      <c r="DE583" s="27"/>
      <c r="DF583" s="27"/>
      <c r="DG583" s="27"/>
      <c r="DH583" s="27"/>
      <c r="DI583" s="27"/>
      <c r="DJ583" s="27"/>
      <c r="DK583" s="27"/>
      <c r="DL583" s="27"/>
      <c r="DM583" s="27"/>
      <c r="DN583" s="27"/>
      <c r="DO583" s="27"/>
      <c r="DP583" s="27"/>
      <c r="DQ583" s="27"/>
      <c r="DR583" s="27"/>
      <c r="DS583" s="27"/>
      <c r="DT583" s="27"/>
    </row>
    <row r="584" spans="7:124" x14ac:dyDescent="0.2">
      <c r="G584" s="27"/>
      <c r="H584" s="27"/>
      <c r="I584" s="27"/>
      <c r="J584" s="27"/>
      <c r="K584" s="27"/>
      <c r="L584" s="27"/>
      <c r="M584" s="27"/>
      <c r="N584" s="27"/>
      <c r="O584" s="27"/>
      <c r="P584" s="27"/>
      <c r="Q584" s="27"/>
      <c r="R584" s="27"/>
      <c r="S584" s="27"/>
      <c r="T584" s="27"/>
      <c r="U584" s="27"/>
      <c r="V584" s="27"/>
      <c r="W584" s="27"/>
      <c r="X584" s="27"/>
      <c r="Y584" s="27"/>
      <c r="Z584" s="27"/>
      <c r="AA584" s="27"/>
      <c r="AB584" s="27"/>
      <c r="AC584" s="27"/>
      <c r="AD584" s="27"/>
      <c r="AE584" s="27"/>
      <c r="AF584" s="27"/>
      <c r="AG584" s="27"/>
      <c r="AH584" s="27"/>
      <c r="AI584" s="27"/>
      <c r="AJ584" s="27"/>
      <c r="AK584" s="27"/>
      <c r="AL584" s="27"/>
      <c r="AM584" s="27"/>
      <c r="AN584" s="27"/>
      <c r="AO584" s="27"/>
      <c r="AP584" s="27"/>
      <c r="AQ584" s="27"/>
      <c r="AR584" s="27"/>
      <c r="AS584" s="27"/>
      <c r="AT584" s="27"/>
      <c r="AU584" s="27"/>
      <c r="AV584" s="27"/>
      <c r="AW584" s="27"/>
      <c r="AX584" s="27"/>
      <c r="AY584" s="27"/>
      <c r="AZ584" s="27"/>
      <c r="BA584" s="27"/>
      <c r="BB584" s="27"/>
      <c r="BC584" s="27"/>
      <c r="BD584" s="27"/>
      <c r="BE584" s="27"/>
      <c r="BF584" s="27"/>
      <c r="BG584" s="27"/>
      <c r="BH584" s="27"/>
      <c r="BI584" s="27"/>
      <c r="BJ584" s="27"/>
      <c r="BK584" s="27"/>
      <c r="BL584" s="27"/>
      <c r="BM584" s="27"/>
      <c r="BN584" s="27"/>
      <c r="BO584" s="27"/>
      <c r="BP584" s="27"/>
      <c r="BQ584" s="27"/>
      <c r="BR584" s="27"/>
      <c r="BS584" s="27"/>
      <c r="BT584" s="27"/>
      <c r="BU584" s="27"/>
      <c r="BV584" s="27"/>
      <c r="BW584" s="27"/>
      <c r="BX584" s="27"/>
      <c r="BY584" s="27"/>
      <c r="BZ584" s="27"/>
      <c r="CA584" s="27"/>
      <c r="CB584" s="27"/>
      <c r="CC584" s="27"/>
      <c r="CD584" s="27"/>
      <c r="CE584" s="27"/>
      <c r="CF584" s="27"/>
      <c r="CG584" s="27"/>
      <c r="CH584" s="27"/>
      <c r="CI584" s="27"/>
      <c r="CJ584" s="27"/>
      <c r="CK584" s="27"/>
      <c r="CL584" s="27"/>
      <c r="CM584" s="27"/>
      <c r="CN584" s="27"/>
      <c r="CO584" s="27"/>
      <c r="CP584" s="27"/>
      <c r="CQ584" s="27"/>
      <c r="CR584" s="27"/>
      <c r="CS584" s="27"/>
      <c r="CT584" s="27"/>
      <c r="CU584" s="27"/>
      <c r="CV584" s="27"/>
      <c r="CW584" s="27"/>
      <c r="CX584" s="27"/>
      <c r="CY584" s="27"/>
      <c r="CZ584" s="27"/>
      <c r="DA584" s="27"/>
      <c r="DB584" s="27"/>
      <c r="DC584" s="27"/>
      <c r="DD584" s="27"/>
      <c r="DE584" s="27"/>
      <c r="DF584" s="27"/>
      <c r="DG584" s="27"/>
      <c r="DH584" s="27"/>
      <c r="DI584" s="27"/>
      <c r="DJ584" s="27"/>
      <c r="DK584" s="27"/>
      <c r="DL584" s="27"/>
      <c r="DM584" s="27"/>
      <c r="DN584" s="27"/>
      <c r="DO584" s="27"/>
      <c r="DP584" s="27"/>
      <c r="DQ584" s="27"/>
      <c r="DR584" s="27"/>
      <c r="DS584" s="27"/>
      <c r="DT584" s="27"/>
    </row>
    <row r="585" spans="7:124" x14ac:dyDescent="0.2">
      <c r="G585" s="27"/>
      <c r="H585" s="27"/>
      <c r="I585" s="27"/>
      <c r="J585" s="27"/>
      <c r="K585" s="27"/>
      <c r="L585" s="27"/>
      <c r="M585" s="27"/>
      <c r="N585" s="27"/>
      <c r="O585" s="27"/>
      <c r="P585" s="27"/>
      <c r="Q585" s="27"/>
      <c r="R585" s="27"/>
      <c r="S585" s="27"/>
      <c r="T585" s="27"/>
      <c r="U585" s="27"/>
      <c r="V585" s="27"/>
      <c r="W585" s="27"/>
      <c r="X585" s="27"/>
      <c r="Y585" s="27"/>
      <c r="Z585" s="27"/>
      <c r="AA585" s="27"/>
      <c r="AB585" s="27"/>
      <c r="AC585" s="27"/>
      <c r="AD585" s="27"/>
      <c r="AE585" s="27"/>
      <c r="AF585" s="27"/>
      <c r="AG585" s="27"/>
      <c r="AH585" s="27"/>
      <c r="AI585" s="27"/>
      <c r="AJ585" s="27"/>
      <c r="AK585" s="27"/>
      <c r="AL585" s="27"/>
      <c r="AM585" s="27"/>
      <c r="AN585" s="27"/>
      <c r="AO585" s="27"/>
      <c r="AP585" s="27"/>
      <c r="AQ585" s="27"/>
      <c r="AR585" s="27"/>
      <c r="AS585" s="27"/>
      <c r="AT585" s="27"/>
      <c r="AU585" s="27"/>
      <c r="AV585" s="27"/>
      <c r="AW585" s="27"/>
      <c r="AX585" s="27"/>
      <c r="AY585" s="27"/>
      <c r="AZ585" s="27"/>
      <c r="BA585" s="27"/>
      <c r="BB585" s="27"/>
      <c r="BC585" s="27"/>
      <c r="BD585" s="27"/>
      <c r="BE585" s="27"/>
      <c r="BF585" s="27"/>
      <c r="BG585" s="27"/>
      <c r="BH585" s="27"/>
      <c r="BI585" s="27"/>
      <c r="BJ585" s="27"/>
      <c r="BK585" s="27"/>
      <c r="BL585" s="27"/>
      <c r="BM585" s="27"/>
      <c r="BN585" s="27"/>
      <c r="BO585" s="27"/>
      <c r="BP585" s="27"/>
      <c r="BQ585" s="27"/>
      <c r="BR585" s="27"/>
      <c r="BS585" s="27"/>
      <c r="BT585" s="27"/>
      <c r="BU585" s="27"/>
      <c r="BV585" s="27"/>
      <c r="BW585" s="27"/>
      <c r="BX585" s="27"/>
      <c r="BY585" s="27"/>
      <c r="BZ585" s="27"/>
      <c r="CA585" s="27"/>
      <c r="CB585" s="27"/>
      <c r="CC585" s="27"/>
      <c r="CD585" s="27"/>
      <c r="CE585" s="27"/>
      <c r="CF585" s="27"/>
      <c r="CG585" s="27"/>
      <c r="CH585" s="27"/>
      <c r="CI585" s="27"/>
      <c r="CJ585" s="27"/>
      <c r="CK585" s="27"/>
      <c r="CL585" s="27"/>
      <c r="CM585" s="27"/>
      <c r="CN585" s="27"/>
      <c r="CO585" s="27"/>
      <c r="CP585" s="27"/>
      <c r="CQ585" s="27"/>
      <c r="CR585" s="27"/>
      <c r="CS585" s="27"/>
      <c r="CT585" s="27"/>
      <c r="CU585" s="27"/>
      <c r="CV585" s="27"/>
      <c r="CW585" s="27"/>
      <c r="CX585" s="27"/>
      <c r="CY585" s="27"/>
      <c r="CZ585" s="27"/>
      <c r="DA585" s="27"/>
      <c r="DB585" s="27"/>
      <c r="DC585" s="27"/>
      <c r="DD585" s="27"/>
      <c r="DE585" s="27"/>
      <c r="DF585" s="27"/>
      <c r="DG585" s="27"/>
      <c r="DH585" s="27"/>
      <c r="DI585" s="27"/>
      <c r="DJ585" s="27"/>
      <c r="DK585" s="27"/>
      <c r="DL585" s="27"/>
      <c r="DM585" s="27"/>
      <c r="DN585" s="27"/>
      <c r="DO585" s="27"/>
      <c r="DP585" s="27"/>
      <c r="DQ585" s="27"/>
      <c r="DR585" s="27"/>
      <c r="DS585" s="27"/>
      <c r="DT585" s="27"/>
    </row>
    <row r="586" spans="7:124" x14ac:dyDescent="0.2">
      <c r="G586" s="27"/>
      <c r="H586" s="27"/>
      <c r="I586" s="27"/>
      <c r="J586" s="27"/>
      <c r="K586" s="27"/>
      <c r="L586" s="27"/>
      <c r="M586" s="27"/>
      <c r="N586" s="27"/>
      <c r="O586" s="27"/>
      <c r="P586" s="27"/>
      <c r="Q586" s="27"/>
      <c r="R586" s="27"/>
      <c r="S586" s="27"/>
      <c r="T586" s="27"/>
      <c r="U586" s="27"/>
      <c r="V586" s="27"/>
      <c r="W586" s="27"/>
      <c r="X586" s="27"/>
      <c r="Y586" s="27"/>
      <c r="Z586" s="27"/>
      <c r="AA586" s="27"/>
      <c r="AB586" s="27"/>
      <c r="AC586" s="27"/>
      <c r="AD586" s="27"/>
      <c r="AE586" s="27"/>
      <c r="AF586" s="27"/>
      <c r="AG586" s="27"/>
      <c r="AH586" s="27"/>
      <c r="AI586" s="27"/>
      <c r="AJ586" s="27"/>
      <c r="AK586" s="27"/>
      <c r="AL586" s="27"/>
      <c r="AM586" s="27"/>
      <c r="AN586" s="27"/>
      <c r="AO586" s="27"/>
      <c r="AP586" s="27"/>
      <c r="AQ586" s="27"/>
      <c r="AR586" s="27"/>
      <c r="AS586" s="27"/>
      <c r="AT586" s="27"/>
      <c r="AU586" s="27"/>
      <c r="AV586" s="27"/>
      <c r="AW586" s="27"/>
      <c r="AX586" s="27"/>
      <c r="AY586" s="27"/>
      <c r="AZ586" s="27"/>
      <c r="BA586" s="27"/>
      <c r="BB586" s="27"/>
      <c r="BC586" s="27"/>
      <c r="BD586" s="27"/>
      <c r="BE586" s="27"/>
      <c r="BF586" s="27"/>
      <c r="BG586" s="27"/>
      <c r="BH586" s="27"/>
      <c r="BI586" s="27"/>
      <c r="BJ586" s="27"/>
      <c r="BK586" s="27"/>
      <c r="BL586" s="27"/>
      <c r="BM586" s="27"/>
      <c r="BN586" s="27"/>
      <c r="BO586" s="27"/>
      <c r="BP586" s="27"/>
      <c r="BQ586" s="27"/>
      <c r="BR586" s="27"/>
      <c r="BS586" s="27"/>
      <c r="BT586" s="27"/>
      <c r="BU586" s="27"/>
      <c r="BV586" s="27"/>
      <c r="BW586" s="27"/>
      <c r="BX586" s="27"/>
      <c r="BY586" s="27"/>
      <c r="BZ586" s="27"/>
      <c r="CA586" s="27"/>
      <c r="CB586" s="27"/>
      <c r="CC586" s="27"/>
      <c r="CD586" s="27"/>
      <c r="CE586" s="27"/>
      <c r="CF586" s="27"/>
      <c r="CG586" s="27"/>
      <c r="CH586" s="27"/>
      <c r="CI586" s="27"/>
      <c r="CJ586" s="27"/>
      <c r="CK586" s="27"/>
      <c r="CL586" s="27"/>
      <c r="CM586" s="27"/>
      <c r="CN586" s="27"/>
      <c r="CO586" s="27"/>
      <c r="CP586" s="27"/>
      <c r="CQ586" s="27"/>
      <c r="CR586" s="27"/>
      <c r="CS586" s="27"/>
      <c r="CT586" s="27"/>
      <c r="CU586" s="27"/>
      <c r="CV586" s="27"/>
      <c r="CW586" s="27"/>
      <c r="CX586" s="27"/>
      <c r="CY586" s="27"/>
      <c r="CZ586" s="27"/>
      <c r="DA586" s="27"/>
      <c r="DB586" s="27"/>
      <c r="DC586" s="27"/>
      <c r="DD586" s="27"/>
      <c r="DE586" s="27"/>
      <c r="DF586" s="27"/>
      <c r="DG586" s="27"/>
      <c r="DH586" s="27"/>
      <c r="DI586" s="27"/>
      <c r="DJ586" s="27"/>
      <c r="DK586" s="27"/>
      <c r="DL586" s="27"/>
      <c r="DM586" s="27"/>
      <c r="DN586" s="27"/>
      <c r="DO586" s="27"/>
      <c r="DP586" s="27"/>
      <c r="DQ586" s="27"/>
      <c r="DR586" s="27"/>
      <c r="DS586" s="27"/>
      <c r="DT586" s="27"/>
    </row>
    <row r="587" spans="7:124" x14ac:dyDescent="0.2">
      <c r="G587" s="27"/>
      <c r="H587" s="27"/>
      <c r="I587" s="27"/>
      <c r="J587" s="27"/>
      <c r="K587" s="27"/>
      <c r="L587" s="27"/>
      <c r="M587" s="27"/>
      <c r="N587" s="27"/>
      <c r="O587" s="27"/>
      <c r="P587" s="27"/>
      <c r="Q587" s="27"/>
      <c r="R587" s="27"/>
      <c r="S587" s="27"/>
      <c r="T587" s="27"/>
      <c r="U587" s="27"/>
      <c r="V587" s="27"/>
      <c r="W587" s="27"/>
      <c r="X587" s="27"/>
      <c r="Y587" s="27"/>
      <c r="Z587" s="27"/>
      <c r="AA587" s="27"/>
      <c r="AB587" s="27"/>
      <c r="AC587" s="27"/>
      <c r="AD587" s="27"/>
      <c r="AE587" s="27"/>
      <c r="AF587" s="27"/>
      <c r="AG587" s="27"/>
      <c r="AH587" s="27"/>
      <c r="AI587" s="27"/>
      <c r="AJ587" s="27"/>
      <c r="AK587" s="27"/>
      <c r="AL587" s="27"/>
      <c r="AM587" s="27"/>
      <c r="AN587" s="27"/>
      <c r="AO587" s="27"/>
      <c r="AP587" s="27"/>
      <c r="AQ587" s="27"/>
      <c r="AR587" s="27"/>
      <c r="AS587" s="27"/>
      <c r="AT587" s="27"/>
      <c r="AU587" s="27"/>
      <c r="AV587" s="27"/>
      <c r="AW587" s="27"/>
      <c r="AX587" s="27"/>
      <c r="AY587" s="27"/>
      <c r="AZ587" s="27"/>
      <c r="BA587" s="27"/>
      <c r="BB587" s="27"/>
      <c r="BC587" s="27"/>
      <c r="BD587" s="27"/>
      <c r="BE587" s="27"/>
      <c r="BF587" s="27"/>
      <c r="BG587" s="27"/>
      <c r="BH587" s="27"/>
      <c r="BI587" s="27"/>
      <c r="BJ587" s="27"/>
      <c r="BK587" s="27"/>
      <c r="BL587" s="27"/>
      <c r="BM587" s="27"/>
      <c r="BN587" s="27"/>
      <c r="BO587" s="27"/>
      <c r="BP587" s="27"/>
      <c r="BQ587" s="27"/>
      <c r="BR587" s="27"/>
      <c r="BS587" s="27"/>
      <c r="BT587" s="27"/>
      <c r="BU587" s="27"/>
      <c r="BV587" s="27"/>
      <c r="BW587" s="27"/>
      <c r="BX587" s="27"/>
      <c r="BY587" s="27"/>
      <c r="BZ587" s="27"/>
      <c r="CA587" s="27"/>
      <c r="CB587" s="27"/>
      <c r="CC587" s="27"/>
      <c r="CD587" s="27"/>
      <c r="CE587" s="27"/>
      <c r="CF587" s="27"/>
      <c r="CG587" s="27"/>
      <c r="CH587" s="27"/>
      <c r="CI587" s="27"/>
      <c r="CJ587" s="27"/>
      <c r="CK587" s="27"/>
      <c r="CL587" s="27"/>
      <c r="CM587" s="27"/>
      <c r="CN587" s="27"/>
      <c r="CO587" s="27"/>
      <c r="CP587" s="27"/>
      <c r="CQ587" s="27"/>
      <c r="CR587" s="27"/>
      <c r="CS587" s="27"/>
      <c r="CT587" s="27"/>
      <c r="CU587" s="27"/>
      <c r="CV587" s="27"/>
      <c r="CW587" s="27"/>
      <c r="CX587" s="27"/>
      <c r="CY587" s="27"/>
      <c r="CZ587" s="27"/>
      <c r="DA587" s="27"/>
      <c r="DB587" s="27"/>
      <c r="DC587" s="27"/>
      <c r="DD587" s="27"/>
      <c r="DE587" s="27"/>
      <c r="DF587" s="27"/>
      <c r="DG587" s="27"/>
      <c r="DH587" s="27"/>
      <c r="DI587" s="27"/>
      <c r="DJ587" s="27"/>
      <c r="DK587" s="27"/>
      <c r="DL587" s="27"/>
      <c r="DM587" s="27"/>
      <c r="DN587" s="27"/>
      <c r="DO587" s="27"/>
      <c r="DP587" s="27"/>
      <c r="DQ587" s="27"/>
      <c r="DR587" s="27"/>
      <c r="DS587" s="27"/>
      <c r="DT587" s="27"/>
    </row>
    <row r="588" spans="7:124" x14ac:dyDescent="0.2">
      <c r="G588" s="27"/>
      <c r="H588" s="27"/>
      <c r="I588" s="27"/>
      <c r="J588" s="27"/>
      <c r="K588" s="27"/>
      <c r="L588" s="27"/>
      <c r="M588" s="27"/>
      <c r="N588" s="27"/>
      <c r="O588" s="27"/>
      <c r="P588" s="27"/>
      <c r="Q588" s="27"/>
      <c r="R588" s="27"/>
      <c r="S588" s="27"/>
      <c r="T588" s="27"/>
      <c r="U588" s="27"/>
      <c r="V588" s="27"/>
      <c r="W588" s="27"/>
      <c r="X588" s="27"/>
      <c r="Y588" s="27"/>
      <c r="Z588" s="27"/>
      <c r="AA588" s="27"/>
      <c r="AB588" s="27"/>
      <c r="AC588" s="27"/>
      <c r="AD588" s="27"/>
      <c r="AE588" s="27"/>
      <c r="AF588" s="27"/>
      <c r="AG588" s="27"/>
      <c r="AH588" s="27"/>
      <c r="AI588" s="27"/>
      <c r="AJ588" s="27"/>
      <c r="AK588" s="27"/>
      <c r="AL588" s="27"/>
      <c r="AM588" s="27"/>
      <c r="AN588" s="27"/>
      <c r="AO588" s="27"/>
      <c r="AP588" s="27"/>
      <c r="AQ588" s="27"/>
      <c r="AR588" s="27"/>
      <c r="AS588" s="27"/>
      <c r="AT588" s="27"/>
      <c r="AU588" s="27"/>
      <c r="AV588" s="27"/>
      <c r="AW588" s="27"/>
      <c r="AX588" s="27"/>
      <c r="AY588" s="27"/>
      <c r="AZ588" s="27"/>
      <c r="BA588" s="27"/>
      <c r="BB588" s="27"/>
      <c r="BC588" s="27"/>
      <c r="BD588" s="27"/>
      <c r="BE588" s="27"/>
      <c r="BF588" s="27"/>
      <c r="BG588" s="27"/>
      <c r="BH588" s="27"/>
      <c r="BI588" s="27"/>
      <c r="BJ588" s="27"/>
      <c r="BK588" s="27"/>
      <c r="BL588" s="27"/>
      <c r="BM588" s="27"/>
      <c r="BN588" s="27"/>
      <c r="BO588" s="27"/>
      <c r="BP588" s="27"/>
      <c r="BQ588" s="27"/>
      <c r="BR588" s="27"/>
      <c r="BS588" s="27"/>
      <c r="BT588" s="27"/>
      <c r="BU588" s="27"/>
      <c r="BV588" s="27"/>
      <c r="BW588" s="27"/>
      <c r="BX588" s="27"/>
      <c r="BY588" s="27"/>
      <c r="BZ588" s="27"/>
      <c r="CA588" s="27"/>
      <c r="CB588" s="27"/>
      <c r="CC588" s="27"/>
      <c r="CD588" s="27"/>
      <c r="CE588" s="27"/>
      <c r="CF588" s="27"/>
      <c r="CG588" s="27"/>
      <c r="CH588" s="27"/>
      <c r="CI588" s="27"/>
      <c r="CJ588" s="27"/>
      <c r="CK588" s="27"/>
      <c r="CL588" s="27"/>
      <c r="CM588" s="27"/>
      <c r="CN588" s="27"/>
      <c r="CO588" s="27"/>
      <c r="CP588" s="27"/>
      <c r="CQ588" s="27"/>
      <c r="CR588" s="27"/>
      <c r="CS588" s="27"/>
      <c r="CT588" s="27"/>
      <c r="CU588" s="27"/>
      <c r="CV588" s="27"/>
      <c r="CW588" s="27"/>
      <c r="CX588" s="27"/>
      <c r="CY588" s="27"/>
      <c r="CZ588" s="27"/>
      <c r="DA588" s="27"/>
      <c r="DB588" s="27"/>
      <c r="DC588" s="27"/>
      <c r="DD588" s="27"/>
      <c r="DE588" s="27"/>
      <c r="DF588" s="27"/>
      <c r="DG588" s="27"/>
      <c r="DH588" s="27"/>
      <c r="DI588" s="27"/>
      <c r="DJ588" s="27"/>
      <c r="DK588" s="27"/>
      <c r="DL588" s="27"/>
      <c r="DM588" s="27"/>
      <c r="DN588" s="27"/>
      <c r="DO588" s="27"/>
      <c r="DP588" s="27"/>
      <c r="DQ588" s="27"/>
      <c r="DR588" s="27"/>
      <c r="DS588" s="27"/>
      <c r="DT588" s="27"/>
    </row>
    <row r="589" spans="7:124" x14ac:dyDescent="0.2">
      <c r="G589" s="27"/>
      <c r="H589" s="27"/>
      <c r="I589" s="27"/>
      <c r="J589" s="27"/>
      <c r="K589" s="27"/>
      <c r="L589" s="27"/>
      <c r="M589" s="27"/>
      <c r="N589" s="27"/>
      <c r="O589" s="27"/>
      <c r="P589" s="27"/>
      <c r="Q589" s="27"/>
      <c r="R589" s="27"/>
      <c r="S589" s="27"/>
      <c r="T589" s="27"/>
      <c r="U589" s="27"/>
      <c r="V589" s="27"/>
      <c r="W589" s="27"/>
      <c r="X589" s="27"/>
      <c r="Y589" s="27"/>
      <c r="Z589" s="27"/>
      <c r="AA589" s="27"/>
      <c r="AB589" s="27"/>
      <c r="AC589" s="27"/>
      <c r="AD589" s="27"/>
      <c r="AE589" s="27"/>
      <c r="AF589" s="27"/>
      <c r="AG589" s="27"/>
      <c r="AH589" s="27"/>
      <c r="AI589" s="27"/>
      <c r="AJ589" s="27"/>
      <c r="AK589" s="27"/>
      <c r="AL589" s="27"/>
      <c r="AM589" s="27"/>
      <c r="AN589" s="27"/>
      <c r="AO589" s="27"/>
      <c r="AP589" s="27"/>
      <c r="AQ589" s="27"/>
      <c r="AR589" s="27"/>
      <c r="AS589" s="27"/>
      <c r="AT589" s="27"/>
      <c r="AU589" s="27"/>
      <c r="AV589" s="27"/>
      <c r="AW589" s="27"/>
      <c r="AX589" s="27"/>
      <c r="AY589" s="27"/>
      <c r="AZ589" s="27"/>
      <c r="BA589" s="27"/>
      <c r="BB589" s="27"/>
      <c r="BC589" s="27"/>
      <c r="BD589" s="27"/>
      <c r="BE589" s="27"/>
      <c r="BF589" s="27"/>
      <c r="BG589" s="27"/>
      <c r="BH589" s="27"/>
      <c r="BI589" s="27"/>
      <c r="BJ589" s="27"/>
      <c r="BK589" s="27"/>
      <c r="BL589" s="27"/>
      <c r="BM589" s="27"/>
      <c r="BN589" s="27"/>
      <c r="BO589" s="27"/>
      <c r="BP589" s="27"/>
      <c r="BQ589" s="27"/>
      <c r="BR589" s="27"/>
      <c r="BS589" s="27"/>
      <c r="BT589" s="27"/>
      <c r="BU589" s="27"/>
      <c r="BV589" s="27"/>
      <c r="BW589" s="27"/>
      <c r="BX589" s="27"/>
      <c r="BY589" s="27"/>
      <c r="BZ589" s="27"/>
      <c r="CA589" s="27"/>
      <c r="CB589" s="27"/>
      <c r="CC589" s="27"/>
      <c r="CD589" s="27"/>
      <c r="CE589" s="27"/>
      <c r="CF589" s="27"/>
      <c r="CG589" s="27"/>
      <c r="CH589" s="27"/>
      <c r="CI589" s="27"/>
      <c r="CJ589" s="27"/>
      <c r="CK589" s="27"/>
      <c r="CL589" s="27"/>
      <c r="CM589" s="27"/>
      <c r="CN589" s="27"/>
      <c r="CO589" s="27"/>
      <c r="CP589" s="27"/>
      <c r="CQ589" s="27"/>
      <c r="CR589" s="27"/>
      <c r="CS589" s="27"/>
      <c r="CT589" s="27"/>
      <c r="CU589" s="27"/>
      <c r="CV589" s="27"/>
      <c r="CW589" s="27"/>
      <c r="CX589" s="27"/>
      <c r="CY589" s="27"/>
      <c r="CZ589" s="27"/>
      <c r="DA589" s="27"/>
      <c r="DB589" s="27"/>
      <c r="DC589" s="27"/>
      <c r="DD589" s="27"/>
      <c r="DE589" s="27"/>
      <c r="DF589" s="27"/>
      <c r="DG589" s="27"/>
      <c r="DH589" s="27"/>
      <c r="DI589" s="27"/>
      <c r="DJ589" s="27"/>
      <c r="DK589" s="27"/>
      <c r="DL589" s="27"/>
      <c r="DM589" s="27"/>
      <c r="DN589" s="27"/>
      <c r="DO589" s="27"/>
      <c r="DP589" s="27"/>
      <c r="DQ589" s="27"/>
      <c r="DR589" s="27"/>
      <c r="DS589" s="27"/>
      <c r="DT589" s="27"/>
    </row>
    <row r="590" spans="7:124" x14ac:dyDescent="0.2">
      <c r="G590" s="27"/>
      <c r="H590" s="27"/>
      <c r="I590" s="27"/>
      <c r="J590" s="27"/>
      <c r="K590" s="27"/>
      <c r="L590" s="27"/>
      <c r="M590" s="27"/>
      <c r="N590" s="27"/>
      <c r="O590" s="27"/>
      <c r="P590" s="27"/>
      <c r="Q590" s="27"/>
      <c r="R590" s="27"/>
      <c r="S590" s="27"/>
      <c r="T590" s="27"/>
      <c r="U590" s="27"/>
      <c r="V590" s="27"/>
      <c r="W590" s="27"/>
      <c r="X590" s="27"/>
      <c r="Y590" s="27"/>
      <c r="Z590" s="27"/>
      <c r="AA590" s="27"/>
      <c r="AB590" s="27"/>
      <c r="AC590" s="27"/>
      <c r="AD590" s="27"/>
      <c r="AE590" s="27"/>
      <c r="AF590" s="27"/>
      <c r="AG590" s="27"/>
      <c r="AH590" s="27"/>
      <c r="AI590" s="27"/>
      <c r="AJ590" s="27"/>
      <c r="AK590" s="27"/>
      <c r="AL590" s="27"/>
      <c r="AM590" s="27"/>
      <c r="AN590" s="27"/>
      <c r="AO590" s="27"/>
      <c r="AP590" s="27"/>
      <c r="AQ590" s="27"/>
      <c r="AR590" s="27"/>
      <c r="AS590" s="27"/>
      <c r="AT590" s="27"/>
      <c r="AU590" s="27"/>
      <c r="AV590" s="27"/>
      <c r="AW590" s="27"/>
      <c r="AX590" s="27"/>
      <c r="AY590" s="27"/>
      <c r="AZ590" s="27"/>
      <c r="BA590" s="27"/>
      <c r="BB590" s="27"/>
      <c r="BC590" s="27"/>
      <c r="BD590" s="27"/>
      <c r="BE590" s="27"/>
      <c r="BF590" s="27"/>
      <c r="BG590" s="27"/>
      <c r="BH590" s="27"/>
      <c r="BI590" s="27"/>
      <c r="BJ590" s="27"/>
      <c r="BK590" s="27"/>
      <c r="BL590" s="27"/>
      <c r="BM590" s="27"/>
      <c r="BN590" s="27"/>
      <c r="BO590" s="27"/>
      <c r="BP590" s="27"/>
      <c r="BQ590" s="27"/>
      <c r="BR590" s="27"/>
      <c r="BS590" s="27"/>
      <c r="BT590" s="27"/>
      <c r="BU590" s="27"/>
      <c r="BV590" s="27"/>
      <c r="BW590" s="27"/>
      <c r="BX590" s="27"/>
      <c r="BY590" s="27"/>
      <c r="BZ590" s="27"/>
      <c r="CA590" s="27"/>
      <c r="CB590" s="27"/>
      <c r="CC590" s="27"/>
      <c r="CD590" s="27"/>
      <c r="CE590" s="27"/>
      <c r="CF590" s="27"/>
      <c r="CG590" s="27"/>
      <c r="CH590" s="27"/>
      <c r="CI590" s="27"/>
      <c r="CJ590" s="27"/>
      <c r="CK590" s="27"/>
      <c r="CL590" s="27"/>
      <c r="CM590" s="27"/>
      <c r="CN590" s="27"/>
      <c r="CO590" s="27"/>
      <c r="CP590" s="27"/>
      <c r="CQ590" s="27"/>
      <c r="CR590" s="27"/>
      <c r="CS590" s="27"/>
      <c r="CT590" s="27"/>
      <c r="CU590" s="27"/>
      <c r="CV590" s="27"/>
      <c r="CW590" s="27"/>
      <c r="CX590" s="27"/>
      <c r="CY590" s="27"/>
      <c r="CZ590" s="27"/>
      <c r="DA590" s="27"/>
      <c r="DB590" s="27"/>
      <c r="DC590" s="27"/>
      <c r="DD590" s="27"/>
      <c r="DE590" s="27"/>
      <c r="DF590" s="27"/>
      <c r="DG590" s="27"/>
      <c r="DH590" s="27"/>
      <c r="DI590" s="27"/>
      <c r="DJ590" s="27"/>
      <c r="DK590" s="27"/>
      <c r="DL590" s="27"/>
      <c r="DM590" s="27"/>
      <c r="DN590" s="27"/>
      <c r="DO590" s="27"/>
      <c r="DP590" s="27"/>
      <c r="DQ590" s="27"/>
      <c r="DR590" s="27"/>
      <c r="DS590" s="27"/>
      <c r="DT590" s="27"/>
    </row>
    <row r="591" spans="7:124" x14ac:dyDescent="0.2">
      <c r="G591" s="27"/>
      <c r="H591" s="27"/>
      <c r="I591" s="27"/>
      <c r="J591" s="27"/>
      <c r="K591" s="27"/>
      <c r="L591" s="27"/>
      <c r="M591" s="27"/>
      <c r="N591" s="27"/>
      <c r="O591" s="27"/>
      <c r="P591" s="27"/>
      <c r="Q591" s="27"/>
      <c r="R591" s="27"/>
      <c r="S591" s="27"/>
      <c r="T591" s="27"/>
      <c r="U591" s="27"/>
      <c r="V591" s="27"/>
      <c r="W591" s="27"/>
      <c r="X591" s="27"/>
      <c r="Y591" s="27"/>
      <c r="Z591" s="27"/>
      <c r="AA591" s="27"/>
      <c r="AB591" s="27"/>
      <c r="AC591" s="27"/>
      <c r="AD591" s="27"/>
      <c r="AE591" s="27"/>
      <c r="AF591" s="27"/>
      <c r="AG591" s="27"/>
      <c r="AH591" s="27"/>
      <c r="AI591" s="27"/>
      <c r="AJ591" s="27"/>
      <c r="AK591" s="27"/>
      <c r="AL591" s="27"/>
      <c r="AM591" s="27"/>
      <c r="AN591" s="27"/>
      <c r="AO591" s="27"/>
      <c r="AP591" s="27"/>
      <c r="AQ591" s="27"/>
      <c r="AR591" s="27"/>
      <c r="AS591" s="27"/>
      <c r="AT591" s="27"/>
      <c r="AU591" s="27"/>
      <c r="AV591" s="27"/>
      <c r="AW591" s="27"/>
      <c r="AX591" s="27"/>
      <c r="AY591" s="27"/>
      <c r="AZ591" s="27"/>
      <c r="BA591" s="27"/>
      <c r="BB591" s="27"/>
      <c r="BC591" s="27"/>
      <c r="BD591" s="27"/>
      <c r="BE591" s="27"/>
      <c r="BF591" s="27"/>
      <c r="BG591" s="27"/>
      <c r="BH591" s="27"/>
      <c r="BI591" s="27"/>
      <c r="BJ591" s="27"/>
      <c r="BK591" s="27"/>
      <c r="BL591" s="27"/>
      <c r="BM591" s="27"/>
      <c r="BN591" s="27"/>
      <c r="BO591" s="27"/>
      <c r="BP591" s="27"/>
      <c r="BQ591" s="27"/>
      <c r="BR591" s="27"/>
      <c r="BS591" s="27"/>
      <c r="BT591" s="27"/>
      <c r="BU591" s="27"/>
      <c r="BV591" s="27"/>
      <c r="BW591" s="27"/>
      <c r="BX591" s="27"/>
      <c r="BY591" s="27"/>
      <c r="BZ591" s="27"/>
      <c r="CA591" s="27"/>
      <c r="CB591" s="27"/>
      <c r="CC591" s="27"/>
      <c r="CD591" s="27"/>
      <c r="CE591" s="27"/>
      <c r="CF591" s="27"/>
      <c r="CG591" s="27"/>
      <c r="CH591" s="27"/>
      <c r="CI591" s="27"/>
      <c r="CJ591" s="27"/>
      <c r="CK591" s="27"/>
      <c r="CL591" s="27"/>
      <c r="CM591" s="27"/>
      <c r="CN591" s="27"/>
      <c r="CO591" s="27"/>
      <c r="CP591" s="27"/>
      <c r="CQ591" s="27"/>
      <c r="CR591" s="27"/>
      <c r="CS591" s="27"/>
      <c r="CT591" s="27"/>
      <c r="CU591" s="27"/>
      <c r="CV591" s="27"/>
      <c r="CW591" s="27"/>
      <c r="CX591" s="27"/>
      <c r="CY591" s="27"/>
      <c r="CZ591" s="27"/>
      <c r="DA591" s="27"/>
      <c r="DB591" s="27"/>
      <c r="DC591" s="27"/>
      <c r="DD591" s="27"/>
      <c r="DE591" s="27"/>
      <c r="DF591" s="27"/>
      <c r="DG591" s="27"/>
      <c r="DH591" s="27"/>
      <c r="DI591" s="27"/>
      <c r="DJ591" s="27"/>
      <c r="DK591" s="27"/>
      <c r="DL591" s="27"/>
      <c r="DM591" s="27"/>
      <c r="DN591" s="27"/>
      <c r="DO591" s="27"/>
      <c r="DP591" s="27"/>
      <c r="DQ591" s="27"/>
      <c r="DR591" s="27"/>
      <c r="DS591" s="27"/>
      <c r="DT591" s="27"/>
    </row>
    <row r="592" spans="7:124" x14ac:dyDescent="0.2">
      <c r="G592" s="27"/>
      <c r="H592" s="27"/>
      <c r="I592" s="27"/>
      <c r="J592" s="27"/>
      <c r="K592" s="27"/>
      <c r="L592" s="27"/>
      <c r="M592" s="27"/>
      <c r="N592" s="27"/>
      <c r="O592" s="27"/>
      <c r="P592" s="27"/>
      <c r="Q592" s="27"/>
      <c r="R592" s="27"/>
      <c r="S592" s="27"/>
      <c r="T592" s="27"/>
      <c r="U592" s="27"/>
      <c r="V592" s="27"/>
      <c r="W592" s="27"/>
      <c r="X592" s="27"/>
      <c r="Y592" s="27"/>
      <c r="Z592" s="27"/>
      <c r="AA592" s="27"/>
      <c r="AB592" s="27"/>
      <c r="AC592" s="27"/>
      <c r="AD592" s="27"/>
      <c r="AE592" s="27"/>
      <c r="AF592" s="27"/>
      <c r="AG592" s="27"/>
      <c r="AH592" s="27"/>
      <c r="AI592" s="27"/>
      <c r="AJ592" s="27"/>
      <c r="AK592" s="27"/>
      <c r="AL592" s="27"/>
      <c r="AM592" s="27"/>
      <c r="AN592" s="27"/>
      <c r="AO592" s="27"/>
      <c r="AP592" s="27"/>
      <c r="AQ592" s="27"/>
      <c r="AR592" s="27"/>
      <c r="AS592" s="27"/>
      <c r="AT592" s="27"/>
      <c r="AU592" s="27"/>
      <c r="AV592" s="27"/>
      <c r="AW592" s="27"/>
      <c r="AX592" s="27"/>
      <c r="AY592" s="27"/>
      <c r="AZ592" s="27"/>
      <c r="BA592" s="27"/>
      <c r="BB592" s="27"/>
      <c r="BC592" s="27"/>
      <c r="BD592" s="27"/>
      <c r="BE592" s="27"/>
      <c r="BF592" s="27"/>
      <c r="BG592" s="27"/>
      <c r="BH592" s="27"/>
      <c r="BI592" s="27"/>
      <c r="BJ592" s="27"/>
      <c r="BK592" s="27"/>
      <c r="BL592" s="27"/>
      <c r="BM592" s="27"/>
      <c r="BN592" s="27"/>
      <c r="BO592" s="27"/>
      <c r="BP592" s="27"/>
      <c r="BQ592" s="27"/>
      <c r="BR592" s="27"/>
      <c r="BS592" s="27"/>
      <c r="BT592" s="27"/>
      <c r="BU592" s="27"/>
      <c r="BV592" s="27"/>
      <c r="BW592" s="27"/>
      <c r="BX592" s="27"/>
      <c r="BY592" s="27"/>
      <c r="BZ592" s="27"/>
      <c r="CA592" s="27"/>
      <c r="CB592" s="27"/>
      <c r="CC592" s="27"/>
      <c r="CD592" s="27"/>
      <c r="CE592" s="27"/>
      <c r="CF592" s="27"/>
      <c r="CG592" s="27"/>
      <c r="CH592" s="27"/>
      <c r="CI592" s="27"/>
      <c r="CJ592" s="27"/>
      <c r="CK592" s="27"/>
      <c r="CL592" s="27"/>
      <c r="CM592" s="27"/>
      <c r="CN592" s="27"/>
      <c r="CO592" s="27"/>
      <c r="CP592" s="27"/>
      <c r="CQ592" s="27"/>
      <c r="CR592" s="27"/>
      <c r="CS592" s="27"/>
      <c r="CT592" s="27"/>
      <c r="CU592" s="27"/>
      <c r="CV592" s="27"/>
      <c r="CW592" s="27"/>
      <c r="CX592" s="27"/>
      <c r="CY592" s="27"/>
      <c r="CZ592" s="27"/>
      <c r="DA592" s="27"/>
      <c r="DB592" s="27"/>
      <c r="DC592" s="27"/>
      <c r="DD592" s="27"/>
      <c r="DE592" s="27"/>
      <c r="DF592" s="27"/>
      <c r="DG592" s="27"/>
      <c r="DH592" s="27"/>
      <c r="DI592" s="27"/>
      <c r="DJ592" s="27"/>
      <c r="DK592" s="27"/>
      <c r="DL592" s="27"/>
      <c r="DM592" s="27"/>
      <c r="DN592" s="27"/>
      <c r="DO592" s="27"/>
      <c r="DP592" s="27"/>
      <c r="DQ592" s="27"/>
      <c r="DR592" s="27"/>
      <c r="DS592" s="27"/>
      <c r="DT592" s="27"/>
    </row>
    <row r="593" spans="7:124" x14ac:dyDescent="0.2">
      <c r="G593" s="27"/>
      <c r="H593" s="27"/>
      <c r="I593" s="27"/>
      <c r="J593" s="27"/>
      <c r="K593" s="27"/>
      <c r="L593" s="27"/>
      <c r="M593" s="27"/>
      <c r="N593" s="27"/>
      <c r="O593" s="27"/>
      <c r="P593" s="27"/>
      <c r="Q593" s="27"/>
      <c r="R593" s="27"/>
      <c r="S593" s="27"/>
      <c r="T593" s="27"/>
      <c r="U593" s="27"/>
      <c r="V593" s="27"/>
      <c r="W593" s="27"/>
      <c r="X593" s="27"/>
      <c r="Y593" s="27"/>
      <c r="Z593" s="27"/>
      <c r="AA593" s="27"/>
      <c r="AB593" s="27"/>
      <c r="AC593" s="27"/>
      <c r="AD593" s="27"/>
      <c r="AE593" s="27"/>
      <c r="AF593" s="27"/>
      <c r="AG593" s="27"/>
      <c r="AH593" s="27"/>
      <c r="AI593" s="27"/>
      <c r="AJ593" s="27"/>
      <c r="AK593" s="27"/>
      <c r="AL593" s="27"/>
      <c r="AM593" s="27"/>
      <c r="AN593" s="27"/>
      <c r="AO593" s="27"/>
      <c r="AP593" s="27"/>
      <c r="AQ593" s="27"/>
      <c r="AR593" s="27"/>
      <c r="AS593" s="27"/>
      <c r="AT593" s="27"/>
      <c r="AU593" s="27"/>
      <c r="AV593" s="27"/>
      <c r="AW593" s="27"/>
      <c r="AX593" s="27"/>
      <c r="AY593" s="27"/>
      <c r="AZ593" s="27"/>
      <c r="BA593" s="27"/>
      <c r="BB593" s="27"/>
      <c r="BC593" s="27"/>
      <c r="BD593" s="27"/>
      <c r="BE593" s="27"/>
      <c r="BF593" s="27"/>
      <c r="BG593" s="27"/>
      <c r="BH593" s="27"/>
      <c r="BI593" s="27"/>
      <c r="BJ593" s="27"/>
      <c r="BK593" s="27"/>
      <c r="BL593" s="27"/>
      <c r="BM593" s="27"/>
      <c r="BN593" s="27"/>
      <c r="BO593" s="27"/>
      <c r="BP593" s="27"/>
      <c r="BQ593" s="27"/>
      <c r="BR593" s="27"/>
      <c r="BS593" s="27"/>
      <c r="BT593" s="27"/>
      <c r="BU593" s="27"/>
      <c r="BV593" s="27"/>
      <c r="BW593" s="27"/>
      <c r="BX593" s="27"/>
      <c r="BY593" s="27"/>
      <c r="BZ593" s="27"/>
      <c r="CA593" s="27"/>
      <c r="CB593" s="27"/>
      <c r="CC593" s="27"/>
      <c r="CD593" s="27"/>
      <c r="CE593" s="27"/>
      <c r="CF593" s="27"/>
      <c r="CG593" s="27"/>
      <c r="CH593" s="27"/>
      <c r="CI593" s="27"/>
      <c r="CJ593" s="27"/>
      <c r="CK593" s="27"/>
      <c r="CL593" s="27"/>
      <c r="CM593" s="27"/>
      <c r="CN593" s="27"/>
      <c r="CO593" s="27"/>
      <c r="CP593" s="27"/>
      <c r="CQ593" s="27"/>
      <c r="CR593" s="27"/>
      <c r="CS593" s="27"/>
      <c r="CT593" s="27"/>
      <c r="CU593" s="27"/>
      <c r="CV593" s="27"/>
      <c r="CW593" s="27"/>
      <c r="CX593" s="27"/>
      <c r="CY593" s="27"/>
      <c r="CZ593" s="27"/>
      <c r="DA593" s="27"/>
      <c r="DB593" s="27"/>
      <c r="DC593" s="27"/>
      <c r="DD593" s="27"/>
      <c r="DE593" s="27"/>
      <c r="DF593" s="27"/>
      <c r="DG593" s="27"/>
      <c r="DH593" s="27"/>
      <c r="DI593" s="27"/>
      <c r="DJ593" s="27"/>
      <c r="DK593" s="27"/>
      <c r="DL593" s="27"/>
      <c r="DM593" s="27"/>
      <c r="DN593" s="27"/>
      <c r="DO593" s="27"/>
      <c r="DP593" s="27"/>
      <c r="DQ593" s="27"/>
      <c r="DR593" s="27"/>
      <c r="DS593" s="27"/>
      <c r="DT593" s="27"/>
    </row>
    <row r="594" spans="7:124" x14ac:dyDescent="0.2">
      <c r="G594" s="27"/>
      <c r="H594" s="27"/>
      <c r="I594" s="27"/>
      <c r="J594" s="27"/>
      <c r="K594" s="27"/>
      <c r="L594" s="27"/>
      <c r="M594" s="27"/>
      <c r="N594" s="27"/>
      <c r="O594" s="27"/>
      <c r="P594" s="27"/>
      <c r="Q594" s="27"/>
      <c r="R594" s="27"/>
      <c r="S594" s="27"/>
      <c r="T594" s="27"/>
      <c r="U594" s="27"/>
      <c r="V594" s="27"/>
      <c r="W594" s="27"/>
      <c r="X594" s="27"/>
      <c r="Y594" s="27"/>
      <c r="Z594" s="27"/>
      <c r="AA594" s="27"/>
      <c r="AB594" s="27"/>
      <c r="AC594" s="27"/>
      <c r="AD594" s="27"/>
      <c r="AE594" s="27"/>
      <c r="AF594" s="27"/>
      <c r="AG594" s="27"/>
      <c r="AH594" s="27"/>
      <c r="AI594" s="27"/>
      <c r="AJ594" s="27"/>
      <c r="AK594" s="27"/>
      <c r="AL594" s="27"/>
      <c r="AM594" s="27"/>
      <c r="AN594" s="27"/>
      <c r="AO594" s="27"/>
      <c r="AP594" s="27"/>
      <c r="AQ594" s="27"/>
      <c r="AR594" s="27"/>
      <c r="AS594" s="27"/>
      <c r="AT594" s="27"/>
      <c r="AU594" s="27"/>
      <c r="AV594" s="27"/>
      <c r="AW594" s="27"/>
      <c r="AX594" s="27"/>
      <c r="AY594" s="27"/>
      <c r="AZ594" s="27"/>
      <c r="BA594" s="27"/>
      <c r="BB594" s="27"/>
      <c r="BC594" s="27"/>
      <c r="BD594" s="27"/>
      <c r="BE594" s="27"/>
      <c r="BF594" s="27"/>
      <c r="BG594" s="27"/>
      <c r="BH594" s="27"/>
      <c r="BI594" s="27"/>
      <c r="BJ594" s="27"/>
      <c r="BK594" s="27"/>
      <c r="BL594" s="27"/>
      <c r="BM594" s="27"/>
      <c r="BN594" s="27"/>
      <c r="BO594" s="27"/>
      <c r="BP594" s="27"/>
      <c r="BQ594" s="27"/>
      <c r="BR594" s="27"/>
      <c r="BS594" s="27"/>
      <c r="BT594" s="27"/>
      <c r="BU594" s="27"/>
      <c r="BV594" s="27"/>
      <c r="BW594" s="27"/>
      <c r="BX594" s="27"/>
      <c r="BY594" s="27"/>
      <c r="BZ594" s="27"/>
      <c r="CA594" s="27"/>
      <c r="CB594" s="27"/>
      <c r="CC594" s="27"/>
      <c r="CD594" s="27"/>
      <c r="CE594" s="27"/>
      <c r="CF594" s="27"/>
      <c r="CG594" s="27"/>
      <c r="CH594" s="27"/>
      <c r="CI594" s="27"/>
      <c r="CJ594" s="27"/>
      <c r="CK594" s="27"/>
      <c r="CL594" s="27"/>
      <c r="CM594" s="27"/>
      <c r="CN594" s="27"/>
      <c r="CO594" s="27"/>
      <c r="CP594" s="27"/>
      <c r="CQ594" s="27"/>
      <c r="CR594" s="27"/>
      <c r="CS594" s="27"/>
      <c r="CT594" s="27"/>
      <c r="CU594" s="27"/>
      <c r="CV594" s="27"/>
      <c r="CW594" s="27"/>
      <c r="CX594" s="27"/>
      <c r="CY594" s="27"/>
      <c r="CZ594" s="27"/>
      <c r="DA594" s="27"/>
      <c r="DB594" s="27"/>
      <c r="DC594" s="27"/>
      <c r="DD594" s="27"/>
      <c r="DE594" s="27"/>
      <c r="DF594" s="27"/>
      <c r="DG594" s="27"/>
      <c r="DH594" s="27"/>
      <c r="DI594" s="27"/>
      <c r="DJ594" s="27"/>
      <c r="DK594" s="27"/>
      <c r="DL594" s="27"/>
      <c r="DM594" s="27"/>
      <c r="DN594" s="27"/>
      <c r="DO594" s="27"/>
      <c r="DP594" s="27"/>
      <c r="DQ594" s="27"/>
      <c r="DR594" s="27"/>
      <c r="DS594" s="27"/>
      <c r="DT594" s="27"/>
    </row>
    <row r="595" spans="7:124" x14ac:dyDescent="0.2">
      <c r="G595" s="27"/>
      <c r="H595" s="27"/>
      <c r="I595" s="27"/>
      <c r="J595" s="27"/>
      <c r="K595" s="27"/>
      <c r="L595" s="27"/>
      <c r="M595" s="27"/>
      <c r="N595" s="27"/>
      <c r="O595" s="27"/>
      <c r="P595" s="27"/>
      <c r="Q595" s="27"/>
      <c r="R595" s="27"/>
      <c r="S595" s="27"/>
      <c r="T595" s="27"/>
      <c r="U595" s="27"/>
      <c r="V595" s="27"/>
      <c r="W595" s="27"/>
      <c r="X595" s="27"/>
      <c r="Y595" s="27"/>
      <c r="Z595" s="27"/>
      <c r="AA595" s="27"/>
      <c r="AB595" s="27"/>
      <c r="AC595" s="27"/>
      <c r="AD595" s="27"/>
      <c r="AE595" s="27"/>
      <c r="AF595" s="27"/>
      <c r="AG595" s="27"/>
      <c r="AH595" s="27"/>
      <c r="AI595" s="27"/>
      <c r="AJ595" s="27"/>
      <c r="AK595" s="27"/>
      <c r="AL595" s="27"/>
      <c r="AM595" s="27"/>
      <c r="AN595" s="27"/>
      <c r="AO595" s="27"/>
      <c r="AP595" s="27"/>
      <c r="AQ595" s="27"/>
      <c r="AR595" s="27"/>
      <c r="AS595" s="27"/>
      <c r="AT595" s="27"/>
      <c r="AU595" s="27"/>
      <c r="AV595" s="27"/>
      <c r="AW595" s="27"/>
      <c r="AX595" s="27"/>
      <c r="AY595" s="27"/>
      <c r="AZ595" s="27"/>
      <c r="BA595" s="27"/>
      <c r="BB595" s="27"/>
      <c r="BC595" s="27"/>
      <c r="BD595" s="27"/>
      <c r="BE595" s="27"/>
      <c r="BF595" s="27"/>
      <c r="BG595" s="27"/>
      <c r="BH595" s="27"/>
      <c r="BI595" s="27"/>
      <c r="BJ595" s="27"/>
      <c r="BK595" s="27"/>
      <c r="BL595" s="27"/>
      <c r="BM595" s="27"/>
      <c r="BN595" s="27"/>
      <c r="BO595" s="27"/>
      <c r="BP595" s="27"/>
      <c r="BQ595" s="27"/>
      <c r="BR595" s="27"/>
      <c r="BS595" s="27"/>
      <c r="BT595" s="27"/>
      <c r="BU595" s="27"/>
      <c r="BV595" s="27"/>
      <c r="BW595" s="27"/>
      <c r="BX595" s="27"/>
      <c r="BY595" s="27"/>
      <c r="BZ595" s="27"/>
      <c r="CA595" s="27"/>
      <c r="CB595" s="27"/>
      <c r="CC595" s="27"/>
      <c r="CD595" s="27"/>
      <c r="CE595" s="27"/>
      <c r="CF595" s="27"/>
      <c r="CG595" s="27"/>
      <c r="CH595" s="27"/>
      <c r="CI595" s="27"/>
      <c r="CJ595" s="27"/>
      <c r="CK595" s="27"/>
      <c r="CL595" s="27"/>
      <c r="CM595" s="27"/>
      <c r="CN595" s="27"/>
      <c r="CO595" s="27"/>
      <c r="CP595" s="27"/>
      <c r="CQ595" s="27"/>
      <c r="CR595" s="27"/>
      <c r="CS595" s="27"/>
      <c r="CT595" s="27"/>
      <c r="CU595" s="27"/>
      <c r="CV595" s="27"/>
      <c r="CW595" s="27"/>
      <c r="CX595" s="27"/>
      <c r="CY595" s="27"/>
      <c r="CZ595" s="27"/>
      <c r="DA595" s="27"/>
      <c r="DB595" s="27"/>
      <c r="DC595" s="27"/>
      <c r="DD595" s="27"/>
      <c r="DE595" s="27"/>
      <c r="DF595" s="27"/>
      <c r="DG595" s="27"/>
      <c r="DH595" s="27"/>
      <c r="DI595" s="27"/>
      <c r="DJ595" s="27"/>
      <c r="DK595" s="27"/>
      <c r="DL595" s="27"/>
      <c r="DM595" s="27"/>
      <c r="DN595" s="27"/>
      <c r="DO595" s="27"/>
      <c r="DP595" s="27"/>
      <c r="DQ595" s="27"/>
      <c r="DR595" s="27"/>
      <c r="DS595" s="27"/>
      <c r="DT595" s="27"/>
    </row>
    <row r="596" spans="7:124" x14ac:dyDescent="0.2">
      <c r="G596" s="27"/>
      <c r="H596" s="27"/>
      <c r="I596" s="27"/>
      <c r="J596" s="27"/>
      <c r="K596" s="27"/>
      <c r="L596" s="27"/>
      <c r="M596" s="27"/>
      <c r="N596" s="27"/>
      <c r="O596" s="27"/>
      <c r="P596" s="27"/>
      <c r="Q596" s="27"/>
      <c r="R596" s="27"/>
      <c r="S596" s="27"/>
      <c r="T596" s="27"/>
      <c r="U596" s="27"/>
      <c r="V596" s="27"/>
      <c r="W596" s="27"/>
      <c r="X596" s="27"/>
      <c r="Y596" s="27"/>
      <c r="Z596" s="27"/>
      <c r="AA596" s="27"/>
      <c r="AB596" s="27"/>
      <c r="AC596" s="27"/>
      <c r="AD596" s="27"/>
      <c r="AE596" s="27"/>
      <c r="AF596" s="27"/>
      <c r="AG596" s="27"/>
      <c r="AH596" s="27"/>
      <c r="AI596" s="27"/>
      <c r="AJ596" s="27"/>
      <c r="AK596" s="27"/>
      <c r="AL596" s="27"/>
      <c r="AM596" s="27"/>
      <c r="AN596" s="27"/>
      <c r="AO596" s="27"/>
      <c r="AP596" s="27"/>
      <c r="AQ596" s="27"/>
      <c r="AR596" s="27"/>
      <c r="AS596" s="27"/>
      <c r="AT596" s="27"/>
      <c r="AU596" s="27"/>
      <c r="AV596" s="27"/>
      <c r="AW596" s="27"/>
      <c r="AX596" s="27"/>
      <c r="AY596" s="27"/>
      <c r="AZ596" s="27"/>
      <c r="BA596" s="27"/>
      <c r="BB596" s="27"/>
      <c r="BC596" s="27"/>
      <c r="BD596" s="27"/>
      <c r="BE596" s="27"/>
      <c r="BF596" s="27"/>
      <c r="BG596" s="27"/>
      <c r="BH596" s="27"/>
      <c r="BI596" s="27"/>
      <c r="BJ596" s="27"/>
      <c r="BK596" s="27"/>
      <c r="BL596" s="27"/>
      <c r="BM596" s="27"/>
      <c r="BN596" s="27"/>
      <c r="BO596" s="27"/>
      <c r="BP596" s="27"/>
      <c r="BQ596" s="27"/>
      <c r="BR596" s="27"/>
      <c r="BS596" s="27"/>
      <c r="BT596" s="27"/>
      <c r="BU596" s="27"/>
      <c r="BV596" s="27"/>
      <c r="BW596" s="27"/>
      <c r="BX596" s="27"/>
      <c r="BY596" s="27"/>
      <c r="BZ596" s="27"/>
      <c r="CA596" s="27"/>
      <c r="CB596" s="27"/>
      <c r="CC596" s="27"/>
      <c r="CD596" s="27"/>
      <c r="CE596" s="27"/>
      <c r="CF596" s="27"/>
      <c r="CG596" s="27"/>
      <c r="CH596" s="27"/>
      <c r="CI596" s="27"/>
      <c r="CJ596" s="27"/>
      <c r="CK596" s="27"/>
      <c r="CL596" s="27"/>
      <c r="CM596" s="27"/>
      <c r="CN596" s="27"/>
      <c r="CO596" s="27"/>
      <c r="CP596" s="27"/>
      <c r="CQ596" s="27"/>
      <c r="CR596" s="27"/>
      <c r="CS596" s="27"/>
      <c r="CT596" s="27"/>
      <c r="CU596" s="27"/>
      <c r="CV596" s="27"/>
      <c r="CW596" s="27"/>
      <c r="CX596" s="27"/>
      <c r="CY596" s="27"/>
      <c r="CZ596" s="27"/>
      <c r="DA596" s="27"/>
      <c r="DB596" s="27"/>
      <c r="DC596" s="27"/>
      <c r="DD596" s="27"/>
      <c r="DE596" s="27"/>
      <c r="DF596" s="27"/>
      <c r="DG596" s="27"/>
      <c r="DH596" s="27"/>
      <c r="DI596" s="27"/>
      <c r="DJ596" s="27"/>
      <c r="DK596" s="27"/>
      <c r="DL596" s="27"/>
      <c r="DM596" s="27"/>
      <c r="DN596" s="27"/>
      <c r="DO596" s="27"/>
      <c r="DP596" s="27"/>
      <c r="DQ596" s="27"/>
      <c r="DR596" s="27"/>
      <c r="DS596" s="27"/>
      <c r="DT596" s="27"/>
    </row>
    <row r="597" spans="7:124" x14ac:dyDescent="0.2">
      <c r="G597" s="27"/>
      <c r="H597" s="27"/>
      <c r="I597" s="27"/>
      <c r="J597" s="27"/>
      <c r="K597" s="27"/>
      <c r="L597" s="27"/>
      <c r="M597" s="27"/>
      <c r="N597" s="27"/>
      <c r="O597" s="27"/>
      <c r="P597" s="27"/>
      <c r="Q597" s="27"/>
      <c r="R597" s="27"/>
      <c r="S597" s="27"/>
      <c r="T597" s="27"/>
      <c r="U597" s="27"/>
      <c r="V597" s="27"/>
      <c r="W597" s="27"/>
      <c r="X597" s="27"/>
      <c r="Y597" s="27"/>
      <c r="Z597" s="27"/>
      <c r="AA597" s="27"/>
      <c r="AB597" s="27"/>
      <c r="AC597" s="27"/>
      <c r="AD597" s="27"/>
      <c r="AE597" s="27"/>
      <c r="AF597" s="27"/>
      <c r="AG597" s="27"/>
      <c r="AH597" s="27"/>
      <c r="AI597" s="27"/>
      <c r="AJ597" s="27"/>
      <c r="AK597" s="27"/>
      <c r="AL597" s="27"/>
      <c r="AM597" s="27"/>
      <c r="AN597" s="27"/>
      <c r="AO597" s="27"/>
      <c r="AP597" s="27"/>
      <c r="AQ597" s="27"/>
      <c r="AR597" s="27"/>
      <c r="AS597" s="27"/>
      <c r="AT597" s="27"/>
      <c r="AU597" s="27"/>
      <c r="AV597" s="27"/>
      <c r="AW597" s="27"/>
      <c r="AX597" s="27"/>
      <c r="AY597" s="27"/>
      <c r="AZ597" s="27"/>
      <c r="BA597" s="27"/>
      <c r="BB597" s="27"/>
      <c r="BC597" s="27"/>
      <c r="BD597" s="27"/>
      <c r="BE597" s="27"/>
      <c r="BF597" s="27"/>
      <c r="BG597" s="27"/>
      <c r="BH597" s="27"/>
      <c r="BI597" s="27"/>
      <c r="BJ597" s="27"/>
      <c r="BK597" s="27"/>
      <c r="BL597" s="27"/>
      <c r="BM597" s="27"/>
      <c r="BN597" s="27"/>
      <c r="BO597" s="27"/>
      <c r="BP597" s="27"/>
      <c r="BQ597" s="27"/>
      <c r="BR597" s="27"/>
      <c r="BS597" s="27"/>
      <c r="BT597" s="27"/>
      <c r="BU597" s="27"/>
      <c r="BV597" s="27"/>
      <c r="BW597" s="27"/>
      <c r="BX597" s="27"/>
      <c r="BY597" s="27"/>
      <c r="BZ597" s="27"/>
      <c r="CA597" s="27"/>
      <c r="CB597" s="27"/>
      <c r="CC597" s="27"/>
      <c r="CD597" s="27"/>
      <c r="CE597" s="27"/>
      <c r="CF597" s="27"/>
      <c r="CG597" s="27"/>
      <c r="CH597" s="27"/>
      <c r="CI597" s="27"/>
      <c r="CJ597" s="27"/>
      <c r="CK597" s="27"/>
      <c r="CL597" s="27"/>
      <c r="CM597" s="27"/>
      <c r="CN597" s="27"/>
      <c r="CO597" s="27"/>
      <c r="CP597" s="27"/>
      <c r="CQ597" s="27"/>
      <c r="CR597" s="27"/>
      <c r="CS597" s="27"/>
      <c r="CT597" s="27"/>
      <c r="CU597" s="27"/>
      <c r="CV597" s="27"/>
      <c r="CW597" s="27"/>
      <c r="CX597" s="27"/>
      <c r="CY597" s="27"/>
      <c r="CZ597" s="27"/>
      <c r="DA597" s="27"/>
      <c r="DB597" s="27"/>
      <c r="DC597" s="27"/>
      <c r="DD597" s="27"/>
      <c r="DE597" s="27"/>
      <c r="DF597" s="27"/>
      <c r="DG597" s="27"/>
      <c r="DH597" s="27"/>
      <c r="DI597" s="27"/>
      <c r="DJ597" s="27"/>
      <c r="DK597" s="27"/>
      <c r="DL597" s="27"/>
      <c r="DM597" s="27"/>
      <c r="DN597" s="27"/>
      <c r="DO597" s="27"/>
      <c r="DP597" s="27"/>
      <c r="DQ597" s="27"/>
      <c r="DR597" s="27"/>
      <c r="DS597" s="27"/>
      <c r="DT597" s="27"/>
    </row>
    <row r="598" spans="7:124" x14ac:dyDescent="0.2">
      <c r="G598" s="27"/>
      <c r="H598" s="27"/>
      <c r="I598" s="27"/>
      <c r="J598" s="27"/>
      <c r="K598" s="27"/>
      <c r="L598" s="27"/>
      <c r="M598" s="27"/>
      <c r="N598" s="27"/>
      <c r="O598" s="27"/>
      <c r="P598" s="27"/>
      <c r="Q598" s="27"/>
      <c r="R598" s="27"/>
      <c r="S598" s="27"/>
      <c r="T598" s="27"/>
      <c r="U598" s="27"/>
      <c r="V598" s="27"/>
      <c r="W598" s="27"/>
      <c r="X598" s="27"/>
      <c r="Y598" s="27"/>
      <c r="Z598" s="27"/>
      <c r="AA598" s="27"/>
      <c r="AB598" s="27"/>
      <c r="AC598" s="27"/>
      <c r="AD598" s="27"/>
      <c r="AE598" s="27"/>
      <c r="AF598" s="27"/>
      <c r="AG598" s="27"/>
      <c r="AH598" s="27"/>
      <c r="AI598" s="27"/>
      <c r="AJ598" s="27"/>
      <c r="AK598" s="27"/>
      <c r="AL598" s="27"/>
      <c r="AM598" s="27"/>
      <c r="AN598" s="27"/>
      <c r="AO598" s="27"/>
      <c r="AP598" s="27"/>
      <c r="AQ598" s="27"/>
      <c r="AR598" s="27"/>
      <c r="AS598" s="27"/>
      <c r="AT598" s="27"/>
      <c r="AU598" s="27"/>
      <c r="AV598" s="27"/>
      <c r="AW598" s="27"/>
      <c r="AX598" s="27"/>
      <c r="AY598" s="27"/>
      <c r="AZ598" s="27"/>
      <c r="BA598" s="27"/>
      <c r="BB598" s="27"/>
      <c r="BC598" s="27"/>
      <c r="BD598" s="27"/>
      <c r="BE598" s="27"/>
      <c r="BF598" s="27"/>
      <c r="BG598" s="27"/>
      <c r="BH598" s="27"/>
      <c r="BI598" s="27"/>
      <c r="BJ598" s="27"/>
      <c r="BK598" s="27"/>
      <c r="BL598" s="27"/>
      <c r="BM598" s="27"/>
      <c r="BN598" s="27"/>
      <c r="BO598" s="27"/>
      <c r="BP598" s="27"/>
      <c r="BQ598" s="27"/>
      <c r="BR598" s="27"/>
      <c r="BS598" s="27"/>
      <c r="BT598" s="27"/>
      <c r="BU598" s="27"/>
      <c r="BV598" s="27"/>
      <c r="BW598" s="27"/>
      <c r="BX598" s="27"/>
      <c r="BY598" s="27"/>
      <c r="BZ598" s="27"/>
      <c r="CA598" s="27"/>
      <c r="CB598" s="27"/>
      <c r="CC598" s="27"/>
      <c r="CD598" s="27"/>
      <c r="CE598" s="27"/>
      <c r="CF598" s="27"/>
      <c r="CG598" s="27"/>
      <c r="CH598" s="27"/>
      <c r="CI598" s="27"/>
      <c r="CJ598" s="27"/>
      <c r="CK598" s="27"/>
      <c r="CL598" s="27"/>
      <c r="CM598" s="27"/>
      <c r="CN598" s="27"/>
      <c r="CO598" s="27"/>
      <c r="CP598" s="27"/>
      <c r="CQ598" s="27"/>
      <c r="CR598" s="27"/>
      <c r="CS598" s="27"/>
      <c r="CT598" s="27"/>
      <c r="CU598" s="27"/>
      <c r="CV598" s="27"/>
      <c r="CW598" s="27"/>
      <c r="CX598" s="27"/>
      <c r="CY598" s="27"/>
      <c r="CZ598" s="27"/>
      <c r="DA598" s="27"/>
      <c r="DB598" s="27"/>
      <c r="DC598" s="27"/>
      <c r="DD598" s="27"/>
      <c r="DE598" s="27"/>
      <c r="DF598" s="27"/>
      <c r="DG598" s="27"/>
      <c r="DH598" s="27"/>
      <c r="DI598" s="27"/>
      <c r="DJ598" s="27"/>
      <c r="DK598" s="27"/>
      <c r="DL598" s="27"/>
      <c r="DM598" s="27"/>
      <c r="DN598" s="27"/>
      <c r="DO598" s="27"/>
      <c r="DP598" s="27"/>
      <c r="DQ598" s="27"/>
      <c r="DR598" s="27"/>
      <c r="DS598" s="27"/>
      <c r="DT598" s="27"/>
    </row>
    <row r="599" spans="7:124" x14ac:dyDescent="0.2">
      <c r="G599" s="27"/>
      <c r="H599" s="27"/>
      <c r="I599" s="27"/>
      <c r="J599" s="27"/>
      <c r="K599" s="27"/>
      <c r="L599" s="27"/>
      <c r="M599" s="27"/>
      <c r="N599" s="27"/>
      <c r="O599" s="27"/>
      <c r="P599" s="27"/>
      <c r="Q599" s="27"/>
      <c r="R599" s="27"/>
      <c r="S599" s="27"/>
      <c r="T599" s="27"/>
      <c r="U599" s="27"/>
      <c r="V599" s="27"/>
      <c r="W599" s="27"/>
      <c r="X599" s="27"/>
      <c r="Y599" s="27"/>
      <c r="Z599" s="27"/>
      <c r="AA599" s="27"/>
      <c r="AB599" s="27"/>
      <c r="AC599" s="27"/>
      <c r="AD599" s="27"/>
      <c r="AE599" s="27"/>
      <c r="AF599" s="27"/>
      <c r="AG599" s="27"/>
      <c r="AH599" s="27"/>
      <c r="AI599" s="27"/>
      <c r="AJ599" s="27"/>
      <c r="AK599" s="27"/>
      <c r="AL599" s="27"/>
      <c r="AM599" s="27"/>
      <c r="AN599" s="27"/>
      <c r="AO599" s="27"/>
      <c r="AP599" s="27"/>
      <c r="AQ599" s="27"/>
      <c r="AR599" s="27"/>
      <c r="AS599" s="27"/>
      <c r="AT599" s="27"/>
      <c r="AU599" s="27"/>
      <c r="AV599" s="27"/>
      <c r="AW599" s="27"/>
      <c r="AX599" s="27"/>
      <c r="AY599" s="27"/>
      <c r="AZ599" s="27"/>
      <c r="BA599" s="27"/>
      <c r="BB599" s="27"/>
      <c r="BC599" s="27"/>
      <c r="BD599" s="27"/>
      <c r="BE599" s="27"/>
      <c r="BF599" s="27"/>
      <c r="BG599" s="27"/>
      <c r="BH599" s="27"/>
      <c r="BI599" s="27"/>
      <c r="BJ599" s="27"/>
      <c r="BK599" s="27"/>
      <c r="BL599" s="27"/>
      <c r="BM599" s="27"/>
      <c r="BN599" s="27"/>
      <c r="BO599" s="27"/>
      <c r="BP599" s="27"/>
      <c r="BQ599" s="27"/>
      <c r="BR599" s="27"/>
      <c r="BS599" s="27"/>
      <c r="BT599" s="27"/>
      <c r="BU599" s="27"/>
      <c r="BV599" s="27"/>
      <c r="BW599" s="27"/>
      <c r="BX599" s="27"/>
      <c r="BY599" s="27"/>
      <c r="BZ599" s="27"/>
      <c r="CA599" s="27"/>
      <c r="CB599" s="27"/>
      <c r="CC599" s="27"/>
      <c r="CD599" s="27"/>
      <c r="CE599" s="27"/>
      <c r="CF599" s="27"/>
      <c r="CG599" s="27"/>
      <c r="CH599" s="27"/>
      <c r="CI599" s="27"/>
      <c r="CJ599" s="27"/>
      <c r="CK599" s="27"/>
      <c r="CL599" s="27"/>
      <c r="CM599" s="27"/>
      <c r="CN599" s="27"/>
      <c r="CO599" s="27"/>
      <c r="CP599" s="27"/>
      <c r="CQ599" s="27"/>
      <c r="CR599" s="27"/>
      <c r="CS599" s="27"/>
      <c r="CT599" s="27"/>
      <c r="CU599" s="27"/>
      <c r="CV599" s="27"/>
      <c r="CW599" s="27"/>
      <c r="CX599" s="27"/>
      <c r="CY599" s="27"/>
      <c r="CZ599" s="27"/>
      <c r="DA599" s="27"/>
      <c r="DB599" s="27"/>
      <c r="DC599" s="27"/>
      <c r="DD599" s="27"/>
      <c r="DE599" s="27"/>
      <c r="DF599" s="27"/>
      <c r="DG599" s="27"/>
      <c r="DH599" s="27"/>
      <c r="DI599" s="27"/>
      <c r="DJ599" s="27"/>
      <c r="DK599" s="27"/>
      <c r="DL599" s="27"/>
      <c r="DM599" s="27"/>
      <c r="DN599" s="27"/>
      <c r="DO599" s="27"/>
      <c r="DP599" s="27"/>
      <c r="DQ599" s="27"/>
      <c r="DR599" s="27"/>
      <c r="DS599" s="27"/>
      <c r="DT599" s="27"/>
    </row>
    <row r="600" spans="7:124" x14ac:dyDescent="0.2">
      <c r="G600" s="27"/>
      <c r="H600" s="27"/>
      <c r="I600" s="27"/>
      <c r="J600" s="27"/>
      <c r="K600" s="27"/>
      <c r="L600" s="27"/>
      <c r="M600" s="27"/>
      <c r="N600" s="27"/>
      <c r="O600" s="27"/>
      <c r="P600" s="27"/>
      <c r="Q600" s="27"/>
      <c r="R600" s="27"/>
      <c r="S600" s="27"/>
      <c r="T600" s="27"/>
      <c r="U600" s="27"/>
      <c r="V600" s="27"/>
      <c r="W600" s="27"/>
      <c r="X600" s="27"/>
      <c r="Y600" s="27"/>
      <c r="Z600" s="27"/>
      <c r="AA600" s="27"/>
      <c r="AB600" s="27"/>
      <c r="AC600" s="27"/>
      <c r="AD600" s="27"/>
      <c r="AE600" s="27"/>
      <c r="AF600" s="27"/>
      <c r="AG600" s="27"/>
      <c r="AH600" s="27"/>
      <c r="AI600" s="27"/>
      <c r="AJ600" s="27"/>
      <c r="AK600" s="27"/>
      <c r="AL600" s="27"/>
      <c r="AM600" s="27"/>
      <c r="AN600" s="27"/>
      <c r="AO600" s="27"/>
      <c r="AP600" s="27"/>
      <c r="AQ600" s="27"/>
      <c r="AR600" s="27"/>
      <c r="AS600" s="27"/>
      <c r="AT600" s="27"/>
      <c r="AU600" s="27"/>
      <c r="AV600" s="27"/>
      <c r="AW600" s="27"/>
      <c r="AX600" s="27"/>
      <c r="AY600" s="27"/>
      <c r="AZ600" s="27"/>
      <c r="BA600" s="27"/>
      <c r="BB600" s="27"/>
      <c r="BC600" s="27"/>
      <c r="BD600" s="27"/>
      <c r="BE600" s="27"/>
      <c r="BF600" s="27"/>
      <c r="BG600" s="27"/>
      <c r="BH600" s="27"/>
      <c r="BI600" s="27"/>
      <c r="BJ600" s="27"/>
      <c r="BK600" s="27"/>
      <c r="BL600" s="27"/>
      <c r="BM600" s="27"/>
      <c r="BN600" s="27"/>
      <c r="BO600" s="27"/>
      <c r="BP600" s="27"/>
      <c r="BQ600" s="27"/>
      <c r="BR600" s="27"/>
      <c r="BS600" s="27"/>
      <c r="BT600" s="27"/>
      <c r="BU600" s="27"/>
      <c r="BV600" s="27"/>
      <c r="BW600" s="27"/>
      <c r="BX600" s="27"/>
      <c r="BY600" s="27"/>
      <c r="BZ600" s="27"/>
      <c r="CA600" s="27"/>
      <c r="CB600" s="27"/>
      <c r="CC600" s="27"/>
      <c r="CD600" s="27"/>
      <c r="CE600" s="27"/>
      <c r="CF600" s="27"/>
      <c r="CG600" s="27"/>
      <c r="CH600" s="27"/>
      <c r="CI600" s="27"/>
      <c r="CJ600" s="27"/>
      <c r="CK600" s="27"/>
      <c r="CL600" s="27"/>
      <c r="CM600" s="27"/>
      <c r="CN600" s="27"/>
      <c r="CO600" s="27"/>
      <c r="CP600" s="27"/>
      <c r="CQ600" s="27"/>
      <c r="CR600" s="27"/>
      <c r="CS600" s="27"/>
      <c r="CT600" s="27"/>
      <c r="CU600" s="27"/>
      <c r="CV600" s="27"/>
      <c r="CW600" s="27"/>
      <c r="CX600" s="27"/>
      <c r="CY600" s="27"/>
      <c r="CZ600" s="27"/>
      <c r="DA600" s="27"/>
      <c r="DB600" s="27"/>
      <c r="DC600" s="27"/>
      <c r="DD600" s="27"/>
      <c r="DE600" s="27"/>
      <c r="DF600" s="27"/>
      <c r="DG600" s="27"/>
      <c r="DH600" s="27"/>
      <c r="DI600" s="27"/>
      <c r="DJ600" s="27"/>
      <c r="DK600" s="27"/>
      <c r="DL600" s="27"/>
      <c r="DM600" s="27"/>
      <c r="DN600" s="27"/>
      <c r="DO600" s="27"/>
      <c r="DP600" s="27"/>
      <c r="DQ600" s="27"/>
      <c r="DR600" s="27"/>
      <c r="DS600" s="27"/>
      <c r="DT600" s="27"/>
    </row>
    <row r="601" spans="7:124" x14ac:dyDescent="0.2">
      <c r="G601" s="27"/>
      <c r="H601" s="27"/>
      <c r="I601" s="27"/>
      <c r="J601" s="27"/>
      <c r="K601" s="27"/>
      <c r="L601" s="27"/>
      <c r="M601" s="27"/>
      <c r="N601" s="27"/>
      <c r="O601" s="27"/>
      <c r="P601" s="27"/>
      <c r="Q601" s="27"/>
      <c r="R601" s="27"/>
      <c r="S601" s="27"/>
      <c r="T601" s="27"/>
      <c r="U601" s="27"/>
      <c r="V601" s="27"/>
      <c r="W601" s="27"/>
      <c r="X601" s="27"/>
      <c r="Y601" s="27"/>
      <c r="Z601" s="27"/>
      <c r="AA601" s="27"/>
      <c r="AB601" s="27"/>
      <c r="AC601" s="27"/>
      <c r="AD601" s="27"/>
      <c r="AE601" s="27"/>
      <c r="AF601" s="27"/>
      <c r="AG601" s="27"/>
      <c r="AH601" s="27"/>
      <c r="AI601" s="27"/>
      <c r="AJ601" s="27"/>
      <c r="AK601" s="27"/>
      <c r="AL601" s="27"/>
      <c r="AM601" s="27"/>
      <c r="AN601" s="27"/>
      <c r="AO601" s="27"/>
      <c r="AP601" s="27"/>
      <c r="AQ601" s="27"/>
      <c r="AR601" s="27"/>
      <c r="AS601" s="27"/>
      <c r="AT601" s="27"/>
      <c r="AU601" s="27"/>
      <c r="AV601" s="27"/>
      <c r="AW601" s="27"/>
      <c r="AX601" s="27"/>
      <c r="AY601" s="27"/>
      <c r="AZ601" s="27"/>
      <c r="BA601" s="27"/>
      <c r="BB601" s="27"/>
      <c r="BC601" s="27"/>
      <c r="BD601" s="27"/>
      <c r="BE601" s="27"/>
      <c r="BF601" s="27"/>
      <c r="BG601" s="27"/>
      <c r="BH601" s="27"/>
      <c r="BI601" s="27"/>
      <c r="BJ601" s="27"/>
      <c r="BK601" s="27"/>
      <c r="BL601" s="27"/>
      <c r="BM601" s="27"/>
      <c r="BN601" s="27"/>
      <c r="BO601" s="27"/>
      <c r="BP601" s="27"/>
      <c r="BQ601" s="27"/>
      <c r="BR601" s="27"/>
      <c r="BS601" s="27"/>
      <c r="BT601" s="27"/>
      <c r="BU601" s="27"/>
      <c r="BV601" s="27"/>
      <c r="BW601" s="27"/>
      <c r="BX601" s="27"/>
      <c r="BY601" s="27"/>
      <c r="BZ601" s="27"/>
      <c r="CA601" s="27"/>
      <c r="CB601" s="27"/>
      <c r="CC601" s="27"/>
      <c r="CD601" s="27"/>
      <c r="CE601" s="27"/>
      <c r="CF601" s="27"/>
      <c r="CG601" s="27"/>
      <c r="CH601" s="27"/>
      <c r="CI601" s="27"/>
      <c r="CJ601" s="27"/>
      <c r="CK601" s="27"/>
      <c r="CL601" s="27"/>
      <c r="CM601" s="27"/>
      <c r="CN601" s="27"/>
      <c r="CO601" s="27"/>
      <c r="CP601" s="27"/>
      <c r="CQ601" s="27"/>
      <c r="CR601" s="27"/>
      <c r="CS601" s="27"/>
      <c r="CT601" s="27"/>
      <c r="CU601" s="27"/>
      <c r="CV601" s="27"/>
      <c r="CW601" s="27"/>
      <c r="CX601" s="27"/>
      <c r="CY601" s="27"/>
      <c r="CZ601" s="27"/>
      <c r="DA601" s="27"/>
      <c r="DB601" s="27"/>
      <c r="DC601" s="27"/>
      <c r="DD601" s="27"/>
      <c r="DE601" s="27"/>
      <c r="DF601" s="27"/>
      <c r="DG601" s="27"/>
      <c r="DH601" s="27"/>
      <c r="DI601" s="27"/>
      <c r="DJ601" s="27"/>
      <c r="DK601" s="27"/>
      <c r="DL601" s="27"/>
      <c r="DM601" s="27"/>
      <c r="DN601" s="27"/>
      <c r="DO601" s="27"/>
      <c r="DP601" s="27"/>
      <c r="DQ601" s="27"/>
      <c r="DR601" s="27"/>
      <c r="DS601" s="27"/>
      <c r="DT601" s="27"/>
    </row>
    <row r="602" spans="7:124" x14ac:dyDescent="0.2">
      <c r="G602" s="27"/>
      <c r="H602" s="27"/>
      <c r="I602" s="27"/>
      <c r="J602" s="27"/>
      <c r="K602" s="27"/>
      <c r="L602" s="27"/>
      <c r="M602" s="27"/>
      <c r="N602" s="27"/>
      <c r="O602" s="27"/>
      <c r="P602" s="27"/>
      <c r="Q602" s="27"/>
      <c r="R602" s="27"/>
      <c r="S602" s="27"/>
      <c r="T602" s="27"/>
      <c r="U602" s="27"/>
      <c r="V602" s="27"/>
      <c r="W602" s="27"/>
      <c r="X602" s="27"/>
      <c r="Y602" s="27"/>
      <c r="Z602" s="27"/>
      <c r="AA602" s="27"/>
      <c r="AB602" s="27"/>
      <c r="AC602" s="27"/>
      <c r="AD602" s="27"/>
      <c r="AE602" s="27"/>
      <c r="AF602" s="27"/>
      <c r="AG602" s="27"/>
      <c r="AH602" s="27"/>
      <c r="AI602" s="27"/>
      <c r="AJ602" s="27"/>
      <c r="AK602" s="27"/>
      <c r="AL602" s="27"/>
      <c r="AM602" s="27"/>
      <c r="AN602" s="27"/>
      <c r="AO602" s="27"/>
      <c r="AP602" s="27"/>
      <c r="AQ602" s="27"/>
      <c r="AR602" s="27"/>
      <c r="AS602" s="27"/>
      <c r="AT602" s="27"/>
      <c r="AU602" s="27"/>
      <c r="AV602" s="27"/>
      <c r="AW602" s="27"/>
      <c r="AX602" s="27"/>
      <c r="AY602" s="27"/>
      <c r="AZ602" s="27"/>
      <c r="BA602" s="27"/>
      <c r="BB602" s="27"/>
      <c r="BC602" s="27"/>
      <c r="BD602" s="27"/>
      <c r="BE602" s="27"/>
      <c r="BF602" s="27"/>
      <c r="BG602" s="27"/>
      <c r="BH602" s="27"/>
      <c r="BI602" s="27"/>
      <c r="BJ602" s="27"/>
      <c r="BK602" s="27"/>
      <c r="BL602" s="27"/>
      <c r="BM602" s="27"/>
      <c r="BN602" s="27"/>
      <c r="BO602" s="27"/>
      <c r="BP602" s="27"/>
      <c r="BQ602" s="27"/>
      <c r="BR602" s="27"/>
      <c r="BS602" s="27"/>
      <c r="BT602" s="27"/>
      <c r="BU602" s="27"/>
      <c r="BV602" s="27"/>
      <c r="BW602" s="27"/>
      <c r="BX602" s="27"/>
      <c r="BY602" s="27"/>
      <c r="BZ602" s="27"/>
      <c r="CA602" s="27"/>
      <c r="CB602" s="27"/>
      <c r="CC602" s="27"/>
      <c r="CD602" s="27"/>
      <c r="CE602" s="27"/>
      <c r="CF602" s="27"/>
      <c r="CG602" s="27"/>
      <c r="CH602" s="27"/>
      <c r="CI602" s="27"/>
      <c r="CJ602" s="27"/>
      <c r="CK602" s="27"/>
      <c r="CL602" s="27"/>
      <c r="CM602" s="27"/>
      <c r="CN602" s="27"/>
      <c r="CO602" s="27"/>
      <c r="CP602" s="27"/>
      <c r="CQ602" s="27"/>
      <c r="CR602" s="27"/>
      <c r="CS602" s="27"/>
      <c r="CT602" s="27"/>
      <c r="CU602" s="27"/>
      <c r="CV602" s="27"/>
      <c r="CW602" s="27"/>
      <c r="CX602" s="27"/>
      <c r="CY602" s="27"/>
      <c r="CZ602" s="27"/>
      <c r="DA602" s="27"/>
      <c r="DB602" s="27"/>
      <c r="DC602" s="27"/>
      <c r="DD602" s="27"/>
      <c r="DE602" s="27"/>
      <c r="DF602" s="27"/>
      <c r="DG602" s="27"/>
      <c r="DH602" s="27"/>
      <c r="DI602" s="27"/>
      <c r="DJ602" s="27"/>
      <c r="DK602" s="27"/>
      <c r="DL602" s="27"/>
      <c r="DM602" s="27"/>
      <c r="DN602" s="27"/>
      <c r="DO602" s="27"/>
      <c r="DP602" s="27"/>
      <c r="DQ602" s="27"/>
      <c r="DR602" s="27"/>
      <c r="DS602" s="27"/>
      <c r="DT602" s="27"/>
    </row>
    <row r="603" spans="7:124" x14ac:dyDescent="0.2">
      <c r="G603" s="27"/>
      <c r="H603" s="27"/>
      <c r="I603" s="27"/>
      <c r="J603" s="27"/>
      <c r="K603" s="27"/>
      <c r="L603" s="27"/>
      <c r="M603" s="27"/>
      <c r="N603" s="27"/>
      <c r="O603" s="27"/>
      <c r="P603" s="27"/>
      <c r="Q603" s="27"/>
      <c r="R603" s="27"/>
      <c r="S603" s="27"/>
      <c r="T603" s="27"/>
      <c r="U603" s="27"/>
      <c r="V603" s="27"/>
      <c r="W603" s="27"/>
      <c r="X603" s="27"/>
      <c r="Y603" s="27"/>
      <c r="Z603" s="27"/>
      <c r="AA603" s="27"/>
      <c r="AB603" s="27"/>
      <c r="AC603" s="27"/>
      <c r="AD603" s="27"/>
      <c r="AE603" s="27"/>
      <c r="AF603" s="27"/>
      <c r="AG603" s="27"/>
      <c r="AH603" s="27"/>
      <c r="AI603" s="27"/>
      <c r="AJ603" s="27"/>
      <c r="AK603" s="27"/>
      <c r="AL603" s="27"/>
      <c r="AM603" s="27"/>
      <c r="AN603" s="27"/>
      <c r="AO603" s="27"/>
      <c r="AP603" s="27"/>
      <c r="AQ603" s="27"/>
      <c r="AR603" s="27"/>
      <c r="AS603" s="27"/>
      <c r="AT603" s="27"/>
      <c r="AU603" s="27"/>
      <c r="AV603" s="27"/>
      <c r="AW603" s="27"/>
      <c r="AX603" s="27"/>
      <c r="AY603" s="27"/>
      <c r="AZ603" s="27"/>
      <c r="BA603" s="27"/>
      <c r="BB603" s="27"/>
      <c r="BC603" s="27"/>
      <c r="BD603" s="27"/>
      <c r="BE603" s="27"/>
      <c r="BF603" s="27"/>
      <c r="BG603" s="27"/>
      <c r="BH603" s="27"/>
      <c r="BI603" s="27"/>
      <c r="BJ603" s="27"/>
      <c r="BK603" s="27"/>
      <c r="BL603" s="27"/>
      <c r="BM603" s="27"/>
      <c r="BN603" s="27"/>
      <c r="BO603" s="27"/>
      <c r="BP603" s="27"/>
      <c r="BQ603" s="27"/>
      <c r="BR603" s="27"/>
      <c r="BS603" s="27"/>
      <c r="BT603" s="27"/>
      <c r="BU603" s="27"/>
      <c r="BV603" s="27"/>
      <c r="BW603" s="27"/>
      <c r="BX603" s="27"/>
      <c r="BY603" s="27"/>
      <c r="BZ603" s="27"/>
      <c r="CA603" s="27"/>
      <c r="CB603" s="27"/>
      <c r="CC603" s="27"/>
      <c r="CD603" s="27"/>
      <c r="CE603" s="27"/>
      <c r="CF603" s="27"/>
      <c r="CG603" s="27"/>
      <c r="CH603" s="27"/>
      <c r="CI603" s="27"/>
      <c r="CJ603" s="27"/>
      <c r="CK603" s="27"/>
      <c r="CL603" s="27"/>
      <c r="CM603" s="27"/>
      <c r="CN603" s="27"/>
      <c r="CO603" s="27"/>
      <c r="CP603" s="27"/>
      <c r="CQ603" s="27"/>
      <c r="CR603" s="27"/>
      <c r="CS603" s="27"/>
      <c r="CT603" s="27"/>
      <c r="CU603" s="27"/>
      <c r="CV603" s="27"/>
      <c r="CW603" s="27"/>
      <c r="CX603" s="27"/>
      <c r="CY603" s="27"/>
      <c r="CZ603" s="27"/>
      <c r="DA603" s="27"/>
      <c r="DB603" s="27"/>
      <c r="DC603" s="27"/>
      <c r="DD603" s="27"/>
      <c r="DE603" s="27"/>
      <c r="DF603" s="27"/>
      <c r="DG603" s="27"/>
      <c r="DH603" s="27"/>
      <c r="DI603" s="27"/>
      <c r="DJ603" s="27"/>
      <c r="DK603" s="27"/>
      <c r="DL603" s="27"/>
      <c r="DM603" s="27"/>
      <c r="DN603" s="27"/>
      <c r="DO603" s="27"/>
      <c r="DP603" s="27"/>
      <c r="DQ603" s="27"/>
      <c r="DR603" s="27"/>
      <c r="DS603" s="27"/>
      <c r="DT603" s="27"/>
    </row>
    <row r="604" spans="7:124" x14ac:dyDescent="0.2">
      <c r="G604" s="27"/>
      <c r="H604" s="27"/>
      <c r="I604" s="27"/>
      <c r="J604" s="27"/>
      <c r="K604" s="27"/>
      <c r="L604" s="27"/>
      <c r="M604" s="27"/>
      <c r="N604" s="27"/>
      <c r="O604" s="27"/>
      <c r="P604" s="27"/>
      <c r="Q604" s="27"/>
      <c r="R604" s="27"/>
      <c r="S604" s="27"/>
      <c r="T604" s="27"/>
      <c r="U604" s="27"/>
      <c r="V604" s="27"/>
      <c r="W604" s="27"/>
      <c r="X604" s="27"/>
      <c r="Y604" s="27"/>
      <c r="Z604" s="27"/>
      <c r="AA604" s="27"/>
      <c r="AB604" s="27"/>
      <c r="AC604" s="27"/>
      <c r="AD604" s="27"/>
      <c r="AE604" s="27"/>
      <c r="AF604" s="27"/>
      <c r="AG604" s="27"/>
      <c r="AH604" s="27"/>
      <c r="AI604" s="27"/>
      <c r="AJ604" s="27"/>
      <c r="AK604" s="27"/>
      <c r="AL604" s="27"/>
      <c r="AM604" s="27"/>
      <c r="AN604" s="27"/>
      <c r="AO604" s="27"/>
      <c r="AP604" s="27"/>
      <c r="AQ604" s="27"/>
      <c r="AR604" s="27"/>
      <c r="AS604" s="27"/>
      <c r="AT604" s="27"/>
      <c r="AU604" s="27"/>
      <c r="AV604" s="27"/>
      <c r="AW604" s="27"/>
      <c r="AX604" s="27"/>
      <c r="AY604" s="27"/>
      <c r="AZ604" s="27"/>
      <c r="BA604" s="27"/>
      <c r="BB604" s="27"/>
      <c r="BC604" s="27"/>
      <c r="BD604" s="27"/>
      <c r="BE604" s="27"/>
      <c r="BF604" s="27"/>
      <c r="BG604" s="27"/>
      <c r="BH604" s="27"/>
      <c r="BI604" s="27"/>
      <c r="BJ604" s="27"/>
      <c r="BK604" s="27"/>
      <c r="BL604" s="27"/>
      <c r="BM604" s="27"/>
      <c r="BN604" s="27"/>
      <c r="BO604" s="27"/>
      <c r="BP604" s="27"/>
      <c r="BQ604" s="27"/>
      <c r="BR604" s="27"/>
      <c r="BS604" s="27"/>
      <c r="BT604" s="27"/>
      <c r="BU604" s="27"/>
      <c r="BV604" s="27"/>
      <c r="BW604" s="27"/>
      <c r="BX604" s="27"/>
      <c r="BY604" s="27"/>
      <c r="BZ604" s="27"/>
      <c r="CA604" s="27"/>
      <c r="CB604" s="27"/>
      <c r="CC604" s="27"/>
      <c r="CD604" s="27"/>
      <c r="CE604" s="27"/>
      <c r="CF604" s="27"/>
      <c r="CG604" s="27"/>
      <c r="CH604" s="27"/>
      <c r="CI604" s="27"/>
      <c r="CJ604" s="27"/>
      <c r="CK604" s="27"/>
      <c r="CL604" s="27"/>
      <c r="CM604" s="27"/>
      <c r="CN604" s="27"/>
      <c r="CO604" s="27"/>
      <c r="CP604" s="27"/>
      <c r="CQ604" s="27"/>
      <c r="CR604" s="27"/>
      <c r="CS604" s="27"/>
      <c r="CT604" s="27"/>
      <c r="CU604" s="27"/>
      <c r="CV604" s="27"/>
      <c r="CW604" s="27"/>
      <c r="CX604" s="27"/>
      <c r="CY604" s="27"/>
      <c r="CZ604" s="27"/>
      <c r="DA604" s="27"/>
      <c r="DB604" s="27"/>
      <c r="DC604" s="27"/>
      <c r="DD604" s="27"/>
      <c r="DE604" s="27"/>
      <c r="DF604" s="27"/>
      <c r="DG604" s="27"/>
      <c r="DH604" s="27"/>
      <c r="DI604" s="27"/>
      <c r="DJ604" s="27"/>
      <c r="DK604" s="27"/>
      <c r="DL604" s="27"/>
      <c r="DM604" s="27"/>
      <c r="DN604" s="27"/>
      <c r="DO604" s="27"/>
      <c r="DP604" s="27"/>
      <c r="DQ604" s="27"/>
      <c r="DR604" s="27"/>
      <c r="DS604" s="27"/>
      <c r="DT604" s="27"/>
    </row>
    <row r="605" spans="7:124" x14ac:dyDescent="0.2">
      <c r="G605" s="27"/>
      <c r="H605" s="27"/>
      <c r="I605" s="27"/>
      <c r="J605" s="27"/>
      <c r="K605" s="27"/>
      <c r="L605" s="27"/>
      <c r="M605" s="27"/>
      <c r="N605" s="27"/>
      <c r="O605" s="27"/>
      <c r="P605" s="27"/>
      <c r="Q605" s="27"/>
      <c r="R605" s="27"/>
      <c r="S605" s="27"/>
      <c r="T605" s="27"/>
      <c r="U605" s="27"/>
      <c r="V605" s="27"/>
      <c r="W605" s="27"/>
      <c r="X605" s="27"/>
      <c r="Y605" s="27"/>
      <c r="Z605" s="27"/>
      <c r="AA605" s="27"/>
      <c r="AB605" s="27"/>
      <c r="AC605" s="27"/>
      <c r="AD605" s="27"/>
      <c r="AE605" s="27"/>
      <c r="AF605" s="27"/>
      <c r="AG605" s="27"/>
      <c r="AH605" s="27"/>
      <c r="AI605" s="27"/>
      <c r="AJ605" s="27"/>
      <c r="AK605" s="27"/>
      <c r="AL605" s="27"/>
      <c r="AM605" s="27"/>
      <c r="AN605" s="27"/>
      <c r="AO605" s="27"/>
      <c r="AP605" s="27"/>
      <c r="AQ605" s="27"/>
      <c r="AR605" s="27"/>
      <c r="AS605" s="27"/>
      <c r="AT605" s="27"/>
      <c r="AU605" s="27"/>
      <c r="AV605" s="27"/>
      <c r="AW605" s="27"/>
      <c r="AX605" s="27"/>
      <c r="AY605" s="27"/>
      <c r="AZ605" s="27"/>
      <c r="BA605" s="27"/>
      <c r="BB605" s="27"/>
      <c r="BC605" s="27"/>
      <c r="BD605" s="27"/>
      <c r="BE605" s="27"/>
      <c r="BF605" s="27"/>
      <c r="BG605" s="27"/>
      <c r="BH605" s="27"/>
      <c r="BI605" s="27"/>
      <c r="BJ605" s="27"/>
      <c r="BK605" s="27"/>
      <c r="BL605" s="27"/>
      <c r="BM605" s="27"/>
      <c r="BN605" s="27"/>
      <c r="BO605" s="27"/>
      <c r="BP605" s="27"/>
      <c r="BQ605" s="27"/>
      <c r="BR605" s="27"/>
      <c r="BS605" s="27"/>
      <c r="BT605" s="27"/>
      <c r="BU605" s="27"/>
      <c r="BV605" s="27"/>
      <c r="BW605" s="27"/>
      <c r="BX605" s="27"/>
      <c r="BY605" s="27"/>
      <c r="BZ605" s="27"/>
      <c r="CA605" s="27"/>
      <c r="CB605" s="27"/>
      <c r="CC605" s="27"/>
      <c r="CD605" s="27"/>
      <c r="CE605" s="27"/>
      <c r="CF605" s="27"/>
      <c r="CG605" s="27"/>
      <c r="CH605" s="27"/>
      <c r="CI605" s="27"/>
      <c r="CJ605" s="27"/>
      <c r="CK605" s="27"/>
      <c r="CL605" s="27"/>
      <c r="CM605" s="27"/>
      <c r="CN605" s="27"/>
      <c r="CO605" s="27"/>
      <c r="CP605" s="27"/>
      <c r="CQ605" s="27"/>
      <c r="CR605" s="27"/>
      <c r="CS605" s="27"/>
      <c r="CT605" s="27"/>
      <c r="CU605" s="27"/>
      <c r="CV605" s="27"/>
      <c r="CW605" s="27"/>
      <c r="CX605" s="27"/>
      <c r="CY605" s="27"/>
      <c r="CZ605" s="27"/>
      <c r="DA605" s="27"/>
      <c r="DB605" s="27"/>
      <c r="DC605" s="27"/>
      <c r="DD605" s="27"/>
      <c r="DE605" s="27"/>
      <c r="DF605" s="27"/>
      <c r="DG605" s="27"/>
      <c r="DH605" s="27"/>
      <c r="DI605" s="27"/>
      <c r="DJ605" s="27"/>
      <c r="DK605" s="27"/>
      <c r="DL605" s="27"/>
      <c r="DM605" s="27"/>
      <c r="DN605" s="27"/>
      <c r="DO605" s="27"/>
      <c r="DP605" s="27"/>
      <c r="DQ605" s="27"/>
      <c r="DR605" s="27"/>
      <c r="DS605" s="27"/>
      <c r="DT605" s="27"/>
    </row>
    <row r="606" spans="7:124" x14ac:dyDescent="0.2">
      <c r="G606" s="27"/>
      <c r="H606" s="27"/>
      <c r="I606" s="27"/>
      <c r="J606" s="27"/>
      <c r="K606" s="27"/>
      <c r="L606" s="27"/>
      <c r="M606" s="27"/>
      <c r="N606" s="27"/>
      <c r="O606" s="27"/>
      <c r="P606" s="27"/>
      <c r="Q606" s="27"/>
      <c r="R606" s="27"/>
      <c r="S606" s="27"/>
      <c r="T606" s="27"/>
      <c r="U606" s="27"/>
      <c r="V606" s="27"/>
      <c r="W606" s="27"/>
      <c r="X606" s="27"/>
      <c r="Y606" s="27"/>
      <c r="Z606" s="27"/>
      <c r="AA606" s="27"/>
      <c r="AB606" s="27"/>
      <c r="AC606" s="27"/>
      <c r="AD606" s="27"/>
      <c r="AE606" s="27"/>
      <c r="AF606" s="27"/>
      <c r="AG606" s="27"/>
      <c r="AH606" s="27"/>
      <c r="AI606" s="27"/>
      <c r="AJ606" s="27"/>
      <c r="AK606" s="27"/>
      <c r="AL606" s="27"/>
      <c r="AM606" s="27"/>
      <c r="AN606" s="27"/>
      <c r="AO606" s="27"/>
      <c r="AP606" s="27"/>
      <c r="AQ606" s="27"/>
      <c r="AR606" s="27"/>
      <c r="AS606" s="27"/>
      <c r="AT606" s="27"/>
      <c r="AU606" s="27"/>
      <c r="AV606" s="27"/>
      <c r="AW606" s="27"/>
      <c r="AX606" s="27"/>
      <c r="AY606" s="27"/>
      <c r="AZ606" s="27"/>
      <c r="BA606" s="27"/>
      <c r="BB606" s="27"/>
      <c r="BC606" s="27"/>
      <c r="BD606" s="27"/>
      <c r="BE606" s="27"/>
      <c r="BF606" s="27"/>
      <c r="BG606" s="27"/>
      <c r="BH606" s="27"/>
      <c r="BI606" s="27"/>
      <c r="BJ606" s="27"/>
      <c r="BK606" s="27"/>
      <c r="BL606" s="27"/>
      <c r="BM606" s="27"/>
      <c r="BN606" s="27"/>
      <c r="BO606" s="27"/>
      <c r="BP606" s="27"/>
      <c r="BQ606" s="27"/>
      <c r="BR606" s="27"/>
      <c r="BS606" s="27"/>
      <c r="BT606" s="27"/>
      <c r="BU606" s="27"/>
      <c r="BV606" s="27"/>
      <c r="BW606" s="27"/>
      <c r="BX606" s="27"/>
      <c r="BY606" s="27"/>
      <c r="BZ606" s="27"/>
      <c r="CA606" s="27"/>
      <c r="CB606" s="27"/>
      <c r="CC606" s="27"/>
      <c r="CD606" s="27"/>
      <c r="CE606" s="27"/>
      <c r="CF606" s="27"/>
      <c r="CG606" s="27"/>
      <c r="CH606" s="27"/>
      <c r="CI606" s="27"/>
      <c r="CJ606" s="27"/>
      <c r="CK606" s="27"/>
      <c r="CL606" s="27"/>
      <c r="CM606" s="27"/>
      <c r="CN606" s="27"/>
      <c r="CO606" s="27"/>
      <c r="CP606" s="27"/>
      <c r="CQ606" s="27"/>
      <c r="CR606" s="27"/>
      <c r="CS606" s="27"/>
      <c r="CT606" s="27"/>
      <c r="CU606" s="27"/>
      <c r="CV606" s="27"/>
      <c r="CW606" s="27"/>
      <c r="CX606" s="27"/>
      <c r="CY606" s="27"/>
      <c r="CZ606" s="27"/>
      <c r="DA606" s="27"/>
      <c r="DB606" s="27"/>
      <c r="DC606" s="27"/>
      <c r="DD606" s="27"/>
      <c r="DE606" s="27"/>
      <c r="DF606" s="27"/>
      <c r="DG606" s="27"/>
      <c r="DH606" s="27"/>
      <c r="DI606" s="27"/>
      <c r="DJ606" s="27"/>
      <c r="DK606" s="27"/>
      <c r="DL606" s="27"/>
      <c r="DM606" s="27"/>
      <c r="DN606" s="27"/>
      <c r="DO606" s="27"/>
      <c r="DP606" s="27"/>
      <c r="DQ606" s="27"/>
      <c r="DR606" s="27"/>
      <c r="DS606" s="27"/>
      <c r="DT606" s="27"/>
    </row>
    <row r="607" spans="7:124" x14ac:dyDescent="0.2">
      <c r="G607" s="27"/>
      <c r="H607" s="27"/>
      <c r="I607" s="27"/>
      <c r="J607" s="27"/>
      <c r="K607" s="27"/>
      <c r="L607" s="27"/>
      <c r="M607" s="27"/>
      <c r="N607" s="27"/>
      <c r="O607" s="27"/>
      <c r="P607" s="27"/>
      <c r="Q607" s="27"/>
      <c r="R607" s="27"/>
      <c r="S607" s="27"/>
      <c r="T607" s="27"/>
      <c r="U607" s="27"/>
      <c r="V607" s="27"/>
      <c r="W607" s="27"/>
      <c r="X607" s="27"/>
      <c r="Y607" s="27"/>
      <c r="Z607" s="27"/>
      <c r="AA607" s="27"/>
      <c r="AB607" s="27"/>
      <c r="AC607" s="27"/>
      <c r="AD607" s="27"/>
      <c r="AE607" s="27"/>
      <c r="AF607" s="27"/>
      <c r="AG607" s="27"/>
      <c r="AH607" s="27"/>
      <c r="AI607" s="27"/>
      <c r="AJ607" s="27"/>
      <c r="AK607" s="27"/>
      <c r="AL607" s="27"/>
      <c r="AM607" s="27"/>
      <c r="AN607" s="27"/>
      <c r="AO607" s="27"/>
      <c r="AP607" s="27"/>
      <c r="AQ607" s="27"/>
      <c r="AR607" s="27"/>
      <c r="AS607" s="27"/>
      <c r="AT607" s="27"/>
      <c r="AU607" s="27"/>
      <c r="AV607" s="27"/>
      <c r="AW607" s="27"/>
      <c r="AX607" s="27"/>
      <c r="AY607" s="27"/>
      <c r="AZ607" s="27"/>
      <c r="BA607" s="27"/>
      <c r="BB607" s="27"/>
      <c r="BC607" s="27"/>
      <c r="BD607" s="27"/>
      <c r="BE607" s="27"/>
      <c r="BF607" s="27"/>
      <c r="BG607" s="27"/>
      <c r="BH607" s="27"/>
      <c r="BI607" s="27"/>
      <c r="BJ607" s="27"/>
      <c r="BK607" s="27"/>
      <c r="BL607" s="27"/>
      <c r="BM607" s="27"/>
      <c r="BN607" s="27"/>
      <c r="BO607" s="27"/>
      <c r="BP607" s="27"/>
      <c r="BQ607" s="27"/>
      <c r="BR607" s="27"/>
      <c r="BS607" s="27"/>
      <c r="BT607" s="27"/>
      <c r="BU607" s="27"/>
      <c r="BV607" s="27"/>
      <c r="BW607" s="27"/>
      <c r="BX607" s="27"/>
      <c r="BY607" s="27"/>
      <c r="BZ607" s="27"/>
      <c r="CA607" s="27"/>
      <c r="CB607" s="27"/>
      <c r="CC607" s="27"/>
      <c r="CD607" s="27"/>
      <c r="CE607" s="27"/>
      <c r="CF607" s="27"/>
      <c r="CG607" s="27"/>
      <c r="CH607" s="27"/>
      <c r="CI607" s="27"/>
      <c r="CJ607" s="27"/>
      <c r="CK607" s="27"/>
      <c r="CL607" s="27"/>
      <c r="CM607" s="27"/>
      <c r="CN607" s="27"/>
      <c r="CO607" s="27"/>
      <c r="CP607" s="27"/>
      <c r="CQ607" s="27"/>
      <c r="CR607" s="27"/>
      <c r="CS607" s="27"/>
      <c r="CT607" s="27"/>
      <c r="CU607" s="27"/>
      <c r="CV607" s="27"/>
      <c r="CW607" s="27"/>
      <c r="CX607" s="27"/>
      <c r="CY607" s="27"/>
      <c r="CZ607" s="27"/>
      <c r="DA607" s="27"/>
      <c r="DB607" s="27"/>
      <c r="DC607" s="27"/>
      <c r="DD607" s="27"/>
      <c r="DE607" s="27"/>
      <c r="DF607" s="27"/>
      <c r="DG607" s="27"/>
      <c r="DH607" s="27"/>
      <c r="DI607" s="27"/>
      <c r="DJ607" s="27"/>
      <c r="DK607" s="27"/>
      <c r="DL607" s="27"/>
      <c r="DM607" s="27"/>
      <c r="DN607" s="27"/>
      <c r="DO607" s="27"/>
      <c r="DP607" s="27"/>
      <c r="DQ607" s="27"/>
      <c r="DR607" s="27"/>
      <c r="DS607" s="27"/>
      <c r="DT607" s="27"/>
    </row>
    <row r="608" spans="7:124" x14ac:dyDescent="0.2">
      <c r="G608" s="27"/>
      <c r="H608" s="27"/>
      <c r="I608" s="27"/>
      <c r="J608" s="27"/>
      <c r="K608" s="27"/>
      <c r="L608" s="27"/>
      <c r="M608" s="27"/>
      <c r="N608" s="27"/>
      <c r="O608" s="27"/>
      <c r="P608" s="27"/>
      <c r="Q608" s="27"/>
      <c r="R608" s="27"/>
      <c r="S608" s="27"/>
      <c r="T608" s="27"/>
      <c r="U608" s="27"/>
      <c r="V608" s="27"/>
      <c r="W608" s="27"/>
      <c r="X608" s="27"/>
      <c r="Y608" s="27"/>
      <c r="Z608" s="27"/>
      <c r="AA608" s="27"/>
      <c r="AB608" s="27"/>
      <c r="AC608" s="27"/>
      <c r="AD608" s="27"/>
      <c r="AE608" s="27"/>
      <c r="AF608" s="27"/>
      <c r="AG608" s="27"/>
      <c r="AH608" s="27"/>
      <c r="AI608" s="27"/>
      <c r="AJ608" s="27"/>
      <c r="AK608" s="27"/>
      <c r="AL608" s="27"/>
      <c r="AM608" s="27"/>
      <c r="AN608" s="27"/>
      <c r="AO608" s="27"/>
      <c r="AP608" s="27"/>
      <c r="AQ608" s="27"/>
      <c r="AR608" s="27"/>
      <c r="AS608" s="27"/>
      <c r="AT608" s="27"/>
      <c r="AU608" s="27"/>
      <c r="AV608" s="27"/>
      <c r="AW608" s="27"/>
      <c r="AX608" s="27"/>
      <c r="AY608" s="27"/>
      <c r="AZ608" s="27"/>
      <c r="BA608" s="27"/>
      <c r="BB608" s="27"/>
      <c r="BC608" s="27"/>
      <c r="BD608" s="27"/>
      <c r="BE608" s="27"/>
      <c r="BF608" s="27"/>
      <c r="BG608" s="27"/>
      <c r="BH608" s="27"/>
      <c r="BI608" s="27"/>
      <c r="BJ608" s="27"/>
      <c r="BK608" s="27"/>
      <c r="BL608" s="27"/>
      <c r="BM608" s="27"/>
      <c r="BN608" s="27"/>
      <c r="BO608" s="27"/>
      <c r="BP608" s="27"/>
      <c r="BQ608" s="27"/>
      <c r="BR608" s="27"/>
      <c r="BS608" s="27"/>
      <c r="BT608" s="27"/>
      <c r="BU608" s="27"/>
      <c r="BV608" s="27"/>
      <c r="BW608" s="27"/>
      <c r="BX608" s="27"/>
      <c r="BY608" s="27"/>
      <c r="BZ608" s="27"/>
      <c r="CA608" s="27"/>
      <c r="CB608" s="27"/>
      <c r="CC608" s="27"/>
      <c r="CD608" s="27"/>
      <c r="CE608" s="27"/>
      <c r="CF608" s="27"/>
      <c r="CG608" s="27"/>
      <c r="CH608" s="27"/>
      <c r="CI608" s="27"/>
      <c r="CJ608" s="27"/>
      <c r="CK608" s="27"/>
      <c r="CL608" s="27"/>
      <c r="CM608" s="27"/>
      <c r="CN608" s="27"/>
      <c r="CO608" s="27"/>
      <c r="CP608" s="27"/>
      <c r="CQ608" s="27"/>
      <c r="CR608" s="27"/>
      <c r="CS608" s="27"/>
      <c r="CT608" s="27"/>
      <c r="CU608" s="27"/>
      <c r="CV608" s="27"/>
      <c r="CW608" s="27"/>
      <c r="CX608" s="27"/>
      <c r="CY608" s="27"/>
      <c r="CZ608" s="27"/>
      <c r="DA608" s="27"/>
      <c r="DB608" s="27"/>
      <c r="DC608" s="27"/>
      <c r="DD608" s="27"/>
      <c r="DE608" s="27"/>
      <c r="DF608" s="27"/>
      <c r="DG608" s="27"/>
      <c r="DH608" s="27"/>
      <c r="DI608" s="27"/>
      <c r="DJ608" s="27"/>
      <c r="DK608" s="27"/>
      <c r="DL608" s="27"/>
      <c r="DM608" s="27"/>
      <c r="DN608" s="27"/>
      <c r="DO608" s="27"/>
      <c r="DP608" s="27"/>
      <c r="DQ608" s="27"/>
      <c r="DR608" s="27"/>
      <c r="DS608" s="27"/>
      <c r="DT608" s="27"/>
    </row>
    <row r="609" spans="7:124" x14ac:dyDescent="0.2">
      <c r="G609" s="27"/>
      <c r="H609" s="27"/>
      <c r="I609" s="27"/>
      <c r="J609" s="27"/>
      <c r="K609" s="27"/>
      <c r="L609" s="27"/>
      <c r="M609" s="27"/>
      <c r="N609" s="27"/>
      <c r="O609" s="27"/>
      <c r="P609" s="27"/>
      <c r="Q609" s="27"/>
      <c r="R609" s="27"/>
      <c r="S609" s="27"/>
      <c r="T609" s="27"/>
      <c r="U609" s="27"/>
      <c r="V609" s="27"/>
      <c r="W609" s="27"/>
      <c r="X609" s="27"/>
      <c r="Y609" s="27"/>
      <c r="Z609" s="27"/>
      <c r="AA609" s="27"/>
      <c r="AB609" s="27"/>
      <c r="AC609" s="27"/>
      <c r="AD609" s="27"/>
      <c r="AE609" s="27"/>
      <c r="AF609" s="27"/>
      <c r="AG609" s="27"/>
      <c r="AH609" s="27"/>
      <c r="AI609" s="27"/>
      <c r="AJ609" s="27"/>
      <c r="AK609" s="27"/>
      <c r="AL609" s="27"/>
      <c r="AM609" s="27"/>
      <c r="AN609" s="27"/>
      <c r="AO609" s="27"/>
      <c r="AP609" s="27"/>
      <c r="AQ609" s="27"/>
      <c r="AR609" s="27"/>
      <c r="AS609" s="27"/>
      <c r="AT609" s="27"/>
      <c r="AU609" s="27"/>
      <c r="AV609" s="27"/>
      <c r="AW609" s="27"/>
      <c r="AX609" s="27"/>
      <c r="AY609" s="27"/>
      <c r="AZ609" s="27"/>
      <c r="BA609" s="27"/>
      <c r="BB609" s="27"/>
      <c r="BC609" s="27"/>
      <c r="BD609" s="27"/>
      <c r="BE609" s="27"/>
      <c r="BF609" s="27"/>
      <c r="BG609" s="27"/>
      <c r="BH609" s="27"/>
      <c r="BI609" s="27"/>
      <c r="BJ609" s="27"/>
      <c r="BK609" s="27"/>
      <c r="BL609" s="27"/>
      <c r="BM609" s="27"/>
      <c r="BN609" s="27"/>
      <c r="BO609" s="27"/>
      <c r="BP609" s="27"/>
      <c r="BQ609" s="27"/>
      <c r="BR609" s="27"/>
      <c r="BS609" s="27"/>
      <c r="BT609" s="27"/>
      <c r="BU609" s="27"/>
      <c r="BV609" s="27"/>
      <c r="BW609" s="27"/>
      <c r="BX609" s="27"/>
      <c r="BY609" s="27"/>
      <c r="BZ609" s="27"/>
      <c r="CA609" s="27"/>
      <c r="CB609" s="27"/>
      <c r="CC609" s="27"/>
      <c r="CD609" s="27"/>
      <c r="CE609" s="27"/>
      <c r="CF609" s="27"/>
      <c r="CG609" s="27"/>
      <c r="CH609" s="27"/>
      <c r="CI609" s="27"/>
      <c r="CJ609" s="27"/>
      <c r="CK609" s="27"/>
      <c r="CL609" s="27"/>
      <c r="CM609" s="27"/>
      <c r="CN609" s="27"/>
      <c r="CO609" s="27"/>
      <c r="CP609" s="27"/>
      <c r="CQ609" s="27"/>
      <c r="CR609" s="27"/>
      <c r="CS609" s="27"/>
      <c r="CT609" s="27"/>
      <c r="CU609" s="27"/>
      <c r="CV609" s="27"/>
      <c r="CW609" s="27"/>
      <c r="CX609" s="27"/>
      <c r="CY609" s="27"/>
      <c r="CZ609" s="27"/>
      <c r="DA609" s="27"/>
      <c r="DB609" s="27"/>
      <c r="DC609" s="27"/>
      <c r="DD609" s="27"/>
      <c r="DE609" s="27"/>
      <c r="DF609" s="27"/>
      <c r="DG609" s="27"/>
      <c r="DH609" s="27"/>
      <c r="DI609" s="27"/>
      <c r="DJ609" s="27"/>
      <c r="DK609" s="27"/>
      <c r="DL609" s="27"/>
      <c r="DM609" s="27"/>
      <c r="DN609" s="27"/>
      <c r="DO609" s="27"/>
      <c r="DP609" s="27"/>
      <c r="DQ609" s="27"/>
      <c r="DR609" s="27"/>
      <c r="DS609" s="27"/>
      <c r="DT609" s="27"/>
    </row>
    <row r="610" spans="7:124" x14ac:dyDescent="0.2">
      <c r="G610" s="27"/>
      <c r="H610" s="27"/>
      <c r="I610" s="27"/>
      <c r="J610" s="27"/>
      <c r="K610" s="27"/>
      <c r="L610" s="27"/>
      <c r="M610" s="27"/>
      <c r="N610" s="27"/>
      <c r="O610" s="27"/>
      <c r="P610" s="27"/>
      <c r="Q610" s="27"/>
      <c r="R610" s="27"/>
      <c r="S610" s="27"/>
      <c r="T610" s="27"/>
      <c r="U610" s="27"/>
      <c r="V610" s="27"/>
      <c r="W610" s="27"/>
      <c r="X610" s="27"/>
      <c r="Y610" s="27"/>
      <c r="Z610" s="27"/>
      <c r="AA610" s="27"/>
      <c r="AB610" s="27"/>
      <c r="AC610" s="27"/>
      <c r="AD610" s="27"/>
      <c r="AE610" s="27"/>
      <c r="AF610" s="27"/>
      <c r="AG610" s="27"/>
      <c r="AH610" s="27"/>
      <c r="AI610" s="27"/>
      <c r="AJ610" s="27"/>
      <c r="AK610" s="27"/>
      <c r="AL610" s="27"/>
      <c r="AM610" s="27"/>
      <c r="AN610" s="27"/>
      <c r="AO610" s="27"/>
      <c r="AP610" s="27"/>
      <c r="AQ610" s="27"/>
      <c r="AR610" s="27"/>
      <c r="AS610" s="27"/>
      <c r="AT610" s="27"/>
      <c r="AU610" s="27"/>
      <c r="AV610" s="27"/>
      <c r="AW610" s="27"/>
      <c r="AX610" s="27"/>
      <c r="AY610" s="27"/>
      <c r="AZ610" s="27"/>
      <c r="BA610" s="27"/>
      <c r="BB610" s="27"/>
      <c r="BC610" s="27"/>
      <c r="BD610" s="27"/>
      <c r="BE610" s="27"/>
      <c r="BF610" s="27"/>
      <c r="BG610" s="27"/>
      <c r="BH610" s="27"/>
      <c r="BI610" s="27"/>
      <c r="BJ610" s="27"/>
      <c r="BK610" s="27"/>
      <c r="BL610" s="27"/>
      <c r="BM610" s="27"/>
      <c r="BN610" s="27"/>
      <c r="BO610" s="27"/>
      <c r="BP610" s="27"/>
      <c r="BQ610" s="27"/>
      <c r="BR610" s="27"/>
      <c r="BS610" s="27"/>
      <c r="BT610" s="27"/>
      <c r="BU610" s="27"/>
      <c r="BV610" s="27"/>
      <c r="BW610" s="27"/>
      <c r="BX610" s="27"/>
      <c r="BY610" s="27"/>
      <c r="BZ610" s="27"/>
      <c r="CA610" s="27"/>
      <c r="CB610" s="27"/>
      <c r="CC610" s="27"/>
      <c r="CD610" s="27"/>
      <c r="CE610" s="27"/>
      <c r="CF610" s="27"/>
      <c r="CG610" s="27"/>
      <c r="CH610" s="27"/>
      <c r="CI610" s="27"/>
      <c r="CJ610" s="27"/>
      <c r="CK610" s="27"/>
      <c r="CL610" s="27"/>
      <c r="CM610" s="27"/>
      <c r="CN610" s="27"/>
      <c r="CO610" s="27"/>
      <c r="CP610" s="27"/>
      <c r="CQ610" s="27"/>
      <c r="CR610" s="27"/>
      <c r="CS610" s="27"/>
      <c r="CT610" s="27"/>
      <c r="CU610" s="27"/>
      <c r="CV610" s="27"/>
      <c r="CW610" s="27"/>
      <c r="CX610" s="27"/>
      <c r="CY610" s="27"/>
      <c r="CZ610" s="27"/>
      <c r="DA610" s="27"/>
      <c r="DB610" s="27"/>
      <c r="DC610" s="27"/>
      <c r="DD610" s="27"/>
      <c r="DE610" s="27"/>
      <c r="DF610" s="27"/>
      <c r="DG610" s="27"/>
      <c r="DH610" s="27"/>
      <c r="DI610" s="27"/>
      <c r="DJ610" s="27"/>
      <c r="DK610" s="27"/>
      <c r="DL610" s="27"/>
      <c r="DM610" s="27"/>
      <c r="DN610" s="27"/>
      <c r="DO610" s="27"/>
      <c r="DP610" s="27"/>
      <c r="DQ610" s="27"/>
      <c r="DR610" s="27"/>
      <c r="DS610" s="27"/>
      <c r="DT610" s="27"/>
    </row>
    <row r="611" spans="7:124" x14ac:dyDescent="0.2">
      <c r="G611" s="27"/>
      <c r="H611" s="27"/>
      <c r="I611" s="27"/>
      <c r="J611" s="27"/>
      <c r="K611" s="27"/>
      <c r="L611" s="27"/>
      <c r="M611" s="27"/>
      <c r="N611" s="27"/>
      <c r="O611" s="27"/>
      <c r="P611" s="27"/>
      <c r="Q611" s="27"/>
      <c r="R611" s="27"/>
      <c r="S611" s="27"/>
      <c r="T611" s="27"/>
      <c r="U611" s="27"/>
      <c r="V611" s="27"/>
      <c r="W611" s="27"/>
      <c r="X611" s="27"/>
      <c r="Y611" s="27"/>
      <c r="Z611" s="27"/>
      <c r="AA611" s="27"/>
      <c r="AB611" s="27"/>
      <c r="AC611" s="27"/>
      <c r="AD611" s="27"/>
      <c r="AE611" s="27"/>
      <c r="AF611" s="27"/>
      <c r="AG611" s="27"/>
      <c r="AH611" s="27"/>
      <c r="AI611" s="27"/>
      <c r="AJ611" s="27"/>
      <c r="AK611" s="27"/>
      <c r="AL611" s="27"/>
      <c r="AM611" s="27"/>
      <c r="AN611" s="27"/>
      <c r="AO611" s="27"/>
      <c r="AP611" s="27"/>
      <c r="AQ611" s="27"/>
      <c r="AR611" s="27"/>
      <c r="AS611" s="27"/>
      <c r="AT611" s="27"/>
      <c r="AU611" s="27"/>
      <c r="AV611" s="27"/>
      <c r="AW611" s="27"/>
      <c r="AX611" s="27"/>
      <c r="AY611" s="27"/>
      <c r="AZ611" s="27"/>
      <c r="BA611" s="27"/>
      <c r="BB611" s="27"/>
      <c r="BC611" s="27"/>
      <c r="BD611" s="27"/>
      <c r="BE611" s="27"/>
      <c r="BF611" s="27"/>
      <c r="BG611" s="27"/>
      <c r="BH611" s="27"/>
      <c r="BI611" s="27"/>
      <c r="BJ611" s="27"/>
      <c r="BK611" s="27"/>
      <c r="BL611" s="27"/>
      <c r="BM611" s="27"/>
      <c r="BN611" s="27"/>
      <c r="BO611" s="27"/>
      <c r="BP611" s="27"/>
      <c r="BQ611" s="27"/>
      <c r="BR611" s="27"/>
      <c r="BS611" s="27"/>
      <c r="BT611" s="27"/>
      <c r="BU611" s="27"/>
      <c r="BV611" s="27"/>
      <c r="BW611" s="27"/>
      <c r="BX611" s="27"/>
      <c r="BY611" s="27"/>
      <c r="BZ611" s="27"/>
      <c r="CA611" s="27"/>
      <c r="CB611" s="27"/>
      <c r="CC611" s="27"/>
      <c r="CD611" s="27"/>
      <c r="CE611" s="27"/>
      <c r="CF611" s="27"/>
      <c r="CG611" s="27"/>
      <c r="CH611" s="27"/>
      <c r="CI611" s="27"/>
      <c r="CJ611" s="27"/>
      <c r="CK611" s="27"/>
      <c r="CL611" s="27"/>
      <c r="CM611" s="27"/>
      <c r="CN611" s="27"/>
      <c r="CO611" s="27"/>
      <c r="CP611" s="27"/>
      <c r="CQ611" s="27"/>
      <c r="CR611" s="27"/>
      <c r="CS611" s="27"/>
      <c r="CT611" s="27"/>
      <c r="CU611" s="27"/>
      <c r="CV611" s="27"/>
      <c r="CW611" s="27"/>
      <c r="CX611" s="27"/>
      <c r="CY611" s="27"/>
      <c r="CZ611" s="27"/>
      <c r="DA611" s="27"/>
      <c r="DB611" s="27"/>
      <c r="DC611" s="27"/>
      <c r="DD611" s="27"/>
      <c r="DE611" s="27"/>
      <c r="DF611" s="27"/>
      <c r="DG611" s="27"/>
      <c r="DH611" s="27"/>
      <c r="DI611" s="27"/>
      <c r="DJ611" s="27"/>
      <c r="DK611" s="27"/>
      <c r="DL611" s="27"/>
      <c r="DM611" s="27"/>
      <c r="DN611" s="27"/>
      <c r="DO611" s="27"/>
      <c r="DP611" s="27"/>
      <c r="DQ611" s="27"/>
      <c r="DR611" s="27"/>
      <c r="DS611" s="27"/>
      <c r="DT611" s="27"/>
    </row>
    <row r="612" spans="7:124" x14ac:dyDescent="0.2">
      <c r="G612" s="27"/>
      <c r="H612" s="27"/>
      <c r="I612" s="27"/>
      <c r="J612" s="27"/>
      <c r="K612" s="27"/>
      <c r="L612" s="27"/>
      <c r="M612" s="27"/>
      <c r="N612" s="27"/>
      <c r="O612" s="27"/>
      <c r="P612" s="27"/>
      <c r="Q612" s="27"/>
      <c r="R612" s="27"/>
      <c r="S612" s="27"/>
      <c r="T612" s="27"/>
      <c r="U612" s="27"/>
      <c r="V612" s="27"/>
      <c r="W612" s="27"/>
      <c r="X612" s="27"/>
      <c r="Y612" s="27"/>
      <c r="Z612" s="27"/>
      <c r="AA612" s="27"/>
      <c r="AB612" s="27"/>
      <c r="AC612" s="27"/>
      <c r="AD612" s="27"/>
      <c r="AE612" s="27"/>
      <c r="AF612" s="27"/>
      <c r="AG612" s="27"/>
      <c r="AH612" s="27"/>
      <c r="AI612" s="27"/>
      <c r="AJ612" s="27"/>
      <c r="AK612" s="27"/>
      <c r="AL612" s="27"/>
      <c r="AM612" s="27"/>
      <c r="AN612" s="27"/>
      <c r="AO612" s="27"/>
      <c r="AP612" s="27"/>
      <c r="AQ612" s="27"/>
      <c r="AR612" s="27"/>
      <c r="AS612" s="27"/>
      <c r="AT612" s="27"/>
      <c r="AU612" s="27"/>
      <c r="AV612" s="27"/>
      <c r="AW612" s="27"/>
      <c r="AX612" s="27"/>
      <c r="AY612" s="27"/>
      <c r="AZ612" s="27"/>
      <c r="BA612" s="27"/>
      <c r="BB612" s="27"/>
      <c r="BC612" s="27"/>
      <c r="BD612" s="27"/>
      <c r="BE612" s="27"/>
      <c r="BF612" s="27"/>
      <c r="BG612" s="27"/>
      <c r="BH612" s="27"/>
      <c r="BI612" s="27"/>
      <c r="BJ612" s="27"/>
      <c r="BK612" s="27"/>
      <c r="BL612" s="27"/>
      <c r="BM612" s="27"/>
      <c r="BN612" s="27"/>
      <c r="BO612" s="27"/>
      <c r="BP612" s="27"/>
      <c r="BQ612" s="27"/>
      <c r="BR612" s="27"/>
      <c r="BS612" s="27"/>
      <c r="BT612" s="27"/>
      <c r="BU612" s="27"/>
      <c r="BV612" s="27"/>
      <c r="BW612" s="27"/>
      <c r="BX612" s="27"/>
      <c r="BY612" s="27"/>
      <c r="BZ612" s="27"/>
      <c r="CA612" s="27"/>
      <c r="CB612" s="27"/>
      <c r="CC612" s="27"/>
      <c r="CD612" s="27"/>
      <c r="CE612" s="27"/>
      <c r="CF612" s="27"/>
      <c r="CG612" s="27"/>
      <c r="CH612" s="27"/>
      <c r="CI612" s="27"/>
      <c r="CJ612" s="27"/>
      <c r="CK612" s="27"/>
      <c r="CL612" s="27"/>
      <c r="CM612" s="27"/>
      <c r="CN612" s="27"/>
      <c r="CO612" s="27"/>
      <c r="CP612" s="27"/>
      <c r="CQ612" s="27"/>
      <c r="CR612" s="27"/>
      <c r="CS612" s="27"/>
      <c r="CT612" s="27"/>
      <c r="CU612" s="27"/>
      <c r="CV612" s="27"/>
      <c r="CW612" s="27"/>
      <c r="CX612" s="27"/>
      <c r="CY612" s="27"/>
      <c r="CZ612" s="27"/>
      <c r="DA612" s="27"/>
      <c r="DB612" s="27"/>
      <c r="DC612" s="27"/>
      <c r="DD612" s="27"/>
      <c r="DE612" s="27"/>
      <c r="DF612" s="27"/>
      <c r="DG612" s="27"/>
      <c r="DH612" s="27"/>
      <c r="DI612" s="27"/>
      <c r="DJ612" s="27"/>
      <c r="DK612" s="27"/>
      <c r="DL612" s="27"/>
      <c r="DM612" s="27"/>
      <c r="DN612" s="27"/>
      <c r="DO612" s="27"/>
      <c r="DP612" s="27"/>
      <c r="DQ612" s="27"/>
      <c r="DR612" s="27"/>
      <c r="DS612" s="27"/>
      <c r="DT612" s="27"/>
    </row>
    <row r="613" spans="7:124" x14ac:dyDescent="0.2">
      <c r="G613" s="27"/>
      <c r="H613" s="27"/>
      <c r="I613" s="27"/>
      <c r="J613" s="27"/>
      <c r="K613" s="27"/>
      <c r="L613" s="27"/>
      <c r="M613" s="27"/>
      <c r="N613" s="27"/>
      <c r="O613" s="27"/>
      <c r="P613" s="27"/>
      <c r="Q613" s="27"/>
      <c r="R613" s="27"/>
      <c r="S613" s="27"/>
      <c r="T613" s="27"/>
      <c r="U613" s="27"/>
      <c r="V613" s="27"/>
      <c r="W613" s="27"/>
      <c r="X613" s="27"/>
      <c r="Y613" s="27"/>
      <c r="Z613" s="27"/>
      <c r="AA613" s="27"/>
      <c r="AB613" s="27"/>
      <c r="AC613" s="27"/>
      <c r="AD613" s="27"/>
      <c r="AE613" s="27"/>
      <c r="AF613" s="27"/>
      <c r="AG613" s="27"/>
      <c r="AH613" s="27"/>
      <c r="AI613" s="27"/>
      <c r="AJ613" s="27"/>
      <c r="AK613" s="27"/>
      <c r="AL613" s="27"/>
      <c r="AM613" s="27"/>
      <c r="AN613" s="27"/>
      <c r="AO613" s="27"/>
      <c r="AP613" s="27"/>
      <c r="AQ613" s="27"/>
      <c r="AR613" s="27"/>
      <c r="AS613" s="27"/>
      <c r="AT613" s="27"/>
      <c r="AU613" s="27"/>
      <c r="AV613" s="27"/>
      <c r="AW613" s="27"/>
      <c r="AX613" s="27"/>
      <c r="AY613" s="27"/>
      <c r="AZ613" s="27"/>
      <c r="BA613" s="27"/>
      <c r="BB613" s="27"/>
      <c r="BC613" s="27"/>
      <c r="BD613" s="27"/>
      <c r="BE613" s="27"/>
      <c r="BF613" s="27"/>
      <c r="BG613" s="27"/>
      <c r="BH613" s="27"/>
      <c r="BI613" s="27"/>
      <c r="BJ613" s="27"/>
      <c r="BK613" s="27"/>
      <c r="BL613" s="27"/>
      <c r="BM613" s="27"/>
      <c r="BN613" s="27"/>
      <c r="BO613" s="27"/>
      <c r="BP613" s="27"/>
      <c r="BQ613" s="27"/>
      <c r="BR613" s="27"/>
      <c r="BS613" s="27"/>
      <c r="BT613" s="27"/>
      <c r="BU613" s="27"/>
      <c r="BV613" s="27"/>
      <c r="BW613" s="27"/>
      <c r="BX613" s="27"/>
      <c r="BY613" s="27"/>
      <c r="BZ613" s="27"/>
      <c r="CA613" s="27"/>
      <c r="CB613" s="27"/>
      <c r="CC613" s="27"/>
      <c r="CD613" s="27"/>
      <c r="CE613" s="27"/>
      <c r="CF613" s="27"/>
      <c r="CG613" s="27"/>
      <c r="CH613" s="27"/>
      <c r="CI613" s="27"/>
      <c r="CJ613" s="27"/>
      <c r="CK613" s="27"/>
      <c r="CL613" s="27"/>
      <c r="CM613" s="27"/>
      <c r="CN613" s="27"/>
      <c r="CO613" s="27"/>
      <c r="CP613" s="27"/>
      <c r="CQ613" s="27"/>
      <c r="CR613" s="27"/>
      <c r="CS613" s="27"/>
      <c r="CT613" s="27"/>
      <c r="CU613" s="27"/>
      <c r="CV613" s="27"/>
      <c r="CW613" s="27"/>
      <c r="CX613" s="27"/>
      <c r="CY613" s="27"/>
      <c r="CZ613" s="27"/>
      <c r="DA613" s="27"/>
      <c r="DB613" s="27"/>
      <c r="DC613" s="27"/>
      <c r="DD613" s="27"/>
      <c r="DE613" s="27"/>
      <c r="DF613" s="27"/>
      <c r="DG613" s="27"/>
      <c r="DH613" s="27"/>
      <c r="DI613" s="27"/>
      <c r="DJ613" s="27"/>
      <c r="DK613" s="27"/>
      <c r="DL613" s="27"/>
      <c r="DM613" s="27"/>
      <c r="DN613" s="27"/>
      <c r="DO613" s="27"/>
      <c r="DP613" s="27"/>
      <c r="DQ613" s="27"/>
      <c r="DR613" s="27"/>
      <c r="DS613" s="27"/>
      <c r="DT613" s="27"/>
    </row>
    <row r="614" spans="7:124" x14ac:dyDescent="0.2">
      <c r="G614" s="27"/>
      <c r="H614" s="27"/>
      <c r="I614" s="27"/>
      <c r="J614" s="27"/>
      <c r="K614" s="27"/>
      <c r="L614" s="27"/>
      <c r="M614" s="27"/>
      <c r="N614" s="27"/>
      <c r="O614" s="27"/>
      <c r="P614" s="27"/>
      <c r="Q614" s="27"/>
      <c r="R614" s="27"/>
      <c r="S614" s="27"/>
      <c r="T614" s="27"/>
      <c r="U614" s="27"/>
      <c r="V614" s="27"/>
      <c r="W614" s="27"/>
      <c r="X614" s="27"/>
      <c r="Y614" s="27"/>
      <c r="Z614" s="27"/>
      <c r="AA614" s="27"/>
      <c r="AB614" s="27"/>
      <c r="AC614" s="27"/>
      <c r="AD614" s="27"/>
      <c r="AE614" s="27"/>
      <c r="AF614" s="27"/>
      <c r="AG614" s="27"/>
      <c r="AH614" s="27"/>
      <c r="AI614" s="27"/>
      <c r="AJ614" s="27"/>
      <c r="AK614" s="27"/>
      <c r="AL614" s="27"/>
      <c r="AM614" s="27"/>
      <c r="AN614" s="27"/>
      <c r="AO614" s="27"/>
      <c r="AP614" s="27"/>
      <c r="AQ614" s="27"/>
      <c r="AR614" s="27"/>
      <c r="AS614" s="27"/>
      <c r="AT614" s="27"/>
      <c r="AU614" s="27"/>
      <c r="AV614" s="27"/>
      <c r="AW614" s="27"/>
      <c r="AX614" s="27"/>
      <c r="AY614" s="27"/>
      <c r="AZ614" s="27"/>
      <c r="BA614" s="27"/>
      <c r="BB614" s="27"/>
      <c r="BC614" s="27"/>
      <c r="BD614" s="27"/>
      <c r="BE614" s="27"/>
      <c r="BF614" s="27"/>
      <c r="BG614" s="27"/>
      <c r="BH614" s="27"/>
      <c r="BI614" s="27"/>
      <c r="BJ614" s="27"/>
      <c r="BK614" s="27"/>
      <c r="BL614" s="27"/>
      <c r="BM614" s="27"/>
      <c r="BN614" s="27"/>
      <c r="BO614" s="27"/>
      <c r="BP614" s="27"/>
      <c r="BQ614" s="27"/>
      <c r="BR614" s="27"/>
      <c r="BS614" s="27"/>
      <c r="BT614" s="27"/>
      <c r="BU614" s="27"/>
      <c r="BV614" s="27"/>
      <c r="BW614" s="27"/>
      <c r="BX614" s="27"/>
      <c r="BY614" s="27"/>
      <c r="BZ614" s="27"/>
      <c r="CA614" s="27"/>
      <c r="CB614" s="27"/>
      <c r="CC614" s="27"/>
      <c r="CD614" s="27"/>
      <c r="CE614" s="27"/>
      <c r="CF614" s="27"/>
      <c r="CG614" s="27"/>
      <c r="CH614" s="27"/>
      <c r="CI614" s="27"/>
      <c r="CJ614" s="27"/>
      <c r="CK614" s="27"/>
      <c r="CL614" s="27"/>
      <c r="CM614" s="27"/>
      <c r="CN614" s="27"/>
      <c r="CO614" s="27"/>
      <c r="CP614" s="27"/>
      <c r="CQ614" s="27"/>
      <c r="CR614" s="27"/>
      <c r="CS614" s="27"/>
      <c r="CT614" s="27"/>
      <c r="CU614" s="27"/>
      <c r="CV614" s="27"/>
      <c r="CW614" s="27"/>
      <c r="CX614" s="27"/>
      <c r="CY614" s="27"/>
      <c r="CZ614" s="27"/>
      <c r="DA614" s="27"/>
      <c r="DB614" s="27"/>
      <c r="DC614" s="27"/>
      <c r="DD614" s="27"/>
      <c r="DE614" s="27"/>
      <c r="DF614" s="27"/>
      <c r="DG614" s="27"/>
      <c r="DH614" s="27"/>
      <c r="DI614" s="27"/>
      <c r="DJ614" s="27"/>
      <c r="DK614" s="27"/>
      <c r="DL614" s="27"/>
      <c r="DM614" s="27"/>
      <c r="DN614" s="27"/>
      <c r="DO614" s="27"/>
      <c r="DP614" s="27"/>
      <c r="DQ614" s="27"/>
      <c r="DR614" s="27"/>
      <c r="DS614" s="27"/>
      <c r="DT614" s="27"/>
    </row>
    <row r="615" spans="7:124" x14ac:dyDescent="0.2">
      <c r="G615" s="27"/>
      <c r="H615" s="27"/>
      <c r="I615" s="27"/>
      <c r="J615" s="27"/>
      <c r="K615" s="27"/>
      <c r="L615" s="27"/>
      <c r="M615" s="27"/>
      <c r="N615" s="27"/>
      <c r="O615" s="27"/>
      <c r="P615" s="27"/>
      <c r="Q615" s="27"/>
      <c r="R615" s="27"/>
      <c r="S615" s="27"/>
      <c r="T615" s="27"/>
      <c r="U615" s="27"/>
      <c r="V615" s="27"/>
      <c r="W615" s="27"/>
      <c r="X615" s="27"/>
      <c r="Y615" s="27"/>
      <c r="Z615" s="27"/>
      <c r="AA615" s="27"/>
      <c r="AB615" s="27"/>
      <c r="AC615" s="27"/>
      <c r="AD615" s="27"/>
      <c r="AE615" s="27"/>
      <c r="AF615" s="27"/>
      <c r="AG615" s="27"/>
      <c r="AH615" s="27"/>
      <c r="AI615" s="27"/>
      <c r="AJ615" s="27"/>
      <c r="AK615" s="27"/>
      <c r="AL615" s="27"/>
      <c r="AM615" s="27"/>
      <c r="AN615" s="27"/>
      <c r="AO615" s="27"/>
      <c r="AP615" s="27"/>
      <c r="AQ615" s="27"/>
      <c r="AR615" s="27"/>
      <c r="AS615" s="27"/>
      <c r="AT615" s="27"/>
      <c r="AU615" s="27"/>
      <c r="AV615" s="27"/>
      <c r="AW615" s="27"/>
      <c r="AX615" s="27"/>
      <c r="AY615" s="27"/>
      <c r="AZ615" s="27"/>
      <c r="BA615" s="27"/>
      <c r="BB615" s="27"/>
      <c r="BC615" s="27"/>
      <c r="BD615" s="27"/>
      <c r="BE615" s="27"/>
      <c r="BF615" s="27"/>
      <c r="BG615" s="27"/>
      <c r="BH615" s="27"/>
      <c r="BI615" s="27"/>
      <c r="BJ615" s="27"/>
      <c r="BK615" s="27"/>
      <c r="BL615" s="27"/>
      <c r="BM615" s="27"/>
      <c r="BN615" s="27"/>
      <c r="BO615" s="27"/>
      <c r="BP615" s="27"/>
      <c r="BQ615" s="27"/>
      <c r="BR615" s="27"/>
      <c r="BS615" s="27"/>
      <c r="BT615" s="27"/>
      <c r="BU615" s="27"/>
      <c r="BV615" s="27"/>
      <c r="BW615" s="27"/>
      <c r="BX615" s="27"/>
      <c r="BY615" s="27"/>
      <c r="BZ615" s="27"/>
      <c r="CA615" s="27"/>
      <c r="CB615" s="27"/>
      <c r="CC615" s="27"/>
      <c r="CD615" s="27"/>
      <c r="CE615" s="27"/>
      <c r="CF615" s="27"/>
      <c r="CG615" s="27"/>
      <c r="CH615" s="27"/>
      <c r="CI615" s="27"/>
      <c r="CJ615" s="27"/>
      <c r="CK615" s="27"/>
      <c r="CL615" s="27"/>
      <c r="CM615" s="27"/>
      <c r="CN615" s="27"/>
      <c r="CO615" s="27"/>
      <c r="CP615" s="27"/>
      <c r="CQ615" s="27"/>
      <c r="CR615" s="27"/>
      <c r="CS615" s="27"/>
      <c r="CT615" s="27"/>
      <c r="CU615" s="27"/>
      <c r="CV615" s="27"/>
      <c r="CW615" s="27"/>
      <c r="CX615" s="27"/>
      <c r="CY615" s="27"/>
      <c r="CZ615" s="27"/>
      <c r="DA615" s="27"/>
      <c r="DB615" s="27"/>
      <c r="DC615" s="27"/>
      <c r="DD615" s="27"/>
      <c r="DE615" s="27"/>
      <c r="DF615" s="27"/>
      <c r="DG615" s="27"/>
      <c r="DH615" s="27"/>
      <c r="DI615" s="27"/>
      <c r="DJ615" s="27"/>
      <c r="DK615" s="27"/>
      <c r="DL615" s="27"/>
      <c r="DM615" s="27"/>
      <c r="DN615" s="27"/>
      <c r="DO615" s="27"/>
      <c r="DP615" s="27"/>
      <c r="DQ615" s="27"/>
      <c r="DR615" s="27"/>
      <c r="DS615" s="27"/>
      <c r="DT615" s="27"/>
    </row>
    <row r="616" spans="7:124" x14ac:dyDescent="0.2">
      <c r="G616" s="27"/>
      <c r="H616" s="27"/>
      <c r="I616" s="27"/>
      <c r="J616" s="27"/>
      <c r="K616" s="27"/>
      <c r="L616" s="27"/>
      <c r="M616" s="27"/>
      <c r="N616" s="27"/>
      <c r="O616" s="27"/>
      <c r="P616" s="27"/>
      <c r="Q616" s="27"/>
      <c r="R616" s="27"/>
      <c r="S616" s="27"/>
      <c r="T616" s="27"/>
      <c r="U616" s="27"/>
      <c r="V616" s="27"/>
      <c r="W616" s="27"/>
      <c r="X616" s="27"/>
      <c r="Y616" s="27"/>
      <c r="Z616" s="27"/>
      <c r="AA616" s="27"/>
      <c r="AB616" s="27"/>
      <c r="AC616" s="27"/>
      <c r="AD616" s="27"/>
      <c r="AE616" s="27"/>
      <c r="AF616" s="27"/>
      <c r="AG616" s="27"/>
      <c r="AH616" s="27"/>
      <c r="AI616" s="27"/>
      <c r="AJ616" s="27"/>
      <c r="AK616" s="27"/>
      <c r="AL616" s="27"/>
      <c r="AM616" s="27"/>
      <c r="AN616" s="27"/>
      <c r="AO616" s="27"/>
      <c r="AP616" s="27"/>
      <c r="AQ616" s="27"/>
      <c r="AR616" s="27"/>
      <c r="AS616" s="27"/>
      <c r="AT616" s="27"/>
      <c r="AU616" s="27"/>
      <c r="AV616" s="27"/>
      <c r="AW616" s="27"/>
      <c r="AX616" s="27"/>
      <c r="AY616" s="27"/>
      <c r="AZ616" s="27"/>
      <c r="BA616" s="27"/>
      <c r="BB616" s="27"/>
      <c r="BC616" s="27"/>
      <c r="BD616" s="27"/>
      <c r="BE616" s="27"/>
      <c r="BF616" s="27"/>
      <c r="BG616" s="27"/>
      <c r="BH616" s="27"/>
      <c r="BI616" s="27"/>
      <c r="BJ616" s="27"/>
      <c r="BK616" s="27"/>
      <c r="BL616" s="27"/>
      <c r="BM616" s="27"/>
      <c r="BN616" s="27"/>
      <c r="BO616" s="27"/>
      <c r="BP616" s="27"/>
      <c r="BQ616" s="27"/>
      <c r="BR616" s="27"/>
      <c r="BS616" s="27"/>
      <c r="BT616" s="27"/>
      <c r="BU616" s="27"/>
      <c r="BV616" s="27"/>
      <c r="BW616" s="27"/>
      <c r="BX616" s="27"/>
      <c r="BY616" s="27"/>
      <c r="BZ616" s="27"/>
      <c r="CA616" s="27"/>
      <c r="CB616" s="27"/>
      <c r="CC616" s="27"/>
      <c r="CD616" s="27"/>
      <c r="CE616" s="27"/>
      <c r="CF616" s="27"/>
      <c r="CG616" s="27"/>
      <c r="CH616" s="27"/>
      <c r="CI616" s="27"/>
      <c r="CJ616" s="27"/>
      <c r="CK616" s="27"/>
      <c r="CL616" s="27"/>
      <c r="CM616" s="27"/>
      <c r="CN616" s="27"/>
      <c r="CO616" s="27"/>
      <c r="CP616" s="27"/>
      <c r="CQ616" s="27"/>
      <c r="CR616" s="27"/>
      <c r="CS616" s="27"/>
      <c r="CT616" s="27"/>
      <c r="CU616" s="27"/>
      <c r="CV616" s="27"/>
      <c r="CW616" s="27"/>
      <c r="CX616" s="27"/>
      <c r="CY616" s="27"/>
      <c r="CZ616" s="27"/>
      <c r="DA616" s="27"/>
      <c r="DB616" s="27"/>
      <c r="DC616" s="27"/>
      <c r="DD616" s="27"/>
      <c r="DE616" s="27"/>
      <c r="DF616" s="27"/>
      <c r="DG616" s="27"/>
      <c r="DH616" s="27"/>
      <c r="DI616" s="27"/>
      <c r="DJ616" s="27"/>
      <c r="DK616" s="27"/>
      <c r="DL616" s="27"/>
      <c r="DM616" s="27"/>
      <c r="DN616" s="27"/>
      <c r="DO616" s="27"/>
      <c r="DP616" s="27"/>
      <c r="DQ616" s="27"/>
      <c r="DR616" s="27"/>
      <c r="DS616" s="27"/>
      <c r="DT616" s="27"/>
    </row>
    <row r="617" spans="7:124" x14ac:dyDescent="0.2">
      <c r="G617" s="27"/>
      <c r="H617" s="27"/>
      <c r="I617" s="27"/>
      <c r="J617" s="27"/>
      <c r="K617" s="27"/>
      <c r="L617" s="27"/>
      <c r="M617" s="27"/>
      <c r="N617" s="27"/>
      <c r="O617" s="27"/>
      <c r="P617" s="27"/>
      <c r="Q617" s="27"/>
      <c r="R617" s="27"/>
      <c r="S617" s="27"/>
      <c r="T617" s="27"/>
      <c r="U617" s="27"/>
      <c r="V617" s="27"/>
      <c r="W617" s="27"/>
      <c r="X617" s="27"/>
      <c r="Y617" s="27"/>
      <c r="Z617" s="27"/>
      <c r="AA617" s="27"/>
      <c r="AB617" s="27"/>
      <c r="AC617" s="27"/>
      <c r="AD617" s="27"/>
      <c r="AE617" s="27"/>
      <c r="AF617" s="27"/>
      <c r="AG617" s="27"/>
      <c r="AH617" s="27"/>
      <c r="AI617" s="27"/>
      <c r="AJ617" s="27"/>
      <c r="AK617" s="27"/>
      <c r="AL617" s="27"/>
      <c r="AM617" s="27"/>
      <c r="AN617" s="27"/>
      <c r="AO617" s="27"/>
      <c r="AP617" s="27"/>
      <c r="AQ617" s="27"/>
      <c r="AR617" s="27"/>
      <c r="AS617" s="27"/>
      <c r="AT617" s="27"/>
      <c r="AU617" s="27"/>
      <c r="AV617" s="27"/>
      <c r="AW617" s="27"/>
      <c r="AX617" s="27"/>
      <c r="AY617" s="27"/>
      <c r="AZ617" s="27"/>
      <c r="BA617" s="27"/>
      <c r="BB617" s="27"/>
      <c r="BC617" s="27"/>
      <c r="BD617" s="27"/>
      <c r="BE617" s="27"/>
      <c r="BF617" s="27"/>
      <c r="BG617" s="27"/>
      <c r="BH617" s="27"/>
      <c r="BI617" s="27"/>
      <c r="BJ617" s="27"/>
      <c r="BK617" s="27"/>
      <c r="BL617" s="27"/>
      <c r="BM617" s="27"/>
      <c r="BN617" s="27"/>
      <c r="BO617" s="27"/>
      <c r="BP617" s="27"/>
      <c r="BQ617" s="27"/>
      <c r="BR617" s="27"/>
      <c r="BS617" s="27"/>
      <c r="BT617" s="27"/>
      <c r="BU617" s="27"/>
      <c r="BV617" s="27"/>
      <c r="BW617" s="27"/>
      <c r="BX617" s="27"/>
      <c r="BY617" s="27"/>
      <c r="BZ617" s="27"/>
      <c r="CA617" s="27"/>
      <c r="CB617" s="27"/>
      <c r="CC617" s="27"/>
      <c r="CD617" s="27"/>
      <c r="CE617" s="27"/>
      <c r="CF617" s="27"/>
      <c r="CG617" s="27"/>
      <c r="CH617" s="27"/>
      <c r="CI617" s="27"/>
      <c r="CJ617" s="27"/>
      <c r="CK617" s="27"/>
      <c r="CL617" s="27"/>
      <c r="CM617" s="27"/>
      <c r="CN617" s="27"/>
      <c r="CO617" s="27"/>
      <c r="CP617" s="27"/>
      <c r="CQ617" s="27"/>
      <c r="CR617" s="27"/>
      <c r="CS617" s="27"/>
      <c r="CT617" s="27"/>
      <c r="CU617" s="27"/>
      <c r="CV617" s="27"/>
      <c r="CW617" s="27"/>
      <c r="CX617" s="27"/>
      <c r="CY617" s="27"/>
      <c r="CZ617" s="27"/>
      <c r="DA617" s="27"/>
      <c r="DB617" s="27"/>
      <c r="DC617" s="27"/>
      <c r="DD617" s="27"/>
      <c r="DE617" s="27"/>
      <c r="DF617" s="27"/>
      <c r="DG617" s="27"/>
      <c r="DH617" s="27"/>
      <c r="DI617" s="27"/>
      <c r="DJ617" s="27"/>
      <c r="DK617" s="27"/>
      <c r="DL617" s="27"/>
      <c r="DM617" s="27"/>
      <c r="DN617" s="27"/>
      <c r="DO617" s="27"/>
      <c r="DP617" s="27"/>
      <c r="DQ617" s="27"/>
      <c r="DR617" s="27"/>
      <c r="DS617" s="27"/>
      <c r="DT617" s="27"/>
    </row>
    <row r="618" spans="7:124" x14ac:dyDescent="0.2">
      <c r="G618" s="27"/>
      <c r="H618" s="27"/>
      <c r="I618" s="27"/>
      <c r="J618" s="27"/>
      <c r="K618" s="27"/>
      <c r="L618" s="27"/>
      <c r="M618" s="27"/>
      <c r="N618" s="27"/>
      <c r="O618" s="27"/>
      <c r="P618" s="27"/>
      <c r="Q618" s="27"/>
      <c r="R618" s="27"/>
      <c r="S618" s="27"/>
      <c r="T618" s="27"/>
      <c r="U618" s="27"/>
      <c r="V618" s="27"/>
      <c r="W618" s="27"/>
      <c r="X618" s="27"/>
      <c r="Y618" s="27"/>
      <c r="Z618" s="27"/>
      <c r="AA618" s="27"/>
      <c r="AB618" s="27"/>
      <c r="AC618" s="27"/>
      <c r="AD618" s="27"/>
      <c r="AE618" s="27"/>
      <c r="AF618" s="27"/>
      <c r="AG618" s="27"/>
      <c r="AH618" s="27"/>
      <c r="AI618" s="27"/>
      <c r="AJ618" s="27"/>
      <c r="AK618" s="27"/>
      <c r="AL618" s="27"/>
      <c r="AM618" s="27"/>
      <c r="AN618" s="27"/>
      <c r="AO618" s="27"/>
      <c r="AP618" s="27"/>
      <c r="AQ618" s="27"/>
      <c r="AR618" s="27"/>
      <c r="AS618" s="27"/>
      <c r="AT618" s="27"/>
      <c r="AU618" s="27"/>
      <c r="AV618" s="27"/>
      <c r="AW618" s="27"/>
      <c r="AX618" s="27"/>
      <c r="AY618" s="27"/>
      <c r="AZ618" s="27"/>
      <c r="BA618" s="27"/>
      <c r="BB618" s="27"/>
      <c r="BC618" s="27"/>
      <c r="BD618" s="27"/>
      <c r="BE618" s="27"/>
      <c r="BF618" s="27"/>
      <c r="BG618" s="27"/>
      <c r="BH618" s="27"/>
      <c r="BI618" s="27"/>
      <c r="BJ618" s="27"/>
      <c r="BK618" s="27"/>
      <c r="BL618" s="27"/>
      <c r="BM618" s="27"/>
      <c r="BN618" s="27"/>
      <c r="BO618" s="27"/>
      <c r="BP618" s="27"/>
      <c r="BQ618" s="27"/>
      <c r="BR618" s="27"/>
      <c r="BS618" s="27"/>
      <c r="BT618" s="27"/>
      <c r="BU618" s="27"/>
      <c r="BV618" s="27"/>
      <c r="BW618" s="27"/>
      <c r="BX618" s="27"/>
      <c r="BY618" s="27"/>
      <c r="BZ618" s="27"/>
      <c r="CA618" s="27"/>
      <c r="CB618" s="27"/>
      <c r="CC618" s="27"/>
      <c r="CD618" s="27"/>
      <c r="CE618" s="27"/>
      <c r="CF618" s="27"/>
      <c r="CG618" s="27"/>
      <c r="CH618" s="27"/>
      <c r="CI618" s="27"/>
      <c r="CJ618" s="27"/>
      <c r="CK618" s="27"/>
      <c r="CL618" s="27"/>
      <c r="CM618" s="27"/>
      <c r="CN618" s="27"/>
      <c r="CO618" s="27"/>
      <c r="CP618" s="27"/>
      <c r="CQ618" s="27"/>
      <c r="CR618" s="27"/>
      <c r="CS618" s="27"/>
      <c r="CT618" s="27"/>
      <c r="CU618" s="27"/>
      <c r="CV618" s="27"/>
      <c r="CW618" s="27"/>
      <c r="CX618" s="27"/>
      <c r="CY618" s="27"/>
      <c r="CZ618" s="27"/>
      <c r="DA618" s="27"/>
      <c r="DB618" s="27"/>
      <c r="DC618" s="27"/>
      <c r="DD618" s="27"/>
      <c r="DE618" s="27"/>
      <c r="DF618" s="27"/>
      <c r="DG618" s="27"/>
      <c r="DH618" s="27"/>
      <c r="DI618" s="27"/>
      <c r="DJ618" s="27"/>
      <c r="DK618" s="27"/>
      <c r="DL618" s="27"/>
      <c r="DM618" s="27"/>
      <c r="DN618" s="27"/>
      <c r="DO618" s="27"/>
      <c r="DP618" s="27"/>
      <c r="DQ618" s="27"/>
      <c r="DR618" s="27"/>
      <c r="DS618" s="27"/>
      <c r="DT618" s="27"/>
    </row>
    <row r="619" spans="7:124" x14ac:dyDescent="0.2">
      <c r="G619" s="27"/>
      <c r="H619" s="27"/>
      <c r="I619" s="27"/>
      <c r="J619" s="27"/>
      <c r="K619" s="27"/>
      <c r="L619" s="27"/>
      <c r="M619" s="27"/>
      <c r="N619" s="27"/>
      <c r="O619" s="27"/>
      <c r="P619" s="27"/>
      <c r="Q619" s="27"/>
      <c r="R619" s="27"/>
      <c r="S619" s="27"/>
      <c r="T619" s="27"/>
      <c r="U619" s="27"/>
      <c r="V619" s="27"/>
      <c r="W619" s="27"/>
      <c r="X619" s="27"/>
      <c r="Y619" s="27"/>
      <c r="Z619" s="27"/>
      <c r="AA619" s="27"/>
      <c r="AB619" s="27"/>
      <c r="AC619" s="27"/>
      <c r="AD619" s="27"/>
      <c r="AE619" s="27"/>
      <c r="AF619" s="27"/>
      <c r="AG619" s="27"/>
      <c r="AH619" s="27"/>
      <c r="AI619" s="27"/>
      <c r="AJ619" s="27"/>
      <c r="AK619" s="27"/>
      <c r="AL619" s="27"/>
      <c r="AM619" s="27"/>
      <c r="AN619" s="27"/>
      <c r="AO619" s="27"/>
      <c r="AP619" s="27"/>
      <c r="AQ619" s="27"/>
      <c r="AR619" s="27"/>
      <c r="AS619" s="27"/>
      <c r="AT619" s="27"/>
      <c r="AU619" s="27"/>
      <c r="AV619" s="27"/>
      <c r="AW619" s="27"/>
      <c r="AX619" s="27"/>
      <c r="AY619" s="27"/>
      <c r="AZ619" s="27"/>
      <c r="BA619" s="27"/>
      <c r="BB619" s="27"/>
      <c r="BC619" s="27"/>
      <c r="BD619" s="27"/>
      <c r="BE619" s="27"/>
      <c r="BF619" s="27"/>
      <c r="BG619" s="27"/>
      <c r="BH619" s="27"/>
      <c r="BI619" s="27"/>
      <c r="BJ619" s="27"/>
      <c r="BK619" s="27"/>
      <c r="BL619" s="27"/>
      <c r="BM619" s="27"/>
      <c r="BN619" s="27"/>
      <c r="BO619" s="27"/>
      <c r="BP619" s="27"/>
      <c r="BQ619" s="27"/>
      <c r="BR619" s="27"/>
      <c r="BS619" s="27"/>
      <c r="BT619" s="27"/>
      <c r="BU619" s="27"/>
      <c r="BV619" s="27"/>
      <c r="BW619" s="27"/>
      <c r="BX619" s="27"/>
      <c r="BY619" s="27"/>
      <c r="BZ619" s="27"/>
      <c r="CA619" s="27"/>
      <c r="CB619" s="27"/>
      <c r="CC619" s="27"/>
      <c r="CD619" s="27"/>
      <c r="CE619" s="27"/>
      <c r="CF619" s="27"/>
      <c r="CG619" s="27"/>
      <c r="CH619" s="27"/>
      <c r="CI619" s="27"/>
      <c r="CJ619" s="27"/>
      <c r="CK619" s="27"/>
      <c r="CL619" s="27"/>
      <c r="CM619" s="27"/>
      <c r="CN619" s="27"/>
      <c r="CO619" s="27"/>
      <c r="CP619" s="27"/>
      <c r="CQ619" s="27"/>
      <c r="CR619" s="27"/>
      <c r="CS619" s="27"/>
      <c r="CT619" s="27"/>
      <c r="CU619" s="27"/>
      <c r="CV619" s="27"/>
      <c r="CW619" s="27"/>
      <c r="CX619" s="27"/>
      <c r="CY619" s="27"/>
      <c r="CZ619" s="27"/>
      <c r="DA619" s="27"/>
      <c r="DB619" s="27"/>
      <c r="DC619" s="27"/>
      <c r="DD619" s="27"/>
      <c r="DE619" s="27"/>
      <c r="DF619" s="27"/>
      <c r="DG619" s="27"/>
      <c r="DH619" s="27"/>
      <c r="DI619" s="27"/>
      <c r="DJ619" s="27"/>
      <c r="DK619" s="27"/>
      <c r="DL619" s="27"/>
      <c r="DM619" s="27"/>
      <c r="DN619" s="27"/>
      <c r="DO619" s="27"/>
      <c r="DP619" s="27"/>
      <c r="DQ619" s="27"/>
      <c r="DR619" s="27"/>
      <c r="DS619" s="27"/>
      <c r="DT619" s="27"/>
    </row>
    <row r="620" spans="7:124" x14ac:dyDescent="0.2">
      <c r="G620" s="27"/>
      <c r="H620" s="27"/>
      <c r="I620" s="27"/>
      <c r="J620" s="27"/>
      <c r="K620" s="27"/>
      <c r="L620" s="27"/>
      <c r="M620" s="27"/>
      <c r="N620" s="27"/>
      <c r="O620" s="27"/>
      <c r="P620" s="27"/>
      <c r="Q620" s="27"/>
      <c r="R620" s="27"/>
      <c r="S620" s="27"/>
      <c r="T620" s="27"/>
      <c r="U620" s="27"/>
      <c r="V620" s="27"/>
      <c r="W620" s="27"/>
      <c r="X620" s="27"/>
      <c r="Y620" s="27"/>
      <c r="Z620" s="27"/>
      <c r="AA620" s="27"/>
      <c r="AB620" s="27"/>
      <c r="AC620" s="27"/>
      <c r="AD620" s="27"/>
      <c r="AE620" s="27"/>
      <c r="AF620" s="27"/>
      <c r="AG620" s="27"/>
      <c r="AH620" s="27"/>
      <c r="AI620" s="27"/>
      <c r="AJ620" s="27"/>
      <c r="AK620" s="27"/>
      <c r="AL620" s="27"/>
      <c r="AM620" s="27"/>
      <c r="AN620" s="27"/>
      <c r="AO620" s="27"/>
      <c r="AP620" s="27"/>
      <c r="AQ620" s="27"/>
      <c r="AR620" s="27"/>
      <c r="AS620" s="27"/>
      <c r="AT620" s="27"/>
      <c r="AU620" s="27"/>
      <c r="AV620" s="27"/>
      <c r="AW620" s="27"/>
      <c r="AX620" s="27"/>
      <c r="AY620" s="27"/>
      <c r="AZ620" s="27"/>
      <c r="BA620" s="27"/>
      <c r="BB620" s="27"/>
      <c r="BC620" s="27"/>
      <c r="BD620" s="27"/>
      <c r="BE620" s="27"/>
      <c r="BF620" s="27"/>
      <c r="BG620" s="27"/>
      <c r="BH620" s="27"/>
      <c r="BI620" s="27"/>
      <c r="BJ620" s="27"/>
      <c r="BK620" s="27"/>
      <c r="BL620" s="27"/>
      <c r="BM620" s="27"/>
      <c r="BN620" s="27"/>
      <c r="BO620" s="27"/>
      <c r="BP620" s="27"/>
      <c r="BQ620" s="27"/>
      <c r="BR620" s="27"/>
      <c r="BS620" s="27"/>
      <c r="BT620" s="27"/>
      <c r="BU620" s="27"/>
      <c r="BV620" s="27"/>
      <c r="BW620" s="27"/>
      <c r="BX620" s="27"/>
      <c r="BY620" s="27"/>
      <c r="BZ620" s="27"/>
      <c r="CA620" s="27"/>
      <c r="CB620" s="27"/>
      <c r="CC620" s="27"/>
      <c r="CD620" s="27"/>
      <c r="CE620" s="27"/>
      <c r="CF620" s="27"/>
      <c r="CG620" s="27"/>
      <c r="CH620" s="27"/>
      <c r="CI620" s="27"/>
      <c r="CJ620" s="27"/>
      <c r="CK620" s="27"/>
      <c r="CL620" s="27"/>
      <c r="CM620" s="27"/>
      <c r="CN620" s="27"/>
      <c r="CO620" s="27"/>
      <c r="CP620" s="27"/>
      <c r="CQ620" s="27"/>
      <c r="CR620" s="27"/>
      <c r="CS620" s="27"/>
      <c r="CT620" s="27"/>
      <c r="CU620" s="27"/>
      <c r="CV620" s="27"/>
      <c r="CW620" s="27"/>
      <c r="CX620" s="27"/>
      <c r="CY620" s="27"/>
      <c r="CZ620" s="27"/>
      <c r="DA620" s="27"/>
      <c r="DB620" s="27"/>
      <c r="DC620" s="27"/>
      <c r="DD620" s="27"/>
      <c r="DE620" s="27"/>
      <c r="DF620" s="27"/>
      <c r="DG620" s="27"/>
      <c r="DH620" s="27"/>
      <c r="DI620" s="27"/>
      <c r="DJ620" s="27"/>
      <c r="DK620" s="27"/>
      <c r="DL620" s="27"/>
      <c r="DM620" s="27"/>
      <c r="DN620" s="27"/>
      <c r="DO620" s="27"/>
      <c r="DP620" s="27"/>
      <c r="DQ620" s="27"/>
      <c r="DR620" s="27"/>
      <c r="DS620" s="27"/>
      <c r="DT620" s="27"/>
    </row>
    <row r="621" spans="7:124" x14ac:dyDescent="0.2">
      <c r="G621" s="27"/>
      <c r="H621" s="27"/>
      <c r="I621" s="27"/>
      <c r="J621" s="27"/>
      <c r="K621" s="27"/>
      <c r="L621" s="27"/>
      <c r="M621" s="27"/>
      <c r="N621" s="27"/>
      <c r="O621" s="27"/>
      <c r="P621" s="27"/>
      <c r="Q621" s="27"/>
      <c r="R621" s="27"/>
      <c r="S621" s="27"/>
      <c r="T621" s="27"/>
      <c r="U621" s="27"/>
      <c r="V621" s="27"/>
      <c r="W621" s="27"/>
      <c r="X621" s="27"/>
      <c r="Y621" s="27"/>
      <c r="Z621" s="27"/>
      <c r="AA621" s="27"/>
      <c r="AB621" s="27"/>
      <c r="AC621" s="27"/>
      <c r="AD621" s="27"/>
      <c r="AE621" s="27"/>
      <c r="AF621" s="27"/>
      <c r="AG621" s="27"/>
      <c r="AH621" s="27"/>
      <c r="AI621" s="27"/>
      <c r="AJ621" s="27"/>
      <c r="AK621" s="27"/>
      <c r="AL621" s="27"/>
      <c r="AM621" s="27"/>
      <c r="AN621" s="27"/>
      <c r="AO621" s="27"/>
      <c r="AP621" s="27"/>
      <c r="AQ621" s="27"/>
      <c r="AR621" s="27"/>
      <c r="AS621" s="27"/>
      <c r="AT621" s="27"/>
      <c r="AU621" s="27"/>
      <c r="AV621" s="27"/>
      <c r="AW621" s="27"/>
      <c r="AX621" s="27"/>
      <c r="AY621" s="27"/>
      <c r="AZ621" s="27"/>
      <c r="BA621" s="27"/>
      <c r="BB621" s="27"/>
      <c r="BC621" s="27"/>
      <c r="BD621" s="27"/>
      <c r="BE621" s="27"/>
      <c r="BF621" s="27"/>
      <c r="BG621" s="27"/>
      <c r="BH621" s="27"/>
      <c r="BI621" s="27"/>
      <c r="BJ621" s="27"/>
      <c r="BK621" s="27"/>
      <c r="BL621" s="27"/>
      <c r="BM621" s="27"/>
      <c r="BN621" s="27"/>
      <c r="BO621" s="27"/>
      <c r="BP621" s="27"/>
      <c r="BQ621" s="27"/>
      <c r="BR621" s="27"/>
      <c r="BS621" s="27"/>
      <c r="BT621" s="27"/>
      <c r="BU621" s="27"/>
      <c r="BV621" s="27"/>
      <c r="BW621" s="27"/>
      <c r="BX621" s="27"/>
      <c r="BY621" s="27"/>
      <c r="BZ621" s="27"/>
      <c r="CA621" s="27"/>
      <c r="CB621" s="27"/>
      <c r="CC621" s="27"/>
      <c r="CD621" s="27"/>
      <c r="CE621" s="27"/>
      <c r="CF621" s="27"/>
      <c r="CG621" s="27"/>
      <c r="CH621" s="27"/>
      <c r="CI621" s="27"/>
      <c r="CJ621" s="27"/>
      <c r="CK621" s="27"/>
      <c r="CL621" s="27"/>
      <c r="CM621" s="27"/>
      <c r="CN621" s="27"/>
      <c r="CO621" s="27"/>
      <c r="CP621" s="27"/>
      <c r="CQ621" s="27"/>
      <c r="CR621" s="27"/>
      <c r="CS621" s="27"/>
      <c r="CT621" s="27"/>
      <c r="CU621" s="27"/>
      <c r="CV621" s="27"/>
      <c r="CW621" s="27"/>
      <c r="CX621" s="27"/>
      <c r="CY621" s="27"/>
      <c r="CZ621" s="27"/>
      <c r="DA621" s="27"/>
      <c r="DB621" s="27"/>
      <c r="DC621" s="27"/>
      <c r="DD621" s="27"/>
      <c r="DE621" s="27"/>
      <c r="DF621" s="27"/>
      <c r="DG621" s="27"/>
      <c r="DH621" s="27"/>
      <c r="DI621" s="27"/>
      <c r="DJ621" s="27"/>
      <c r="DK621" s="27"/>
      <c r="DL621" s="27"/>
      <c r="DM621" s="27"/>
      <c r="DN621" s="27"/>
      <c r="DO621" s="27"/>
      <c r="DP621" s="27"/>
      <c r="DQ621" s="27"/>
      <c r="DR621" s="27"/>
      <c r="DS621" s="27"/>
      <c r="DT621" s="27"/>
    </row>
    <row r="622" spans="7:124" x14ac:dyDescent="0.2">
      <c r="G622" s="27"/>
      <c r="H622" s="27"/>
      <c r="I622" s="27"/>
      <c r="J622" s="27"/>
      <c r="K622" s="27"/>
      <c r="L622" s="27"/>
      <c r="M622" s="27"/>
      <c r="N622" s="27"/>
      <c r="O622" s="27"/>
      <c r="P622" s="27"/>
      <c r="Q622" s="27"/>
      <c r="R622" s="27"/>
      <c r="S622" s="27"/>
      <c r="T622" s="27"/>
      <c r="U622" s="27"/>
      <c r="V622" s="27"/>
      <c r="W622" s="27"/>
      <c r="X622" s="27"/>
      <c r="Y622" s="27"/>
      <c r="Z622" s="27"/>
      <c r="AA622" s="27"/>
      <c r="AB622" s="27"/>
      <c r="AC622" s="27"/>
      <c r="AD622" s="27"/>
      <c r="AE622" s="27"/>
      <c r="AF622" s="27"/>
      <c r="AG622" s="27"/>
      <c r="AH622" s="27"/>
      <c r="AI622" s="27"/>
      <c r="AJ622" s="27"/>
      <c r="AK622" s="27"/>
      <c r="AL622" s="27"/>
      <c r="AM622" s="27"/>
      <c r="AN622" s="27"/>
      <c r="AO622" s="27"/>
      <c r="AP622" s="27"/>
      <c r="AQ622" s="27"/>
      <c r="AR622" s="27"/>
      <c r="AS622" s="27"/>
      <c r="AT622" s="27"/>
      <c r="AU622" s="27"/>
      <c r="AV622" s="27"/>
      <c r="AW622" s="27"/>
      <c r="AX622" s="27"/>
      <c r="AY622" s="27"/>
      <c r="AZ622" s="27"/>
      <c r="BA622" s="27"/>
      <c r="BB622" s="27"/>
      <c r="BC622" s="27"/>
      <c r="BD622" s="27"/>
      <c r="BE622" s="27"/>
      <c r="BF622" s="27"/>
      <c r="BG622" s="27"/>
      <c r="BH622" s="27"/>
      <c r="BI622" s="27"/>
      <c r="BJ622" s="27"/>
      <c r="BK622" s="27"/>
      <c r="BL622" s="27"/>
      <c r="BM622" s="27"/>
      <c r="BN622" s="27"/>
      <c r="BO622" s="27"/>
      <c r="BP622" s="27"/>
      <c r="BQ622" s="27"/>
      <c r="BR622" s="27"/>
      <c r="BS622" s="27"/>
      <c r="BT622" s="27"/>
      <c r="BU622" s="27"/>
      <c r="BV622" s="27"/>
      <c r="BW622" s="27"/>
      <c r="BX622" s="27"/>
      <c r="BY622" s="27"/>
      <c r="BZ622" s="27"/>
      <c r="CA622" s="27"/>
      <c r="CB622" s="27"/>
      <c r="CC622" s="27"/>
      <c r="CD622" s="27"/>
      <c r="CE622" s="27"/>
      <c r="CF622" s="27"/>
      <c r="CG622" s="27"/>
      <c r="CH622" s="27"/>
      <c r="CI622" s="27"/>
      <c r="CJ622" s="27"/>
      <c r="CK622" s="27"/>
      <c r="CL622" s="27"/>
      <c r="CM622" s="27"/>
      <c r="CN622" s="27"/>
      <c r="CO622" s="27"/>
      <c r="CP622" s="27"/>
      <c r="CQ622" s="27"/>
      <c r="CR622" s="27"/>
      <c r="CS622" s="27"/>
      <c r="CT622" s="27"/>
      <c r="CU622" s="27"/>
      <c r="CV622" s="27"/>
      <c r="CW622" s="27"/>
      <c r="CX622" s="27"/>
      <c r="CY622" s="27"/>
      <c r="CZ622" s="27"/>
      <c r="DA622" s="27"/>
      <c r="DB622" s="27"/>
      <c r="DC622" s="27"/>
      <c r="DD622" s="27"/>
      <c r="DE622" s="27"/>
      <c r="DF622" s="27"/>
      <c r="DG622" s="27"/>
      <c r="DH622" s="27"/>
      <c r="DI622" s="27"/>
      <c r="DJ622" s="27"/>
      <c r="DK622" s="27"/>
      <c r="DL622" s="27"/>
      <c r="DM622" s="27"/>
      <c r="DN622" s="27"/>
      <c r="DO622" s="27"/>
      <c r="DP622" s="27"/>
      <c r="DQ622" s="27"/>
      <c r="DR622" s="27"/>
      <c r="DS622" s="27"/>
      <c r="DT622" s="27"/>
    </row>
    <row r="623" spans="7:124" x14ac:dyDescent="0.2">
      <c r="G623" s="27"/>
      <c r="H623" s="27"/>
      <c r="I623" s="27"/>
      <c r="J623" s="27"/>
      <c r="K623" s="27"/>
      <c r="L623" s="27"/>
      <c r="M623" s="27"/>
      <c r="N623" s="27"/>
      <c r="O623" s="27"/>
      <c r="P623" s="27"/>
      <c r="Q623" s="27"/>
      <c r="R623" s="27"/>
      <c r="S623" s="27"/>
      <c r="T623" s="27"/>
      <c r="U623" s="27"/>
      <c r="V623" s="27"/>
      <c r="W623" s="27"/>
      <c r="X623" s="27"/>
      <c r="Y623" s="27"/>
      <c r="Z623" s="27"/>
      <c r="AA623" s="27"/>
      <c r="AB623" s="27"/>
      <c r="AC623" s="27"/>
      <c r="AD623" s="27"/>
      <c r="AE623" s="27"/>
      <c r="AF623" s="27"/>
      <c r="AG623" s="27"/>
      <c r="AH623" s="27"/>
      <c r="AI623" s="27"/>
      <c r="AJ623" s="27"/>
      <c r="AK623" s="27"/>
      <c r="AL623" s="27"/>
      <c r="AM623" s="27"/>
      <c r="AN623" s="27"/>
      <c r="AO623" s="27"/>
      <c r="AP623" s="27"/>
      <c r="AQ623" s="27"/>
      <c r="AR623" s="27"/>
      <c r="AS623" s="27"/>
      <c r="AT623" s="27"/>
      <c r="AU623" s="27"/>
      <c r="AV623" s="27"/>
      <c r="AW623" s="27"/>
      <c r="AX623" s="27"/>
      <c r="AY623" s="27"/>
      <c r="AZ623" s="27"/>
      <c r="BA623" s="27"/>
      <c r="BB623" s="27"/>
      <c r="BC623" s="27"/>
      <c r="BD623" s="27"/>
      <c r="BE623" s="27"/>
      <c r="BF623" s="27"/>
      <c r="BG623" s="27"/>
      <c r="BH623" s="27"/>
      <c r="BI623" s="27"/>
      <c r="BJ623" s="27"/>
      <c r="BK623" s="27"/>
      <c r="BL623" s="27"/>
      <c r="BM623" s="27"/>
      <c r="BN623" s="27"/>
      <c r="BO623" s="27"/>
      <c r="BP623" s="27"/>
      <c r="BQ623" s="27"/>
      <c r="BR623" s="27"/>
      <c r="BS623" s="27"/>
      <c r="BT623" s="27"/>
      <c r="BU623" s="27"/>
      <c r="BV623" s="27"/>
      <c r="BW623" s="27"/>
      <c r="BX623" s="27"/>
      <c r="BY623" s="27"/>
      <c r="BZ623" s="27"/>
      <c r="CA623" s="27"/>
      <c r="CB623" s="27"/>
      <c r="CC623" s="27"/>
      <c r="CD623" s="27"/>
      <c r="CE623" s="27"/>
      <c r="CF623" s="27"/>
      <c r="CG623" s="27"/>
      <c r="CH623" s="27"/>
      <c r="CI623" s="27"/>
      <c r="CJ623" s="27"/>
      <c r="CK623" s="27"/>
      <c r="CL623" s="27"/>
      <c r="CM623" s="27"/>
      <c r="CN623" s="27"/>
      <c r="CO623" s="27"/>
      <c r="CP623" s="27"/>
      <c r="CQ623" s="27"/>
      <c r="CR623" s="27"/>
      <c r="CS623" s="27"/>
      <c r="CT623" s="27"/>
      <c r="CU623" s="27"/>
      <c r="CV623" s="27"/>
      <c r="CW623" s="27"/>
      <c r="CX623" s="27"/>
      <c r="CY623" s="27"/>
      <c r="CZ623" s="27"/>
      <c r="DA623" s="27"/>
      <c r="DB623" s="27"/>
      <c r="DC623" s="27"/>
      <c r="DD623" s="27"/>
      <c r="DE623" s="27"/>
      <c r="DF623" s="27"/>
      <c r="DG623" s="27"/>
      <c r="DH623" s="27"/>
      <c r="DI623" s="27"/>
      <c r="DJ623" s="27"/>
      <c r="DK623" s="27"/>
      <c r="DL623" s="27"/>
      <c r="DM623" s="27"/>
      <c r="DN623" s="27"/>
      <c r="DO623" s="27"/>
      <c r="DP623" s="27"/>
      <c r="DQ623" s="27"/>
      <c r="DR623" s="27"/>
      <c r="DS623" s="27"/>
      <c r="DT623" s="27"/>
    </row>
    <row r="624" spans="7:124" x14ac:dyDescent="0.2">
      <c r="G624" s="27"/>
      <c r="H624" s="27"/>
      <c r="I624" s="27"/>
      <c r="J624" s="27"/>
      <c r="K624" s="27"/>
      <c r="L624" s="27"/>
      <c r="M624" s="27"/>
      <c r="N624" s="27"/>
      <c r="O624" s="27"/>
      <c r="P624" s="27"/>
      <c r="Q624" s="27"/>
      <c r="R624" s="27"/>
      <c r="S624" s="27"/>
      <c r="T624" s="27"/>
      <c r="U624" s="27"/>
      <c r="V624" s="27"/>
      <c r="W624" s="27"/>
      <c r="X624" s="27"/>
      <c r="Y624" s="27"/>
      <c r="Z624" s="27"/>
      <c r="AA624" s="27"/>
      <c r="AB624" s="27"/>
      <c r="AC624" s="27"/>
      <c r="AD624" s="27"/>
      <c r="AE624" s="27"/>
      <c r="AF624" s="27"/>
      <c r="AG624" s="27"/>
      <c r="AH624" s="27"/>
      <c r="AI624" s="27"/>
      <c r="AJ624" s="27"/>
      <c r="AK624" s="27"/>
      <c r="AL624" s="27"/>
      <c r="AM624" s="27"/>
      <c r="AN624" s="27"/>
      <c r="AO624" s="27"/>
      <c r="AP624" s="27"/>
      <c r="AQ624" s="27"/>
      <c r="AR624" s="27"/>
      <c r="AS624" s="27"/>
      <c r="AT624" s="27"/>
      <c r="AU624" s="27"/>
      <c r="AV624" s="27"/>
      <c r="AW624" s="27"/>
      <c r="AX624" s="27"/>
      <c r="AY624" s="27"/>
      <c r="AZ624" s="27"/>
      <c r="BA624" s="27"/>
      <c r="BB624" s="27"/>
      <c r="BC624" s="27"/>
      <c r="BD624" s="27"/>
      <c r="BE624" s="27"/>
      <c r="BF624" s="27"/>
      <c r="BG624" s="27"/>
      <c r="BH624" s="27"/>
      <c r="BI624" s="27"/>
      <c r="BJ624" s="27"/>
      <c r="BK624" s="27"/>
      <c r="BL624" s="27"/>
      <c r="BM624" s="27"/>
      <c r="BN624" s="27"/>
      <c r="BO624" s="27"/>
      <c r="BP624" s="27"/>
      <c r="BQ624" s="27"/>
      <c r="BR624" s="27"/>
      <c r="BS624" s="27"/>
      <c r="BT624" s="27"/>
      <c r="BU624" s="27"/>
      <c r="BV624" s="27"/>
      <c r="BW624" s="27"/>
      <c r="BX624" s="27"/>
      <c r="BY624" s="27"/>
      <c r="BZ624" s="27"/>
      <c r="CA624" s="27"/>
      <c r="CB624" s="27"/>
      <c r="CC624" s="27"/>
      <c r="CD624" s="27"/>
      <c r="CE624" s="27"/>
      <c r="CF624" s="27"/>
      <c r="CG624" s="27"/>
      <c r="CH624" s="27"/>
      <c r="CI624" s="27"/>
      <c r="CJ624" s="27"/>
      <c r="CK624" s="27"/>
      <c r="CL624" s="27"/>
      <c r="CM624" s="27"/>
      <c r="CN624" s="27"/>
      <c r="CO624" s="27"/>
      <c r="CP624" s="27"/>
      <c r="CQ624" s="27"/>
      <c r="CR624" s="27"/>
      <c r="CS624" s="27"/>
      <c r="CT624" s="27"/>
      <c r="CU624" s="27"/>
      <c r="CV624" s="27"/>
      <c r="CW624" s="27"/>
      <c r="CX624" s="27"/>
      <c r="CY624" s="27"/>
      <c r="CZ624" s="27"/>
      <c r="DA624" s="27"/>
      <c r="DB624" s="27"/>
      <c r="DC624" s="27"/>
      <c r="DD624" s="27"/>
      <c r="DE624" s="27"/>
      <c r="DF624" s="27"/>
      <c r="DG624" s="27"/>
      <c r="DH624" s="27"/>
      <c r="DI624" s="27"/>
      <c r="DJ624" s="27"/>
      <c r="DK624" s="27"/>
      <c r="DL624" s="27"/>
      <c r="DM624" s="27"/>
      <c r="DN624" s="27"/>
      <c r="DO624" s="27"/>
      <c r="DP624" s="27"/>
      <c r="DQ624" s="27"/>
      <c r="DR624" s="27"/>
      <c r="DS624" s="27"/>
      <c r="DT624" s="27"/>
    </row>
    <row r="625" spans="7:124" x14ac:dyDescent="0.2">
      <c r="G625" s="27"/>
      <c r="H625" s="27"/>
      <c r="I625" s="27"/>
      <c r="J625" s="27"/>
      <c r="K625" s="27"/>
      <c r="L625" s="27"/>
      <c r="M625" s="27"/>
      <c r="N625" s="27"/>
      <c r="O625" s="27"/>
      <c r="P625" s="27"/>
      <c r="Q625" s="27"/>
      <c r="R625" s="27"/>
      <c r="S625" s="27"/>
      <c r="T625" s="27"/>
      <c r="U625" s="27"/>
      <c r="V625" s="27"/>
      <c r="W625" s="27"/>
      <c r="X625" s="27"/>
      <c r="Y625" s="27"/>
      <c r="Z625" s="27"/>
      <c r="AA625" s="27"/>
      <c r="AB625" s="27"/>
      <c r="AC625" s="27"/>
      <c r="AD625" s="27"/>
      <c r="AE625" s="27"/>
      <c r="AF625" s="27"/>
      <c r="AG625" s="27"/>
      <c r="AH625" s="27"/>
      <c r="AI625" s="27"/>
      <c r="AJ625" s="27"/>
      <c r="AK625" s="27"/>
      <c r="AL625" s="27"/>
      <c r="AM625" s="27"/>
      <c r="AN625" s="27"/>
      <c r="AO625" s="27"/>
      <c r="AP625" s="27"/>
      <c r="AQ625" s="27"/>
      <c r="AR625" s="27"/>
      <c r="AS625" s="27"/>
      <c r="AT625" s="27"/>
      <c r="AU625" s="27"/>
      <c r="AV625" s="27"/>
      <c r="AW625" s="27"/>
      <c r="AX625" s="27"/>
      <c r="AY625" s="27"/>
      <c r="AZ625" s="27"/>
      <c r="BA625" s="27"/>
      <c r="BB625" s="27"/>
      <c r="BC625" s="27"/>
      <c r="BD625" s="27"/>
      <c r="BE625" s="27"/>
      <c r="BF625" s="27"/>
      <c r="BG625" s="27"/>
      <c r="BH625" s="27"/>
      <c r="BI625" s="27"/>
      <c r="BJ625" s="27"/>
      <c r="BK625" s="27"/>
      <c r="BL625" s="27"/>
      <c r="BM625" s="27"/>
      <c r="BN625" s="27"/>
      <c r="BO625" s="27"/>
      <c r="BP625" s="27"/>
      <c r="BQ625" s="27"/>
      <c r="BR625" s="27"/>
      <c r="BS625" s="27"/>
      <c r="BT625" s="27"/>
      <c r="BU625" s="27"/>
      <c r="BV625" s="27"/>
      <c r="BW625" s="27"/>
      <c r="BX625" s="27"/>
      <c r="BY625" s="27"/>
      <c r="BZ625" s="27"/>
      <c r="CA625" s="27"/>
      <c r="CB625" s="27"/>
      <c r="CC625" s="27"/>
      <c r="CD625" s="27"/>
      <c r="CE625" s="27"/>
      <c r="CF625" s="27"/>
      <c r="CG625" s="27"/>
      <c r="CH625" s="27"/>
      <c r="CI625" s="27"/>
      <c r="CJ625" s="27"/>
      <c r="CK625" s="27"/>
      <c r="CL625" s="27"/>
      <c r="CM625" s="27"/>
      <c r="CN625" s="27"/>
      <c r="CO625" s="27"/>
      <c r="CP625" s="27"/>
      <c r="CQ625" s="27"/>
      <c r="CR625" s="27"/>
      <c r="CS625" s="27"/>
      <c r="CT625" s="27"/>
      <c r="CU625" s="27"/>
      <c r="CV625" s="27"/>
      <c r="CW625" s="27"/>
      <c r="CX625" s="27"/>
      <c r="CY625" s="27"/>
      <c r="CZ625" s="27"/>
      <c r="DA625" s="27"/>
      <c r="DB625" s="27"/>
      <c r="DC625" s="27"/>
      <c r="DD625" s="27"/>
      <c r="DE625" s="27"/>
      <c r="DF625" s="27"/>
      <c r="DG625" s="27"/>
      <c r="DH625" s="27"/>
      <c r="DI625" s="27"/>
      <c r="DJ625" s="27"/>
      <c r="DK625" s="27"/>
      <c r="DL625" s="27"/>
      <c r="DM625" s="27"/>
      <c r="DN625" s="27"/>
      <c r="DO625" s="27"/>
      <c r="DP625" s="27"/>
      <c r="DQ625" s="27"/>
      <c r="DR625" s="27"/>
      <c r="DS625" s="27"/>
      <c r="DT625" s="27"/>
    </row>
    <row r="626" spans="7:124" x14ac:dyDescent="0.2">
      <c r="G626" s="27"/>
      <c r="H626" s="27"/>
      <c r="I626" s="27"/>
      <c r="J626" s="27"/>
      <c r="K626" s="27"/>
      <c r="L626" s="27"/>
      <c r="M626" s="27"/>
      <c r="N626" s="27"/>
      <c r="O626" s="27"/>
      <c r="P626" s="27"/>
      <c r="Q626" s="27"/>
      <c r="R626" s="27"/>
      <c r="S626" s="27"/>
      <c r="T626" s="27"/>
      <c r="U626" s="27"/>
      <c r="V626" s="27"/>
      <c r="W626" s="27"/>
      <c r="X626" s="27"/>
      <c r="Y626" s="27"/>
      <c r="Z626" s="27"/>
      <c r="AA626" s="27"/>
      <c r="AB626" s="27"/>
      <c r="AC626" s="27"/>
      <c r="AD626" s="27"/>
      <c r="AE626" s="27"/>
      <c r="AF626" s="27"/>
      <c r="AG626" s="27"/>
      <c r="AH626" s="27"/>
      <c r="AI626" s="27"/>
      <c r="AJ626" s="27"/>
      <c r="AK626" s="27"/>
      <c r="AL626" s="27"/>
      <c r="AM626" s="27"/>
      <c r="AN626" s="27"/>
      <c r="AO626" s="27"/>
      <c r="AP626" s="27"/>
      <c r="AQ626" s="27"/>
      <c r="AR626" s="27"/>
      <c r="AS626" s="27"/>
      <c r="AT626" s="27"/>
      <c r="AU626" s="27"/>
      <c r="AV626" s="27"/>
      <c r="AW626" s="27"/>
      <c r="AX626" s="27"/>
      <c r="AY626" s="27"/>
      <c r="AZ626" s="27"/>
      <c r="BA626" s="27"/>
      <c r="BB626" s="27"/>
      <c r="BC626" s="27"/>
      <c r="BD626" s="27"/>
      <c r="BE626" s="27"/>
      <c r="BF626" s="27"/>
      <c r="BG626" s="27"/>
      <c r="BH626" s="27"/>
      <c r="BI626" s="27"/>
      <c r="BJ626" s="27"/>
      <c r="BK626" s="27"/>
      <c r="BL626" s="27"/>
      <c r="BM626" s="27"/>
      <c r="BN626" s="27"/>
      <c r="BO626" s="27"/>
      <c r="BP626" s="27"/>
      <c r="BQ626" s="27"/>
      <c r="BR626" s="27"/>
      <c r="BS626" s="27"/>
      <c r="BT626" s="27"/>
      <c r="BU626" s="27"/>
      <c r="BV626" s="27"/>
      <c r="BW626" s="27"/>
      <c r="BX626" s="27"/>
      <c r="BY626" s="27"/>
      <c r="BZ626" s="27"/>
      <c r="CA626" s="27"/>
      <c r="CB626" s="27"/>
      <c r="CC626" s="27"/>
      <c r="CD626" s="27"/>
      <c r="CE626" s="27"/>
      <c r="CF626" s="27"/>
      <c r="CG626" s="27"/>
      <c r="CH626" s="27"/>
      <c r="CI626" s="27"/>
      <c r="CJ626" s="27"/>
      <c r="CK626" s="27"/>
      <c r="CL626" s="27"/>
      <c r="CM626" s="27"/>
      <c r="CN626" s="27"/>
      <c r="CO626" s="27"/>
      <c r="CP626" s="27"/>
      <c r="CQ626" s="27"/>
      <c r="CR626" s="27"/>
      <c r="CS626" s="27"/>
      <c r="CT626" s="27"/>
      <c r="CU626" s="27"/>
      <c r="CV626" s="27"/>
      <c r="CW626" s="27"/>
      <c r="CX626" s="27"/>
      <c r="CY626" s="27"/>
      <c r="CZ626" s="27"/>
      <c r="DA626" s="27"/>
      <c r="DB626" s="27"/>
      <c r="DC626" s="27"/>
      <c r="DD626" s="27"/>
      <c r="DE626" s="27"/>
      <c r="DF626" s="27"/>
      <c r="DG626" s="27"/>
      <c r="DH626" s="27"/>
      <c r="DI626" s="27"/>
      <c r="DJ626" s="27"/>
      <c r="DK626" s="27"/>
      <c r="DL626" s="27"/>
      <c r="DM626" s="27"/>
      <c r="DN626" s="27"/>
      <c r="DO626" s="27"/>
      <c r="DP626" s="27"/>
      <c r="DQ626" s="27"/>
      <c r="DR626" s="27"/>
      <c r="DS626" s="27"/>
      <c r="DT626" s="27"/>
    </row>
    <row r="627" spans="7:124" x14ac:dyDescent="0.2">
      <c r="G627" s="27"/>
      <c r="H627" s="27"/>
      <c r="I627" s="27"/>
      <c r="J627" s="27"/>
      <c r="K627" s="27"/>
      <c r="L627" s="27"/>
      <c r="M627" s="27"/>
      <c r="N627" s="27"/>
      <c r="O627" s="27"/>
      <c r="P627" s="27"/>
      <c r="Q627" s="27"/>
      <c r="R627" s="27"/>
      <c r="S627" s="27"/>
      <c r="T627" s="27"/>
      <c r="U627" s="27"/>
      <c r="V627" s="27"/>
      <c r="W627" s="27"/>
      <c r="X627" s="27"/>
      <c r="Y627" s="27"/>
      <c r="Z627" s="27"/>
      <c r="AA627" s="27"/>
      <c r="AB627" s="27"/>
      <c r="AC627" s="27"/>
      <c r="AD627" s="27"/>
      <c r="AE627" s="27"/>
      <c r="AF627" s="27"/>
      <c r="AG627" s="27"/>
      <c r="AH627" s="27"/>
      <c r="AI627" s="27"/>
      <c r="AJ627" s="27"/>
      <c r="AK627" s="27"/>
      <c r="AL627" s="27"/>
      <c r="AM627" s="27"/>
      <c r="AN627" s="27"/>
      <c r="AO627" s="27"/>
      <c r="AP627" s="27"/>
      <c r="AQ627" s="27"/>
      <c r="AR627" s="27"/>
      <c r="AS627" s="27"/>
      <c r="AT627" s="27"/>
      <c r="AU627" s="27"/>
      <c r="AV627" s="27"/>
      <c r="AW627" s="27"/>
      <c r="AX627" s="27"/>
      <c r="AY627" s="27"/>
      <c r="AZ627" s="27"/>
      <c r="BA627" s="27"/>
      <c r="BB627" s="27"/>
      <c r="BC627" s="27"/>
      <c r="BD627" s="27"/>
      <c r="BE627" s="27"/>
      <c r="BF627" s="27"/>
      <c r="BG627" s="27"/>
      <c r="BH627" s="27"/>
      <c r="BI627" s="27"/>
      <c r="BJ627" s="27"/>
      <c r="BK627" s="27"/>
      <c r="BL627" s="27"/>
      <c r="BM627" s="27"/>
      <c r="BN627" s="27"/>
      <c r="BO627" s="27"/>
      <c r="BP627" s="27"/>
      <c r="BQ627" s="27"/>
      <c r="BR627" s="27"/>
      <c r="BS627" s="27"/>
      <c r="BT627" s="27"/>
      <c r="BU627" s="27"/>
      <c r="BV627" s="27"/>
      <c r="BW627" s="27"/>
      <c r="BX627" s="27"/>
      <c r="BY627" s="27"/>
      <c r="BZ627" s="27"/>
      <c r="CA627" s="27"/>
      <c r="CB627" s="27"/>
      <c r="CC627" s="27"/>
      <c r="CD627" s="27"/>
      <c r="CE627" s="27"/>
      <c r="CF627" s="27"/>
      <c r="CG627" s="27"/>
      <c r="CH627" s="27"/>
      <c r="CI627" s="27"/>
      <c r="CJ627" s="27"/>
      <c r="CK627" s="27"/>
      <c r="CL627" s="27"/>
      <c r="CM627" s="27"/>
      <c r="CN627" s="27"/>
      <c r="CO627" s="27"/>
      <c r="CP627" s="27"/>
      <c r="CQ627" s="27"/>
      <c r="CR627" s="27"/>
      <c r="CS627" s="27"/>
      <c r="CT627" s="27"/>
      <c r="CU627" s="27"/>
      <c r="CV627" s="27"/>
      <c r="CW627" s="27"/>
      <c r="CX627" s="27"/>
      <c r="CY627" s="27"/>
      <c r="CZ627" s="27"/>
      <c r="DA627" s="27"/>
      <c r="DB627" s="27"/>
      <c r="DC627" s="27"/>
      <c r="DD627" s="27"/>
      <c r="DE627" s="27"/>
      <c r="DF627" s="27"/>
      <c r="DG627" s="27"/>
      <c r="DH627" s="27"/>
      <c r="DI627" s="27"/>
      <c r="DJ627" s="27"/>
      <c r="DK627" s="27"/>
      <c r="DL627" s="27"/>
      <c r="DM627" s="27"/>
      <c r="DN627" s="27"/>
      <c r="DO627" s="27"/>
      <c r="DP627" s="27"/>
      <c r="DQ627" s="27"/>
      <c r="DR627" s="27"/>
      <c r="DS627" s="27"/>
      <c r="DT627" s="27"/>
    </row>
    <row r="628" spans="7:124" x14ac:dyDescent="0.2">
      <c r="G628" s="27"/>
      <c r="H628" s="27"/>
      <c r="I628" s="27"/>
      <c r="J628" s="27"/>
      <c r="K628" s="27"/>
      <c r="L628" s="27"/>
      <c r="M628" s="27"/>
      <c r="N628" s="27"/>
      <c r="O628" s="27"/>
      <c r="P628" s="27"/>
      <c r="Q628" s="27"/>
      <c r="R628" s="27"/>
      <c r="S628" s="27"/>
      <c r="T628" s="27"/>
      <c r="U628" s="27"/>
      <c r="V628" s="27"/>
      <c r="W628" s="27"/>
      <c r="X628" s="27"/>
      <c r="Y628" s="27"/>
      <c r="Z628" s="27"/>
      <c r="AA628" s="27"/>
      <c r="AB628" s="27"/>
      <c r="AC628" s="27"/>
      <c r="AD628" s="27"/>
      <c r="AE628" s="27"/>
      <c r="AF628" s="27"/>
      <c r="AG628" s="27"/>
      <c r="AH628" s="27"/>
      <c r="AI628" s="27"/>
      <c r="AJ628" s="27"/>
      <c r="AK628" s="27"/>
      <c r="AL628" s="27"/>
      <c r="AM628" s="27"/>
      <c r="AN628" s="27"/>
      <c r="AO628" s="27"/>
      <c r="AP628" s="27"/>
      <c r="AQ628" s="27"/>
      <c r="AR628" s="27"/>
      <c r="AS628" s="27"/>
      <c r="AT628" s="27"/>
      <c r="AU628" s="27"/>
      <c r="AV628" s="27"/>
      <c r="AW628" s="27"/>
      <c r="AX628" s="27"/>
      <c r="AY628" s="27"/>
      <c r="AZ628" s="27"/>
      <c r="BA628" s="27"/>
      <c r="BB628" s="27"/>
      <c r="BC628" s="27"/>
      <c r="BD628" s="27"/>
      <c r="BE628" s="27"/>
      <c r="BF628" s="27"/>
      <c r="BG628" s="27"/>
      <c r="BH628" s="27"/>
      <c r="BI628" s="27"/>
      <c r="BJ628" s="27"/>
      <c r="BK628" s="27"/>
      <c r="BL628" s="27"/>
      <c r="BM628" s="27"/>
      <c r="BN628" s="27"/>
      <c r="BO628" s="27"/>
      <c r="BP628" s="27"/>
      <c r="BQ628" s="27"/>
      <c r="BR628" s="27"/>
      <c r="BS628" s="27"/>
      <c r="BT628" s="27"/>
      <c r="BU628" s="27"/>
      <c r="BV628" s="27"/>
      <c r="BW628" s="27"/>
      <c r="BX628" s="27"/>
      <c r="BY628" s="27"/>
      <c r="BZ628" s="27"/>
      <c r="CA628" s="27"/>
      <c r="CB628" s="27"/>
      <c r="CC628" s="27"/>
      <c r="CD628" s="27"/>
      <c r="CE628" s="27"/>
      <c r="CF628" s="27"/>
      <c r="CG628" s="27"/>
      <c r="CH628" s="27"/>
      <c r="CI628" s="27"/>
      <c r="CJ628" s="27"/>
      <c r="CK628" s="27"/>
      <c r="CL628" s="27"/>
      <c r="CM628" s="27"/>
      <c r="CN628" s="27"/>
      <c r="CO628" s="27"/>
      <c r="CP628" s="27"/>
      <c r="CQ628" s="27"/>
      <c r="CR628" s="27"/>
      <c r="CS628" s="27"/>
      <c r="CT628" s="27"/>
      <c r="CU628" s="27"/>
      <c r="CV628" s="27"/>
      <c r="CW628" s="27"/>
      <c r="CX628" s="27"/>
      <c r="CY628" s="27"/>
      <c r="CZ628" s="27"/>
      <c r="DA628" s="27"/>
      <c r="DB628" s="27"/>
      <c r="DC628" s="27"/>
      <c r="DD628" s="27"/>
      <c r="DE628" s="27"/>
      <c r="DF628" s="27"/>
      <c r="DG628" s="27"/>
      <c r="DH628" s="27"/>
      <c r="DI628" s="27"/>
      <c r="DJ628" s="27"/>
      <c r="DK628" s="27"/>
      <c r="DL628" s="27"/>
      <c r="DM628" s="27"/>
      <c r="DN628" s="27"/>
      <c r="DO628" s="27"/>
      <c r="DP628" s="27"/>
      <c r="DQ628" s="27"/>
      <c r="DR628" s="27"/>
      <c r="DS628" s="27"/>
      <c r="DT628" s="27"/>
    </row>
    <row r="629" spans="7:124" x14ac:dyDescent="0.2">
      <c r="G629" s="27"/>
      <c r="H629" s="27"/>
      <c r="I629" s="27"/>
      <c r="J629" s="27"/>
      <c r="K629" s="27"/>
      <c r="L629" s="27"/>
      <c r="M629" s="27"/>
      <c r="N629" s="27"/>
      <c r="O629" s="27"/>
      <c r="P629" s="27"/>
      <c r="Q629" s="27"/>
      <c r="R629" s="27"/>
      <c r="S629" s="27"/>
      <c r="T629" s="27"/>
      <c r="U629" s="27"/>
      <c r="V629" s="27"/>
      <c r="W629" s="27"/>
      <c r="X629" s="27"/>
      <c r="Y629" s="27"/>
      <c r="Z629" s="27"/>
      <c r="AA629" s="27"/>
      <c r="AB629" s="27"/>
      <c r="AC629" s="27"/>
      <c r="AD629" s="27"/>
      <c r="AE629" s="27"/>
      <c r="AF629" s="27"/>
      <c r="AG629" s="27"/>
      <c r="AH629" s="27"/>
      <c r="AI629" s="27"/>
      <c r="AJ629" s="27"/>
      <c r="AK629" s="27"/>
      <c r="AL629" s="27"/>
      <c r="AM629" s="27"/>
      <c r="AN629" s="27"/>
      <c r="AO629" s="27"/>
      <c r="AP629" s="27"/>
      <c r="AQ629" s="27"/>
      <c r="AR629" s="27"/>
      <c r="AS629" s="27"/>
      <c r="AT629" s="27"/>
      <c r="AU629" s="27"/>
      <c r="AV629" s="27"/>
      <c r="AW629" s="27"/>
      <c r="AX629" s="27"/>
      <c r="AY629" s="27"/>
      <c r="AZ629" s="27"/>
      <c r="BA629" s="27"/>
      <c r="BB629" s="27"/>
      <c r="BC629" s="27"/>
      <c r="BD629" s="27"/>
      <c r="BE629" s="27"/>
      <c r="BF629" s="27"/>
      <c r="BG629" s="27"/>
      <c r="BH629" s="27"/>
      <c r="BI629" s="27"/>
      <c r="BJ629" s="27"/>
      <c r="BK629" s="27"/>
      <c r="BL629" s="27"/>
      <c r="BM629" s="27"/>
      <c r="BN629" s="27"/>
      <c r="BO629" s="27"/>
      <c r="BP629" s="27"/>
      <c r="BQ629" s="27"/>
      <c r="BR629" s="27"/>
      <c r="BS629" s="27"/>
      <c r="BT629" s="27"/>
      <c r="BU629" s="27"/>
      <c r="BV629" s="27"/>
      <c r="BW629" s="27"/>
      <c r="BX629" s="27"/>
      <c r="BY629" s="27"/>
      <c r="BZ629" s="27"/>
      <c r="CA629" s="27"/>
      <c r="CB629" s="27"/>
      <c r="CC629" s="27"/>
      <c r="CD629" s="27"/>
      <c r="CE629" s="27"/>
      <c r="CF629" s="27"/>
      <c r="CG629" s="27"/>
      <c r="CH629" s="27"/>
      <c r="CI629" s="27"/>
      <c r="CJ629" s="27"/>
      <c r="CK629" s="27"/>
      <c r="CL629" s="27"/>
      <c r="CM629" s="27"/>
      <c r="CN629" s="27"/>
      <c r="CO629" s="27"/>
      <c r="CP629" s="27"/>
      <c r="CQ629" s="27"/>
      <c r="CR629" s="27"/>
      <c r="CS629" s="27"/>
      <c r="CT629" s="27"/>
      <c r="CU629" s="27"/>
      <c r="CV629" s="27"/>
      <c r="CW629" s="27"/>
      <c r="CX629" s="27"/>
      <c r="CY629" s="27"/>
      <c r="CZ629" s="27"/>
      <c r="DA629" s="27"/>
      <c r="DB629" s="27"/>
      <c r="DC629" s="27"/>
      <c r="DD629" s="27"/>
      <c r="DE629" s="27"/>
      <c r="DF629" s="27"/>
      <c r="DG629" s="27"/>
      <c r="DH629" s="27"/>
      <c r="DI629" s="27"/>
      <c r="DJ629" s="27"/>
      <c r="DK629" s="27"/>
      <c r="DL629" s="27"/>
      <c r="DM629" s="27"/>
      <c r="DN629" s="27"/>
      <c r="DO629" s="27"/>
      <c r="DP629" s="27"/>
      <c r="DQ629" s="27"/>
      <c r="DR629" s="27"/>
      <c r="DS629" s="27"/>
      <c r="DT629" s="27"/>
    </row>
    <row r="630" spans="7:124" x14ac:dyDescent="0.2">
      <c r="G630" s="27"/>
      <c r="H630" s="27"/>
      <c r="I630" s="27"/>
      <c r="J630" s="27"/>
      <c r="K630" s="27"/>
      <c r="L630" s="27"/>
      <c r="M630" s="27"/>
      <c r="N630" s="27"/>
      <c r="O630" s="27"/>
      <c r="P630" s="27"/>
      <c r="Q630" s="27"/>
      <c r="R630" s="27"/>
      <c r="S630" s="27"/>
      <c r="T630" s="27"/>
      <c r="U630" s="27"/>
      <c r="V630" s="27"/>
      <c r="W630" s="27"/>
      <c r="X630" s="27"/>
      <c r="Y630" s="27"/>
      <c r="Z630" s="27"/>
      <c r="AA630" s="27"/>
      <c r="AB630" s="27"/>
      <c r="AC630" s="27"/>
      <c r="AD630" s="27"/>
      <c r="AE630" s="27"/>
      <c r="AF630" s="27"/>
      <c r="AG630" s="27"/>
      <c r="AH630" s="27"/>
      <c r="AI630" s="27"/>
      <c r="AJ630" s="27"/>
      <c r="AK630" s="27"/>
      <c r="AL630" s="27"/>
      <c r="AM630" s="27"/>
      <c r="AN630" s="27"/>
      <c r="AO630" s="27"/>
      <c r="AP630" s="27"/>
      <c r="AQ630" s="27"/>
      <c r="AR630" s="27"/>
      <c r="AS630" s="27"/>
      <c r="AT630" s="27"/>
      <c r="AU630" s="27"/>
      <c r="AV630" s="27"/>
      <c r="AW630" s="27"/>
      <c r="AX630" s="27"/>
      <c r="AY630" s="27"/>
      <c r="AZ630" s="27"/>
      <c r="BA630" s="27"/>
      <c r="BB630" s="27"/>
      <c r="BC630" s="27"/>
      <c r="BD630" s="27"/>
      <c r="BE630" s="27"/>
      <c r="BF630" s="27"/>
      <c r="BG630" s="27"/>
      <c r="BH630" s="27"/>
      <c r="BI630" s="27"/>
      <c r="BJ630" s="27"/>
      <c r="BK630" s="27"/>
      <c r="BL630" s="27"/>
      <c r="BM630" s="27"/>
      <c r="BN630" s="27"/>
      <c r="BO630" s="27"/>
      <c r="BP630" s="27"/>
      <c r="BQ630" s="27"/>
      <c r="BR630" s="27"/>
      <c r="BS630" s="27"/>
      <c r="BT630" s="27"/>
      <c r="BU630" s="27"/>
      <c r="BV630" s="27"/>
      <c r="BW630" s="27"/>
      <c r="BX630" s="27"/>
      <c r="BY630" s="27"/>
      <c r="BZ630" s="27"/>
      <c r="CA630" s="27"/>
      <c r="CB630" s="27"/>
      <c r="CC630" s="27"/>
      <c r="CD630" s="27"/>
      <c r="CE630" s="27"/>
      <c r="CF630" s="27"/>
      <c r="CG630" s="27"/>
      <c r="CH630" s="27"/>
      <c r="CI630" s="27"/>
      <c r="CJ630" s="27"/>
      <c r="CK630" s="27"/>
      <c r="CL630" s="27"/>
      <c r="CM630" s="27"/>
      <c r="CN630" s="27"/>
      <c r="CO630" s="27"/>
      <c r="CP630" s="27"/>
      <c r="CQ630" s="27"/>
      <c r="CR630" s="27"/>
      <c r="CS630" s="27"/>
      <c r="CT630" s="27"/>
      <c r="CU630" s="27"/>
      <c r="CV630" s="27"/>
      <c r="CW630" s="27"/>
      <c r="CX630" s="27"/>
      <c r="CY630" s="27"/>
      <c r="CZ630" s="27"/>
      <c r="DA630" s="27"/>
      <c r="DB630" s="27"/>
      <c r="DC630" s="27"/>
      <c r="DD630" s="27"/>
      <c r="DE630" s="27"/>
      <c r="DF630" s="27"/>
      <c r="DG630" s="27"/>
      <c r="DH630" s="27"/>
      <c r="DI630" s="27"/>
      <c r="DJ630" s="27"/>
      <c r="DK630" s="27"/>
      <c r="DL630" s="27"/>
      <c r="DM630" s="27"/>
      <c r="DN630" s="27"/>
      <c r="DO630" s="27"/>
      <c r="DP630" s="27"/>
      <c r="DQ630" s="27"/>
      <c r="DR630" s="27"/>
      <c r="DS630" s="27"/>
      <c r="DT630" s="27"/>
    </row>
    <row r="631" spans="7:124" x14ac:dyDescent="0.2">
      <c r="G631" s="27"/>
      <c r="H631" s="27"/>
      <c r="I631" s="27"/>
      <c r="J631" s="27"/>
      <c r="K631" s="27"/>
      <c r="L631" s="27"/>
      <c r="M631" s="27"/>
      <c r="N631" s="27"/>
      <c r="O631" s="27"/>
      <c r="P631" s="27"/>
      <c r="Q631" s="27"/>
      <c r="R631" s="27"/>
      <c r="S631" s="27"/>
      <c r="T631" s="27"/>
      <c r="U631" s="27"/>
      <c r="V631" s="27"/>
      <c r="W631" s="27"/>
      <c r="X631" s="27"/>
      <c r="Y631" s="27"/>
      <c r="Z631" s="27"/>
      <c r="AA631" s="27"/>
      <c r="AB631" s="27"/>
      <c r="AC631" s="27"/>
      <c r="AD631" s="27"/>
      <c r="AE631" s="27"/>
      <c r="AF631" s="27"/>
      <c r="AG631" s="27"/>
      <c r="AH631" s="27"/>
      <c r="AI631" s="27"/>
      <c r="AJ631" s="27"/>
      <c r="AK631" s="27"/>
      <c r="AL631" s="27"/>
      <c r="AM631" s="27"/>
      <c r="AN631" s="27"/>
      <c r="AO631" s="27"/>
      <c r="AP631" s="27"/>
      <c r="AQ631" s="27"/>
      <c r="AR631" s="27"/>
      <c r="AS631" s="27"/>
      <c r="AT631" s="27"/>
      <c r="AU631" s="27"/>
      <c r="AV631" s="27"/>
      <c r="AW631" s="27"/>
      <c r="AX631" s="27"/>
      <c r="AY631" s="27"/>
      <c r="AZ631" s="27"/>
      <c r="BA631" s="27"/>
      <c r="BB631" s="27"/>
      <c r="BC631" s="27"/>
      <c r="BD631" s="27"/>
      <c r="BE631" s="27"/>
      <c r="BF631" s="27"/>
      <c r="BG631" s="27"/>
      <c r="BH631" s="27"/>
      <c r="BI631" s="27"/>
      <c r="BJ631" s="27"/>
      <c r="BK631" s="27"/>
      <c r="BL631" s="27"/>
      <c r="BM631" s="27"/>
      <c r="BN631" s="27"/>
      <c r="BO631" s="27"/>
      <c r="BP631" s="27"/>
      <c r="BQ631" s="27"/>
      <c r="BR631" s="27"/>
      <c r="BS631" s="27"/>
      <c r="BT631" s="27"/>
      <c r="BU631" s="27"/>
      <c r="BV631" s="27"/>
      <c r="BW631" s="27"/>
      <c r="BX631" s="27"/>
      <c r="BY631" s="27"/>
      <c r="BZ631" s="27"/>
      <c r="CA631" s="27"/>
      <c r="CB631" s="27"/>
      <c r="CC631" s="27"/>
      <c r="CD631" s="27"/>
      <c r="CE631" s="27"/>
      <c r="CF631" s="27"/>
      <c r="CG631" s="27"/>
      <c r="CH631" s="27"/>
      <c r="CI631" s="27"/>
      <c r="CJ631" s="27"/>
      <c r="CK631" s="27"/>
      <c r="CL631" s="27"/>
      <c r="CM631" s="27"/>
      <c r="CN631" s="27"/>
      <c r="CO631" s="27"/>
      <c r="CP631" s="27"/>
      <c r="CQ631" s="27"/>
      <c r="CR631" s="27"/>
      <c r="CS631" s="27"/>
      <c r="CT631" s="27"/>
      <c r="CU631" s="27"/>
      <c r="CV631" s="27"/>
      <c r="CW631" s="27"/>
      <c r="CX631" s="27"/>
      <c r="CY631" s="27"/>
      <c r="CZ631" s="27"/>
      <c r="DA631" s="27"/>
      <c r="DB631" s="27"/>
      <c r="DC631" s="27"/>
      <c r="DD631" s="27"/>
      <c r="DE631" s="27"/>
      <c r="DF631" s="27"/>
      <c r="DG631" s="27"/>
      <c r="DH631" s="27"/>
      <c r="DI631" s="27"/>
      <c r="DJ631" s="27"/>
      <c r="DK631" s="27"/>
      <c r="DL631" s="27"/>
      <c r="DM631" s="27"/>
      <c r="DN631" s="27"/>
      <c r="DO631" s="27"/>
      <c r="DP631" s="27"/>
      <c r="DQ631" s="27"/>
      <c r="DR631" s="27"/>
      <c r="DS631" s="27"/>
      <c r="DT631" s="27"/>
    </row>
    <row r="632" spans="7:124" x14ac:dyDescent="0.2">
      <c r="G632" s="27"/>
      <c r="H632" s="27"/>
      <c r="I632" s="27"/>
      <c r="J632" s="27"/>
      <c r="K632" s="27"/>
      <c r="L632" s="27"/>
      <c r="M632" s="27"/>
      <c r="N632" s="27"/>
      <c r="O632" s="27"/>
      <c r="P632" s="27"/>
      <c r="Q632" s="27"/>
      <c r="R632" s="27"/>
      <c r="S632" s="27"/>
      <c r="T632" s="27"/>
      <c r="U632" s="27"/>
      <c r="V632" s="27"/>
      <c r="W632" s="27"/>
      <c r="X632" s="27"/>
      <c r="Y632" s="27"/>
      <c r="Z632" s="27"/>
      <c r="AA632" s="27"/>
      <c r="AB632" s="27"/>
      <c r="AC632" s="27"/>
      <c r="AD632" s="27"/>
      <c r="AE632" s="27"/>
      <c r="AF632" s="27"/>
      <c r="AG632" s="27"/>
      <c r="AH632" s="27"/>
      <c r="AI632" s="27"/>
      <c r="AJ632" s="27"/>
      <c r="AK632" s="27"/>
      <c r="AL632" s="27"/>
      <c r="AM632" s="27"/>
      <c r="AN632" s="27"/>
      <c r="AO632" s="27"/>
      <c r="AP632" s="27"/>
      <c r="AQ632" s="27"/>
      <c r="AR632" s="27"/>
      <c r="AS632" s="27"/>
      <c r="AT632" s="27"/>
      <c r="AU632" s="27"/>
      <c r="AV632" s="27"/>
      <c r="AW632" s="27"/>
      <c r="AX632" s="27"/>
      <c r="AY632" s="27"/>
      <c r="AZ632" s="27"/>
      <c r="BA632" s="27"/>
      <c r="BB632" s="27"/>
      <c r="BC632" s="27"/>
      <c r="BD632" s="27"/>
      <c r="BE632" s="27"/>
      <c r="BF632" s="27"/>
      <c r="BG632" s="27"/>
      <c r="BH632" s="27"/>
      <c r="BI632" s="27"/>
      <c r="BJ632" s="27"/>
      <c r="BK632" s="27"/>
      <c r="BL632" s="27"/>
      <c r="BM632" s="27"/>
      <c r="BN632" s="27"/>
      <c r="BO632" s="27"/>
      <c r="BP632" s="27"/>
      <c r="BQ632" s="27"/>
      <c r="BR632" s="27"/>
      <c r="BS632" s="27"/>
      <c r="BT632" s="27"/>
      <c r="BU632" s="27"/>
      <c r="BV632" s="27"/>
      <c r="BW632" s="27"/>
      <c r="BX632" s="27"/>
      <c r="BY632" s="27"/>
      <c r="BZ632" s="27"/>
      <c r="CA632" s="27"/>
      <c r="CB632" s="27"/>
      <c r="CC632" s="27"/>
      <c r="CD632" s="27"/>
      <c r="CE632" s="27"/>
      <c r="CF632" s="27"/>
      <c r="CG632" s="27"/>
      <c r="CH632" s="27"/>
      <c r="CI632" s="27"/>
      <c r="CJ632" s="27"/>
      <c r="CK632" s="27"/>
      <c r="CL632" s="27"/>
      <c r="CM632" s="27"/>
      <c r="CN632" s="27"/>
      <c r="CO632" s="27"/>
      <c r="CP632" s="27"/>
      <c r="CQ632" s="27"/>
      <c r="CR632" s="27"/>
      <c r="CS632" s="27"/>
      <c r="CT632" s="27"/>
      <c r="CU632" s="27"/>
      <c r="CV632" s="27"/>
      <c r="CW632" s="27"/>
      <c r="CX632" s="27"/>
      <c r="CY632" s="27"/>
      <c r="CZ632" s="27"/>
      <c r="DA632" s="27"/>
      <c r="DB632" s="27"/>
      <c r="DC632" s="27"/>
      <c r="DD632" s="27"/>
      <c r="DE632" s="27"/>
      <c r="DF632" s="27"/>
      <c r="DG632" s="27"/>
      <c r="DH632" s="27"/>
      <c r="DI632" s="27"/>
      <c r="DJ632" s="27"/>
      <c r="DK632" s="27"/>
      <c r="DL632" s="27"/>
      <c r="DM632" s="27"/>
      <c r="DN632" s="27"/>
      <c r="DO632" s="27"/>
      <c r="DP632" s="27"/>
      <c r="DQ632" s="27"/>
      <c r="DR632" s="27"/>
      <c r="DS632" s="27"/>
      <c r="DT632" s="27"/>
    </row>
    <row r="633" spans="7:124" x14ac:dyDescent="0.2">
      <c r="G633" s="27"/>
      <c r="H633" s="27"/>
      <c r="I633" s="27"/>
      <c r="J633" s="27"/>
      <c r="K633" s="27"/>
      <c r="L633" s="27"/>
      <c r="M633" s="27"/>
      <c r="N633" s="27"/>
      <c r="O633" s="27"/>
      <c r="P633" s="27"/>
      <c r="Q633" s="27"/>
      <c r="R633" s="27"/>
      <c r="S633" s="27"/>
      <c r="T633" s="27"/>
      <c r="U633" s="27"/>
      <c r="V633" s="27"/>
      <c r="W633" s="27"/>
      <c r="X633" s="27"/>
      <c r="Y633" s="27"/>
      <c r="Z633" s="27"/>
      <c r="AA633" s="27"/>
      <c r="AB633" s="27"/>
      <c r="AC633" s="27"/>
      <c r="AD633" s="27"/>
      <c r="AE633" s="27"/>
      <c r="AF633" s="27"/>
      <c r="AG633" s="27"/>
      <c r="AH633" s="27"/>
      <c r="AI633" s="27"/>
      <c r="AJ633" s="27"/>
      <c r="AK633" s="27"/>
      <c r="AL633" s="27"/>
      <c r="AM633" s="27"/>
      <c r="AN633" s="27"/>
      <c r="AO633" s="27"/>
      <c r="AP633" s="27"/>
      <c r="AQ633" s="27"/>
      <c r="AR633" s="27"/>
      <c r="AS633" s="27"/>
      <c r="AT633" s="27"/>
      <c r="AU633" s="27"/>
      <c r="AV633" s="27"/>
      <c r="AW633" s="27"/>
      <c r="AX633" s="27"/>
      <c r="AY633" s="27"/>
      <c r="AZ633" s="27"/>
      <c r="BA633" s="27"/>
      <c r="BB633" s="27"/>
      <c r="BC633" s="27"/>
      <c r="BD633" s="27"/>
      <c r="BE633" s="27"/>
      <c r="BF633" s="27"/>
      <c r="BG633" s="27"/>
      <c r="BH633" s="27"/>
      <c r="BI633" s="27"/>
      <c r="BJ633" s="27"/>
      <c r="BK633" s="27"/>
      <c r="BL633" s="27"/>
      <c r="BM633" s="27"/>
      <c r="BN633" s="27"/>
      <c r="BO633" s="27"/>
      <c r="BP633" s="27"/>
      <c r="BQ633" s="27"/>
      <c r="BR633" s="27"/>
      <c r="BS633" s="27"/>
      <c r="BT633" s="27"/>
      <c r="BU633" s="27"/>
      <c r="BV633" s="27"/>
      <c r="BW633" s="27"/>
      <c r="BX633" s="27"/>
      <c r="BY633" s="27"/>
      <c r="BZ633" s="27"/>
      <c r="CA633" s="27"/>
      <c r="CB633" s="27"/>
      <c r="CC633" s="27"/>
      <c r="CD633" s="27"/>
      <c r="CE633" s="27"/>
      <c r="CF633" s="27"/>
      <c r="CG633" s="27"/>
      <c r="CH633" s="27"/>
      <c r="CI633" s="27"/>
      <c r="CJ633" s="27"/>
      <c r="CK633" s="27"/>
      <c r="CL633" s="27"/>
      <c r="CM633" s="27"/>
      <c r="CN633" s="27"/>
      <c r="CO633" s="27"/>
      <c r="CP633" s="27"/>
      <c r="CQ633" s="27"/>
      <c r="CR633" s="27"/>
      <c r="CS633" s="27"/>
      <c r="CT633" s="27"/>
      <c r="CU633" s="27"/>
      <c r="CV633" s="27"/>
      <c r="CW633" s="27"/>
      <c r="CX633" s="27"/>
      <c r="CY633" s="27"/>
      <c r="CZ633" s="27"/>
      <c r="DA633" s="27"/>
      <c r="DB633" s="27"/>
      <c r="DC633" s="27"/>
      <c r="DD633" s="27"/>
      <c r="DE633" s="27"/>
      <c r="DF633" s="27"/>
      <c r="DG633" s="27"/>
      <c r="DH633" s="27"/>
      <c r="DI633" s="27"/>
      <c r="DJ633" s="27"/>
      <c r="DK633" s="27"/>
      <c r="DL633" s="27"/>
      <c r="DM633" s="27"/>
      <c r="DN633" s="27"/>
      <c r="DO633" s="27"/>
      <c r="DP633" s="27"/>
      <c r="DQ633" s="27"/>
      <c r="DR633" s="27"/>
      <c r="DS633" s="27"/>
      <c r="DT633" s="27"/>
    </row>
    <row r="634" spans="7:124" x14ac:dyDescent="0.2">
      <c r="G634" s="27"/>
      <c r="H634" s="27"/>
      <c r="I634" s="27"/>
      <c r="J634" s="27"/>
      <c r="K634" s="27"/>
      <c r="L634" s="27"/>
      <c r="M634" s="27"/>
      <c r="N634" s="27"/>
      <c r="O634" s="27"/>
      <c r="P634" s="27"/>
      <c r="Q634" s="27"/>
      <c r="R634" s="27"/>
      <c r="S634" s="27"/>
      <c r="T634" s="27"/>
      <c r="U634" s="27"/>
      <c r="V634" s="27"/>
      <c r="W634" s="27"/>
      <c r="X634" s="27"/>
      <c r="Y634" s="27"/>
      <c r="Z634" s="27"/>
      <c r="AA634" s="27"/>
      <c r="AB634" s="27"/>
      <c r="AC634" s="27"/>
      <c r="AD634" s="27"/>
      <c r="AE634" s="27"/>
      <c r="AF634" s="27"/>
      <c r="AG634" s="27"/>
      <c r="AH634" s="27"/>
      <c r="AI634" s="27"/>
      <c r="AJ634" s="27"/>
      <c r="AK634" s="27"/>
      <c r="AL634" s="27"/>
      <c r="AM634" s="27"/>
      <c r="AN634" s="27"/>
      <c r="AO634" s="27"/>
      <c r="AP634" s="27"/>
      <c r="AQ634" s="27"/>
      <c r="AR634" s="27"/>
      <c r="AS634" s="27"/>
      <c r="AT634" s="27"/>
      <c r="AU634" s="27"/>
      <c r="AV634" s="27"/>
      <c r="AW634" s="27"/>
      <c r="AX634" s="27"/>
      <c r="AY634" s="27"/>
      <c r="AZ634" s="27"/>
      <c r="BA634" s="27"/>
      <c r="BB634" s="27"/>
      <c r="BC634" s="27"/>
      <c r="BD634" s="27"/>
      <c r="BE634" s="27"/>
      <c r="BF634" s="27"/>
      <c r="BG634" s="27"/>
      <c r="BH634" s="27"/>
      <c r="BI634" s="27"/>
      <c r="BJ634" s="27"/>
      <c r="BK634" s="27"/>
      <c r="BL634" s="27"/>
      <c r="BM634" s="27"/>
      <c r="BN634" s="27"/>
      <c r="BO634" s="27"/>
      <c r="BP634" s="27"/>
      <c r="BQ634" s="27"/>
      <c r="BR634" s="27"/>
      <c r="BS634" s="27"/>
      <c r="BT634" s="27"/>
      <c r="BU634" s="27"/>
      <c r="BV634" s="27"/>
      <c r="BW634" s="27"/>
      <c r="BX634" s="27"/>
      <c r="BY634" s="27"/>
      <c r="BZ634" s="27"/>
      <c r="CA634" s="27"/>
      <c r="CB634" s="27"/>
      <c r="CC634" s="27"/>
      <c r="CD634" s="27"/>
      <c r="CE634" s="27"/>
      <c r="CF634" s="27"/>
      <c r="CG634" s="27"/>
      <c r="CH634" s="27"/>
      <c r="CI634" s="27"/>
      <c r="CJ634" s="27"/>
      <c r="CK634" s="27"/>
      <c r="CL634" s="27"/>
      <c r="CM634" s="27"/>
      <c r="CN634" s="27"/>
      <c r="CO634" s="27"/>
      <c r="CP634" s="27"/>
      <c r="CQ634" s="27"/>
      <c r="CR634" s="27"/>
      <c r="CS634" s="27"/>
      <c r="CT634" s="27"/>
      <c r="CU634" s="27"/>
      <c r="CV634" s="27"/>
      <c r="CW634" s="27"/>
      <c r="CX634" s="27"/>
      <c r="CY634" s="27"/>
      <c r="CZ634" s="27"/>
      <c r="DA634" s="27"/>
      <c r="DB634" s="27"/>
      <c r="DC634" s="27"/>
      <c r="DD634" s="27"/>
      <c r="DE634" s="27"/>
      <c r="DF634" s="27"/>
      <c r="DG634" s="27"/>
      <c r="DH634" s="27"/>
      <c r="DI634" s="27"/>
      <c r="DJ634" s="27"/>
      <c r="DK634" s="27"/>
      <c r="DL634" s="27"/>
      <c r="DM634" s="27"/>
      <c r="DN634" s="27"/>
      <c r="DO634" s="27"/>
      <c r="DP634" s="27"/>
      <c r="DQ634" s="27"/>
      <c r="DR634" s="27"/>
      <c r="DS634" s="27"/>
      <c r="DT634" s="27"/>
    </row>
    <row r="635" spans="7:124" x14ac:dyDescent="0.2">
      <c r="G635" s="27"/>
      <c r="H635" s="27"/>
      <c r="I635" s="27"/>
      <c r="J635" s="27"/>
      <c r="K635" s="27"/>
      <c r="L635" s="27"/>
      <c r="M635" s="27"/>
      <c r="N635" s="27"/>
      <c r="O635" s="27"/>
      <c r="P635" s="27"/>
      <c r="Q635" s="27"/>
      <c r="R635" s="27"/>
      <c r="S635" s="27"/>
      <c r="T635" s="27"/>
      <c r="U635" s="27"/>
      <c r="V635" s="27"/>
      <c r="W635" s="27"/>
      <c r="X635" s="27"/>
      <c r="Y635" s="27"/>
      <c r="Z635" s="27"/>
      <c r="AA635" s="27"/>
      <c r="AB635" s="27"/>
      <c r="AC635" s="27"/>
      <c r="AD635" s="27"/>
      <c r="AE635" s="27"/>
      <c r="AF635" s="27"/>
      <c r="AG635" s="27"/>
      <c r="AH635" s="27"/>
      <c r="AI635" s="27"/>
      <c r="AJ635" s="27"/>
      <c r="AK635" s="27"/>
      <c r="AL635" s="27"/>
      <c r="AM635" s="27"/>
      <c r="AN635" s="27"/>
      <c r="AO635" s="27"/>
      <c r="AP635" s="27"/>
      <c r="AQ635" s="27"/>
      <c r="AR635" s="27"/>
      <c r="AS635" s="27"/>
      <c r="AT635" s="27"/>
      <c r="AU635" s="27"/>
      <c r="AV635" s="27"/>
      <c r="AW635" s="27"/>
      <c r="AX635" s="27"/>
      <c r="AY635" s="27"/>
      <c r="AZ635" s="27"/>
      <c r="BA635" s="27"/>
      <c r="BB635" s="27"/>
      <c r="BC635" s="27"/>
      <c r="BD635" s="27"/>
      <c r="BE635" s="27"/>
      <c r="BF635" s="27"/>
      <c r="BG635" s="27"/>
      <c r="BH635" s="27"/>
      <c r="BI635" s="27"/>
      <c r="BJ635" s="27"/>
      <c r="BK635" s="27"/>
      <c r="BL635" s="27"/>
      <c r="BM635" s="27"/>
      <c r="BN635" s="27"/>
      <c r="BO635" s="27"/>
      <c r="BP635" s="27"/>
      <c r="BQ635" s="27"/>
      <c r="BR635" s="27"/>
      <c r="BS635" s="27"/>
      <c r="BT635" s="27"/>
      <c r="BU635" s="27"/>
      <c r="BV635" s="27"/>
      <c r="BW635" s="27"/>
      <c r="BX635" s="27"/>
      <c r="BY635" s="27"/>
      <c r="BZ635" s="27"/>
      <c r="CA635" s="27"/>
      <c r="CB635" s="27"/>
      <c r="CC635" s="27"/>
      <c r="CD635" s="27"/>
      <c r="CE635" s="27"/>
      <c r="CF635" s="27"/>
      <c r="CG635" s="27"/>
      <c r="CH635" s="27"/>
      <c r="CI635" s="27"/>
      <c r="CJ635" s="27"/>
      <c r="CK635" s="27"/>
      <c r="CL635" s="27"/>
      <c r="CM635" s="27"/>
      <c r="CN635" s="27"/>
      <c r="CO635" s="27"/>
      <c r="CP635" s="27"/>
      <c r="CQ635" s="27"/>
      <c r="CR635" s="27"/>
      <c r="CS635" s="27"/>
      <c r="CT635" s="27"/>
      <c r="CU635" s="27"/>
      <c r="CV635" s="27"/>
      <c r="CW635" s="27"/>
      <c r="CX635" s="27"/>
      <c r="CY635" s="27"/>
      <c r="CZ635" s="27"/>
      <c r="DA635" s="27"/>
      <c r="DB635" s="27"/>
      <c r="DC635" s="27"/>
      <c r="DD635" s="27"/>
      <c r="DE635" s="27"/>
      <c r="DF635" s="27"/>
      <c r="DG635" s="27"/>
      <c r="DH635" s="27"/>
      <c r="DI635" s="27"/>
      <c r="DJ635" s="27"/>
      <c r="DK635" s="27"/>
      <c r="DL635" s="27"/>
      <c r="DM635" s="27"/>
      <c r="DN635" s="27"/>
      <c r="DO635" s="27"/>
      <c r="DP635" s="27"/>
      <c r="DQ635" s="27"/>
      <c r="DR635" s="27"/>
      <c r="DS635" s="27"/>
      <c r="DT635" s="27"/>
    </row>
    <row r="636" spans="7:124" x14ac:dyDescent="0.2">
      <c r="G636" s="27"/>
      <c r="H636" s="27"/>
      <c r="I636" s="27"/>
      <c r="J636" s="27"/>
      <c r="K636" s="27"/>
      <c r="L636" s="27"/>
      <c r="M636" s="27"/>
      <c r="N636" s="27"/>
      <c r="O636" s="27"/>
      <c r="P636" s="27"/>
      <c r="Q636" s="27"/>
      <c r="R636" s="27"/>
      <c r="S636" s="27"/>
      <c r="T636" s="27"/>
      <c r="U636" s="27"/>
      <c r="V636" s="27"/>
      <c r="W636" s="27"/>
      <c r="X636" s="27"/>
      <c r="Y636" s="27"/>
      <c r="Z636" s="27"/>
      <c r="AA636" s="27"/>
      <c r="AB636" s="27"/>
      <c r="AC636" s="27"/>
      <c r="AD636" s="27"/>
      <c r="AE636" s="27"/>
      <c r="AF636" s="27"/>
      <c r="AG636" s="27"/>
      <c r="AH636" s="27"/>
      <c r="AI636" s="27"/>
      <c r="AJ636" s="27"/>
      <c r="AK636" s="27"/>
      <c r="AL636" s="27"/>
      <c r="AM636" s="27"/>
      <c r="AN636" s="27"/>
      <c r="AO636" s="27"/>
      <c r="AP636" s="27"/>
      <c r="AQ636" s="27"/>
      <c r="AR636" s="27"/>
      <c r="AS636" s="27"/>
      <c r="AT636" s="27"/>
      <c r="AU636" s="27"/>
      <c r="AV636" s="27"/>
      <c r="AW636" s="27"/>
      <c r="AX636" s="27"/>
      <c r="AY636" s="27"/>
      <c r="AZ636" s="27"/>
      <c r="BA636" s="27"/>
      <c r="BB636" s="27"/>
      <c r="BC636" s="27"/>
      <c r="BD636" s="27"/>
      <c r="BE636" s="27"/>
      <c r="BF636" s="27"/>
      <c r="BG636" s="27"/>
      <c r="BH636" s="27"/>
      <c r="BI636" s="27"/>
      <c r="BJ636" s="27"/>
      <c r="BK636" s="27"/>
      <c r="BL636" s="27"/>
      <c r="BM636" s="27"/>
      <c r="BN636" s="27"/>
      <c r="BO636" s="27"/>
      <c r="BP636" s="27"/>
      <c r="BQ636" s="27"/>
      <c r="BR636" s="27"/>
      <c r="BS636" s="27"/>
      <c r="BT636" s="27"/>
      <c r="BU636" s="27"/>
      <c r="BV636" s="27"/>
      <c r="BW636" s="27"/>
      <c r="BX636" s="27"/>
      <c r="BY636" s="27"/>
      <c r="BZ636" s="27"/>
      <c r="CA636" s="27"/>
      <c r="CB636" s="27"/>
      <c r="CC636" s="27"/>
      <c r="CD636" s="27"/>
      <c r="CE636" s="27"/>
      <c r="CF636" s="27"/>
      <c r="CG636" s="27"/>
      <c r="CH636" s="27"/>
      <c r="CI636" s="27"/>
      <c r="CJ636" s="27"/>
      <c r="CK636" s="27"/>
      <c r="CL636" s="27"/>
      <c r="CM636" s="27"/>
      <c r="CN636" s="27"/>
      <c r="CO636" s="27"/>
      <c r="CP636" s="27"/>
      <c r="CQ636" s="27"/>
      <c r="CR636" s="27"/>
      <c r="CS636" s="27"/>
      <c r="CT636" s="27"/>
      <c r="CU636" s="27"/>
      <c r="CV636" s="27"/>
      <c r="CW636" s="27"/>
      <c r="CX636" s="27"/>
      <c r="CY636" s="27"/>
      <c r="CZ636" s="27"/>
      <c r="DA636" s="27"/>
      <c r="DB636" s="27"/>
      <c r="DC636" s="27"/>
      <c r="DD636" s="27"/>
      <c r="DE636" s="27"/>
      <c r="DF636" s="27"/>
      <c r="DG636" s="27"/>
      <c r="DH636" s="27"/>
      <c r="DI636" s="27"/>
      <c r="DJ636" s="27"/>
      <c r="DK636" s="27"/>
      <c r="DL636" s="27"/>
      <c r="DM636" s="27"/>
      <c r="DN636" s="27"/>
      <c r="DO636" s="27"/>
      <c r="DP636" s="27"/>
      <c r="DQ636" s="27"/>
      <c r="DR636" s="27"/>
      <c r="DS636" s="27"/>
      <c r="DT636" s="27"/>
    </row>
    <row r="637" spans="7:124" x14ac:dyDescent="0.2">
      <c r="G637" s="27"/>
      <c r="H637" s="27"/>
      <c r="I637" s="27"/>
      <c r="J637" s="27"/>
      <c r="K637" s="27"/>
      <c r="L637" s="27"/>
      <c r="M637" s="27"/>
      <c r="N637" s="27"/>
      <c r="O637" s="27"/>
      <c r="P637" s="27"/>
      <c r="Q637" s="27"/>
      <c r="R637" s="27"/>
      <c r="S637" s="27"/>
      <c r="T637" s="27"/>
      <c r="U637" s="27"/>
      <c r="V637" s="27"/>
      <c r="W637" s="27"/>
      <c r="X637" s="27"/>
      <c r="Y637" s="27"/>
      <c r="Z637" s="27"/>
      <c r="AA637" s="27"/>
      <c r="AB637" s="27"/>
      <c r="AC637" s="27"/>
      <c r="AD637" s="27"/>
      <c r="AE637" s="27"/>
      <c r="AF637" s="27"/>
      <c r="AG637" s="27"/>
      <c r="AH637" s="27"/>
      <c r="AI637" s="27"/>
      <c r="AJ637" s="27"/>
      <c r="AK637" s="27"/>
      <c r="AL637" s="27"/>
      <c r="AM637" s="27"/>
      <c r="AN637" s="27"/>
      <c r="AO637" s="27"/>
      <c r="AP637" s="27"/>
      <c r="AQ637" s="27"/>
      <c r="AR637" s="27"/>
      <c r="AS637" s="27"/>
      <c r="AT637" s="27"/>
      <c r="AU637" s="27"/>
      <c r="AV637" s="27"/>
      <c r="AW637" s="27"/>
      <c r="AX637" s="27"/>
      <c r="AY637" s="27"/>
      <c r="AZ637" s="27"/>
      <c r="BA637" s="27"/>
      <c r="BB637" s="27"/>
      <c r="BC637" s="27"/>
      <c r="BD637" s="27"/>
      <c r="BE637" s="27"/>
      <c r="BF637" s="27"/>
      <c r="BG637" s="27"/>
      <c r="BH637" s="27"/>
      <c r="BI637" s="27"/>
      <c r="BJ637" s="27"/>
      <c r="BK637" s="27"/>
      <c r="BL637" s="27"/>
      <c r="BM637" s="27"/>
      <c r="BN637" s="27"/>
      <c r="BO637" s="27"/>
      <c r="BP637" s="27"/>
      <c r="BQ637" s="27"/>
      <c r="BR637" s="27"/>
      <c r="BS637" s="27"/>
      <c r="BT637" s="27"/>
      <c r="BU637" s="27"/>
      <c r="BV637" s="27"/>
      <c r="BW637" s="27"/>
      <c r="BX637" s="27"/>
      <c r="BY637" s="27"/>
      <c r="BZ637" s="27"/>
      <c r="CA637" s="27"/>
      <c r="CB637" s="27"/>
      <c r="CC637" s="27"/>
      <c r="CD637" s="27"/>
      <c r="CE637" s="27"/>
      <c r="CF637" s="27"/>
      <c r="CG637" s="27"/>
      <c r="CH637" s="27"/>
      <c r="CI637" s="27"/>
      <c r="CJ637" s="27"/>
      <c r="CK637" s="27"/>
      <c r="CL637" s="27"/>
      <c r="CM637" s="27"/>
      <c r="CN637" s="27"/>
      <c r="CO637" s="27"/>
      <c r="CP637" s="27"/>
      <c r="CQ637" s="27"/>
      <c r="CR637" s="27"/>
      <c r="CS637" s="27"/>
      <c r="CT637" s="27"/>
      <c r="CU637" s="27"/>
      <c r="CV637" s="27"/>
      <c r="CW637" s="27"/>
      <c r="CX637" s="27"/>
      <c r="CY637" s="27"/>
      <c r="CZ637" s="27"/>
      <c r="DA637" s="27"/>
      <c r="DB637" s="27"/>
      <c r="DC637" s="27"/>
      <c r="DD637" s="27"/>
      <c r="DE637" s="27"/>
      <c r="DF637" s="27"/>
      <c r="DG637" s="27"/>
      <c r="DH637" s="27"/>
      <c r="DI637" s="27"/>
      <c r="DJ637" s="27"/>
      <c r="DK637" s="27"/>
      <c r="DL637" s="27"/>
      <c r="DM637" s="27"/>
      <c r="DN637" s="27"/>
      <c r="DO637" s="27"/>
      <c r="DP637" s="27"/>
      <c r="DQ637" s="27"/>
      <c r="DR637" s="27"/>
      <c r="DS637" s="27"/>
      <c r="DT637" s="27"/>
    </row>
    <row r="638" spans="7:124" x14ac:dyDescent="0.2">
      <c r="G638" s="27"/>
      <c r="H638" s="27"/>
      <c r="I638" s="27"/>
      <c r="J638" s="27"/>
      <c r="K638" s="27"/>
      <c r="L638" s="27"/>
      <c r="M638" s="27"/>
      <c r="N638" s="27"/>
      <c r="O638" s="27"/>
      <c r="P638" s="27"/>
      <c r="Q638" s="27"/>
      <c r="R638" s="27"/>
      <c r="S638" s="27"/>
      <c r="T638" s="27"/>
      <c r="U638" s="27"/>
      <c r="V638" s="27"/>
      <c r="W638" s="27"/>
      <c r="X638" s="27"/>
      <c r="Y638" s="27"/>
      <c r="Z638" s="27"/>
      <c r="AA638" s="27"/>
      <c r="AB638" s="27"/>
      <c r="AC638" s="27"/>
      <c r="AD638" s="27"/>
      <c r="AE638" s="27"/>
      <c r="AF638" s="27"/>
      <c r="AG638" s="27"/>
      <c r="AH638" s="27"/>
      <c r="AI638" s="27"/>
      <c r="AJ638" s="27"/>
      <c r="AK638" s="27"/>
      <c r="AL638" s="27"/>
      <c r="AM638" s="27"/>
      <c r="AN638" s="27"/>
      <c r="AO638" s="27"/>
      <c r="AP638" s="27"/>
      <c r="AQ638" s="27"/>
      <c r="AR638" s="27"/>
      <c r="AS638" s="27"/>
      <c r="AT638" s="27"/>
      <c r="AU638" s="27"/>
      <c r="AV638" s="27"/>
      <c r="AW638" s="27"/>
      <c r="AX638" s="27"/>
      <c r="AY638" s="27"/>
      <c r="AZ638" s="27"/>
      <c r="BA638" s="27"/>
      <c r="BB638" s="27"/>
      <c r="BC638" s="27"/>
      <c r="BD638" s="27"/>
      <c r="BE638" s="27"/>
      <c r="BF638" s="27"/>
      <c r="BG638" s="27"/>
      <c r="BH638" s="27"/>
      <c r="BI638" s="27"/>
      <c r="BJ638" s="27"/>
      <c r="BK638" s="27"/>
      <c r="BL638" s="27"/>
      <c r="BM638" s="27"/>
      <c r="BN638" s="27"/>
      <c r="BO638" s="27"/>
      <c r="BP638" s="27"/>
      <c r="BQ638" s="27"/>
      <c r="BR638" s="27"/>
      <c r="BS638" s="27"/>
      <c r="BT638" s="27"/>
      <c r="BU638" s="27"/>
      <c r="BV638" s="27"/>
      <c r="BW638" s="27"/>
      <c r="BX638" s="27"/>
      <c r="BY638" s="27"/>
      <c r="BZ638" s="27"/>
      <c r="CA638" s="27"/>
      <c r="CB638" s="27"/>
      <c r="CC638" s="27"/>
      <c r="CD638" s="27"/>
      <c r="CE638" s="27"/>
      <c r="CF638" s="27"/>
      <c r="CG638" s="27"/>
      <c r="CH638" s="27"/>
      <c r="CI638" s="27"/>
      <c r="CJ638" s="27"/>
      <c r="CK638" s="27"/>
      <c r="CL638" s="27"/>
      <c r="CM638" s="27"/>
      <c r="CN638" s="27"/>
      <c r="CO638" s="27"/>
      <c r="CP638" s="27"/>
      <c r="CQ638" s="27"/>
      <c r="CR638" s="27"/>
      <c r="CS638" s="27"/>
      <c r="CT638" s="27"/>
      <c r="CU638" s="27"/>
      <c r="CV638" s="27"/>
      <c r="CW638" s="27"/>
      <c r="CX638" s="27"/>
      <c r="CY638" s="27"/>
      <c r="CZ638" s="27"/>
      <c r="DA638" s="27"/>
      <c r="DB638" s="27"/>
      <c r="DC638" s="27"/>
      <c r="DD638" s="27"/>
      <c r="DE638" s="27"/>
      <c r="DF638" s="27"/>
      <c r="DG638" s="27"/>
      <c r="DH638" s="27"/>
      <c r="DI638" s="27"/>
      <c r="DJ638" s="27"/>
      <c r="DK638" s="27"/>
      <c r="DL638" s="27"/>
      <c r="DM638" s="27"/>
      <c r="DN638" s="27"/>
      <c r="DO638" s="27"/>
      <c r="DP638" s="27"/>
      <c r="DQ638" s="27"/>
      <c r="DR638" s="27"/>
      <c r="DS638" s="27"/>
      <c r="DT638" s="27"/>
    </row>
    <row r="639" spans="7:124" x14ac:dyDescent="0.2">
      <c r="G639" s="27"/>
      <c r="H639" s="27"/>
      <c r="I639" s="27"/>
      <c r="J639" s="27"/>
      <c r="K639" s="27"/>
      <c r="L639" s="27"/>
      <c r="M639" s="27"/>
      <c r="N639" s="27"/>
      <c r="O639" s="27"/>
      <c r="P639" s="27"/>
      <c r="Q639" s="27"/>
      <c r="R639" s="27"/>
      <c r="S639" s="27"/>
      <c r="T639" s="27"/>
      <c r="U639" s="27"/>
      <c r="V639" s="27"/>
      <c r="W639" s="27"/>
      <c r="X639" s="27"/>
      <c r="Y639" s="27"/>
      <c r="Z639" s="27"/>
      <c r="AA639" s="27"/>
      <c r="AB639" s="27"/>
      <c r="AC639" s="27"/>
      <c r="AD639" s="27"/>
      <c r="AE639" s="27"/>
      <c r="AF639" s="27"/>
      <c r="AG639" s="27"/>
      <c r="AH639" s="27"/>
      <c r="AI639" s="27"/>
      <c r="AJ639" s="27"/>
      <c r="AK639" s="27"/>
      <c r="AL639" s="27"/>
      <c r="AM639" s="27"/>
      <c r="AN639" s="27"/>
      <c r="AO639" s="27"/>
      <c r="AP639" s="27"/>
      <c r="AQ639" s="27"/>
      <c r="AR639" s="27"/>
      <c r="AS639" s="27"/>
      <c r="AT639" s="27"/>
      <c r="AU639" s="27"/>
      <c r="AV639" s="27"/>
      <c r="AW639" s="27"/>
      <c r="AX639" s="27"/>
      <c r="AY639" s="27"/>
      <c r="AZ639" s="27"/>
      <c r="BA639" s="27"/>
      <c r="BB639" s="27"/>
      <c r="BC639" s="27"/>
      <c r="BD639" s="27"/>
      <c r="BE639" s="27"/>
      <c r="BF639" s="27"/>
      <c r="BG639" s="27"/>
      <c r="BH639" s="27"/>
      <c r="BI639" s="27"/>
      <c r="BJ639" s="27"/>
      <c r="BK639" s="27"/>
      <c r="BL639" s="27"/>
      <c r="BM639" s="27"/>
      <c r="BN639" s="27"/>
      <c r="BO639" s="27"/>
      <c r="BP639" s="27"/>
      <c r="BQ639" s="27"/>
      <c r="BR639" s="27"/>
      <c r="BS639" s="27"/>
      <c r="BT639" s="27"/>
      <c r="BU639" s="27"/>
      <c r="BV639" s="27"/>
      <c r="BW639" s="27"/>
      <c r="BX639" s="27"/>
      <c r="BY639" s="27"/>
      <c r="BZ639" s="27"/>
      <c r="CA639" s="27"/>
      <c r="CB639" s="27"/>
      <c r="CC639" s="27"/>
      <c r="CD639" s="27"/>
      <c r="CE639" s="27"/>
      <c r="CF639" s="27"/>
      <c r="CG639" s="27"/>
      <c r="CH639" s="27"/>
      <c r="CI639" s="27"/>
      <c r="CJ639" s="27"/>
      <c r="CK639" s="27"/>
      <c r="CL639" s="27"/>
      <c r="CM639" s="27"/>
      <c r="CN639" s="27"/>
      <c r="CO639" s="27"/>
      <c r="CP639" s="27"/>
      <c r="CQ639" s="27"/>
      <c r="CR639" s="27"/>
      <c r="CS639" s="27"/>
      <c r="CT639" s="27"/>
      <c r="CU639" s="27"/>
      <c r="CV639" s="27"/>
      <c r="CW639" s="27"/>
      <c r="CX639" s="27"/>
      <c r="CY639" s="27"/>
      <c r="CZ639" s="27"/>
      <c r="DA639" s="27"/>
      <c r="DB639" s="27"/>
      <c r="DC639" s="27"/>
      <c r="DD639" s="27"/>
      <c r="DE639" s="27"/>
      <c r="DF639" s="27"/>
      <c r="DG639" s="27"/>
      <c r="DH639" s="27"/>
      <c r="DI639" s="27"/>
      <c r="DJ639" s="27"/>
      <c r="DK639" s="27"/>
      <c r="DL639" s="27"/>
      <c r="DM639" s="27"/>
      <c r="DN639" s="27"/>
      <c r="DO639" s="27"/>
      <c r="DP639" s="27"/>
      <c r="DQ639" s="27"/>
      <c r="DR639" s="27"/>
      <c r="DS639" s="27"/>
      <c r="DT639" s="27"/>
    </row>
    <row r="640" spans="7:124" x14ac:dyDescent="0.2">
      <c r="G640" s="27"/>
      <c r="H640" s="27"/>
      <c r="I640" s="27"/>
      <c r="J640" s="27"/>
      <c r="K640" s="27"/>
      <c r="L640" s="27"/>
      <c r="M640" s="27"/>
      <c r="N640" s="27"/>
      <c r="O640" s="27"/>
      <c r="P640" s="27"/>
      <c r="Q640" s="27"/>
      <c r="R640" s="27"/>
      <c r="S640" s="27"/>
      <c r="T640" s="27"/>
      <c r="U640" s="27"/>
      <c r="V640" s="27"/>
      <c r="W640" s="27"/>
      <c r="X640" s="27"/>
      <c r="Y640" s="27"/>
      <c r="Z640" s="27"/>
      <c r="AA640" s="27"/>
      <c r="AB640" s="27"/>
      <c r="AC640" s="27"/>
      <c r="AD640" s="27"/>
      <c r="AE640" s="27"/>
      <c r="AF640" s="27"/>
      <c r="AG640" s="27"/>
      <c r="AH640" s="27"/>
      <c r="AI640" s="27"/>
      <c r="AJ640" s="27"/>
      <c r="AK640" s="27"/>
      <c r="AL640" s="27"/>
      <c r="AM640" s="27"/>
      <c r="AN640" s="27"/>
      <c r="AO640" s="27"/>
      <c r="AP640" s="27"/>
      <c r="AQ640" s="27"/>
      <c r="AR640" s="27"/>
      <c r="AS640" s="27"/>
      <c r="AT640" s="27"/>
      <c r="AU640" s="27"/>
      <c r="AV640" s="27"/>
      <c r="AW640" s="27"/>
      <c r="AX640" s="27"/>
      <c r="AY640" s="27"/>
      <c r="AZ640" s="27"/>
      <c r="BA640" s="27"/>
      <c r="BB640" s="27"/>
      <c r="BC640" s="27"/>
      <c r="BD640" s="27"/>
      <c r="BE640" s="27"/>
      <c r="BF640" s="27"/>
      <c r="BG640" s="27"/>
      <c r="BH640" s="27"/>
      <c r="BI640" s="27"/>
      <c r="BJ640" s="27"/>
      <c r="BK640" s="27"/>
      <c r="BL640" s="27"/>
      <c r="BM640" s="27"/>
      <c r="BN640" s="27"/>
      <c r="BO640" s="27"/>
      <c r="BP640" s="27"/>
      <c r="BQ640" s="27"/>
      <c r="BR640" s="27"/>
      <c r="BS640" s="27"/>
      <c r="BT640" s="27"/>
      <c r="BU640" s="27"/>
      <c r="BV640" s="27"/>
      <c r="BW640" s="27"/>
      <c r="BX640" s="27"/>
      <c r="BY640" s="27"/>
      <c r="BZ640" s="27"/>
      <c r="CA640" s="27"/>
      <c r="CB640" s="27"/>
      <c r="CC640" s="27"/>
      <c r="CD640" s="27"/>
      <c r="CE640" s="27"/>
      <c r="CF640" s="27"/>
      <c r="CG640" s="27"/>
      <c r="CH640" s="27"/>
      <c r="CI640" s="27"/>
      <c r="CJ640" s="27"/>
      <c r="CK640" s="27"/>
      <c r="CL640" s="27"/>
      <c r="CM640" s="27"/>
      <c r="CN640" s="27"/>
      <c r="CO640" s="27"/>
      <c r="CP640" s="27"/>
      <c r="CQ640" s="27"/>
      <c r="CR640" s="27"/>
      <c r="CS640" s="27"/>
      <c r="CT640" s="27"/>
      <c r="CU640" s="27"/>
      <c r="CV640" s="27"/>
      <c r="CW640" s="27"/>
      <c r="CX640" s="27"/>
      <c r="CY640" s="27"/>
      <c r="CZ640" s="27"/>
      <c r="DA640" s="27"/>
      <c r="DB640" s="27"/>
      <c r="DC640" s="27"/>
      <c r="DD640" s="27"/>
      <c r="DE640" s="27"/>
      <c r="DF640" s="27"/>
      <c r="DG640" s="27"/>
      <c r="DH640" s="27"/>
      <c r="DI640" s="27"/>
      <c r="DJ640" s="27"/>
      <c r="DK640" s="27"/>
      <c r="DL640" s="27"/>
      <c r="DM640" s="27"/>
      <c r="DN640" s="27"/>
      <c r="DO640" s="27"/>
      <c r="DP640" s="27"/>
      <c r="DQ640" s="27"/>
      <c r="DR640" s="27"/>
      <c r="DS640" s="27"/>
      <c r="DT640" s="27"/>
    </row>
    <row r="641" spans="7:124" x14ac:dyDescent="0.2">
      <c r="G641" s="27"/>
      <c r="H641" s="27"/>
      <c r="I641" s="27"/>
      <c r="J641" s="27"/>
      <c r="K641" s="27"/>
      <c r="L641" s="27"/>
      <c r="M641" s="27"/>
      <c r="N641" s="27"/>
      <c r="O641" s="27"/>
      <c r="P641" s="27"/>
      <c r="Q641" s="27"/>
      <c r="R641" s="27"/>
      <c r="S641" s="27"/>
      <c r="T641" s="27"/>
      <c r="U641" s="27"/>
      <c r="V641" s="27"/>
      <c r="W641" s="27"/>
      <c r="X641" s="27"/>
      <c r="Y641" s="27"/>
      <c r="Z641" s="27"/>
      <c r="AA641" s="27"/>
      <c r="AB641" s="27"/>
      <c r="AC641" s="27"/>
      <c r="AD641" s="27"/>
      <c r="AE641" s="27"/>
      <c r="AF641" s="27"/>
      <c r="AG641" s="27"/>
      <c r="AH641" s="27"/>
      <c r="AI641" s="27"/>
      <c r="AJ641" s="27"/>
      <c r="AK641" s="27"/>
      <c r="AL641" s="27"/>
      <c r="AM641" s="27"/>
      <c r="AN641" s="27"/>
      <c r="AO641" s="27"/>
      <c r="AP641" s="27"/>
      <c r="AQ641" s="27"/>
      <c r="AR641" s="27"/>
      <c r="AS641" s="27"/>
      <c r="AT641" s="27"/>
      <c r="AU641" s="27"/>
      <c r="AV641" s="27"/>
      <c r="AW641" s="27"/>
      <c r="AX641" s="27"/>
      <c r="AY641" s="27"/>
      <c r="AZ641" s="27"/>
      <c r="BA641" s="27"/>
      <c r="BB641" s="27"/>
      <c r="BC641" s="27"/>
      <c r="BD641" s="27"/>
      <c r="BE641" s="27"/>
      <c r="BF641" s="27"/>
      <c r="BG641" s="27"/>
      <c r="BH641" s="27"/>
      <c r="BI641" s="27"/>
      <c r="BJ641" s="27"/>
      <c r="BK641" s="27"/>
      <c r="BL641" s="27"/>
      <c r="BM641" s="27"/>
      <c r="BN641" s="27"/>
      <c r="BO641" s="27"/>
      <c r="BP641" s="27"/>
      <c r="BQ641" s="27"/>
      <c r="BR641" s="27"/>
      <c r="BS641" s="27"/>
      <c r="BT641" s="27"/>
      <c r="BU641" s="27"/>
      <c r="BV641" s="27"/>
      <c r="BW641" s="27"/>
      <c r="BX641" s="27"/>
      <c r="BY641" s="27"/>
      <c r="BZ641" s="27"/>
      <c r="CA641" s="27"/>
      <c r="CB641" s="27"/>
      <c r="CC641" s="27"/>
      <c r="CD641" s="27"/>
      <c r="CE641" s="27"/>
      <c r="CF641" s="27"/>
      <c r="CG641" s="27"/>
      <c r="CH641" s="27"/>
      <c r="CI641" s="27"/>
      <c r="CJ641" s="27"/>
      <c r="CK641" s="27"/>
      <c r="CL641" s="27"/>
      <c r="CM641" s="27"/>
      <c r="CN641" s="27"/>
      <c r="CO641" s="27"/>
      <c r="CP641" s="27"/>
      <c r="CQ641" s="27"/>
      <c r="CR641" s="27"/>
      <c r="CS641" s="27"/>
      <c r="CT641" s="27"/>
      <c r="CU641" s="27"/>
      <c r="CV641" s="27"/>
      <c r="CW641" s="27"/>
      <c r="CX641" s="27"/>
      <c r="CY641" s="27"/>
      <c r="CZ641" s="27"/>
      <c r="DA641" s="27"/>
      <c r="DB641" s="27"/>
      <c r="DC641" s="27"/>
      <c r="DD641" s="27"/>
      <c r="DE641" s="27"/>
      <c r="DF641" s="27"/>
      <c r="DG641" s="27"/>
      <c r="DH641" s="27"/>
      <c r="DI641" s="27"/>
      <c r="DJ641" s="27"/>
      <c r="DK641" s="27"/>
      <c r="DL641" s="27"/>
      <c r="DM641" s="27"/>
      <c r="DN641" s="27"/>
      <c r="DO641" s="27"/>
      <c r="DP641" s="27"/>
      <c r="DQ641" s="27"/>
      <c r="DR641" s="27"/>
      <c r="DS641" s="27"/>
      <c r="DT641" s="27"/>
    </row>
    <row r="642" spans="7:124" x14ac:dyDescent="0.2">
      <c r="G642" s="27"/>
      <c r="H642" s="27"/>
      <c r="I642" s="27"/>
      <c r="J642" s="27"/>
      <c r="K642" s="27"/>
      <c r="L642" s="27"/>
      <c r="M642" s="27"/>
      <c r="N642" s="27"/>
      <c r="O642" s="27"/>
      <c r="P642" s="27"/>
      <c r="Q642" s="27"/>
      <c r="R642" s="27"/>
      <c r="S642" s="27"/>
      <c r="T642" s="27"/>
      <c r="U642" s="27"/>
      <c r="V642" s="27"/>
      <c r="W642" s="27"/>
      <c r="X642" s="27"/>
      <c r="Y642" s="27"/>
      <c r="Z642" s="27"/>
      <c r="AA642" s="27"/>
      <c r="AB642" s="27"/>
      <c r="AC642" s="27"/>
      <c r="AD642" s="27"/>
      <c r="AE642" s="27"/>
      <c r="AF642" s="27"/>
      <c r="AG642" s="27"/>
      <c r="AH642" s="27"/>
      <c r="AI642" s="27"/>
      <c r="AJ642" s="27"/>
      <c r="AK642" s="27"/>
      <c r="AL642" s="27"/>
      <c r="AM642" s="27"/>
      <c r="AN642" s="27"/>
      <c r="AO642" s="27"/>
      <c r="AP642" s="27"/>
      <c r="AQ642" s="27"/>
      <c r="AR642" s="27"/>
      <c r="AS642" s="27"/>
      <c r="AT642" s="27"/>
      <c r="AU642" s="27"/>
      <c r="AV642" s="27"/>
      <c r="AW642" s="27"/>
      <c r="AX642" s="27"/>
      <c r="AY642" s="27"/>
      <c r="AZ642" s="27"/>
      <c r="BA642" s="27"/>
      <c r="BB642" s="27"/>
      <c r="BC642" s="27"/>
      <c r="BD642" s="27"/>
      <c r="BE642" s="27"/>
      <c r="BF642" s="27"/>
      <c r="BG642" s="27"/>
      <c r="BH642" s="27"/>
      <c r="BI642" s="27"/>
      <c r="BJ642" s="27"/>
      <c r="BK642" s="27"/>
      <c r="BL642" s="27"/>
      <c r="BM642" s="27"/>
      <c r="BN642" s="27"/>
      <c r="BO642" s="27"/>
      <c r="BP642" s="27"/>
      <c r="BQ642" s="27"/>
      <c r="BR642" s="27"/>
      <c r="BS642" s="27"/>
      <c r="BT642" s="27"/>
      <c r="BU642" s="27"/>
      <c r="BV642" s="27"/>
      <c r="BW642" s="27"/>
      <c r="BX642" s="27"/>
      <c r="BY642" s="27"/>
      <c r="BZ642" s="27"/>
      <c r="CA642" s="27"/>
      <c r="CB642" s="27"/>
      <c r="CC642" s="27"/>
      <c r="CD642" s="27"/>
      <c r="CE642" s="27"/>
      <c r="CF642" s="27"/>
      <c r="CG642" s="27"/>
      <c r="CH642" s="27"/>
      <c r="CI642" s="27"/>
      <c r="CJ642" s="27"/>
      <c r="CK642" s="27"/>
      <c r="CL642" s="27"/>
      <c r="CM642" s="27"/>
      <c r="CN642" s="27"/>
      <c r="CO642" s="27"/>
      <c r="CP642" s="27"/>
      <c r="CQ642" s="27"/>
      <c r="CR642" s="27"/>
      <c r="CS642" s="27"/>
      <c r="CT642" s="27"/>
      <c r="CU642" s="27"/>
      <c r="CV642" s="27"/>
      <c r="CW642" s="27"/>
      <c r="CX642" s="27"/>
      <c r="CY642" s="27"/>
      <c r="CZ642" s="27"/>
      <c r="DA642" s="27"/>
      <c r="DB642" s="27"/>
      <c r="DC642" s="27"/>
      <c r="DD642" s="27"/>
      <c r="DE642" s="27"/>
      <c r="DF642" s="27"/>
      <c r="DG642" s="27"/>
      <c r="DH642" s="27"/>
      <c r="DI642" s="27"/>
      <c r="DJ642" s="27"/>
      <c r="DK642" s="27"/>
      <c r="DL642" s="27"/>
      <c r="DM642" s="27"/>
      <c r="DN642" s="27"/>
      <c r="DO642" s="27"/>
      <c r="DP642" s="27"/>
      <c r="DQ642" s="27"/>
      <c r="DR642" s="27"/>
      <c r="DS642" s="27"/>
      <c r="DT642" s="27"/>
    </row>
    <row r="643" spans="7:124" x14ac:dyDescent="0.2">
      <c r="G643" s="27"/>
      <c r="H643" s="27"/>
      <c r="I643" s="27"/>
      <c r="J643" s="27"/>
      <c r="K643" s="27"/>
      <c r="L643" s="27"/>
      <c r="M643" s="27"/>
      <c r="N643" s="27"/>
      <c r="O643" s="27"/>
      <c r="P643" s="27"/>
      <c r="Q643" s="27"/>
      <c r="R643" s="27"/>
      <c r="S643" s="27"/>
      <c r="T643" s="27"/>
      <c r="U643" s="27"/>
      <c r="V643" s="27"/>
      <c r="W643" s="27"/>
      <c r="X643" s="27"/>
      <c r="Y643" s="27"/>
      <c r="Z643" s="27"/>
      <c r="AA643" s="27"/>
      <c r="AB643" s="27"/>
      <c r="AC643" s="27"/>
      <c r="AD643" s="27"/>
      <c r="AE643" s="27"/>
      <c r="AF643" s="27"/>
      <c r="AG643" s="27"/>
      <c r="AH643" s="27"/>
      <c r="AI643" s="27"/>
      <c r="AJ643" s="27"/>
      <c r="AK643" s="27"/>
      <c r="AL643" s="27"/>
      <c r="AM643" s="27"/>
      <c r="AN643" s="27"/>
      <c r="AO643" s="27"/>
      <c r="AP643" s="27"/>
      <c r="AQ643" s="27"/>
      <c r="AR643" s="27"/>
      <c r="AS643" s="27"/>
      <c r="AT643" s="27"/>
      <c r="AU643" s="27"/>
      <c r="AV643" s="27"/>
      <c r="AW643" s="27"/>
      <c r="AX643" s="27"/>
      <c r="AY643" s="27"/>
      <c r="AZ643" s="27"/>
      <c r="BA643" s="27"/>
      <c r="BB643" s="27"/>
      <c r="BC643" s="27"/>
      <c r="BD643" s="27"/>
      <c r="BE643" s="27"/>
      <c r="BF643" s="27"/>
      <c r="BG643" s="27"/>
      <c r="BH643" s="27"/>
      <c r="BI643" s="27"/>
      <c r="BJ643" s="27"/>
      <c r="BK643" s="27"/>
      <c r="BL643" s="27"/>
      <c r="BM643" s="27"/>
      <c r="BN643" s="27"/>
      <c r="BO643" s="27"/>
      <c r="BP643" s="27"/>
      <c r="BQ643" s="27"/>
      <c r="BR643" s="27"/>
      <c r="BS643" s="27"/>
      <c r="BT643" s="27"/>
      <c r="BU643" s="27"/>
      <c r="BV643" s="27"/>
      <c r="BW643" s="27"/>
      <c r="BX643" s="27"/>
      <c r="BY643" s="27"/>
      <c r="BZ643" s="27"/>
      <c r="CA643" s="27"/>
      <c r="CB643" s="27"/>
      <c r="CC643" s="27"/>
      <c r="CD643" s="27"/>
      <c r="CE643" s="27"/>
      <c r="CF643" s="27"/>
      <c r="CG643" s="27"/>
      <c r="CH643" s="27"/>
      <c r="CI643" s="27"/>
      <c r="CJ643" s="27"/>
      <c r="CK643" s="27"/>
      <c r="CL643" s="27"/>
      <c r="CM643" s="27"/>
      <c r="CN643" s="27"/>
      <c r="CO643" s="27"/>
      <c r="CP643" s="27"/>
      <c r="CQ643" s="27"/>
      <c r="CR643" s="27"/>
      <c r="CS643" s="27"/>
      <c r="CT643" s="27"/>
      <c r="CU643" s="27"/>
      <c r="CV643" s="27"/>
      <c r="CW643" s="27"/>
      <c r="CX643" s="27"/>
      <c r="CY643" s="27"/>
      <c r="CZ643" s="27"/>
      <c r="DA643" s="27"/>
      <c r="DB643" s="27"/>
      <c r="DC643" s="27"/>
      <c r="DD643" s="27"/>
      <c r="DE643" s="27"/>
      <c r="DF643" s="27"/>
      <c r="DG643" s="27"/>
      <c r="DH643" s="27"/>
      <c r="DI643" s="27"/>
      <c r="DJ643" s="27"/>
      <c r="DK643" s="27"/>
      <c r="DL643" s="27"/>
      <c r="DM643" s="27"/>
      <c r="DN643" s="27"/>
      <c r="DO643" s="27"/>
      <c r="DP643" s="27"/>
      <c r="DQ643" s="27"/>
      <c r="DR643" s="27"/>
      <c r="DS643" s="27"/>
      <c r="DT643" s="27"/>
    </row>
    <row r="644" spans="7:124" x14ac:dyDescent="0.2">
      <c r="G644" s="27"/>
      <c r="H644" s="27"/>
      <c r="I644" s="27"/>
      <c r="J644" s="27"/>
      <c r="K644" s="27"/>
      <c r="L644" s="27"/>
      <c r="M644" s="27"/>
      <c r="N644" s="27"/>
      <c r="O644" s="27"/>
      <c r="P644" s="27"/>
      <c r="Q644" s="27"/>
      <c r="R644" s="27"/>
      <c r="S644" s="27"/>
      <c r="T644" s="27"/>
      <c r="U644" s="27"/>
      <c r="V644" s="27"/>
      <c r="W644" s="27"/>
      <c r="X644" s="27"/>
      <c r="Y644" s="27"/>
      <c r="Z644" s="27"/>
      <c r="AA644" s="27"/>
      <c r="AB644" s="27"/>
      <c r="AC644" s="27"/>
      <c r="AD644" s="27"/>
      <c r="AE644" s="27"/>
      <c r="AF644" s="27"/>
      <c r="AG644" s="27"/>
      <c r="AH644" s="27"/>
      <c r="AI644" s="27"/>
      <c r="AJ644" s="27"/>
      <c r="AK644" s="27"/>
      <c r="AL644" s="27"/>
      <c r="AM644" s="27"/>
      <c r="AN644" s="27"/>
      <c r="AO644" s="27"/>
      <c r="AP644" s="27"/>
      <c r="AQ644" s="27"/>
      <c r="AR644" s="27"/>
      <c r="AS644" s="27"/>
      <c r="AT644" s="27"/>
      <c r="AU644" s="27"/>
      <c r="AV644" s="27"/>
      <c r="AW644" s="27"/>
      <c r="AX644" s="27"/>
      <c r="AY644" s="27"/>
      <c r="AZ644" s="27"/>
      <c r="BA644" s="27"/>
      <c r="BB644" s="27"/>
      <c r="BC644" s="27"/>
      <c r="BD644" s="27"/>
      <c r="BE644" s="27"/>
      <c r="BF644" s="27"/>
      <c r="BG644" s="27"/>
      <c r="BH644" s="27"/>
      <c r="BI644" s="27"/>
      <c r="BJ644" s="27"/>
      <c r="BK644" s="27"/>
      <c r="BL644" s="27"/>
      <c r="BM644" s="27"/>
      <c r="BN644" s="27"/>
      <c r="BO644" s="27"/>
      <c r="BP644" s="27"/>
      <c r="BQ644" s="27"/>
      <c r="BR644" s="27"/>
      <c r="BS644" s="27"/>
      <c r="BT644" s="27"/>
      <c r="BU644" s="27"/>
      <c r="BV644" s="27"/>
      <c r="BW644" s="27"/>
      <c r="BX644" s="27"/>
      <c r="BY644" s="27"/>
      <c r="BZ644" s="27"/>
      <c r="CA644" s="27"/>
      <c r="CB644" s="27"/>
      <c r="CC644" s="27"/>
      <c r="CD644" s="27"/>
      <c r="CE644" s="27"/>
      <c r="CF644" s="27"/>
      <c r="CG644" s="27"/>
      <c r="CH644" s="27"/>
      <c r="CI644" s="27"/>
      <c r="CJ644" s="27"/>
      <c r="CK644" s="27"/>
      <c r="CL644" s="27"/>
      <c r="CM644" s="27"/>
      <c r="CN644" s="27"/>
      <c r="CO644" s="27"/>
      <c r="CP644" s="27"/>
      <c r="CQ644" s="27"/>
      <c r="CR644" s="27"/>
      <c r="CS644" s="27"/>
      <c r="CT644" s="27"/>
      <c r="CU644" s="27"/>
      <c r="CV644" s="27"/>
      <c r="CW644" s="27"/>
      <c r="CX644" s="27"/>
      <c r="CY644" s="27"/>
      <c r="CZ644" s="27"/>
      <c r="DA644" s="27"/>
      <c r="DB644" s="27"/>
      <c r="DC644" s="27"/>
      <c r="DD644" s="27"/>
      <c r="DE644" s="27"/>
      <c r="DF644" s="27"/>
      <c r="DG644" s="27"/>
      <c r="DH644" s="27"/>
      <c r="DI644" s="27"/>
      <c r="DJ644" s="27"/>
      <c r="DK644" s="27"/>
      <c r="DL644" s="27"/>
      <c r="DM644" s="27"/>
      <c r="DN644" s="27"/>
      <c r="DO644" s="27"/>
      <c r="DP644" s="27"/>
      <c r="DQ644" s="27"/>
      <c r="DR644" s="27"/>
      <c r="DS644" s="27"/>
      <c r="DT644" s="27"/>
    </row>
    <row r="645" spans="7:124" x14ac:dyDescent="0.2">
      <c r="G645" s="27"/>
      <c r="H645" s="27"/>
      <c r="I645" s="27"/>
      <c r="J645" s="27"/>
      <c r="K645" s="27"/>
      <c r="L645" s="27"/>
      <c r="M645" s="27"/>
      <c r="N645" s="27"/>
      <c r="O645" s="27"/>
      <c r="P645" s="27"/>
      <c r="Q645" s="27"/>
      <c r="R645" s="27"/>
      <c r="S645" s="27"/>
      <c r="T645" s="27"/>
      <c r="U645" s="27"/>
      <c r="V645" s="27"/>
      <c r="W645" s="27"/>
      <c r="X645" s="27"/>
      <c r="Y645" s="27"/>
      <c r="Z645" s="27"/>
      <c r="AA645" s="27"/>
      <c r="AB645" s="27"/>
      <c r="AC645" s="27"/>
      <c r="AD645" s="27"/>
      <c r="AE645" s="27"/>
      <c r="AF645" s="27"/>
      <c r="AG645" s="27"/>
      <c r="AH645" s="27"/>
      <c r="AI645" s="27"/>
      <c r="AJ645" s="27"/>
      <c r="AK645" s="27"/>
      <c r="AL645" s="27"/>
      <c r="AM645" s="27"/>
      <c r="AN645" s="27"/>
      <c r="AO645" s="27"/>
      <c r="AP645" s="27"/>
      <c r="AQ645" s="27"/>
      <c r="AR645" s="27"/>
      <c r="AS645" s="27"/>
      <c r="AT645" s="27"/>
      <c r="AU645" s="27"/>
      <c r="AV645" s="27"/>
      <c r="AW645" s="27"/>
      <c r="AX645" s="27"/>
      <c r="AY645" s="27"/>
      <c r="AZ645" s="27"/>
      <c r="BA645" s="27"/>
      <c r="BB645" s="27"/>
      <c r="BC645" s="27"/>
      <c r="BD645" s="27"/>
      <c r="BE645" s="27"/>
      <c r="BF645" s="27"/>
      <c r="BG645" s="27"/>
      <c r="BH645" s="27"/>
      <c r="BI645" s="27"/>
      <c r="BJ645" s="27"/>
      <c r="BK645" s="27"/>
      <c r="BL645" s="27"/>
      <c r="BM645" s="27"/>
      <c r="BN645" s="27"/>
      <c r="BO645" s="27"/>
      <c r="BP645" s="27"/>
      <c r="BQ645" s="27"/>
      <c r="BR645" s="27"/>
      <c r="BS645" s="27"/>
      <c r="BT645" s="27"/>
      <c r="BU645" s="27"/>
      <c r="BV645" s="27"/>
      <c r="BW645" s="27"/>
      <c r="BX645" s="27"/>
      <c r="BY645" s="27"/>
      <c r="BZ645" s="27"/>
      <c r="CA645" s="27"/>
      <c r="CB645" s="27"/>
      <c r="CC645" s="27"/>
      <c r="CD645" s="27"/>
      <c r="CE645" s="27"/>
      <c r="CF645" s="27"/>
      <c r="CG645" s="27"/>
      <c r="CH645" s="27"/>
      <c r="CI645" s="27"/>
      <c r="CJ645" s="27"/>
      <c r="CK645" s="27"/>
      <c r="CL645" s="27"/>
      <c r="CM645" s="27"/>
      <c r="CN645" s="27"/>
      <c r="CO645" s="27"/>
      <c r="CP645" s="27"/>
      <c r="CQ645" s="27"/>
      <c r="CR645" s="27"/>
      <c r="CS645" s="27"/>
      <c r="CT645" s="27"/>
      <c r="CU645" s="27"/>
      <c r="CV645" s="27"/>
      <c r="CW645" s="27"/>
      <c r="CX645" s="27"/>
      <c r="CY645" s="27"/>
      <c r="CZ645" s="27"/>
      <c r="DA645" s="27"/>
      <c r="DB645" s="27"/>
      <c r="DC645" s="27"/>
      <c r="DD645" s="27"/>
      <c r="DE645" s="27"/>
      <c r="DF645" s="27"/>
      <c r="DG645" s="27"/>
      <c r="DH645" s="27"/>
      <c r="DI645" s="27"/>
      <c r="DJ645" s="27"/>
      <c r="DK645" s="27"/>
      <c r="DL645" s="27"/>
      <c r="DM645" s="27"/>
      <c r="DN645" s="27"/>
      <c r="DO645" s="27"/>
      <c r="DP645" s="27"/>
      <c r="DQ645" s="27"/>
      <c r="DR645" s="27"/>
      <c r="DS645" s="27"/>
      <c r="DT645" s="27"/>
    </row>
    <row r="646" spans="7:124" x14ac:dyDescent="0.2">
      <c r="G646" s="27"/>
      <c r="H646" s="27"/>
      <c r="I646" s="27"/>
      <c r="J646" s="27"/>
      <c r="K646" s="27"/>
      <c r="L646" s="27"/>
      <c r="M646" s="27"/>
      <c r="N646" s="27"/>
      <c r="O646" s="27"/>
      <c r="P646" s="27"/>
      <c r="Q646" s="27"/>
      <c r="R646" s="27"/>
      <c r="S646" s="27"/>
      <c r="T646" s="27"/>
      <c r="U646" s="27"/>
      <c r="V646" s="27"/>
      <c r="W646" s="27"/>
      <c r="X646" s="27"/>
      <c r="Y646" s="27"/>
      <c r="Z646" s="27"/>
      <c r="AA646" s="27"/>
      <c r="AB646" s="27"/>
      <c r="AC646" s="27"/>
      <c r="AD646" s="27"/>
      <c r="AE646" s="27"/>
      <c r="AF646" s="27"/>
      <c r="AG646" s="27"/>
      <c r="AH646" s="27"/>
      <c r="AI646" s="27"/>
      <c r="AJ646" s="27"/>
      <c r="AK646" s="27"/>
      <c r="AL646" s="27"/>
      <c r="AM646" s="27"/>
      <c r="AN646" s="27"/>
      <c r="AO646" s="27"/>
      <c r="AP646" s="27"/>
      <c r="AQ646" s="27"/>
      <c r="AR646" s="27"/>
      <c r="AS646" s="27"/>
      <c r="AT646" s="27"/>
      <c r="AU646" s="27"/>
      <c r="AV646" s="27"/>
      <c r="AW646" s="27"/>
      <c r="AX646" s="27"/>
      <c r="AY646" s="27"/>
      <c r="AZ646" s="27"/>
      <c r="BA646" s="27"/>
      <c r="BB646" s="27"/>
      <c r="BC646" s="27"/>
      <c r="BD646" s="27"/>
      <c r="BE646" s="27"/>
      <c r="BF646" s="27"/>
      <c r="BG646" s="27"/>
      <c r="BH646" s="27"/>
      <c r="BI646" s="27"/>
      <c r="BJ646" s="27"/>
      <c r="BK646" s="27"/>
      <c r="BL646" s="27"/>
      <c r="BM646" s="27"/>
      <c r="BN646" s="27"/>
      <c r="BO646" s="27"/>
      <c r="BP646" s="27"/>
      <c r="BQ646" s="27"/>
      <c r="BR646" s="27"/>
      <c r="BS646" s="27"/>
      <c r="BT646" s="27"/>
      <c r="BU646" s="27"/>
      <c r="BV646" s="27"/>
      <c r="BW646" s="27"/>
      <c r="BX646" s="27"/>
      <c r="BY646" s="27"/>
      <c r="BZ646" s="27"/>
      <c r="CA646" s="27"/>
      <c r="CB646" s="27"/>
      <c r="CC646" s="27"/>
      <c r="CD646" s="27"/>
      <c r="CE646" s="27"/>
      <c r="CF646" s="27"/>
      <c r="CG646" s="27"/>
      <c r="CH646" s="27"/>
      <c r="CI646" s="27"/>
      <c r="CJ646" s="27"/>
      <c r="CK646" s="27"/>
      <c r="CL646" s="27"/>
      <c r="CM646" s="27"/>
      <c r="CN646" s="27"/>
      <c r="CO646" s="27"/>
      <c r="CP646" s="27"/>
      <c r="CQ646" s="27"/>
      <c r="CR646" s="27"/>
      <c r="CS646" s="27"/>
      <c r="CT646" s="27"/>
      <c r="CU646" s="27"/>
      <c r="CV646" s="27"/>
      <c r="CW646" s="27"/>
      <c r="CX646" s="27"/>
      <c r="CY646" s="27"/>
      <c r="CZ646" s="27"/>
      <c r="DA646" s="27"/>
      <c r="DB646" s="27"/>
      <c r="DC646" s="27"/>
      <c r="DD646" s="27"/>
      <c r="DE646" s="27"/>
      <c r="DF646" s="27"/>
      <c r="DG646" s="27"/>
      <c r="DH646" s="27"/>
      <c r="DI646" s="27"/>
      <c r="DJ646" s="27"/>
      <c r="DK646" s="27"/>
      <c r="DL646" s="27"/>
      <c r="DM646" s="27"/>
      <c r="DN646" s="27"/>
      <c r="DO646" s="27"/>
      <c r="DP646" s="27"/>
      <c r="DQ646" s="27"/>
      <c r="DR646" s="27"/>
      <c r="DS646" s="27"/>
      <c r="DT646" s="27"/>
    </row>
    <row r="647" spans="7:124" x14ac:dyDescent="0.2">
      <c r="G647" s="27"/>
      <c r="H647" s="27"/>
      <c r="I647" s="27"/>
      <c r="J647" s="27"/>
      <c r="K647" s="27"/>
      <c r="L647" s="27"/>
      <c r="M647" s="27"/>
      <c r="N647" s="27"/>
      <c r="O647" s="27"/>
      <c r="P647" s="27"/>
      <c r="Q647" s="27"/>
      <c r="R647" s="27"/>
      <c r="S647" s="27"/>
      <c r="T647" s="27"/>
      <c r="U647" s="27"/>
      <c r="V647" s="27"/>
      <c r="W647" s="27"/>
      <c r="X647" s="27"/>
      <c r="Y647" s="27"/>
      <c r="Z647" s="27"/>
      <c r="AA647" s="27"/>
      <c r="AB647" s="27"/>
      <c r="AC647" s="27"/>
      <c r="AD647" s="27"/>
      <c r="AE647" s="27"/>
      <c r="AF647" s="27"/>
      <c r="AG647" s="27"/>
      <c r="AH647" s="27"/>
      <c r="AI647" s="27"/>
      <c r="AJ647" s="27"/>
      <c r="AK647" s="27"/>
      <c r="AL647" s="27"/>
      <c r="AM647" s="27"/>
      <c r="AN647" s="27"/>
      <c r="AO647" s="27"/>
      <c r="AP647" s="27"/>
      <c r="AQ647" s="27"/>
      <c r="AR647" s="27"/>
      <c r="AS647" s="27"/>
      <c r="AT647" s="27"/>
      <c r="AU647" s="27"/>
      <c r="AV647" s="27"/>
      <c r="AW647" s="27"/>
      <c r="AX647" s="27"/>
      <c r="AY647" s="27"/>
      <c r="AZ647" s="27"/>
      <c r="BA647" s="27"/>
      <c r="BB647" s="27"/>
      <c r="BC647" s="27"/>
      <c r="BD647" s="27"/>
      <c r="BE647" s="27"/>
      <c r="BF647" s="27"/>
      <c r="BG647" s="27"/>
      <c r="BH647" s="27"/>
      <c r="BI647" s="27"/>
      <c r="BJ647" s="27"/>
      <c r="BK647" s="27"/>
      <c r="BL647" s="27"/>
      <c r="BM647" s="27"/>
      <c r="BN647" s="27"/>
      <c r="BO647" s="27"/>
      <c r="BP647" s="27"/>
      <c r="BQ647" s="27"/>
      <c r="BR647" s="27"/>
      <c r="BS647" s="27"/>
      <c r="BT647" s="27"/>
      <c r="BU647" s="27"/>
      <c r="BV647" s="27"/>
      <c r="BW647" s="27"/>
      <c r="BX647" s="27"/>
      <c r="BY647" s="27"/>
      <c r="BZ647" s="27"/>
      <c r="CA647" s="27"/>
      <c r="CB647" s="27"/>
      <c r="CC647" s="27"/>
      <c r="CD647" s="27"/>
      <c r="CE647" s="27"/>
      <c r="CF647" s="27"/>
      <c r="CG647" s="27"/>
      <c r="CH647" s="27"/>
      <c r="CI647" s="27"/>
      <c r="CJ647" s="27"/>
      <c r="CK647" s="27"/>
      <c r="CL647" s="27"/>
      <c r="CM647" s="27"/>
      <c r="CN647" s="27"/>
      <c r="CO647" s="27"/>
      <c r="CP647" s="27"/>
      <c r="CQ647" s="27"/>
      <c r="CR647" s="27"/>
      <c r="CS647" s="27"/>
      <c r="CT647" s="27"/>
      <c r="CU647" s="27"/>
      <c r="CV647" s="27"/>
      <c r="CW647" s="27"/>
      <c r="CX647" s="27"/>
      <c r="CY647" s="27"/>
      <c r="CZ647" s="27"/>
      <c r="DA647" s="27"/>
      <c r="DB647" s="27"/>
      <c r="DC647" s="27"/>
      <c r="DD647" s="27"/>
      <c r="DE647" s="27"/>
      <c r="DF647" s="27"/>
      <c r="DG647" s="27"/>
      <c r="DH647" s="27"/>
      <c r="DI647" s="27"/>
      <c r="DJ647" s="27"/>
      <c r="DK647" s="27"/>
      <c r="DL647" s="27"/>
      <c r="DM647" s="27"/>
      <c r="DN647" s="27"/>
      <c r="DO647" s="27"/>
      <c r="DP647" s="27"/>
      <c r="DQ647" s="27"/>
      <c r="DR647" s="27"/>
      <c r="DS647" s="27"/>
      <c r="DT647" s="27"/>
    </row>
    <row r="648" spans="7:124" x14ac:dyDescent="0.2">
      <c r="G648" s="27"/>
      <c r="H648" s="27"/>
      <c r="I648" s="27"/>
      <c r="J648" s="27"/>
      <c r="K648" s="27"/>
      <c r="L648" s="27"/>
      <c r="M648" s="27"/>
      <c r="N648" s="27"/>
      <c r="O648" s="27"/>
      <c r="P648" s="27"/>
      <c r="Q648" s="27"/>
      <c r="R648" s="27"/>
      <c r="S648" s="27"/>
      <c r="T648" s="27"/>
      <c r="U648" s="27"/>
      <c r="V648" s="27"/>
      <c r="W648" s="27"/>
      <c r="X648" s="27"/>
      <c r="Y648" s="27"/>
      <c r="Z648" s="27"/>
      <c r="AA648" s="27"/>
      <c r="AB648" s="27"/>
      <c r="AC648" s="27"/>
      <c r="AD648" s="27"/>
      <c r="AE648" s="27"/>
      <c r="AF648" s="27"/>
      <c r="AG648" s="27"/>
      <c r="AH648" s="27"/>
      <c r="AI648" s="27"/>
      <c r="AJ648" s="27"/>
      <c r="AK648" s="27"/>
      <c r="AL648" s="27"/>
      <c r="AM648" s="27"/>
      <c r="AN648" s="27"/>
      <c r="AO648" s="27"/>
      <c r="AP648" s="27"/>
      <c r="AQ648" s="27"/>
      <c r="AR648" s="27"/>
      <c r="AS648" s="27"/>
      <c r="AT648" s="27"/>
      <c r="AU648" s="27"/>
      <c r="AV648" s="27"/>
      <c r="AW648" s="27"/>
      <c r="AX648" s="27"/>
      <c r="AY648" s="27"/>
      <c r="AZ648" s="27"/>
      <c r="BA648" s="27"/>
      <c r="BB648" s="27"/>
      <c r="BC648" s="27"/>
      <c r="BD648" s="27"/>
      <c r="BE648" s="27"/>
      <c r="BF648" s="27"/>
      <c r="BG648" s="27"/>
      <c r="BH648" s="27"/>
      <c r="BI648" s="27"/>
      <c r="BJ648" s="27"/>
      <c r="BK648" s="27"/>
      <c r="BL648" s="27"/>
      <c r="BM648" s="27"/>
      <c r="BN648" s="27"/>
      <c r="BO648" s="27"/>
      <c r="BP648" s="27"/>
      <c r="BQ648" s="27"/>
      <c r="BR648" s="27"/>
      <c r="BS648" s="27"/>
      <c r="BT648" s="27"/>
      <c r="BU648" s="27"/>
      <c r="BV648" s="27"/>
      <c r="BW648" s="27"/>
      <c r="BX648" s="27"/>
      <c r="BY648" s="27"/>
      <c r="BZ648" s="27"/>
      <c r="CA648" s="27"/>
      <c r="CB648" s="27"/>
      <c r="CC648" s="27"/>
      <c r="CD648" s="27"/>
      <c r="CE648" s="27"/>
      <c r="CF648" s="27"/>
      <c r="CG648" s="27"/>
      <c r="CH648" s="27"/>
      <c r="CI648" s="27"/>
      <c r="CJ648" s="27"/>
      <c r="CK648" s="27"/>
      <c r="CL648" s="27"/>
      <c r="CM648" s="27"/>
      <c r="CN648" s="27"/>
      <c r="CO648" s="27"/>
      <c r="CP648" s="27"/>
      <c r="CQ648" s="27"/>
      <c r="CR648" s="27"/>
      <c r="CS648" s="27"/>
      <c r="CT648" s="27"/>
      <c r="CU648" s="27"/>
      <c r="CV648" s="27"/>
      <c r="CW648" s="27"/>
      <c r="CX648" s="27"/>
      <c r="CY648" s="27"/>
      <c r="CZ648" s="27"/>
      <c r="DA648" s="27"/>
      <c r="DB648" s="27"/>
      <c r="DC648" s="27"/>
      <c r="DD648" s="27"/>
      <c r="DE648" s="27"/>
      <c r="DF648" s="27"/>
      <c r="DG648" s="27"/>
      <c r="DH648" s="27"/>
      <c r="DI648" s="27"/>
      <c r="DJ648" s="27"/>
      <c r="DK648" s="27"/>
      <c r="DL648" s="27"/>
      <c r="DM648" s="27"/>
      <c r="DN648" s="27"/>
      <c r="DO648" s="27"/>
      <c r="DP648" s="27"/>
      <c r="DQ648" s="27"/>
      <c r="DR648" s="27"/>
      <c r="DS648" s="27"/>
      <c r="DT648" s="27"/>
    </row>
    <row r="649" spans="7:124" x14ac:dyDescent="0.2">
      <c r="G649" s="27"/>
      <c r="H649" s="27"/>
      <c r="I649" s="27"/>
      <c r="J649" s="27"/>
      <c r="K649" s="27"/>
      <c r="L649" s="27"/>
      <c r="M649" s="27"/>
      <c r="N649" s="27"/>
      <c r="O649" s="27"/>
      <c r="P649" s="27"/>
      <c r="Q649" s="27"/>
      <c r="R649" s="27"/>
      <c r="S649" s="27"/>
      <c r="T649" s="27"/>
      <c r="U649" s="27"/>
      <c r="V649" s="27"/>
      <c r="W649" s="27"/>
      <c r="X649" s="27"/>
      <c r="Y649" s="27"/>
      <c r="Z649" s="27"/>
      <c r="AA649" s="27"/>
      <c r="AB649" s="27"/>
      <c r="AC649" s="27"/>
      <c r="AD649" s="27"/>
      <c r="AE649" s="27"/>
      <c r="AF649" s="27"/>
      <c r="AG649" s="27"/>
      <c r="AH649" s="27"/>
      <c r="AI649" s="27"/>
      <c r="AJ649" s="27"/>
      <c r="AK649" s="27"/>
      <c r="AL649" s="27"/>
      <c r="AM649" s="27"/>
      <c r="AN649" s="27"/>
      <c r="AO649" s="27"/>
      <c r="AP649" s="27"/>
      <c r="AQ649" s="27"/>
      <c r="AR649" s="27"/>
      <c r="AS649" s="27"/>
      <c r="AT649" s="27"/>
      <c r="AU649" s="27"/>
      <c r="AV649" s="27"/>
      <c r="AW649" s="27"/>
      <c r="AX649" s="27"/>
      <c r="AY649" s="27"/>
      <c r="AZ649" s="27"/>
      <c r="BA649" s="27"/>
      <c r="BB649" s="27"/>
      <c r="BC649" s="27"/>
      <c r="BD649" s="27"/>
      <c r="BE649" s="27"/>
      <c r="BF649" s="27"/>
      <c r="BG649" s="27"/>
      <c r="BH649" s="27"/>
      <c r="BI649" s="27"/>
      <c r="BJ649" s="27"/>
      <c r="BK649" s="27"/>
      <c r="BL649" s="27"/>
      <c r="BM649" s="27"/>
      <c r="BN649" s="27"/>
      <c r="BO649" s="27"/>
      <c r="BP649" s="27"/>
      <c r="BQ649" s="27"/>
      <c r="BR649" s="27"/>
      <c r="BS649" s="27"/>
      <c r="BT649" s="27"/>
      <c r="BU649" s="27"/>
      <c r="BV649" s="27"/>
      <c r="BW649" s="27"/>
      <c r="BX649" s="27"/>
      <c r="BY649" s="27"/>
      <c r="BZ649" s="27"/>
      <c r="CA649" s="27"/>
      <c r="CB649" s="27"/>
      <c r="CC649" s="27"/>
      <c r="CD649" s="27"/>
      <c r="CE649" s="27"/>
      <c r="CF649" s="27"/>
      <c r="CG649" s="27"/>
      <c r="CH649" s="27"/>
      <c r="CI649" s="27"/>
      <c r="CJ649" s="27"/>
      <c r="CK649" s="27"/>
      <c r="CL649" s="27"/>
      <c r="CM649" s="27"/>
      <c r="CN649" s="27"/>
      <c r="CO649" s="27"/>
      <c r="CP649" s="27"/>
      <c r="CQ649" s="27"/>
      <c r="CR649" s="27"/>
      <c r="CS649" s="27"/>
      <c r="CT649" s="27"/>
      <c r="CU649" s="27"/>
      <c r="CV649" s="27"/>
      <c r="CW649" s="27"/>
      <c r="CX649" s="27"/>
      <c r="CY649" s="27"/>
      <c r="CZ649" s="27"/>
      <c r="DA649" s="27"/>
      <c r="DB649" s="27"/>
      <c r="DC649" s="27"/>
      <c r="DD649" s="27"/>
      <c r="DE649" s="27"/>
      <c r="DF649" s="27"/>
      <c r="DG649" s="27"/>
      <c r="DH649" s="27"/>
      <c r="DI649" s="27"/>
      <c r="DJ649" s="27"/>
      <c r="DK649" s="27"/>
      <c r="DL649" s="27"/>
      <c r="DM649" s="27"/>
      <c r="DN649" s="27"/>
      <c r="DO649" s="27"/>
      <c r="DP649" s="27"/>
      <c r="DQ649" s="27"/>
      <c r="DR649" s="27"/>
      <c r="DS649" s="27"/>
      <c r="DT649" s="27"/>
    </row>
    <row r="650" spans="7:124" x14ac:dyDescent="0.2">
      <c r="G650" s="27"/>
      <c r="H650" s="27"/>
      <c r="I650" s="27"/>
      <c r="J650" s="27"/>
      <c r="K650" s="27"/>
      <c r="L650" s="27"/>
      <c r="M650" s="27"/>
      <c r="N650" s="27"/>
      <c r="O650" s="27"/>
      <c r="P650" s="27"/>
      <c r="Q650" s="27"/>
      <c r="R650" s="27"/>
      <c r="S650" s="27"/>
      <c r="T650" s="27"/>
      <c r="U650" s="27"/>
      <c r="V650" s="27"/>
      <c r="W650" s="27"/>
      <c r="X650" s="27"/>
      <c r="Y650" s="27"/>
      <c r="Z650" s="27"/>
      <c r="AA650" s="27"/>
      <c r="AB650" s="27"/>
      <c r="AC650" s="27"/>
      <c r="AD650" s="27"/>
      <c r="AE650" s="27"/>
      <c r="AF650" s="27"/>
      <c r="AG650" s="27"/>
      <c r="AH650" s="27"/>
      <c r="AI650" s="27"/>
      <c r="AJ650" s="27"/>
      <c r="AK650" s="27"/>
      <c r="AL650" s="27"/>
      <c r="AM650" s="27"/>
      <c r="AN650" s="27"/>
      <c r="AO650" s="27"/>
      <c r="AP650" s="27"/>
      <c r="AQ650" s="27"/>
      <c r="AR650" s="27"/>
      <c r="AS650" s="27"/>
      <c r="AT650" s="27"/>
      <c r="AU650" s="27"/>
      <c r="AV650" s="27"/>
      <c r="AW650" s="27"/>
      <c r="AX650" s="27"/>
      <c r="AY650" s="27"/>
      <c r="AZ650" s="27"/>
      <c r="BA650" s="27"/>
      <c r="BB650" s="27"/>
      <c r="BC650" s="27"/>
      <c r="BD650" s="27"/>
      <c r="BE650" s="27"/>
      <c r="BF650" s="27"/>
      <c r="BG650" s="27"/>
      <c r="BH650" s="27"/>
      <c r="BI650" s="27"/>
      <c r="BJ650" s="27"/>
      <c r="BK650" s="27"/>
      <c r="BL650" s="27"/>
      <c r="BM650" s="27"/>
      <c r="BN650" s="27"/>
      <c r="BO650" s="27"/>
      <c r="BP650" s="27"/>
      <c r="BQ650" s="27"/>
      <c r="BR650" s="27"/>
      <c r="BS650" s="27"/>
      <c r="BT650" s="27"/>
      <c r="BU650" s="27"/>
      <c r="BV650" s="27"/>
      <c r="BW650" s="27"/>
      <c r="BX650" s="27"/>
      <c r="BY650" s="27"/>
      <c r="BZ650" s="27"/>
      <c r="CA650" s="27"/>
      <c r="CB650" s="27"/>
      <c r="CC650" s="27"/>
      <c r="CD650" s="27"/>
      <c r="CE650" s="27"/>
      <c r="CF650" s="27"/>
      <c r="CG650" s="27"/>
      <c r="CH650" s="27"/>
      <c r="CI650" s="27"/>
      <c r="CJ650" s="27"/>
      <c r="CK650" s="27"/>
      <c r="CL650" s="27"/>
      <c r="CM650" s="27"/>
      <c r="CN650" s="27"/>
      <c r="CO650" s="27"/>
      <c r="CP650" s="27"/>
      <c r="CQ650" s="27"/>
      <c r="CR650" s="27"/>
      <c r="CS650" s="27"/>
      <c r="CT650" s="27"/>
      <c r="CU650" s="27"/>
      <c r="CV650" s="27"/>
      <c r="CW650" s="27"/>
      <c r="CX650" s="27"/>
      <c r="CY650" s="27"/>
      <c r="CZ650" s="27"/>
      <c r="DA650" s="27"/>
      <c r="DB650" s="27"/>
      <c r="DC650" s="27"/>
      <c r="DD650" s="27"/>
      <c r="DE650" s="27"/>
      <c r="DF650" s="27"/>
      <c r="DG650" s="27"/>
      <c r="DH650" s="27"/>
      <c r="DI650" s="27"/>
      <c r="DJ650" s="27"/>
      <c r="DK650" s="27"/>
      <c r="DL650" s="27"/>
      <c r="DM650" s="27"/>
      <c r="DN650" s="27"/>
      <c r="DO650" s="27"/>
      <c r="DP650" s="27"/>
      <c r="DQ650" s="27"/>
      <c r="DR650" s="27"/>
      <c r="DS650" s="27"/>
      <c r="DT650" s="27"/>
    </row>
    <row r="651" spans="7:124" x14ac:dyDescent="0.2">
      <c r="G651" s="27"/>
      <c r="H651" s="27"/>
      <c r="I651" s="27"/>
      <c r="J651" s="27"/>
      <c r="K651" s="27"/>
      <c r="L651" s="27"/>
      <c r="M651" s="27"/>
      <c r="N651" s="27"/>
      <c r="O651" s="27"/>
      <c r="P651" s="27"/>
      <c r="Q651" s="27"/>
      <c r="R651" s="27"/>
      <c r="S651" s="27"/>
      <c r="T651" s="27"/>
      <c r="U651" s="27"/>
      <c r="V651" s="27"/>
      <c r="W651" s="27"/>
      <c r="X651" s="27"/>
      <c r="Y651" s="27"/>
      <c r="Z651" s="27"/>
      <c r="AA651" s="27"/>
      <c r="AB651" s="27"/>
      <c r="AC651" s="27"/>
      <c r="AD651" s="27"/>
      <c r="AE651" s="27"/>
      <c r="AF651" s="27"/>
      <c r="AG651" s="27"/>
      <c r="AH651" s="27"/>
      <c r="AI651" s="27"/>
      <c r="AJ651" s="27"/>
      <c r="AK651" s="27"/>
      <c r="AL651" s="27"/>
      <c r="AM651" s="27"/>
      <c r="AN651" s="27"/>
      <c r="AO651" s="27"/>
      <c r="AP651" s="27"/>
      <c r="AQ651" s="27"/>
      <c r="AR651" s="27"/>
      <c r="AS651" s="27"/>
      <c r="AT651" s="27"/>
      <c r="AU651" s="27"/>
      <c r="AV651" s="27"/>
      <c r="AW651" s="27"/>
      <c r="AX651" s="27"/>
      <c r="AY651" s="27"/>
      <c r="AZ651" s="27"/>
      <c r="BA651" s="27"/>
      <c r="BB651" s="27"/>
      <c r="BC651" s="27"/>
      <c r="BD651" s="27"/>
      <c r="BE651" s="27"/>
      <c r="BF651" s="27"/>
      <c r="BG651" s="27"/>
      <c r="BH651" s="27"/>
      <c r="BI651" s="27"/>
      <c r="BJ651" s="27"/>
      <c r="BK651" s="27"/>
      <c r="BL651" s="27"/>
      <c r="BM651" s="27"/>
      <c r="BN651" s="27"/>
      <c r="BO651" s="27"/>
      <c r="BP651" s="27"/>
      <c r="BQ651" s="27"/>
      <c r="BR651" s="27"/>
      <c r="BS651" s="27"/>
      <c r="BT651" s="27"/>
      <c r="BU651" s="27"/>
      <c r="BV651" s="27"/>
      <c r="BW651" s="27"/>
      <c r="BX651" s="27"/>
      <c r="BY651" s="27"/>
      <c r="BZ651" s="27"/>
      <c r="CA651" s="27"/>
      <c r="CB651" s="27"/>
      <c r="CC651" s="27"/>
      <c r="CD651" s="27"/>
      <c r="CE651" s="27"/>
      <c r="CF651" s="27"/>
      <c r="CG651" s="27"/>
      <c r="CH651" s="27"/>
      <c r="CI651" s="27"/>
      <c r="CJ651" s="27"/>
      <c r="CK651" s="27"/>
      <c r="CL651" s="27"/>
      <c r="CM651" s="27"/>
      <c r="CN651" s="27"/>
      <c r="CO651" s="27"/>
      <c r="CP651" s="27"/>
      <c r="CQ651" s="27"/>
      <c r="CR651" s="27"/>
      <c r="CS651" s="27"/>
      <c r="CT651" s="27"/>
      <c r="CU651" s="27"/>
      <c r="CV651" s="27"/>
      <c r="CW651" s="27"/>
      <c r="CX651" s="27"/>
      <c r="CY651" s="27"/>
      <c r="CZ651" s="27"/>
      <c r="DA651" s="27"/>
      <c r="DB651" s="27"/>
      <c r="DC651" s="27"/>
      <c r="DD651" s="27"/>
      <c r="DE651" s="27"/>
      <c r="DF651" s="27"/>
      <c r="DG651" s="27"/>
      <c r="DH651" s="27"/>
      <c r="DI651" s="27"/>
      <c r="DJ651" s="27"/>
      <c r="DK651" s="27"/>
      <c r="DL651" s="27"/>
      <c r="DM651" s="27"/>
      <c r="DN651" s="27"/>
      <c r="DO651" s="27"/>
      <c r="DP651" s="27"/>
      <c r="DQ651" s="27"/>
      <c r="DR651" s="27"/>
      <c r="DS651" s="27"/>
      <c r="DT651" s="27"/>
    </row>
    <row r="652" spans="7:124" x14ac:dyDescent="0.2">
      <c r="G652" s="27"/>
      <c r="H652" s="27"/>
      <c r="I652" s="27"/>
      <c r="J652" s="27"/>
      <c r="K652" s="27"/>
      <c r="L652" s="27"/>
      <c r="M652" s="27"/>
      <c r="N652" s="27"/>
      <c r="O652" s="27"/>
      <c r="P652" s="27"/>
      <c r="Q652" s="27"/>
      <c r="R652" s="27"/>
      <c r="S652" s="27"/>
      <c r="T652" s="27"/>
      <c r="U652" s="27"/>
      <c r="V652" s="27"/>
      <c r="W652" s="27"/>
      <c r="X652" s="27"/>
      <c r="Y652" s="27"/>
      <c r="Z652" s="27"/>
      <c r="AA652" s="27"/>
      <c r="AB652" s="27"/>
      <c r="AC652" s="27"/>
      <c r="AD652" s="27"/>
      <c r="AE652" s="27"/>
      <c r="AF652" s="27"/>
      <c r="AG652" s="27"/>
      <c r="AH652" s="27"/>
      <c r="AI652" s="27"/>
      <c r="AJ652" s="27"/>
      <c r="AK652" s="27"/>
      <c r="AL652" s="27"/>
      <c r="AM652" s="27"/>
      <c r="AN652" s="27"/>
      <c r="AO652" s="27"/>
      <c r="AP652" s="27"/>
      <c r="AQ652" s="27"/>
      <c r="AR652" s="27"/>
      <c r="AS652" s="27"/>
      <c r="AT652" s="27"/>
      <c r="AU652" s="27"/>
      <c r="AV652" s="27"/>
      <c r="AW652" s="27"/>
      <c r="AX652" s="27"/>
      <c r="AY652" s="27"/>
      <c r="AZ652" s="27"/>
      <c r="BA652" s="27"/>
      <c r="BB652" s="27"/>
      <c r="BC652" s="27"/>
      <c r="BD652" s="27"/>
      <c r="BE652" s="27"/>
      <c r="BF652" s="27"/>
      <c r="BG652" s="27"/>
      <c r="BH652" s="27"/>
      <c r="BI652" s="27"/>
      <c r="BJ652" s="27"/>
      <c r="BK652" s="27"/>
      <c r="BL652" s="27"/>
      <c r="BM652" s="27"/>
      <c r="BN652" s="27"/>
      <c r="BO652" s="27"/>
      <c r="BP652" s="27"/>
      <c r="BQ652" s="27"/>
      <c r="BR652" s="27"/>
      <c r="BS652" s="27"/>
      <c r="BT652" s="27"/>
      <c r="BU652" s="27"/>
      <c r="BV652" s="27"/>
      <c r="BW652" s="27"/>
      <c r="BX652" s="27"/>
      <c r="BY652" s="27"/>
      <c r="BZ652" s="27"/>
      <c r="CA652" s="27"/>
      <c r="CB652" s="27"/>
      <c r="CC652" s="27"/>
      <c r="CD652" s="27"/>
      <c r="CE652" s="27"/>
      <c r="CF652" s="27"/>
      <c r="CG652" s="27"/>
      <c r="CH652" s="27"/>
      <c r="CI652" s="27"/>
      <c r="CJ652" s="27"/>
      <c r="CK652" s="27"/>
      <c r="CL652" s="27"/>
      <c r="CM652" s="27"/>
      <c r="CN652" s="27"/>
      <c r="CO652" s="27"/>
      <c r="CP652" s="27"/>
      <c r="CQ652" s="27"/>
      <c r="CR652" s="27"/>
      <c r="CS652" s="27"/>
      <c r="CT652" s="27"/>
      <c r="CU652" s="27"/>
      <c r="CV652" s="27"/>
      <c r="CW652" s="27"/>
      <c r="CX652" s="27"/>
      <c r="CY652" s="27"/>
      <c r="CZ652" s="27"/>
      <c r="DA652" s="27"/>
      <c r="DB652" s="27"/>
      <c r="DC652" s="27"/>
      <c r="DD652" s="27"/>
      <c r="DE652" s="27"/>
      <c r="DF652" s="27"/>
      <c r="DG652" s="27"/>
      <c r="DH652" s="27"/>
      <c r="DI652" s="27"/>
      <c r="DJ652" s="27"/>
      <c r="DK652" s="27"/>
      <c r="DL652" s="27"/>
      <c r="DM652" s="27"/>
      <c r="DN652" s="27"/>
      <c r="DO652" s="27"/>
      <c r="DP652" s="27"/>
      <c r="DQ652" s="27"/>
      <c r="DR652" s="27"/>
      <c r="DS652" s="27"/>
      <c r="DT652" s="27"/>
    </row>
    <row r="653" spans="7:124" x14ac:dyDescent="0.2">
      <c r="G653" s="27"/>
      <c r="H653" s="27"/>
      <c r="I653" s="27"/>
      <c r="J653" s="27"/>
      <c r="K653" s="27"/>
      <c r="L653" s="27"/>
      <c r="M653" s="27"/>
      <c r="N653" s="27"/>
      <c r="O653" s="27"/>
      <c r="P653" s="27"/>
      <c r="Q653" s="27"/>
      <c r="R653" s="27"/>
      <c r="S653" s="27"/>
      <c r="T653" s="27"/>
      <c r="U653" s="27"/>
      <c r="V653" s="27"/>
      <c r="W653" s="27"/>
      <c r="X653" s="27"/>
      <c r="Y653" s="27"/>
      <c r="Z653" s="27"/>
      <c r="AA653" s="27"/>
      <c r="AB653" s="27"/>
      <c r="AC653" s="27"/>
      <c r="AD653" s="27"/>
      <c r="AE653" s="27"/>
      <c r="AF653" s="27"/>
      <c r="AG653" s="27"/>
      <c r="AH653" s="27"/>
      <c r="AI653" s="27"/>
      <c r="AJ653" s="27"/>
      <c r="AK653" s="27"/>
      <c r="AL653" s="27"/>
      <c r="AM653" s="27"/>
      <c r="AN653" s="27"/>
      <c r="AO653" s="27"/>
      <c r="AP653" s="27"/>
      <c r="AQ653" s="27"/>
      <c r="AR653" s="27"/>
      <c r="AS653" s="27"/>
      <c r="AT653" s="27"/>
      <c r="AU653" s="27"/>
      <c r="AV653" s="27"/>
      <c r="AW653" s="27"/>
      <c r="AX653" s="27"/>
      <c r="AY653" s="27"/>
      <c r="AZ653" s="27"/>
      <c r="BA653" s="27"/>
      <c r="BB653" s="27"/>
      <c r="BC653" s="27"/>
      <c r="BD653" s="27"/>
      <c r="BE653" s="27"/>
      <c r="BF653" s="27"/>
      <c r="BG653" s="27"/>
      <c r="BH653" s="27"/>
      <c r="BI653" s="27"/>
      <c r="BJ653" s="27"/>
      <c r="BK653" s="27"/>
      <c r="BL653" s="27"/>
      <c r="BM653" s="27"/>
      <c r="BN653" s="27"/>
      <c r="BO653" s="27"/>
      <c r="BP653" s="27"/>
      <c r="BQ653" s="27"/>
      <c r="BR653" s="27"/>
      <c r="BS653" s="27"/>
      <c r="BT653" s="27"/>
      <c r="BU653" s="27"/>
      <c r="BV653" s="27"/>
      <c r="BW653" s="27"/>
      <c r="BX653" s="27"/>
      <c r="BY653" s="27"/>
      <c r="BZ653" s="27"/>
      <c r="CA653" s="27"/>
      <c r="CB653" s="27"/>
      <c r="CC653" s="27"/>
      <c r="CD653" s="27"/>
      <c r="CE653" s="27"/>
      <c r="CF653" s="27"/>
      <c r="CG653" s="27"/>
      <c r="CH653" s="27"/>
      <c r="CI653" s="27"/>
      <c r="CJ653" s="27"/>
      <c r="CK653" s="27"/>
      <c r="CL653" s="27"/>
      <c r="CM653" s="27"/>
      <c r="CN653" s="27"/>
      <c r="CO653" s="27"/>
      <c r="CP653" s="27"/>
      <c r="CQ653" s="27"/>
      <c r="CR653" s="27"/>
      <c r="CS653" s="27"/>
      <c r="CT653" s="27"/>
      <c r="CU653" s="27"/>
      <c r="CV653" s="27"/>
      <c r="CW653" s="27"/>
      <c r="CX653" s="27"/>
      <c r="CY653" s="27"/>
      <c r="CZ653" s="27"/>
      <c r="DA653" s="27"/>
      <c r="DB653" s="27"/>
      <c r="DC653" s="27"/>
      <c r="DD653" s="27"/>
      <c r="DE653" s="27"/>
      <c r="DF653" s="27"/>
      <c r="DG653" s="27"/>
      <c r="DH653" s="27"/>
      <c r="DI653" s="27"/>
      <c r="DJ653" s="27"/>
      <c r="DK653" s="27"/>
      <c r="DL653" s="27"/>
      <c r="DM653" s="27"/>
      <c r="DN653" s="27"/>
      <c r="DO653" s="27"/>
      <c r="DP653" s="27"/>
      <c r="DQ653" s="27"/>
      <c r="DR653" s="27"/>
      <c r="DS653" s="27"/>
      <c r="DT653" s="27"/>
    </row>
    <row r="654" spans="7:124" x14ac:dyDescent="0.2">
      <c r="G654" s="27"/>
      <c r="H654" s="27"/>
      <c r="I654" s="27"/>
      <c r="J654" s="27"/>
      <c r="K654" s="27"/>
      <c r="L654" s="27"/>
      <c r="M654" s="27"/>
      <c r="N654" s="27"/>
      <c r="O654" s="27"/>
      <c r="P654" s="27"/>
      <c r="Q654" s="27"/>
      <c r="R654" s="27"/>
      <c r="S654" s="27"/>
      <c r="T654" s="27"/>
      <c r="U654" s="27"/>
      <c r="V654" s="27"/>
      <c r="W654" s="27"/>
      <c r="X654" s="27"/>
      <c r="Y654" s="27"/>
      <c r="Z654" s="27"/>
      <c r="AA654" s="27"/>
      <c r="AB654" s="27"/>
      <c r="AC654" s="27"/>
      <c r="AD654" s="27"/>
      <c r="AE654" s="27"/>
      <c r="AF654" s="27"/>
      <c r="AG654" s="27"/>
      <c r="AH654" s="27"/>
      <c r="AI654" s="27"/>
      <c r="AJ654" s="27"/>
      <c r="AK654" s="27"/>
      <c r="AL654" s="27"/>
      <c r="AM654" s="27"/>
      <c r="AN654" s="27"/>
      <c r="AO654" s="27"/>
      <c r="AP654" s="27"/>
      <c r="AQ654" s="27"/>
      <c r="AR654" s="27"/>
      <c r="AS654" s="27"/>
      <c r="AT654" s="27"/>
      <c r="AU654" s="27"/>
      <c r="AV654" s="27"/>
      <c r="AW654" s="27"/>
      <c r="AX654" s="27"/>
      <c r="AY654" s="27"/>
      <c r="AZ654" s="27"/>
      <c r="BA654" s="27"/>
      <c r="BB654" s="27"/>
      <c r="BC654" s="27"/>
      <c r="BD654" s="27"/>
      <c r="BE654" s="27"/>
      <c r="BF654" s="27"/>
      <c r="BG654" s="27"/>
      <c r="BH654" s="27"/>
      <c r="BI654" s="27"/>
      <c r="BJ654" s="27"/>
      <c r="BK654" s="27"/>
      <c r="BL654" s="27"/>
      <c r="BM654" s="27"/>
      <c r="BN654" s="27"/>
      <c r="BO654" s="27"/>
      <c r="BP654" s="27"/>
      <c r="BQ654" s="27"/>
      <c r="BR654" s="27"/>
      <c r="BS654" s="27"/>
      <c r="BT654" s="27"/>
      <c r="BU654" s="27"/>
      <c r="BV654" s="27"/>
      <c r="BW654" s="27"/>
      <c r="BX654" s="27"/>
      <c r="BY654" s="27"/>
      <c r="BZ654" s="27"/>
      <c r="CA654" s="27"/>
      <c r="CB654" s="27"/>
      <c r="CC654" s="27"/>
      <c r="CD654" s="27"/>
      <c r="CE654" s="27"/>
      <c r="CF654" s="27"/>
      <c r="CG654" s="27"/>
      <c r="CH654" s="27"/>
      <c r="CI654" s="27"/>
      <c r="CJ654" s="27"/>
      <c r="CK654" s="27"/>
      <c r="CL654" s="27"/>
      <c r="CM654" s="27"/>
      <c r="CN654" s="27"/>
      <c r="CO654" s="27"/>
      <c r="CP654" s="27"/>
      <c r="CQ654" s="27"/>
      <c r="CR654" s="27"/>
      <c r="CS654" s="27"/>
      <c r="CT654" s="27"/>
      <c r="CU654" s="27"/>
      <c r="CV654" s="27"/>
      <c r="CW654" s="27"/>
      <c r="CX654" s="27"/>
      <c r="CY654" s="27"/>
      <c r="CZ654" s="27"/>
      <c r="DA654" s="27"/>
      <c r="DB654" s="27"/>
      <c r="DC654" s="27"/>
      <c r="DD654" s="27"/>
      <c r="DE654" s="27"/>
      <c r="DF654" s="27"/>
      <c r="DG654" s="27"/>
      <c r="DH654" s="27"/>
      <c r="DI654" s="27"/>
      <c r="DJ654" s="27"/>
      <c r="DK654" s="27"/>
      <c r="DL654" s="27"/>
      <c r="DM654" s="27"/>
      <c r="DN654" s="27"/>
      <c r="DO654" s="27"/>
      <c r="DP654" s="27"/>
      <c r="DQ654" s="27"/>
      <c r="DR654" s="27"/>
      <c r="DS654" s="27"/>
      <c r="DT654" s="27"/>
    </row>
    <row r="655" spans="7:124" x14ac:dyDescent="0.2">
      <c r="G655" s="27"/>
      <c r="H655" s="27"/>
      <c r="I655" s="27"/>
      <c r="J655" s="27"/>
      <c r="K655" s="27"/>
      <c r="L655" s="27"/>
      <c r="M655" s="27"/>
      <c r="N655" s="27"/>
      <c r="O655" s="27"/>
      <c r="P655" s="27"/>
      <c r="Q655" s="27"/>
      <c r="R655" s="27"/>
      <c r="S655" s="27"/>
      <c r="T655" s="27"/>
      <c r="U655" s="27"/>
      <c r="V655" s="27"/>
      <c r="W655" s="27"/>
      <c r="X655" s="27"/>
      <c r="Y655" s="27"/>
      <c r="Z655" s="27"/>
      <c r="AA655" s="27"/>
      <c r="AB655" s="27"/>
      <c r="AC655" s="27"/>
      <c r="AD655" s="27"/>
      <c r="AE655" s="27"/>
      <c r="AF655" s="27"/>
      <c r="AG655" s="27"/>
      <c r="AH655" s="27"/>
      <c r="AI655" s="27"/>
      <c r="AJ655" s="27"/>
      <c r="AK655" s="27"/>
      <c r="AL655" s="27"/>
      <c r="AM655" s="27"/>
      <c r="AN655" s="27"/>
      <c r="AO655" s="27"/>
      <c r="AP655" s="27"/>
      <c r="AQ655" s="27"/>
      <c r="AR655" s="27"/>
      <c r="AS655" s="27"/>
      <c r="AT655" s="27"/>
      <c r="AU655" s="27"/>
      <c r="AV655" s="27"/>
      <c r="AW655" s="27"/>
      <c r="AX655" s="27"/>
      <c r="AY655" s="27"/>
      <c r="AZ655" s="27"/>
      <c r="BA655" s="27"/>
      <c r="BB655" s="27"/>
      <c r="BC655" s="27"/>
      <c r="BD655" s="27"/>
      <c r="BE655" s="27"/>
      <c r="BF655" s="27"/>
      <c r="BG655" s="27"/>
      <c r="BH655" s="27"/>
      <c r="BI655" s="27"/>
      <c r="BJ655" s="27"/>
      <c r="BK655" s="27"/>
      <c r="BL655" s="27"/>
      <c r="BM655" s="27"/>
      <c r="BN655" s="27"/>
      <c r="BO655" s="27"/>
      <c r="BP655" s="27"/>
      <c r="BQ655" s="27"/>
      <c r="BR655" s="27"/>
      <c r="BS655" s="27"/>
      <c r="BT655" s="27"/>
      <c r="BU655" s="27"/>
      <c r="BV655" s="27"/>
      <c r="BW655" s="27"/>
      <c r="BX655" s="27"/>
      <c r="BY655" s="27"/>
      <c r="BZ655" s="27"/>
      <c r="CA655" s="27"/>
      <c r="CB655" s="27"/>
      <c r="CC655" s="27"/>
      <c r="CD655" s="27"/>
      <c r="CE655" s="27"/>
      <c r="CF655" s="27"/>
      <c r="CG655" s="27"/>
      <c r="CH655" s="27"/>
      <c r="CI655" s="27"/>
      <c r="CJ655" s="27"/>
      <c r="CK655" s="27"/>
      <c r="CL655" s="27"/>
      <c r="CM655" s="27"/>
      <c r="CN655" s="27"/>
      <c r="CO655" s="27"/>
      <c r="CP655" s="27"/>
      <c r="CQ655" s="27"/>
      <c r="CR655" s="27"/>
      <c r="CS655" s="27"/>
      <c r="CT655" s="27"/>
      <c r="CU655" s="27"/>
      <c r="CV655" s="27"/>
      <c r="CW655" s="27"/>
      <c r="CX655" s="27"/>
      <c r="CY655" s="27"/>
      <c r="CZ655" s="27"/>
      <c r="DA655" s="27"/>
      <c r="DB655" s="27"/>
      <c r="DC655" s="27"/>
      <c r="DD655" s="27"/>
      <c r="DE655" s="27"/>
      <c r="DF655" s="27"/>
      <c r="DG655" s="27"/>
      <c r="DH655" s="27"/>
      <c r="DI655" s="27"/>
      <c r="DJ655" s="27"/>
      <c r="DK655" s="27"/>
      <c r="DL655" s="27"/>
      <c r="DM655" s="27"/>
      <c r="DN655" s="27"/>
      <c r="DO655" s="27"/>
      <c r="DP655" s="27"/>
      <c r="DQ655" s="27"/>
      <c r="DR655" s="27"/>
      <c r="DS655" s="27"/>
      <c r="DT655" s="27"/>
    </row>
    <row r="656" spans="7:124" x14ac:dyDescent="0.2">
      <c r="G656" s="27"/>
      <c r="H656" s="27"/>
      <c r="I656" s="27"/>
      <c r="J656" s="27"/>
      <c r="K656" s="27"/>
      <c r="L656" s="27"/>
      <c r="M656" s="27"/>
      <c r="N656" s="27"/>
      <c r="O656" s="27"/>
      <c r="P656" s="27"/>
      <c r="Q656" s="27"/>
      <c r="R656" s="27"/>
      <c r="S656" s="27"/>
      <c r="T656" s="27"/>
      <c r="U656" s="27"/>
      <c r="V656" s="27"/>
      <c r="W656" s="27"/>
      <c r="X656" s="27"/>
      <c r="Y656" s="27"/>
      <c r="Z656" s="27"/>
      <c r="AA656" s="27"/>
      <c r="AB656" s="27"/>
      <c r="AC656" s="27"/>
      <c r="AD656" s="27"/>
      <c r="AE656" s="27"/>
      <c r="AF656" s="27"/>
      <c r="AG656" s="27"/>
      <c r="AH656" s="27"/>
      <c r="AI656" s="27"/>
      <c r="AJ656" s="27"/>
      <c r="AK656" s="27"/>
      <c r="AL656" s="27"/>
      <c r="AM656" s="27"/>
      <c r="AN656" s="27"/>
      <c r="AO656" s="27"/>
      <c r="AP656" s="27"/>
      <c r="AQ656" s="27"/>
      <c r="AR656" s="27"/>
      <c r="AS656" s="27"/>
      <c r="AT656" s="27"/>
      <c r="AU656" s="27"/>
      <c r="AV656" s="27"/>
      <c r="AW656" s="27"/>
      <c r="AX656" s="27"/>
      <c r="AY656" s="27"/>
      <c r="AZ656" s="27"/>
      <c r="BA656" s="27"/>
      <c r="BB656" s="27"/>
      <c r="BC656" s="27"/>
      <c r="BD656" s="27"/>
      <c r="BE656" s="27"/>
      <c r="BF656" s="27"/>
      <c r="BG656" s="27"/>
      <c r="BH656" s="27"/>
      <c r="BI656" s="27"/>
      <c r="BJ656" s="27"/>
      <c r="BK656" s="27"/>
      <c r="BL656" s="27"/>
      <c r="BM656" s="27"/>
      <c r="BN656" s="27"/>
      <c r="BO656" s="27"/>
      <c r="BP656" s="27"/>
      <c r="BQ656" s="27"/>
      <c r="BR656" s="27"/>
      <c r="BS656" s="27"/>
      <c r="BT656" s="27"/>
      <c r="BU656" s="27"/>
      <c r="BV656" s="27"/>
      <c r="BW656" s="27"/>
      <c r="BX656" s="27"/>
      <c r="BY656" s="27"/>
      <c r="BZ656" s="27"/>
      <c r="CA656" s="27"/>
      <c r="CB656" s="27"/>
      <c r="CC656" s="27"/>
      <c r="CD656" s="27"/>
      <c r="CE656" s="27"/>
      <c r="CF656" s="27"/>
      <c r="CG656" s="27"/>
      <c r="CH656" s="27"/>
      <c r="CI656" s="27"/>
      <c r="CJ656" s="27"/>
      <c r="CK656" s="27"/>
      <c r="CL656" s="27"/>
      <c r="CM656" s="27"/>
      <c r="CN656" s="27"/>
      <c r="CO656" s="27"/>
      <c r="CP656" s="27"/>
      <c r="CQ656" s="27"/>
      <c r="CR656" s="27"/>
      <c r="CS656" s="27"/>
      <c r="CT656" s="27"/>
      <c r="CU656" s="27"/>
      <c r="CV656" s="27"/>
      <c r="CW656" s="27"/>
      <c r="CX656" s="27"/>
      <c r="CY656" s="27"/>
      <c r="CZ656" s="27"/>
      <c r="DA656" s="27"/>
      <c r="DB656" s="27"/>
      <c r="DC656" s="27"/>
      <c r="DD656" s="27"/>
      <c r="DE656" s="27"/>
      <c r="DF656" s="27"/>
      <c r="DG656" s="27"/>
      <c r="DH656" s="27"/>
      <c r="DI656" s="27"/>
      <c r="DJ656" s="27"/>
      <c r="DK656" s="27"/>
      <c r="DL656" s="27"/>
      <c r="DM656" s="27"/>
      <c r="DN656" s="27"/>
      <c r="DO656" s="27"/>
      <c r="DP656" s="27"/>
      <c r="DQ656" s="27"/>
      <c r="DR656" s="27"/>
      <c r="DS656" s="27"/>
      <c r="DT656" s="27"/>
    </row>
    <row r="657" spans="7:124" x14ac:dyDescent="0.2">
      <c r="G657" s="27"/>
      <c r="H657" s="27"/>
      <c r="I657" s="27"/>
      <c r="J657" s="27"/>
      <c r="K657" s="27"/>
      <c r="L657" s="27"/>
      <c r="M657" s="27"/>
      <c r="N657" s="27"/>
      <c r="O657" s="27"/>
      <c r="P657" s="27"/>
      <c r="Q657" s="27"/>
      <c r="R657" s="27"/>
      <c r="S657" s="27"/>
      <c r="T657" s="27"/>
      <c r="U657" s="27"/>
      <c r="V657" s="27"/>
      <c r="W657" s="27"/>
      <c r="X657" s="27"/>
      <c r="Y657" s="27"/>
      <c r="Z657" s="27"/>
      <c r="AA657" s="27"/>
      <c r="AB657" s="27"/>
      <c r="AC657" s="27"/>
      <c r="AD657" s="27"/>
      <c r="AE657" s="27"/>
      <c r="AF657" s="27"/>
      <c r="AG657" s="27"/>
      <c r="AH657" s="27"/>
      <c r="AI657" s="27"/>
      <c r="AJ657" s="27"/>
      <c r="AK657" s="27"/>
      <c r="AL657" s="27"/>
      <c r="AM657" s="27"/>
      <c r="AN657" s="27"/>
      <c r="AO657" s="27"/>
      <c r="AP657" s="27"/>
      <c r="AQ657" s="27"/>
      <c r="AR657" s="27"/>
      <c r="AS657" s="27"/>
      <c r="AT657" s="27"/>
      <c r="AU657" s="27"/>
      <c r="AV657" s="27"/>
      <c r="AW657" s="27"/>
      <c r="AX657" s="27"/>
      <c r="AY657" s="27"/>
      <c r="AZ657" s="27"/>
      <c r="BA657" s="27"/>
      <c r="BB657" s="27"/>
      <c r="BC657" s="27"/>
      <c r="BD657" s="27"/>
      <c r="BE657" s="27"/>
      <c r="BF657" s="27"/>
      <c r="BG657" s="27"/>
      <c r="BH657" s="27"/>
      <c r="BI657" s="27"/>
      <c r="BJ657" s="27"/>
      <c r="BK657" s="27"/>
      <c r="BL657" s="27"/>
      <c r="BM657" s="27"/>
      <c r="BN657" s="27"/>
      <c r="BO657" s="27"/>
      <c r="BP657" s="27"/>
      <c r="BQ657" s="27"/>
      <c r="BR657" s="27"/>
      <c r="BS657" s="27"/>
      <c r="BT657" s="27"/>
      <c r="BU657" s="27"/>
      <c r="BV657" s="27"/>
      <c r="BW657" s="27"/>
      <c r="BX657" s="27"/>
      <c r="BY657" s="27"/>
      <c r="BZ657" s="27"/>
      <c r="CA657" s="27"/>
      <c r="CB657" s="27"/>
      <c r="CC657" s="27"/>
      <c r="CD657" s="27"/>
      <c r="CE657" s="27"/>
      <c r="CF657" s="27"/>
      <c r="CG657" s="27"/>
      <c r="CH657" s="27"/>
      <c r="CI657" s="27"/>
      <c r="CJ657" s="27"/>
      <c r="CK657" s="27"/>
      <c r="CL657" s="27"/>
      <c r="CM657" s="27"/>
      <c r="CN657" s="27"/>
      <c r="CO657" s="27"/>
      <c r="CP657" s="27"/>
      <c r="CQ657" s="27"/>
      <c r="CR657" s="27"/>
      <c r="CS657" s="27"/>
      <c r="CT657" s="27"/>
      <c r="CU657" s="27"/>
      <c r="CV657" s="27"/>
      <c r="CW657" s="27"/>
      <c r="CX657" s="27"/>
      <c r="CY657" s="27"/>
      <c r="CZ657" s="27"/>
      <c r="DA657" s="27"/>
      <c r="DB657" s="27"/>
      <c r="DC657" s="27"/>
      <c r="DD657" s="27"/>
      <c r="DE657" s="27"/>
      <c r="DF657" s="27"/>
      <c r="DG657" s="27"/>
      <c r="DH657" s="27"/>
      <c r="DI657" s="27"/>
      <c r="DJ657" s="27"/>
      <c r="DK657" s="27"/>
      <c r="DL657" s="27"/>
      <c r="DM657" s="27"/>
      <c r="DN657" s="27"/>
      <c r="DO657" s="27"/>
      <c r="DP657" s="27"/>
      <c r="DQ657" s="27"/>
      <c r="DR657" s="27"/>
      <c r="DS657" s="27"/>
      <c r="DT657" s="27"/>
    </row>
    <row r="658" spans="7:124" x14ac:dyDescent="0.2">
      <c r="G658" s="27"/>
      <c r="H658" s="27"/>
      <c r="I658" s="27"/>
      <c r="J658" s="27"/>
      <c r="K658" s="27"/>
      <c r="L658" s="27"/>
      <c r="M658" s="27"/>
      <c r="N658" s="27"/>
      <c r="O658" s="27"/>
      <c r="P658" s="27"/>
      <c r="Q658" s="27"/>
      <c r="R658" s="27"/>
      <c r="S658" s="27"/>
      <c r="T658" s="27"/>
      <c r="U658" s="27"/>
      <c r="V658" s="27"/>
      <c r="W658" s="27"/>
      <c r="X658" s="27"/>
      <c r="Y658" s="27"/>
      <c r="Z658" s="27"/>
      <c r="AA658" s="27"/>
      <c r="AB658" s="27"/>
      <c r="AC658" s="27"/>
      <c r="AD658" s="27"/>
      <c r="AE658" s="27"/>
      <c r="AF658" s="27"/>
      <c r="AG658" s="27"/>
      <c r="AH658" s="27"/>
      <c r="AI658" s="27"/>
      <c r="AJ658" s="27"/>
      <c r="AK658" s="27"/>
      <c r="AL658" s="27"/>
      <c r="AM658" s="27"/>
      <c r="AN658" s="27"/>
      <c r="AO658" s="27"/>
      <c r="AP658" s="27"/>
      <c r="AQ658" s="27"/>
      <c r="AR658" s="27"/>
      <c r="AS658" s="27"/>
      <c r="AT658" s="27"/>
      <c r="AU658" s="27"/>
      <c r="AV658" s="27"/>
      <c r="AW658" s="27"/>
      <c r="AX658" s="27"/>
      <c r="AY658" s="27"/>
      <c r="AZ658" s="27"/>
      <c r="BA658" s="27"/>
      <c r="BB658" s="27"/>
      <c r="BC658" s="27"/>
      <c r="BD658" s="27"/>
      <c r="BE658" s="27"/>
      <c r="BF658" s="27"/>
      <c r="BG658" s="27"/>
      <c r="BH658" s="27"/>
      <c r="BI658" s="27"/>
      <c r="BJ658" s="27"/>
      <c r="BK658" s="27"/>
      <c r="BL658" s="27"/>
      <c r="BM658" s="27"/>
      <c r="BN658" s="27"/>
      <c r="BO658" s="27"/>
      <c r="BP658" s="27"/>
      <c r="BQ658" s="27"/>
      <c r="BR658" s="27"/>
      <c r="BS658" s="27"/>
      <c r="BT658" s="27"/>
      <c r="BU658" s="27"/>
      <c r="BV658" s="27"/>
      <c r="BW658" s="27"/>
      <c r="BX658" s="27"/>
      <c r="BY658" s="27"/>
      <c r="BZ658" s="27"/>
      <c r="CA658" s="27"/>
      <c r="CB658" s="27"/>
      <c r="CC658" s="27"/>
      <c r="CD658" s="27"/>
      <c r="CE658" s="27"/>
      <c r="CF658" s="27"/>
      <c r="CG658" s="27"/>
      <c r="CH658" s="27"/>
      <c r="CI658" s="27"/>
      <c r="CJ658" s="27"/>
      <c r="CK658" s="27"/>
      <c r="CL658" s="27"/>
      <c r="CM658" s="27"/>
      <c r="CN658" s="27"/>
      <c r="CO658" s="27"/>
      <c r="CP658" s="27"/>
      <c r="CQ658" s="27"/>
      <c r="CR658" s="27"/>
      <c r="CS658" s="27"/>
      <c r="CT658" s="27"/>
      <c r="CU658" s="27"/>
      <c r="CV658" s="27"/>
      <c r="CW658" s="27"/>
      <c r="CX658" s="27"/>
      <c r="CY658" s="27"/>
      <c r="CZ658" s="27"/>
      <c r="DA658" s="27"/>
      <c r="DB658" s="27"/>
      <c r="DC658" s="27"/>
      <c r="DD658" s="27"/>
      <c r="DE658" s="27"/>
      <c r="DF658" s="27"/>
      <c r="DG658" s="27"/>
      <c r="DH658" s="27"/>
      <c r="DI658" s="27"/>
      <c r="DJ658" s="27"/>
      <c r="DK658" s="27"/>
      <c r="DL658" s="27"/>
      <c r="DM658" s="27"/>
      <c r="DN658" s="27"/>
      <c r="DO658" s="27"/>
      <c r="DP658" s="27"/>
      <c r="DQ658" s="27"/>
      <c r="DR658" s="27"/>
      <c r="DS658" s="27"/>
      <c r="DT658" s="27"/>
    </row>
    <row r="659" spans="7:124" x14ac:dyDescent="0.2">
      <c r="G659" s="27"/>
      <c r="H659" s="27"/>
      <c r="I659" s="27"/>
      <c r="J659" s="27"/>
      <c r="K659" s="27"/>
      <c r="L659" s="27"/>
      <c r="M659" s="27"/>
      <c r="N659" s="27"/>
      <c r="O659" s="27"/>
      <c r="P659" s="27"/>
      <c r="Q659" s="27"/>
      <c r="R659" s="27"/>
      <c r="S659" s="27"/>
      <c r="T659" s="27"/>
      <c r="U659" s="27"/>
      <c r="V659" s="27"/>
      <c r="W659" s="27"/>
      <c r="X659" s="27"/>
      <c r="Y659" s="27"/>
      <c r="Z659" s="27"/>
      <c r="AA659" s="27"/>
      <c r="AB659" s="27"/>
      <c r="AC659" s="27"/>
      <c r="AD659" s="27"/>
      <c r="AE659" s="27"/>
      <c r="AF659" s="27"/>
      <c r="AG659" s="27"/>
      <c r="AH659" s="27"/>
      <c r="AI659" s="27"/>
      <c r="AJ659" s="27"/>
      <c r="AK659" s="27"/>
      <c r="AL659" s="27"/>
      <c r="AM659" s="27"/>
      <c r="AN659" s="27"/>
      <c r="AO659" s="27"/>
      <c r="AP659" s="27"/>
      <c r="AQ659" s="27"/>
      <c r="AR659" s="27"/>
      <c r="AS659" s="27"/>
      <c r="AT659" s="27"/>
      <c r="AU659" s="27"/>
      <c r="AV659" s="27"/>
      <c r="AW659" s="27"/>
      <c r="AX659" s="27"/>
      <c r="AY659" s="27"/>
      <c r="AZ659" s="27"/>
      <c r="BA659" s="27"/>
      <c r="BB659" s="27"/>
      <c r="BC659" s="27"/>
      <c r="BD659" s="27"/>
      <c r="BE659" s="27"/>
      <c r="BF659" s="27"/>
      <c r="BG659" s="27"/>
      <c r="BH659" s="27"/>
      <c r="BI659" s="27"/>
      <c r="BJ659" s="27"/>
      <c r="BK659" s="27"/>
      <c r="BL659" s="27"/>
      <c r="BM659" s="27"/>
      <c r="BN659" s="27"/>
      <c r="BO659" s="27"/>
      <c r="BP659" s="27"/>
      <c r="BQ659" s="27"/>
      <c r="BR659" s="27"/>
      <c r="BS659" s="27"/>
      <c r="BT659" s="27"/>
      <c r="BU659" s="27"/>
      <c r="BV659" s="27"/>
      <c r="BW659" s="27"/>
      <c r="BX659" s="27"/>
      <c r="BY659" s="27"/>
      <c r="BZ659" s="27"/>
      <c r="CA659" s="27"/>
      <c r="CB659" s="27"/>
      <c r="CC659" s="27"/>
      <c r="CD659" s="27"/>
      <c r="CE659" s="27"/>
      <c r="CF659" s="27"/>
      <c r="CG659" s="27"/>
      <c r="CH659" s="27"/>
      <c r="CI659" s="27"/>
      <c r="CJ659" s="27"/>
      <c r="CK659" s="27"/>
      <c r="CL659" s="27"/>
      <c r="CM659" s="27"/>
      <c r="CN659" s="27"/>
      <c r="CO659" s="27"/>
      <c r="CP659" s="27"/>
      <c r="CQ659" s="27"/>
      <c r="CR659" s="27"/>
      <c r="CS659" s="27"/>
      <c r="CT659" s="27"/>
      <c r="CU659" s="27"/>
      <c r="CV659" s="27"/>
      <c r="CW659" s="27"/>
      <c r="CX659" s="27"/>
      <c r="CY659" s="27"/>
      <c r="CZ659" s="27"/>
      <c r="DA659" s="27"/>
      <c r="DB659" s="27"/>
      <c r="DC659" s="27"/>
      <c r="DD659" s="27"/>
      <c r="DE659" s="27"/>
      <c r="DF659" s="27"/>
      <c r="DG659" s="27"/>
      <c r="DH659" s="27"/>
      <c r="DI659" s="27"/>
      <c r="DJ659" s="27"/>
      <c r="DK659" s="27"/>
      <c r="DL659" s="27"/>
      <c r="DM659" s="27"/>
      <c r="DN659" s="27"/>
      <c r="DO659" s="27"/>
      <c r="DP659" s="27"/>
      <c r="DQ659" s="27"/>
      <c r="DR659" s="27"/>
      <c r="DS659" s="27"/>
      <c r="DT659" s="27"/>
    </row>
    <row r="660" spans="7:124" x14ac:dyDescent="0.2">
      <c r="G660" s="27"/>
      <c r="H660" s="27"/>
      <c r="I660" s="27"/>
      <c r="J660" s="27"/>
      <c r="K660" s="27"/>
      <c r="L660" s="27"/>
      <c r="M660" s="27"/>
      <c r="N660" s="27"/>
      <c r="O660" s="27"/>
      <c r="P660" s="27"/>
      <c r="Q660" s="27"/>
      <c r="R660" s="27"/>
      <c r="S660" s="27"/>
      <c r="T660" s="27"/>
      <c r="U660" s="27"/>
      <c r="V660" s="27"/>
      <c r="W660" s="27"/>
      <c r="X660" s="27"/>
      <c r="Y660" s="27"/>
      <c r="Z660" s="27"/>
      <c r="AA660" s="27"/>
      <c r="AB660" s="27"/>
      <c r="AC660" s="27"/>
      <c r="AD660" s="27"/>
      <c r="AE660" s="27"/>
      <c r="AF660" s="27"/>
      <c r="AG660" s="27"/>
      <c r="AH660" s="27"/>
      <c r="AI660" s="27"/>
      <c r="AJ660" s="27"/>
      <c r="AK660" s="27"/>
      <c r="AL660" s="27"/>
      <c r="AM660" s="27"/>
      <c r="AN660" s="27"/>
      <c r="AO660" s="27"/>
      <c r="AP660" s="27"/>
      <c r="AQ660" s="27"/>
      <c r="AR660" s="27"/>
      <c r="AS660" s="27"/>
      <c r="AT660" s="27"/>
      <c r="AU660" s="27"/>
      <c r="AV660" s="27"/>
      <c r="AW660" s="27"/>
      <c r="AX660" s="27"/>
      <c r="AY660" s="27"/>
      <c r="AZ660" s="27"/>
      <c r="BA660" s="27"/>
      <c r="BB660" s="27"/>
      <c r="BC660" s="27"/>
      <c r="BD660" s="27"/>
      <c r="BE660" s="27"/>
      <c r="BF660" s="27"/>
      <c r="BG660" s="27"/>
      <c r="BH660" s="27"/>
      <c r="BI660" s="27"/>
      <c r="BJ660" s="27"/>
      <c r="BK660" s="27"/>
      <c r="BL660" s="27"/>
      <c r="BM660" s="27"/>
      <c r="BN660" s="27"/>
      <c r="BO660" s="27"/>
      <c r="BP660" s="27"/>
      <c r="BQ660" s="27"/>
      <c r="BR660" s="27"/>
      <c r="BS660" s="27"/>
      <c r="BT660" s="27"/>
      <c r="BU660" s="27"/>
      <c r="BV660" s="27"/>
      <c r="BW660" s="27"/>
      <c r="BX660" s="27"/>
      <c r="BY660" s="27"/>
      <c r="BZ660" s="27"/>
      <c r="CA660" s="27"/>
      <c r="CB660" s="27"/>
      <c r="CC660" s="27"/>
      <c r="CD660" s="27"/>
      <c r="CE660" s="27"/>
      <c r="CF660" s="27"/>
      <c r="CG660" s="27"/>
      <c r="CH660" s="27"/>
      <c r="CI660" s="27"/>
      <c r="CJ660" s="27"/>
      <c r="CK660" s="27"/>
      <c r="CL660" s="27"/>
      <c r="CM660" s="27"/>
      <c r="CN660" s="27"/>
      <c r="CO660" s="27"/>
      <c r="CP660" s="27"/>
      <c r="CQ660" s="27"/>
      <c r="CR660" s="27"/>
      <c r="CS660" s="27"/>
      <c r="CT660" s="27"/>
      <c r="CU660" s="27"/>
      <c r="CV660" s="27"/>
      <c r="CW660" s="27"/>
      <c r="CX660" s="27"/>
      <c r="CY660" s="27"/>
      <c r="CZ660" s="27"/>
      <c r="DA660" s="27"/>
      <c r="DB660" s="27"/>
      <c r="DC660" s="27"/>
      <c r="DD660" s="27"/>
      <c r="DE660" s="27"/>
      <c r="DF660" s="27"/>
      <c r="DG660" s="27"/>
      <c r="DH660" s="27"/>
      <c r="DI660" s="27"/>
      <c r="DJ660" s="27"/>
      <c r="DK660" s="27"/>
      <c r="DL660" s="27"/>
      <c r="DM660" s="27"/>
      <c r="DN660" s="27"/>
      <c r="DO660" s="27"/>
      <c r="DP660" s="27"/>
      <c r="DQ660" s="27"/>
      <c r="DR660" s="27"/>
      <c r="DS660" s="27"/>
      <c r="DT660" s="27"/>
    </row>
    <row r="661" spans="7:124" x14ac:dyDescent="0.2">
      <c r="G661" s="27"/>
      <c r="H661" s="27"/>
      <c r="I661" s="27"/>
      <c r="J661" s="27"/>
      <c r="K661" s="27"/>
      <c r="L661" s="27"/>
      <c r="M661" s="27"/>
      <c r="N661" s="27"/>
      <c r="O661" s="27"/>
      <c r="P661" s="27"/>
      <c r="Q661" s="27"/>
      <c r="R661" s="27"/>
      <c r="S661" s="27"/>
      <c r="T661" s="27"/>
      <c r="U661" s="27"/>
      <c r="V661" s="27"/>
      <c r="W661" s="27"/>
      <c r="X661" s="27"/>
      <c r="Y661" s="27"/>
      <c r="Z661" s="27"/>
      <c r="AA661" s="27"/>
      <c r="AB661" s="27"/>
      <c r="AC661" s="27"/>
      <c r="AD661" s="27"/>
      <c r="AE661" s="27"/>
      <c r="AF661" s="27"/>
      <c r="AG661" s="27"/>
      <c r="AH661" s="27"/>
      <c r="AI661" s="27"/>
      <c r="AJ661" s="27"/>
      <c r="AK661" s="27"/>
      <c r="AL661" s="27"/>
      <c r="AM661" s="27"/>
      <c r="AN661" s="27"/>
      <c r="AO661" s="27"/>
      <c r="AP661" s="27"/>
      <c r="AQ661" s="27"/>
      <c r="AR661" s="27"/>
      <c r="AS661" s="27"/>
      <c r="AT661" s="27"/>
      <c r="AU661" s="27"/>
      <c r="AV661" s="27"/>
      <c r="AW661" s="27"/>
      <c r="AX661" s="27"/>
      <c r="AY661" s="27"/>
      <c r="AZ661" s="27"/>
      <c r="BA661" s="27"/>
      <c r="BB661" s="27"/>
      <c r="BC661" s="27"/>
      <c r="BD661" s="27"/>
      <c r="BE661" s="27"/>
      <c r="BF661" s="27"/>
      <c r="BG661" s="27"/>
      <c r="BH661" s="27"/>
      <c r="BI661" s="27"/>
      <c r="BJ661" s="27"/>
      <c r="BK661" s="27"/>
      <c r="BL661" s="27"/>
      <c r="BM661" s="27"/>
      <c r="BN661" s="27"/>
      <c r="BO661" s="27"/>
      <c r="BP661" s="27"/>
      <c r="BQ661" s="27"/>
      <c r="BR661" s="27"/>
      <c r="BS661" s="27"/>
      <c r="BT661" s="27"/>
      <c r="BU661" s="27"/>
      <c r="BV661" s="27"/>
      <c r="BW661" s="27"/>
      <c r="BX661" s="27"/>
      <c r="BY661" s="27"/>
      <c r="BZ661" s="27"/>
      <c r="CA661" s="27"/>
      <c r="CB661" s="27"/>
      <c r="CC661" s="27"/>
      <c r="CD661" s="27"/>
      <c r="CE661" s="27"/>
      <c r="CF661" s="27"/>
      <c r="CG661" s="27"/>
      <c r="CH661" s="27"/>
      <c r="CI661" s="27"/>
      <c r="CJ661" s="27"/>
      <c r="CK661" s="27"/>
      <c r="CL661" s="27"/>
      <c r="CM661" s="27"/>
      <c r="CN661" s="27"/>
      <c r="CO661" s="27"/>
      <c r="CP661" s="27"/>
      <c r="CQ661" s="27"/>
      <c r="CR661" s="27"/>
      <c r="CS661" s="27"/>
      <c r="CT661" s="27"/>
      <c r="CU661" s="27"/>
      <c r="CV661" s="27"/>
      <c r="CW661" s="27"/>
      <c r="CX661" s="27"/>
      <c r="CY661" s="27"/>
      <c r="CZ661" s="27"/>
      <c r="DA661" s="27"/>
      <c r="DB661" s="27"/>
      <c r="DC661" s="27"/>
      <c r="DD661" s="27"/>
      <c r="DE661" s="27"/>
      <c r="DF661" s="27"/>
      <c r="DG661" s="27"/>
      <c r="DH661" s="27"/>
      <c r="DI661" s="27"/>
      <c r="DJ661" s="27"/>
      <c r="DK661" s="27"/>
      <c r="DL661" s="27"/>
      <c r="DM661" s="27"/>
      <c r="DN661" s="27"/>
      <c r="DO661" s="27"/>
      <c r="DP661" s="27"/>
      <c r="DQ661" s="27"/>
      <c r="DR661" s="27"/>
      <c r="DS661" s="27"/>
      <c r="DT661" s="27"/>
    </row>
    <row r="662" spans="7:124" x14ac:dyDescent="0.2">
      <c r="G662" s="27"/>
      <c r="H662" s="27"/>
      <c r="I662" s="27"/>
      <c r="J662" s="27"/>
      <c r="K662" s="27"/>
      <c r="L662" s="27"/>
      <c r="M662" s="27"/>
      <c r="N662" s="27"/>
      <c r="O662" s="27"/>
      <c r="P662" s="27"/>
      <c r="Q662" s="27"/>
      <c r="R662" s="27"/>
      <c r="S662" s="27"/>
      <c r="T662" s="27"/>
      <c r="U662" s="27"/>
      <c r="V662" s="27"/>
      <c r="W662" s="27"/>
      <c r="X662" s="27"/>
      <c r="Y662" s="27"/>
      <c r="Z662" s="27"/>
      <c r="AA662" s="27"/>
      <c r="AB662" s="27"/>
      <c r="AC662" s="27"/>
      <c r="AD662" s="27"/>
      <c r="AE662" s="27"/>
      <c r="AF662" s="27"/>
      <c r="AG662" s="27"/>
      <c r="AH662" s="27"/>
      <c r="AI662" s="27"/>
      <c r="AJ662" s="27"/>
      <c r="AK662" s="27"/>
      <c r="AL662" s="27"/>
      <c r="AM662" s="27"/>
      <c r="AN662" s="27"/>
      <c r="AO662" s="27"/>
      <c r="AP662" s="27"/>
      <c r="AQ662" s="27"/>
      <c r="AR662" s="27"/>
      <c r="AS662" s="27"/>
      <c r="AT662" s="27"/>
      <c r="AU662" s="27"/>
      <c r="AV662" s="27"/>
      <c r="AW662" s="27"/>
      <c r="AX662" s="27"/>
      <c r="AY662" s="27"/>
      <c r="AZ662" s="27"/>
      <c r="BA662" s="27"/>
      <c r="BB662" s="27"/>
      <c r="BC662" s="27"/>
      <c r="BD662" s="27"/>
      <c r="BE662" s="27"/>
      <c r="BF662" s="27"/>
      <c r="BG662" s="27"/>
      <c r="BH662" s="27"/>
      <c r="BI662" s="27"/>
      <c r="BJ662" s="27"/>
      <c r="BK662" s="27"/>
      <c r="BL662" s="27"/>
      <c r="BM662" s="27"/>
      <c r="BN662" s="27"/>
      <c r="BO662" s="27"/>
      <c r="BP662" s="27"/>
      <c r="BQ662" s="27"/>
      <c r="BR662" s="27"/>
      <c r="BS662" s="27"/>
      <c r="BT662" s="27"/>
      <c r="BU662" s="27"/>
      <c r="BV662" s="27"/>
      <c r="BW662" s="27"/>
      <c r="BX662" s="27"/>
      <c r="BY662" s="27"/>
      <c r="BZ662" s="27"/>
      <c r="CA662" s="27"/>
      <c r="CB662" s="27"/>
      <c r="CC662" s="27"/>
      <c r="CD662" s="27"/>
      <c r="CE662" s="27"/>
      <c r="CF662" s="27"/>
      <c r="CG662" s="27"/>
      <c r="CH662" s="27"/>
      <c r="CI662" s="27"/>
      <c r="CJ662" s="27"/>
      <c r="CK662" s="27"/>
      <c r="CL662" s="27"/>
      <c r="CM662" s="27"/>
      <c r="CN662" s="27"/>
      <c r="CO662" s="27"/>
      <c r="CP662" s="27"/>
      <c r="CQ662" s="27"/>
      <c r="CR662" s="27"/>
      <c r="CS662" s="27"/>
      <c r="CT662" s="27"/>
      <c r="CU662" s="27"/>
      <c r="CV662" s="27"/>
      <c r="CW662" s="27"/>
      <c r="CX662" s="27"/>
      <c r="CY662" s="27"/>
      <c r="CZ662" s="27"/>
      <c r="DA662" s="27"/>
      <c r="DB662" s="27"/>
      <c r="DC662" s="27"/>
      <c r="DD662" s="27"/>
      <c r="DE662" s="27"/>
      <c r="DF662" s="27"/>
      <c r="DG662" s="27"/>
      <c r="DH662" s="27"/>
      <c r="DI662" s="27"/>
      <c r="DJ662" s="27"/>
      <c r="DK662" s="27"/>
      <c r="DL662" s="27"/>
      <c r="DM662" s="27"/>
      <c r="DN662" s="27"/>
      <c r="DO662" s="27"/>
      <c r="DP662" s="27"/>
      <c r="DQ662" s="27"/>
      <c r="DR662" s="27"/>
      <c r="DS662" s="27"/>
      <c r="DT662" s="27"/>
    </row>
    <row r="663" spans="7:124" x14ac:dyDescent="0.2">
      <c r="G663" s="27"/>
      <c r="H663" s="27"/>
      <c r="I663" s="27"/>
      <c r="J663" s="27"/>
      <c r="K663" s="27"/>
      <c r="L663" s="27"/>
      <c r="M663" s="27"/>
      <c r="N663" s="27"/>
      <c r="O663" s="27"/>
      <c r="P663" s="27"/>
      <c r="Q663" s="27"/>
      <c r="R663" s="27"/>
      <c r="S663" s="27"/>
      <c r="T663" s="27"/>
      <c r="U663" s="27"/>
      <c r="V663" s="27"/>
      <c r="W663" s="27"/>
      <c r="X663" s="27"/>
      <c r="Y663" s="27"/>
      <c r="Z663" s="27"/>
      <c r="AA663" s="27"/>
      <c r="AB663" s="27"/>
      <c r="AC663" s="27"/>
      <c r="AD663" s="27"/>
      <c r="AE663" s="27"/>
      <c r="AF663" s="27"/>
      <c r="AG663" s="27"/>
      <c r="AH663" s="27"/>
      <c r="AI663" s="27"/>
      <c r="AJ663" s="27"/>
      <c r="AK663" s="27"/>
      <c r="AL663" s="27"/>
      <c r="AM663" s="27"/>
      <c r="AN663" s="27"/>
      <c r="AO663" s="27"/>
      <c r="AP663" s="27"/>
      <c r="AQ663" s="27"/>
      <c r="AR663" s="27"/>
      <c r="AS663" s="27"/>
      <c r="AT663" s="27"/>
      <c r="AU663" s="27"/>
      <c r="AV663" s="27"/>
      <c r="AW663" s="27"/>
      <c r="AX663" s="27"/>
      <c r="AY663" s="27"/>
      <c r="AZ663" s="27"/>
      <c r="BA663" s="27"/>
      <c r="BB663" s="27"/>
      <c r="BC663" s="27"/>
      <c r="BD663" s="27"/>
      <c r="BE663" s="27"/>
      <c r="BF663" s="27"/>
      <c r="BG663" s="27"/>
      <c r="BH663" s="27"/>
      <c r="BI663" s="27"/>
      <c r="BJ663" s="27"/>
      <c r="BK663" s="27"/>
      <c r="BL663" s="27"/>
      <c r="BM663" s="27"/>
      <c r="BN663" s="27"/>
      <c r="BO663" s="27"/>
      <c r="BP663" s="27"/>
      <c r="BQ663" s="27"/>
      <c r="BR663" s="27"/>
      <c r="BS663" s="27"/>
      <c r="BT663" s="27"/>
      <c r="BU663" s="27"/>
      <c r="BV663" s="27"/>
      <c r="BW663" s="27"/>
      <c r="BX663" s="27"/>
      <c r="BY663" s="27"/>
      <c r="BZ663" s="27"/>
      <c r="CA663" s="27"/>
      <c r="CB663" s="27"/>
      <c r="CC663" s="27"/>
      <c r="CD663" s="27"/>
      <c r="CE663" s="27"/>
      <c r="CF663" s="27"/>
      <c r="CG663" s="27"/>
      <c r="CH663" s="27"/>
      <c r="CI663" s="27"/>
      <c r="CJ663" s="27"/>
      <c r="CK663" s="27"/>
      <c r="CL663" s="27"/>
      <c r="CM663" s="27"/>
      <c r="CN663" s="27"/>
      <c r="CO663" s="27"/>
      <c r="CP663" s="27"/>
      <c r="CQ663" s="27"/>
      <c r="CR663" s="27"/>
      <c r="CS663" s="27"/>
      <c r="CT663" s="27"/>
      <c r="CU663" s="27"/>
      <c r="CV663" s="27"/>
      <c r="CW663" s="27"/>
      <c r="CX663" s="27"/>
      <c r="CY663" s="27"/>
      <c r="CZ663" s="27"/>
      <c r="DA663" s="27"/>
      <c r="DB663" s="27"/>
      <c r="DC663" s="27"/>
      <c r="DD663" s="27"/>
      <c r="DE663" s="27"/>
      <c r="DF663" s="27"/>
      <c r="DG663" s="27"/>
      <c r="DH663" s="27"/>
      <c r="DI663" s="27"/>
      <c r="DJ663" s="27"/>
      <c r="DK663" s="27"/>
      <c r="DL663" s="27"/>
      <c r="DM663" s="27"/>
      <c r="DN663" s="27"/>
      <c r="DO663" s="27"/>
      <c r="DP663" s="27"/>
      <c r="DQ663" s="27"/>
      <c r="DR663" s="27"/>
      <c r="DS663" s="27"/>
      <c r="DT663" s="27"/>
    </row>
    <row r="664" spans="7:124" x14ac:dyDescent="0.2">
      <c r="G664" s="27"/>
      <c r="H664" s="27"/>
      <c r="I664" s="27"/>
      <c r="J664" s="27"/>
      <c r="K664" s="27"/>
      <c r="L664" s="27"/>
      <c r="M664" s="27"/>
      <c r="N664" s="27"/>
      <c r="O664" s="27"/>
      <c r="P664" s="27"/>
      <c r="Q664" s="27"/>
      <c r="R664" s="27"/>
      <c r="S664" s="27"/>
      <c r="T664" s="27"/>
      <c r="U664" s="27"/>
      <c r="V664" s="27"/>
      <c r="W664" s="27"/>
      <c r="X664" s="27"/>
      <c r="Y664" s="27"/>
      <c r="Z664" s="27"/>
      <c r="AA664" s="27"/>
      <c r="AB664" s="27"/>
      <c r="AC664" s="27"/>
      <c r="AD664" s="27"/>
      <c r="AE664" s="27"/>
      <c r="AF664" s="27"/>
      <c r="AG664" s="27"/>
      <c r="AH664" s="27"/>
      <c r="AI664" s="27"/>
      <c r="AJ664" s="27"/>
      <c r="AK664" s="27"/>
      <c r="AL664" s="27"/>
      <c r="AM664" s="27"/>
      <c r="AN664" s="27"/>
      <c r="AO664" s="27"/>
      <c r="AP664" s="27"/>
      <c r="AQ664" s="27"/>
      <c r="AR664" s="27"/>
      <c r="AS664" s="27"/>
      <c r="AT664" s="27"/>
      <c r="AU664" s="27"/>
      <c r="AV664" s="27"/>
      <c r="AW664" s="27"/>
      <c r="AX664" s="27"/>
      <c r="AY664" s="27"/>
      <c r="AZ664" s="27"/>
      <c r="BA664" s="27"/>
      <c r="BB664" s="27"/>
      <c r="BC664" s="27"/>
      <c r="BD664" s="27"/>
      <c r="BE664" s="27"/>
      <c r="BF664" s="27"/>
      <c r="BG664" s="27"/>
      <c r="BH664" s="27"/>
      <c r="BI664" s="27"/>
      <c r="BJ664" s="27"/>
      <c r="BK664" s="27"/>
      <c r="BL664" s="27"/>
      <c r="BM664" s="27"/>
      <c r="BN664" s="27"/>
      <c r="BO664" s="27"/>
      <c r="BP664" s="27"/>
      <c r="BQ664" s="27"/>
      <c r="BR664" s="27"/>
      <c r="BS664" s="27"/>
      <c r="BT664" s="27"/>
      <c r="BU664" s="27"/>
      <c r="BV664" s="27"/>
      <c r="BW664" s="27"/>
      <c r="BX664" s="27"/>
      <c r="BY664" s="27"/>
      <c r="BZ664" s="27"/>
      <c r="CA664" s="27"/>
      <c r="CB664" s="27"/>
      <c r="CC664" s="27"/>
      <c r="CD664" s="27"/>
      <c r="CE664" s="27"/>
      <c r="CF664" s="27"/>
      <c r="CG664" s="27"/>
      <c r="CH664" s="27"/>
      <c r="CI664" s="27"/>
      <c r="CJ664" s="27"/>
      <c r="CK664" s="27"/>
      <c r="CL664" s="27"/>
      <c r="CM664" s="27"/>
      <c r="CN664" s="27"/>
      <c r="CO664" s="27"/>
      <c r="CP664" s="27"/>
      <c r="CQ664" s="27"/>
      <c r="CR664" s="27"/>
      <c r="CS664" s="27"/>
      <c r="CT664" s="27"/>
      <c r="CU664" s="27"/>
      <c r="CV664" s="27"/>
      <c r="CW664" s="27"/>
      <c r="CX664" s="27"/>
      <c r="CY664" s="27"/>
      <c r="CZ664" s="27"/>
      <c r="DA664" s="27"/>
      <c r="DB664" s="27"/>
      <c r="DC664" s="27"/>
      <c r="DD664" s="27"/>
      <c r="DE664" s="27"/>
      <c r="DF664" s="27"/>
      <c r="DG664" s="27"/>
      <c r="DH664" s="27"/>
      <c r="DI664" s="27"/>
      <c r="DJ664" s="27"/>
      <c r="DK664" s="27"/>
      <c r="DL664" s="27"/>
      <c r="DM664" s="27"/>
      <c r="DN664" s="27"/>
      <c r="DO664" s="27"/>
      <c r="DP664" s="27"/>
      <c r="DQ664" s="27"/>
      <c r="DR664" s="27"/>
      <c r="DS664" s="27"/>
      <c r="DT664" s="27"/>
    </row>
    <row r="665" spans="7:124" x14ac:dyDescent="0.2">
      <c r="G665" s="27"/>
      <c r="H665" s="27"/>
      <c r="I665" s="27"/>
      <c r="J665" s="27"/>
      <c r="K665" s="27"/>
      <c r="L665" s="27"/>
      <c r="M665" s="27"/>
      <c r="N665" s="27"/>
      <c r="O665" s="27"/>
      <c r="P665" s="27"/>
      <c r="Q665" s="27"/>
      <c r="R665" s="27"/>
      <c r="S665" s="27"/>
      <c r="T665" s="27"/>
      <c r="U665" s="27"/>
      <c r="V665" s="27"/>
      <c r="W665" s="27"/>
      <c r="X665" s="27"/>
      <c r="Y665" s="27"/>
      <c r="Z665" s="27"/>
      <c r="AA665" s="27"/>
      <c r="AB665" s="27"/>
      <c r="AC665" s="27"/>
      <c r="AD665" s="27"/>
      <c r="AE665" s="27"/>
      <c r="AF665" s="27"/>
      <c r="AG665" s="27"/>
      <c r="AH665" s="27"/>
      <c r="AI665" s="27"/>
      <c r="AJ665" s="27"/>
      <c r="AK665" s="27"/>
      <c r="AL665" s="27"/>
      <c r="AM665" s="27"/>
      <c r="AN665" s="27"/>
      <c r="AO665" s="27"/>
      <c r="AP665" s="27"/>
      <c r="AQ665" s="27"/>
      <c r="AR665" s="27"/>
      <c r="AS665" s="27"/>
      <c r="AT665" s="27"/>
      <c r="AU665" s="27"/>
      <c r="AV665" s="27"/>
      <c r="AW665" s="27"/>
      <c r="AX665" s="27"/>
      <c r="AY665" s="27"/>
      <c r="AZ665" s="27"/>
      <c r="BA665" s="27"/>
      <c r="BB665" s="27"/>
      <c r="BC665" s="27"/>
      <c r="BD665" s="27"/>
      <c r="BE665" s="27"/>
      <c r="BF665" s="27"/>
      <c r="BG665" s="27"/>
      <c r="BH665" s="27"/>
      <c r="BI665" s="27"/>
      <c r="BJ665" s="27"/>
      <c r="BK665" s="27"/>
      <c r="BL665" s="27"/>
      <c r="BM665" s="27"/>
      <c r="BN665" s="27"/>
      <c r="BO665" s="27"/>
      <c r="BP665" s="27"/>
      <c r="BQ665" s="27"/>
      <c r="BR665" s="27"/>
      <c r="BS665" s="27"/>
      <c r="BT665" s="27"/>
      <c r="BU665" s="27"/>
      <c r="BV665" s="27"/>
      <c r="BW665" s="27"/>
      <c r="BX665" s="27"/>
      <c r="BY665" s="27"/>
      <c r="BZ665" s="27"/>
      <c r="CA665" s="27"/>
      <c r="CB665" s="27"/>
      <c r="CC665" s="27"/>
      <c r="CD665" s="27"/>
      <c r="CE665" s="27"/>
      <c r="CF665" s="27"/>
      <c r="CG665" s="27"/>
      <c r="CH665" s="27"/>
      <c r="CI665" s="27"/>
      <c r="CJ665" s="27"/>
      <c r="CK665" s="27"/>
      <c r="CL665" s="27"/>
      <c r="CM665" s="27"/>
      <c r="CN665" s="27"/>
      <c r="CO665" s="27"/>
      <c r="CP665" s="27"/>
      <c r="CQ665" s="27"/>
      <c r="CR665" s="27"/>
      <c r="CS665" s="27"/>
      <c r="CT665" s="27"/>
      <c r="CU665" s="27"/>
      <c r="CV665" s="27"/>
      <c r="CW665" s="27"/>
      <c r="CX665" s="27"/>
      <c r="CY665" s="27"/>
      <c r="CZ665" s="27"/>
      <c r="DA665" s="27"/>
      <c r="DB665" s="27"/>
      <c r="DC665" s="27"/>
      <c r="DD665" s="27"/>
      <c r="DE665" s="27"/>
      <c r="DF665" s="27"/>
      <c r="DG665" s="27"/>
      <c r="DH665" s="27"/>
      <c r="DI665" s="27"/>
      <c r="DJ665" s="27"/>
      <c r="DK665" s="27"/>
      <c r="DL665" s="27"/>
      <c r="DM665" s="27"/>
      <c r="DN665" s="27"/>
      <c r="DO665" s="27"/>
      <c r="DP665" s="27"/>
      <c r="DQ665" s="27"/>
      <c r="DR665" s="27"/>
      <c r="DS665" s="27"/>
      <c r="DT665" s="27"/>
    </row>
    <row r="666" spans="7:124" x14ac:dyDescent="0.2">
      <c r="G666" s="27"/>
      <c r="H666" s="27"/>
      <c r="I666" s="27"/>
      <c r="J666" s="27"/>
      <c r="K666" s="27"/>
      <c r="L666" s="27"/>
      <c r="M666" s="27"/>
      <c r="N666" s="27"/>
      <c r="O666" s="27"/>
      <c r="P666" s="27"/>
      <c r="Q666" s="27"/>
      <c r="R666" s="27"/>
      <c r="S666" s="27"/>
      <c r="T666" s="27"/>
      <c r="U666" s="27"/>
      <c r="V666" s="27"/>
      <c r="W666" s="27"/>
      <c r="X666" s="27"/>
      <c r="Y666" s="27"/>
      <c r="Z666" s="27"/>
      <c r="AA666" s="27"/>
      <c r="AB666" s="27"/>
      <c r="AC666" s="27"/>
      <c r="AD666" s="27"/>
      <c r="AE666" s="27"/>
      <c r="AF666" s="27"/>
      <c r="AG666" s="27"/>
      <c r="AH666" s="27"/>
      <c r="AI666" s="27"/>
      <c r="AJ666" s="27"/>
      <c r="AK666" s="27"/>
      <c r="AL666" s="27"/>
      <c r="AM666" s="27"/>
      <c r="AN666" s="27"/>
      <c r="AO666" s="27"/>
      <c r="AP666" s="27"/>
      <c r="AQ666" s="27"/>
      <c r="AR666" s="27"/>
      <c r="AS666" s="27"/>
      <c r="AT666" s="27"/>
      <c r="AU666" s="27"/>
      <c r="AV666" s="27"/>
      <c r="AW666" s="27"/>
      <c r="AX666" s="27"/>
      <c r="AY666" s="27"/>
      <c r="AZ666" s="27"/>
      <c r="BA666" s="27"/>
      <c r="BB666" s="27"/>
      <c r="BC666" s="27"/>
      <c r="BD666" s="27"/>
      <c r="BE666" s="27"/>
      <c r="BF666" s="27"/>
      <c r="BG666" s="27"/>
      <c r="BH666" s="27"/>
      <c r="BI666" s="27"/>
      <c r="BJ666" s="27"/>
      <c r="BK666" s="27"/>
      <c r="BL666" s="27"/>
      <c r="BM666" s="27"/>
      <c r="BN666" s="27"/>
      <c r="BO666" s="27"/>
      <c r="BP666" s="27"/>
      <c r="BQ666" s="27"/>
      <c r="BR666" s="27"/>
      <c r="BS666" s="27"/>
      <c r="BT666" s="27"/>
      <c r="BU666" s="27"/>
      <c r="BV666" s="27"/>
      <c r="BW666" s="27"/>
      <c r="BX666" s="27"/>
      <c r="BY666" s="27"/>
      <c r="BZ666" s="27"/>
      <c r="CA666" s="27"/>
      <c r="CB666" s="27"/>
      <c r="CC666" s="27"/>
      <c r="CD666" s="27"/>
      <c r="CE666" s="27"/>
      <c r="CF666" s="27"/>
      <c r="CG666" s="27"/>
      <c r="CH666" s="27"/>
      <c r="CI666" s="27"/>
      <c r="CJ666" s="27"/>
      <c r="CK666" s="27"/>
      <c r="CL666" s="27"/>
      <c r="CM666" s="27"/>
      <c r="CN666" s="27"/>
      <c r="CO666" s="27"/>
      <c r="CP666" s="27"/>
      <c r="CQ666" s="27"/>
      <c r="CR666" s="27"/>
      <c r="CS666" s="27"/>
      <c r="CT666" s="27"/>
      <c r="CU666" s="27"/>
      <c r="CV666" s="27"/>
      <c r="CW666" s="27"/>
      <c r="CX666" s="27"/>
      <c r="CY666" s="27"/>
      <c r="CZ666" s="27"/>
      <c r="DA666" s="27"/>
      <c r="DB666" s="27"/>
      <c r="DC666" s="27"/>
      <c r="DD666" s="27"/>
      <c r="DE666" s="27"/>
      <c r="DF666" s="27"/>
      <c r="DG666" s="27"/>
      <c r="DH666" s="27"/>
      <c r="DI666" s="27"/>
      <c r="DJ666" s="27"/>
      <c r="DK666" s="27"/>
      <c r="DL666" s="27"/>
      <c r="DM666" s="27"/>
      <c r="DN666" s="27"/>
      <c r="DO666" s="27"/>
      <c r="DP666" s="27"/>
      <c r="DQ666" s="27"/>
      <c r="DR666" s="27"/>
      <c r="DS666" s="27"/>
      <c r="DT666" s="27"/>
    </row>
    <row r="667" spans="7:124" x14ac:dyDescent="0.2">
      <c r="G667" s="27"/>
      <c r="H667" s="27"/>
      <c r="I667" s="27"/>
      <c r="J667" s="27"/>
      <c r="K667" s="27"/>
      <c r="L667" s="27"/>
      <c r="M667" s="27"/>
      <c r="N667" s="27"/>
      <c r="O667" s="27"/>
      <c r="P667" s="27"/>
      <c r="Q667" s="27"/>
      <c r="R667" s="27"/>
      <c r="S667" s="27"/>
      <c r="T667" s="27"/>
      <c r="U667" s="27"/>
      <c r="V667" s="27"/>
      <c r="W667" s="27"/>
      <c r="X667" s="27"/>
      <c r="Y667" s="27"/>
      <c r="Z667" s="27"/>
      <c r="AA667" s="27"/>
      <c r="AB667" s="27"/>
      <c r="AC667" s="27"/>
      <c r="AD667" s="27"/>
      <c r="AE667" s="27"/>
      <c r="AF667" s="27"/>
      <c r="AG667" s="27"/>
      <c r="AH667" s="27"/>
      <c r="AI667" s="27"/>
      <c r="AJ667" s="27"/>
      <c r="AK667" s="27"/>
      <c r="AL667" s="27"/>
      <c r="AM667" s="27"/>
      <c r="AN667" s="27"/>
      <c r="AO667" s="27"/>
      <c r="AP667" s="27"/>
      <c r="AQ667" s="27"/>
      <c r="AR667" s="27"/>
      <c r="AS667" s="27"/>
      <c r="AT667" s="27"/>
      <c r="AU667" s="27"/>
      <c r="AV667" s="27"/>
      <c r="AW667" s="27"/>
      <c r="AX667" s="27"/>
      <c r="AY667" s="27"/>
      <c r="AZ667" s="27"/>
      <c r="BA667" s="27"/>
      <c r="BB667" s="27"/>
      <c r="BC667" s="27"/>
      <c r="BD667" s="27"/>
      <c r="BE667" s="27"/>
      <c r="BF667" s="27"/>
      <c r="BG667" s="27"/>
      <c r="BH667" s="27"/>
      <c r="BI667" s="27"/>
      <c r="BJ667" s="27"/>
      <c r="BK667" s="27"/>
      <c r="BL667" s="27"/>
      <c r="BM667" s="27"/>
      <c r="BN667" s="27"/>
      <c r="BO667" s="27"/>
      <c r="BP667" s="27"/>
      <c r="BQ667" s="27"/>
      <c r="BR667" s="27"/>
      <c r="BS667" s="27"/>
      <c r="BT667" s="27"/>
      <c r="BU667" s="27"/>
      <c r="BV667" s="27"/>
      <c r="BW667" s="27"/>
      <c r="BX667" s="27"/>
      <c r="BY667" s="27"/>
      <c r="BZ667" s="27"/>
      <c r="CA667" s="27"/>
      <c r="CB667" s="27"/>
      <c r="CC667" s="27"/>
      <c r="CD667" s="27"/>
      <c r="CE667" s="27"/>
      <c r="CF667" s="27"/>
      <c r="CG667" s="27"/>
      <c r="CH667" s="27"/>
      <c r="CI667" s="27"/>
      <c r="CJ667" s="27"/>
      <c r="CK667" s="27"/>
      <c r="CL667" s="27"/>
      <c r="CM667" s="27"/>
      <c r="CN667" s="27"/>
      <c r="CO667" s="27"/>
      <c r="CP667" s="27"/>
      <c r="CQ667" s="27"/>
      <c r="CR667" s="27"/>
      <c r="CS667" s="27"/>
      <c r="CT667" s="27"/>
      <c r="CU667" s="27"/>
      <c r="CV667" s="27"/>
      <c r="CW667" s="27"/>
      <c r="CX667" s="27"/>
      <c r="CY667" s="27"/>
      <c r="CZ667" s="27"/>
      <c r="DA667" s="27"/>
      <c r="DB667" s="27"/>
      <c r="DC667" s="27"/>
      <c r="DD667" s="27"/>
      <c r="DE667" s="27"/>
      <c r="DF667" s="27"/>
      <c r="DG667" s="27"/>
      <c r="DH667" s="27"/>
      <c r="DI667" s="27"/>
      <c r="DJ667" s="27"/>
      <c r="DK667" s="27"/>
      <c r="DL667" s="27"/>
      <c r="DM667" s="27"/>
      <c r="DN667" s="27"/>
      <c r="DO667" s="27"/>
      <c r="DP667" s="27"/>
      <c r="DQ667" s="27"/>
      <c r="DR667" s="27"/>
      <c r="DS667" s="27"/>
      <c r="DT667" s="27"/>
    </row>
    <row r="668" spans="7:124" x14ac:dyDescent="0.2">
      <c r="G668" s="27"/>
      <c r="H668" s="27"/>
      <c r="I668" s="27"/>
      <c r="J668" s="27"/>
      <c r="K668" s="27"/>
      <c r="L668" s="27"/>
      <c r="M668" s="27"/>
      <c r="N668" s="27"/>
      <c r="O668" s="27"/>
      <c r="P668" s="27"/>
      <c r="Q668" s="27"/>
      <c r="R668" s="27"/>
      <c r="S668" s="27"/>
      <c r="T668" s="27"/>
      <c r="U668" s="27"/>
      <c r="V668" s="27"/>
      <c r="W668" s="27"/>
      <c r="X668" s="27"/>
      <c r="Y668" s="27"/>
      <c r="Z668" s="27"/>
      <c r="AA668" s="27"/>
      <c r="AB668" s="27"/>
      <c r="AC668" s="27"/>
      <c r="AD668" s="27"/>
      <c r="AE668" s="27"/>
      <c r="AF668" s="27"/>
      <c r="AG668" s="27"/>
      <c r="AH668" s="27"/>
      <c r="AI668" s="27"/>
      <c r="AJ668" s="27"/>
      <c r="AK668" s="27"/>
      <c r="AL668" s="27"/>
      <c r="AM668" s="27"/>
      <c r="AN668" s="27"/>
      <c r="AO668" s="27"/>
      <c r="AP668" s="27"/>
      <c r="AQ668" s="27"/>
      <c r="AR668" s="27"/>
      <c r="AS668" s="27"/>
      <c r="AT668" s="27"/>
      <c r="AU668" s="27"/>
      <c r="AV668" s="27"/>
      <c r="AW668" s="27"/>
      <c r="AX668" s="27"/>
      <c r="AY668" s="27"/>
      <c r="AZ668" s="27"/>
      <c r="BA668" s="27"/>
      <c r="BB668" s="27"/>
      <c r="BC668" s="27"/>
      <c r="BD668" s="27"/>
      <c r="BE668" s="27"/>
      <c r="BF668" s="27"/>
      <c r="BG668" s="27"/>
      <c r="BH668" s="27"/>
      <c r="BI668" s="27"/>
      <c r="BJ668" s="27"/>
      <c r="BK668" s="27"/>
      <c r="BL668" s="27"/>
      <c r="BM668" s="27"/>
      <c r="BN668" s="27"/>
      <c r="BO668" s="27"/>
      <c r="BP668" s="27"/>
      <c r="BQ668" s="27"/>
      <c r="BR668" s="27"/>
      <c r="BS668" s="27"/>
      <c r="BT668" s="27"/>
      <c r="BU668" s="27"/>
      <c r="BV668" s="27"/>
      <c r="BW668" s="27"/>
      <c r="BX668" s="27"/>
      <c r="BY668" s="27"/>
      <c r="BZ668" s="27"/>
      <c r="CA668" s="27"/>
      <c r="CB668" s="27"/>
      <c r="CC668" s="27"/>
      <c r="CD668" s="27"/>
      <c r="CE668" s="27"/>
      <c r="CF668" s="27"/>
      <c r="CG668" s="27"/>
      <c r="CH668" s="27"/>
      <c r="CI668" s="27"/>
      <c r="CJ668" s="27"/>
      <c r="CK668" s="27"/>
      <c r="CL668" s="27"/>
      <c r="CM668" s="27"/>
      <c r="CN668" s="27"/>
      <c r="CO668" s="27"/>
      <c r="CP668" s="27"/>
      <c r="CQ668" s="27"/>
      <c r="CR668" s="27"/>
      <c r="CS668" s="27"/>
      <c r="CT668" s="27"/>
      <c r="CU668" s="27"/>
      <c r="CV668" s="27"/>
      <c r="CW668" s="27"/>
      <c r="CX668" s="27"/>
      <c r="CY668" s="27"/>
      <c r="CZ668" s="27"/>
      <c r="DA668" s="27"/>
      <c r="DB668" s="27"/>
      <c r="DC668" s="27"/>
      <c r="DD668" s="27"/>
      <c r="DE668" s="27"/>
      <c r="DF668" s="27"/>
      <c r="DG668" s="27"/>
      <c r="DH668" s="27"/>
      <c r="DI668" s="27"/>
      <c r="DJ668" s="27"/>
      <c r="DK668" s="27"/>
      <c r="DL668" s="27"/>
      <c r="DM668" s="27"/>
      <c r="DN668" s="27"/>
      <c r="DO668" s="27"/>
      <c r="DP668" s="27"/>
      <c r="DQ668" s="27"/>
      <c r="DR668" s="27"/>
      <c r="DS668" s="27"/>
      <c r="DT668" s="27"/>
    </row>
    <row r="669" spans="7:124" x14ac:dyDescent="0.2">
      <c r="G669" s="27"/>
      <c r="H669" s="27"/>
      <c r="I669" s="27"/>
      <c r="J669" s="27"/>
      <c r="K669" s="27"/>
      <c r="L669" s="27"/>
      <c r="M669" s="27"/>
      <c r="N669" s="27"/>
      <c r="O669" s="27"/>
      <c r="P669" s="27"/>
      <c r="Q669" s="27"/>
      <c r="R669" s="27"/>
      <c r="S669" s="27"/>
      <c r="T669" s="27"/>
      <c r="U669" s="27"/>
      <c r="V669" s="27"/>
      <c r="W669" s="27"/>
      <c r="X669" s="27"/>
      <c r="Y669" s="27"/>
      <c r="Z669" s="27"/>
      <c r="AA669" s="27"/>
      <c r="AB669" s="27"/>
      <c r="AC669" s="27"/>
      <c r="AD669" s="27"/>
      <c r="AE669" s="27"/>
      <c r="AF669" s="27"/>
      <c r="AG669" s="27"/>
      <c r="AH669" s="27"/>
      <c r="AI669" s="27"/>
      <c r="AJ669" s="27"/>
      <c r="AK669" s="27"/>
      <c r="AL669" s="27"/>
      <c r="AM669" s="27"/>
      <c r="AN669" s="27"/>
      <c r="AO669" s="27"/>
      <c r="AP669" s="27"/>
      <c r="AQ669" s="27"/>
      <c r="AR669" s="27"/>
      <c r="AS669" s="27"/>
      <c r="AT669" s="27"/>
      <c r="AU669" s="27"/>
      <c r="AV669" s="27"/>
      <c r="AW669" s="27"/>
      <c r="AX669" s="27"/>
      <c r="AY669" s="27"/>
      <c r="AZ669" s="27"/>
      <c r="BA669" s="27"/>
      <c r="BB669" s="27"/>
      <c r="BC669" s="27"/>
      <c r="BD669" s="27"/>
      <c r="BE669" s="27"/>
      <c r="BF669" s="27"/>
      <c r="BG669" s="27"/>
      <c r="BH669" s="27"/>
      <c r="BI669" s="27"/>
      <c r="BJ669" s="27"/>
      <c r="BK669" s="27"/>
      <c r="BL669" s="27"/>
      <c r="BM669" s="27"/>
      <c r="BN669" s="27"/>
      <c r="BO669" s="27"/>
      <c r="BP669" s="27"/>
      <c r="BQ669" s="27"/>
      <c r="BR669" s="27"/>
      <c r="BS669" s="27"/>
      <c r="BT669" s="27"/>
      <c r="BU669" s="27"/>
      <c r="BV669" s="27"/>
      <c r="BW669" s="27"/>
      <c r="BX669" s="27"/>
      <c r="BY669" s="27"/>
      <c r="BZ669" s="27"/>
      <c r="CA669" s="27"/>
      <c r="CB669" s="27"/>
      <c r="CC669" s="27"/>
      <c r="CD669" s="27"/>
      <c r="CE669" s="27"/>
      <c r="CF669" s="27"/>
      <c r="CG669" s="27"/>
      <c r="CH669" s="27"/>
      <c r="CI669" s="27"/>
      <c r="CJ669" s="27"/>
      <c r="CK669" s="27"/>
      <c r="CL669" s="27"/>
      <c r="CM669" s="27"/>
      <c r="CN669" s="27"/>
      <c r="CO669" s="27"/>
      <c r="CP669" s="27"/>
      <c r="CQ669" s="27"/>
      <c r="CR669" s="27"/>
      <c r="CS669" s="27"/>
      <c r="CT669" s="27"/>
      <c r="CU669" s="27"/>
      <c r="CV669" s="27"/>
      <c r="CW669" s="27"/>
      <c r="CX669" s="27"/>
      <c r="CY669" s="27"/>
      <c r="CZ669" s="27"/>
      <c r="DA669" s="27"/>
      <c r="DB669" s="27"/>
      <c r="DC669" s="27"/>
      <c r="DD669" s="27"/>
      <c r="DE669" s="27"/>
      <c r="DF669" s="27"/>
      <c r="DG669" s="27"/>
      <c r="DH669" s="27"/>
      <c r="DI669" s="27"/>
      <c r="DJ669" s="27"/>
      <c r="DK669" s="27"/>
      <c r="DL669" s="27"/>
      <c r="DM669" s="27"/>
      <c r="DN669" s="27"/>
      <c r="DO669" s="27"/>
      <c r="DP669" s="27"/>
      <c r="DQ669" s="27"/>
      <c r="DR669" s="27"/>
      <c r="DS669" s="27"/>
      <c r="DT669" s="27"/>
    </row>
    <row r="670" spans="7:124" x14ac:dyDescent="0.2">
      <c r="G670" s="27"/>
      <c r="H670" s="27"/>
      <c r="I670" s="27"/>
      <c r="J670" s="27"/>
      <c r="K670" s="27"/>
      <c r="L670" s="27"/>
      <c r="M670" s="27"/>
      <c r="N670" s="27"/>
      <c r="O670" s="27"/>
      <c r="P670" s="27"/>
      <c r="Q670" s="27"/>
      <c r="R670" s="27"/>
      <c r="S670" s="27"/>
      <c r="T670" s="27"/>
      <c r="U670" s="27"/>
      <c r="V670" s="27"/>
      <c r="W670" s="27"/>
      <c r="X670" s="27"/>
      <c r="Y670" s="27"/>
      <c r="Z670" s="27"/>
      <c r="AA670" s="27"/>
      <c r="AB670" s="27"/>
      <c r="AC670" s="27"/>
      <c r="AD670" s="27"/>
      <c r="AE670" s="27"/>
      <c r="AF670" s="27"/>
      <c r="AG670" s="27"/>
      <c r="AH670" s="27"/>
      <c r="AI670" s="27"/>
      <c r="AJ670" s="27"/>
      <c r="AK670" s="27"/>
      <c r="AL670" s="27"/>
      <c r="AM670" s="27"/>
      <c r="AN670" s="27"/>
      <c r="AO670" s="27"/>
      <c r="AP670" s="27"/>
      <c r="AQ670" s="27"/>
      <c r="AR670" s="27"/>
      <c r="AS670" s="27"/>
      <c r="AT670" s="27"/>
      <c r="AU670" s="27"/>
      <c r="AV670" s="27"/>
      <c r="AW670" s="27"/>
      <c r="AX670" s="27"/>
      <c r="AY670" s="27"/>
      <c r="AZ670" s="27"/>
      <c r="BA670" s="27"/>
      <c r="BB670" s="27"/>
      <c r="BC670" s="27"/>
      <c r="BD670" s="27"/>
      <c r="BE670" s="27"/>
      <c r="BF670" s="27"/>
      <c r="BG670" s="27"/>
      <c r="BH670" s="27"/>
      <c r="BI670" s="27"/>
      <c r="BJ670" s="27"/>
      <c r="BK670" s="27"/>
      <c r="BL670" s="27"/>
      <c r="BM670" s="27"/>
      <c r="BN670" s="27"/>
      <c r="BO670" s="27"/>
      <c r="BP670" s="27"/>
      <c r="BQ670" s="27"/>
      <c r="BR670" s="27"/>
      <c r="BS670" s="27"/>
      <c r="BT670" s="27"/>
      <c r="BU670" s="27"/>
      <c r="BV670" s="27"/>
      <c r="BW670" s="27"/>
      <c r="BX670" s="27"/>
      <c r="BY670" s="27"/>
      <c r="BZ670" s="27"/>
      <c r="CA670" s="27"/>
      <c r="CB670" s="27"/>
      <c r="CC670" s="27"/>
      <c r="CD670" s="27"/>
      <c r="CE670" s="27"/>
      <c r="CF670" s="27"/>
      <c r="CG670" s="27"/>
      <c r="CH670" s="27"/>
      <c r="CI670" s="27"/>
      <c r="CJ670" s="27"/>
      <c r="CK670" s="27"/>
      <c r="CL670" s="27"/>
      <c r="CM670" s="27"/>
      <c r="CN670" s="27"/>
      <c r="CO670" s="27"/>
      <c r="CP670" s="27"/>
      <c r="CQ670" s="27"/>
      <c r="CR670" s="27"/>
      <c r="CS670" s="27"/>
      <c r="CT670" s="27"/>
      <c r="CU670" s="27"/>
      <c r="CV670" s="27"/>
      <c r="CW670" s="27"/>
      <c r="CX670" s="27"/>
      <c r="CY670" s="27"/>
      <c r="CZ670" s="27"/>
      <c r="DA670" s="27"/>
      <c r="DB670" s="27"/>
      <c r="DC670" s="27"/>
      <c r="DD670" s="27"/>
      <c r="DE670" s="27"/>
      <c r="DF670" s="27"/>
      <c r="DG670" s="27"/>
      <c r="DH670" s="27"/>
      <c r="DI670" s="27"/>
      <c r="DJ670" s="27"/>
      <c r="DK670" s="27"/>
      <c r="DL670" s="27"/>
      <c r="DM670" s="27"/>
      <c r="DN670" s="27"/>
      <c r="DO670" s="27"/>
      <c r="DP670" s="27"/>
      <c r="DQ670" s="27"/>
      <c r="DR670" s="27"/>
      <c r="DS670" s="27"/>
      <c r="DT670" s="27"/>
    </row>
    <row r="671" spans="7:124" x14ac:dyDescent="0.2">
      <c r="G671" s="27"/>
      <c r="H671" s="27"/>
      <c r="I671" s="27"/>
      <c r="J671" s="27"/>
      <c r="K671" s="27"/>
      <c r="L671" s="27"/>
      <c r="M671" s="27"/>
      <c r="N671" s="27"/>
      <c r="O671" s="27"/>
      <c r="P671" s="27"/>
      <c r="Q671" s="27"/>
      <c r="R671" s="27"/>
      <c r="S671" s="27"/>
      <c r="T671" s="27"/>
      <c r="U671" s="27"/>
      <c r="V671" s="27"/>
      <c r="W671" s="27"/>
      <c r="X671" s="27"/>
      <c r="Y671" s="27"/>
      <c r="Z671" s="27"/>
      <c r="AA671" s="27"/>
      <c r="AB671" s="27"/>
      <c r="AC671" s="27"/>
      <c r="AD671" s="27"/>
      <c r="AE671" s="27"/>
      <c r="AF671" s="27"/>
      <c r="AG671" s="27"/>
      <c r="AH671" s="27"/>
      <c r="AI671" s="27"/>
      <c r="AJ671" s="27"/>
      <c r="AK671" s="27"/>
      <c r="AL671" s="27"/>
      <c r="AM671" s="27"/>
      <c r="AN671" s="27"/>
      <c r="AO671" s="27"/>
      <c r="AP671" s="27"/>
      <c r="AQ671" s="27"/>
      <c r="AR671" s="27"/>
      <c r="AS671" s="27"/>
      <c r="AT671" s="27"/>
      <c r="AU671" s="27"/>
      <c r="AV671" s="27"/>
      <c r="AW671" s="27"/>
      <c r="AX671" s="27"/>
      <c r="AY671" s="27"/>
      <c r="AZ671" s="27"/>
      <c r="BA671" s="27"/>
      <c r="BB671" s="27"/>
      <c r="BC671" s="27"/>
      <c r="BD671" s="27"/>
      <c r="BE671" s="27"/>
      <c r="BF671" s="27"/>
      <c r="BG671" s="27"/>
      <c r="BH671" s="27"/>
      <c r="BI671" s="27"/>
      <c r="BJ671" s="27"/>
      <c r="BK671" s="27"/>
      <c r="BL671" s="27"/>
      <c r="BM671" s="27"/>
      <c r="BN671" s="27"/>
      <c r="BO671" s="27"/>
      <c r="BP671" s="27"/>
      <c r="BQ671" s="27"/>
      <c r="BR671" s="27"/>
      <c r="BS671" s="27"/>
      <c r="BT671" s="27"/>
      <c r="BU671" s="27"/>
      <c r="BV671" s="27"/>
      <c r="BW671" s="27"/>
      <c r="BX671" s="27"/>
      <c r="BY671" s="27"/>
      <c r="BZ671" s="27"/>
      <c r="CA671" s="27"/>
      <c r="CB671" s="27"/>
      <c r="CC671" s="27"/>
      <c r="CD671" s="27"/>
      <c r="CE671" s="27"/>
      <c r="CF671" s="27"/>
      <c r="CG671" s="27"/>
      <c r="CH671" s="27"/>
      <c r="CI671" s="27"/>
      <c r="CJ671" s="27"/>
      <c r="CK671" s="27"/>
      <c r="CL671" s="27"/>
      <c r="CM671" s="27"/>
      <c r="CN671" s="27"/>
      <c r="CO671" s="27"/>
      <c r="CP671" s="27"/>
      <c r="CQ671" s="27"/>
      <c r="CR671" s="27"/>
      <c r="CS671" s="27"/>
      <c r="CT671" s="27"/>
      <c r="CU671" s="27"/>
      <c r="CV671" s="27"/>
      <c r="CW671" s="27"/>
      <c r="CX671" s="27"/>
      <c r="CY671" s="27"/>
      <c r="CZ671" s="27"/>
      <c r="DA671" s="27"/>
      <c r="DB671" s="27"/>
      <c r="DC671" s="27"/>
      <c r="DD671" s="27"/>
      <c r="DE671" s="27"/>
      <c r="DF671" s="27"/>
      <c r="DG671" s="27"/>
      <c r="DH671" s="27"/>
      <c r="DI671" s="27"/>
      <c r="DJ671" s="27"/>
      <c r="DK671" s="27"/>
      <c r="DL671" s="27"/>
      <c r="DM671" s="27"/>
      <c r="DN671" s="27"/>
      <c r="DO671" s="27"/>
      <c r="DP671" s="27"/>
      <c r="DQ671" s="27"/>
      <c r="DR671" s="27"/>
      <c r="DS671" s="27"/>
      <c r="DT671" s="27"/>
    </row>
    <row r="672" spans="7:124" x14ac:dyDescent="0.2">
      <c r="G672" s="27"/>
      <c r="H672" s="27"/>
      <c r="I672" s="27"/>
      <c r="J672" s="27"/>
      <c r="K672" s="27"/>
      <c r="L672" s="27"/>
      <c r="M672" s="27"/>
      <c r="N672" s="27"/>
      <c r="O672" s="27"/>
      <c r="P672" s="27"/>
      <c r="Q672" s="27"/>
      <c r="R672" s="27"/>
      <c r="S672" s="27"/>
      <c r="T672" s="27"/>
      <c r="U672" s="27"/>
      <c r="V672" s="27"/>
      <c r="W672" s="27"/>
      <c r="X672" s="27"/>
      <c r="Y672" s="27"/>
      <c r="Z672" s="27"/>
      <c r="AA672" s="27"/>
      <c r="AB672" s="27"/>
      <c r="AC672" s="27"/>
      <c r="AD672" s="27"/>
      <c r="AE672" s="27"/>
      <c r="AF672" s="27"/>
      <c r="AG672" s="27"/>
      <c r="AH672" s="27"/>
      <c r="AI672" s="27"/>
      <c r="AJ672" s="27"/>
      <c r="AK672" s="27"/>
      <c r="AL672" s="27"/>
      <c r="AM672" s="27"/>
      <c r="AN672" s="27"/>
      <c r="AO672" s="27"/>
      <c r="AP672" s="27"/>
      <c r="AQ672" s="27"/>
      <c r="AR672" s="27"/>
      <c r="AS672" s="27"/>
      <c r="AT672" s="27"/>
      <c r="AU672" s="27"/>
      <c r="AV672" s="27"/>
      <c r="AW672" s="27"/>
      <c r="AX672" s="27"/>
      <c r="AY672" s="27"/>
      <c r="AZ672" s="27"/>
      <c r="BA672" s="27"/>
      <c r="BB672" s="27"/>
      <c r="BC672" s="27"/>
      <c r="BD672" s="27"/>
      <c r="BE672" s="27"/>
      <c r="BF672" s="27"/>
      <c r="BG672" s="27"/>
      <c r="BH672" s="27"/>
      <c r="BI672" s="27"/>
      <c r="BJ672" s="27"/>
      <c r="BK672" s="27"/>
      <c r="BL672" s="27"/>
      <c r="BM672" s="27"/>
      <c r="BN672" s="27"/>
      <c r="BO672" s="27"/>
      <c r="BP672" s="27"/>
      <c r="BQ672" s="27"/>
      <c r="BR672" s="27"/>
      <c r="BS672" s="27"/>
      <c r="BT672" s="27"/>
      <c r="BU672" s="27"/>
      <c r="BV672" s="27"/>
      <c r="BW672" s="27"/>
      <c r="BX672" s="27"/>
      <c r="BY672" s="27"/>
      <c r="BZ672" s="27"/>
      <c r="CA672" s="27"/>
      <c r="CB672" s="27"/>
      <c r="CC672" s="27"/>
      <c r="CD672" s="27"/>
      <c r="CE672" s="27"/>
      <c r="CF672" s="27"/>
      <c r="CG672" s="27"/>
      <c r="CH672" s="27"/>
      <c r="CI672" s="27"/>
      <c r="CJ672" s="27"/>
      <c r="CK672" s="27"/>
      <c r="CL672" s="27"/>
      <c r="CM672" s="27"/>
      <c r="CN672" s="27"/>
      <c r="CO672" s="27"/>
      <c r="CP672" s="27"/>
      <c r="CQ672" s="27"/>
      <c r="CR672" s="27"/>
      <c r="CS672" s="27"/>
      <c r="CT672" s="27"/>
      <c r="CU672" s="27"/>
      <c r="CV672" s="27"/>
      <c r="CW672" s="27"/>
      <c r="CX672" s="27"/>
      <c r="CY672" s="27"/>
      <c r="CZ672" s="27"/>
      <c r="DA672" s="27"/>
      <c r="DB672" s="27"/>
      <c r="DC672" s="27"/>
      <c r="DD672" s="27"/>
      <c r="DE672" s="27"/>
      <c r="DF672" s="27"/>
      <c r="DG672" s="27"/>
      <c r="DH672" s="27"/>
      <c r="DI672" s="27"/>
      <c r="DJ672" s="27"/>
      <c r="DK672" s="27"/>
      <c r="DL672" s="27"/>
      <c r="DM672" s="27"/>
      <c r="DN672" s="27"/>
      <c r="DO672" s="27"/>
      <c r="DP672" s="27"/>
      <c r="DQ672" s="27"/>
      <c r="DR672" s="27"/>
      <c r="DS672" s="27"/>
      <c r="DT672" s="27"/>
    </row>
    <row r="673" spans="7:124" x14ac:dyDescent="0.2">
      <c r="G673" s="27"/>
      <c r="H673" s="27"/>
      <c r="I673" s="27"/>
      <c r="J673" s="27"/>
      <c r="K673" s="27"/>
      <c r="L673" s="27"/>
      <c r="M673" s="27"/>
      <c r="N673" s="27"/>
      <c r="O673" s="27"/>
      <c r="P673" s="27"/>
      <c r="Q673" s="27"/>
      <c r="R673" s="27"/>
      <c r="S673" s="27"/>
      <c r="T673" s="27"/>
      <c r="U673" s="27"/>
      <c r="V673" s="27"/>
      <c r="W673" s="27"/>
      <c r="X673" s="27"/>
      <c r="Y673" s="27"/>
      <c r="Z673" s="27"/>
      <c r="AA673" s="27"/>
      <c r="AB673" s="27"/>
      <c r="AC673" s="27"/>
      <c r="AD673" s="27"/>
      <c r="AE673" s="27"/>
      <c r="AF673" s="27"/>
      <c r="AG673" s="27"/>
      <c r="AH673" s="27"/>
      <c r="AI673" s="27"/>
      <c r="AJ673" s="27"/>
      <c r="AK673" s="27"/>
      <c r="AL673" s="27"/>
      <c r="AM673" s="27"/>
      <c r="AN673" s="27"/>
      <c r="AO673" s="27"/>
      <c r="AP673" s="27"/>
      <c r="AQ673" s="27"/>
      <c r="AR673" s="27"/>
      <c r="AS673" s="27"/>
      <c r="AT673" s="27"/>
      <c r="AU673" s="27"/>
      <c r="AV673" s="27"/>
      <c r="AW673" s="27"/>
      <c r="AX673" s="27"/>
      <c r="AY673" s="27"/>
      <c r="AZ673" s="27"/>
      <c r="BA673" s="27"/>
      <c r="BB673" s="27"/>
      <c r="BC673" s="27"/>
      <c r="BD673" s="27"/>
      <c r="BE673" s="27"/>
      <c r="BF673" s="27"/>
      <c r="BG673" s="27"/>
      <c r="BH673" s="27"/>
      <c r="BI673" s="27"/>
      <c r="BJ673" s="27"/>
      <c r="BK673" s="27"/>
      <c r="BL673" s="27"/>
      <c r="BM673" s="27"/>
      <c r="BN673" s="27"/>
      <c r="BO673" s="27"/>
      <c r="BP673" s="27"/>
      <c r="BQ673" s="27"/>
      <c r="BR673" s="27"/>
      <c r="BS673" s="27"/>
      <c r="BT673" s="27"/>
      <c r="BU673" s="27"/>
      <c r="BV673" s="27"/>
      <c r="BW673" s="27"/>
      <c r="BX673" s="27"/>
      <c r="BY673" s="27"/>
      <c r="BZ673" s="27"/>
      <c r="CA673" s="27"/>
      <c r="CB673" s="27"/>
      <c r="CC673" s="27"/>
      <c r="CD673" s="27"/>
      <c r="CE673" s="27"/>
      <c r="CF673" s="27"/>
      <c r="CG673" s="27"/>
      <c r="CH673" s="27"/>
      <c r="CI673" s="27"/>
      <c r="CJ673" s="27"/>
      <c r="CK673" s="27"/>
      <c r="CL673" s="27"/>
      <c r="CM673" s="27"/>
      <c r="CN673" s="27"/>
      <c r="CO673" s="27"/>
      <c r="CP673" s="27"/>
      <c r="CQ673" s="27"/>
      <c r="CR673" s="27"/>
      <c r="CS673" s="27"/>
      <c r="CT673" s="27"/>
      <c r="CU673" s="27"/>
      <c r="CV673" s="27"/>
      <c r="CW673" s="27"/>
      <c r="CX673" s="27"/>
      <c r="CY673" s="27"/>
      <c r="CZ673" s="27"/>
      <c r="DA673" s="27"/>
      <c r="DB673" s="27"/>
      <c r="DC673" s="27"/>
      <c r="DD673" s="27"/>
      <c r="DE673" s="27"/>
      <c r="DF673" s="27"/>
      <c r="DG673" s="27"/>
      <c r="DH673" s="27"/>
      <c r="DI673" s="27"/>
      <c r="DJ673" s="27"/>
      <c r="DK673" s="27"/>
      <c r="DL673" s="27"/>
      <c r="DM673" s="27"/>
      <c r="DN673" s="27"/>
      <c r="DO673" s="27"/>
      <c r="DP673" s="27"/>
      <c r="DQ673" s="27"/>
      <c r="DR673" s="27"/>
      <c r="DS673" s="27"/>
      <c r="DT673" s="27"/>
    </row>
    <row r="674" spans="7:124" x14ac:dyDescent="0.2">
      <c r="G674" s="27"/>
      <c r="H674" s="27"/>
      <c r="I674" s="27"/>
      <c r="J674" s="27"/>
      <c r="K674" s="27"/>
      <c r="L674" s="27"/>
      <c r="M674" s="27"/>
      <c r="N674" s="27"/>
      <c r="O674" s="27"/>
      <c r="P674" s="27"/>
      <c r="Q674" s="27"/>
      <c r="R674" s="27"/>
      <c r="S674" s="27"/>
      <c r="T674" s="27"/>
      <c r="U674" s="27"/>
      <c r="V674" s="27"/>
      <c r="W674" s="27"/>
      <c r="X674" s="27"/>
      <c r="Y674" s="27"/>
      <c r="Z674" s="27"/>
      <c r="AA674" s="27"/>
      <c r="AB674" s="27"/>
      <c r="AC674" s="27"/>
      <c r="AD674" s="27"/>
      <c r="AE674" s="27"/>
      <c r="AF674" s="27"/>
      <c r="AG674" s="27"/>
      <c r="AH674" s="27"/>
      <c r="AI674" s="27"/>
      <c r="AJ674" s="27"/>
      <c r="AK674" s="27"/>
      <c r="AL674" s="27"/>
      <c r="AM674" s="27"/>
      <c r="AN674" s="27"/>
      <c r="AO674" s="27"/>
      <c r="AP674" s="27"/>
      <c r="AQ674" s="27"/>
      <c r="AR674" s="27"/>
      <c r="AS674" s="27"/>
      <c r="AT674" s="27"/>
      <c r="AU674" s="27"/>
      <c r="AV674" s="27"/>
      <c r="AW674" s="27"/>
      <c r="AX674" s="27"/>
      <c r="AY674" s="27"/>
      <c r="AZ674" s="27"/>
      <c r="BA674" s="27"/>
      <c r="BB674" s="27"/>
      <c r="BC674" s="27"/>
      <c r="BD674" s="27"/>
      <c r="BE674" s="27"/>
      <c r="BF674" s="27"/>
      <c r="BG674" s="27"/>
      <c r="BH674" s="27"/>
      <c r="BI674" s="27"/>
      <c r="BJ674" s="27"/>
      <c r="BK674" s="27"/>
      <c r="BL674" s="27"/>
      <c r="BM674" s="27"/>
      <c r="BN674" s="27"/>
      <c r="BO674" s="27"/>
      <c r="BP674" s="27"/>
      <c r="BQ674" s="27"/>
      <c r="BR674" s="27"/>
      <c r="BS674" s="27"/>
      <c r="BT674" s="27"/>
      <c r="BU674" s="27"/>
      <c r="BV674" s="27"/>
      <c r="BW674" s="27"/>
      <c r="BX674" s="27"/>
      <c r="BY674" s="27"/>
      <c r="BZ674" s="27"/>
      <c r="CA674" s="27"/>
      <c r="CB674" s="27"/>
      <c r="CC674" s="27"/>
      <c r="CD674" s="27"/>
      <c r="CE674" s="27"/>
      <c r="CF674" s="27"/>
      <c r="CG674" s="27"/>
      <c r="CH674" s="27"/>
      <c r="CI674" s="27"/>
      <c r="CJ674" s="27"/>
      <c r="CK674" s="27"/>
      <c r="CL674" s="27"/>
      <c r="CM674" s="27"/>
      <c r="CN674" s="27"/>
      <c r="CO674" s="27"/>
      <c r="CP674" s="27"/>
      <c r="CQ674" s="27"/>
      <c r="CR674" s="27"/>
      <c r="CS674" s="27"/>
      <c r="CT674" s="27"/>
      <c r="CU674" s="27"/>
      <c r="CV674" s="27"/>
      <c r="CW674" s="27"/>
      <c r="CX674" s="27"/>
      <c r="CY674" s="27"/>
      <c r="CZ674" s="27"/>
      <c r="DA674" s="27"/>
      <c r="DB674" s="27"/>
      <c r="DC674" s="27"/>
      <c r="DD674" s="27"/>
      <c r="DE674" s="27"/>
      <c r="DF674" s="27"/>
      <c r="DG674" s="27"/>
      <c r="DH674" s="27"/>
      <c r="DI674" s="27"/>
      <c r="DJ674" s="27"/>
      <c r="DK674" s="27"/>
      <c r="DL674" s="27"/>
      <c r="DM674" s="27"/>
      <c r="DN674" s="27"/>
      <c r="DO674" s="27"/>
      <c r="DP674" s="27"/>
      <c r="DQ674" s="27"/>
      <c r="DR674" s="27"/>
      <c r="DS674" s="27"/>
      <c r="DT674" s="27"/>
    </row>
    <row r="675" spans="7:124" x14ac:dyDescent="0.2">
      <c r="G675" s="27"/>
      <c r="H675" s="27"/>
      <c r="I675" s="27"/>
      <c r="J675" s="27"/>
      <c r="K675" s="27"/>
      <c r="L675" s="27"/>
      <c r="M675" s="27"/>
      <c r="N675" s="27"/>
      <c r="O675" s="27"/>
      <c r="P675" s="27"/>
      <c r="Q675" s="27"/>
      <c r="R675" s="27"/>
      <c r="S675" s="27"/>
      <c r="T675" s="27"/>
      <c r="U675" s="27"/>
      <c r="V675" s="27"/>
      <c r="W675" s="27"/>
      <c r="X675" s="27"/>
      <c r="Y675" s="27"/>
      <c r="Z675" s="27"/>
      <c r="AA675" s="27"/>
      <c r="AB675" s="27"/>
      <c r="AC675" s="27"/>
      <c r="AD675" s="27"/>
      <c r="AE675" s="27"/>
      <c r="AF675" s="27"/>
      <c r="AG675" s="27"/>
      <c r="AH675" s="27"/>
      <c r="AI675" s="27"/>
      <c r="AJ675" s="27"/>
      <c r="AK675" s="27"/>
      <c r="AL675" s="27"/>
      <c r="AM675" s="27"/>
      <c r="AN675" s="27"/>
      <c r="AO675" s="27"/>
      <c r="AP675" s="27"/>
      <c r="AQ675" s="27"/>
      <c r="AR675" s="27"/>
      <c r="AS675" s="27"/>
      <c r="AT675" s="27"/>
      <c r="AU675" s="27"/>
      <c r="AV675" s="27"/>
      <c r="AW675" s="27"/>
      <c r="AX675" s="27"/>
      <c r="AY675" s="27"/>
      <c r="AZ675" s="27"/>
      <c r="BA675" s="27"/>
      <c r="BB675" s="27"/>
      <c r="BC675" s="27"/>
      <c r="BD675" s="27"/>
      <c r="BE675" s="27"/>
      <c r="BF675" s="27"/>
      <c r="BG675" s="27"/>
      <c r="BH675" s="27"/>
      <c r="BI675" s="27"/>
      <c r="BJ675" s="27"/>
      <c r="BK675" s="27"/>
      <c r="BL675" s="27"/>
      <c r="BM675" s="27"/>
      <c r="BN675" s="27"/>
      <c r="BO675" s="27"/>
      <c r="BP675" s="27"/>
      <c r="BQ675" s="27"/>
      <c r="BR675" s="27"/>
      <c r="BS675" s="27"/>
      <c r="BT675" s="27"/>
      <c r="BU675" s="27"/>
      <c r="BV675" s="27"/>
      <c r="BW675" s="27"/>
      <c r="BX675" s="27"/>
      <c r="BY675" s="27"/>
      <c r="BZ675" s="27"/>
      <c r="CA675" s="27"/>
      <c r="CB675" s="27"/>
      <c r="CC675" s="27"/>
      <c r="CD675" s="27"/>
      <c r="CE675" s="27"/>
      <c r="CF675" s="27"/>
      <c r="CG675" s="27"/>
      <c r="CH675" s="27"/>
      <c r="CI675" s="27"/>
      <c r="CJ675" s="27"/>
      <c r="CK675" s="27"/>
      <c r="CL675" s="27"/>
      <c r="CM675" s="27"/>
      <c r="CN675" s="27"/>
      <c r="CO675" s="27"/>
      <c r="CP675" s="27"/>
      <c r="CQ675" s="27"/>
      <c r="CR675" s="27"/>
      <c r="CS675" s="27"/>
      <c r="CT675" s="27"/>
      <c r="CU675" s="27"/>
      <c r="CV675" s="27"/>
      <c r="CW675" s="27"/>
      <c r="CX675" s="27"/>
      <c r="CY675" s="27"/>
      <c r="CZ675" s="27"/>
      <c r="DA675" s="27"/>
      <c r="DB675" s="27"/>
      <c r="DC675" s="27"/>
      <c r="DD675" s="27"/>
      <c r="DE675" s="27"/>
      <c r="DF675" s="27"/>
      <c r="DG675" s="27"/>
      <c r="DH675" s="27"/>
      <c r="DI675" s="27"/>
      <c r="DJ675" s="27"/>
      <c r="DK675" s="27"/>
      <c r="DL675" s="27"/>
      <c r="DM675" s="27"/>
      <c r="DN675" s="27"/>
      <c r="DO675" s="27"/>
      <c r="DP675" s="27"/>
      <c r="DQ675" s="27"/>
      <c r="DR675" s="27"/>
      <c r="DS675" s="27"/>
      <c r="DT675" s="27"/>
    </row>
    <row r="676" spans="7:124" x14ac:dyDescent="0.2">
      <c r="G676" s="27"/>
      <c r="H676" s="27"/>
      <c r="I676" s="27"/>
      <c r="J676" s="27"/>
      <c r="K676" s="27"/>
      <c r="L676" s="27"/>
      <c r="M676" s="27"/>
      <c r="N676" s="27"/>
      <c r="O676" s="27"/>
      <c r="P676" s="27"/>
      <c r="Q676" s="27"/>
      <c r="R676" s="27"/>
      <c r="S676" s="27"/>
      <c r="T676" s="27"/>
      <c r="U676" s="27"/>
      <c r="V676" s="27"/>
      <c r="W676" s="27"/>
      <c r="X676" s="27"/>
      <c r="Y676" s="27"/>
      <c r="Z676" s="27"/>
      <c r="AA676" s="27"/>
      <c r="AB676" s="27"/>
      <c r="AC676" s="27"/>
      <c r="AD676" s="27"/>
      <c r="AE676" s="27"/>
      <c r="AF676" s="27"/>
      <c r="AG676" s="27"/>
      <c r="AH676" s="27"/>
      <c r="AI676" s="27"/>
      <c r="AJ676" s="27"/>
      <c r="AK676" s="27"/>
      <c r="AL676" s="27"/>
      <c r="AM676" s="27"/>
      <c r="AN676" s="27"/>
      <c r="AO676" s="27"/>
      <c r="AP676" s="27"/>
      <c r="AQ676" s="27"/>
      <c r="AR676" s="27"/>
      <c r="AS676" s="27"/>
      <c r="AT676" s="27"/>
      <c r="AU676" s="27"/>
      <c r="AV676" s="27"/>
      <c r="AW676" s="27"/>
      <c r="AX676" s="27"/>
      <c r="AY676" s="27"/>
      <c r="AZ676" s="27"/>
      <c r="BA676" s="27"/>
      <c r="BB676" s="27"/>
      <c r="BC676" s="27"/>
      <c r="BD676" s="27"/>
      <c r="BE676" s="27"/>
      <c r="BF676" s="27"/>
      <c r="BG676" s="27"/>
      <c r="BH676" s="27"/>
      <c r="BI676" s="27"/>
      <c r="BJ676" s="27"/>
      <c r="BK676" s="27"/>
      <c r="BL676" s="27"/>
      <c r="BM676" s="27"/>
      <c r="BN676" s="27"/>
      <c r="BO676" s="27"/>
      <c r="BP676" s="27"/>
      <c r="BQ676" s="27"/>
      <c r="BR676" s="27"/>
      <c r="BS676" s="27"/>
      <c r="BT676" s="27"/>
      <c r="BU676" s="27"/>
      <c r="BV676" s="27"/>
      <c r="BW676" s="27"/>
      <c r="BX676" s="27"/>
      <c r="BY676" s="27"/>
      <c r="BZ676" s="27"/>
      <c r="CA676" s="27"/>
      <c r="CB676" s="27"/>
      <c r="CC676" s="27"/>
      <c r="CD676" s="27"/>
      <c r="CE676" s="27"/>
      <c r="CF676" s="27"/>
      <c r="CG676" s="27"/>
      <c r="CH676" s="27"/>
      <c r="CI676" s="27"/>
      <c r="CJ676" s="27"/>
      <c r="CK676" s="27"/>
      <c r="CL676" s="27"/>
      <c r="CM676" s="27"/>
      <c r="CN676" s="27"/>
      <c r="CO676" s="27"/>
      <c r="CP676" s="27"/>
      <c r="CQ676" s="27"/>
      <c r="CR676" s="27"/>
      <c r="CS676" s="27"/>
      <c r="CT676" s="27"/>
      <c r="CU676" s="27"/>
      <c r="CV676" s="27"/>
      <c r="CW676" s="27"/>
      <c r="CX676" s="27"/>
      <c r="CY676" s="27"/>
      <c r="CZ676" s="27"/>
      <c r="DA676" s="27"/>
      <c r="DB676" s="27"/>
      <c r="DC676" s="27"/>
      <c r="DD676" s="27"/>
      <c r="DE676" s="27"/>
      <c r="DF676" s="27"/>
      <c r="DG676" s="27"/>
      <c r="DH676" s="27"/>
      <c r="DI676" s="27"/>
      <c r="DJ676" s="27"/>
      <c r="DK676" s="27"/>
      <c r="DL676" s="27"/>
      <c r="DM676" s="27"/>
      <c r="DN676" s="27"/>
      <c r="DO676" s="27"/>
      <c r="DP676" s="27"/>
      <c r="DQ676" s="27"/>
      <c r="DR676" s="27"/>
      <c r="DS676" s="27"/>
      <c r="DT676" s="27"/>
    </row>
    <row r="677" spans="7:124" x14ac:dyDescent="0.2">
      <c r="G677" s="27"/>
      <c r="H677" s="27"/>
      <c r="I677" s="27"/>
      <c r="J677" s="27"/>
      <c r="K677" s="27"/>
      <c r="L677" s="27"/>
      <c r="M677" s="27"/>
      <c r="N677" s="27"/>
      <c r="O677" s="27"/>
      <c r="P677" s="27"/>
      <c r="Q677" s="27"/>
      <c r="R677" s="27"/>
      <c r="S677" s="27"/>
      <c r="T677" s="27"/>
      <c r="U677" s="27"/>
      <c r="V677" s="27"/>
      <c r="W677" s="27"/>
      <c r="X677" s="27"/>
      <c r="Y677" s="27"/>
      <c r="Z677" s="27"/>
      <c r="AA677" s="27"/>
      <c r="AB677" s="27"/>
      <c r="AC677" s="27"/>
      <c r="AD677" s="27"/>
      <c r="AE677" s="27"/>
      <c r="AF677" s="27"/>
      <c r="AG677" s="27"/>
      <c r="AH677" s="27"/>
      <c r="AI677" s="27"/>
      <c r="AJ677" s="27"/>
      <c r="AK677" s="27"/>
      <c r="AL677" s="27"/>
      <c r="AM677" s="27"/>
      <c r="AN677" s="27"/>
      <c r="AO677" s="27"/>
      <c r="AP677" s="27"/>
      <c r="AQ677" s="27"/>
      <c r="AR677" s="27"/>
      <c r="AS677" s="27"/>
      <c r="AT677" s="27"/>
      <c r="AU677" s="27"/>
      <c r="AV677" s="27"/>
      <c r="AW677" s="27"/>
      <c r="AX677" s="27"/>
      <c r="AY677" s="27"/>
      <c r="AZ677" s="27"/>
      <c r="BA677" s="27"/>
      <c r="BB677" s="27"/>
      <c r="BC677" s="27"/>
      <c r="BD677" s="27"/>
      <c r="BE677" s="27"/>
      <c r="BF677" s="27"/>
      <c r="BG677" s="27"/>
      <c r="BH677" s="27"/>
      <c r="BI677" s="27"/>
      <c r="BJ677" s="27"/>
      <c r="BK677" s="27"/>
      <c r="BL677" s="27"/>
      <c r="BM677" s="27"/>
      <c r="BN677" s="27"/>
      <c r="BO677" s="27"/>
      <c r="BP677" s="27"/>
      <c r="BQ677" s="27"/>
      <c r="BR677" s="27"/>
      <c r="BS677" s="27"/>
      <c r="BT677" s="27"/>
      <c r="BU677" s="27"/>
      <c r="BV677" s="27"/>
      <c r="BW677" s="27"/>
      <c r="BX677" s="27"/>
      <c r="BY677" s="27"/>
      <c r="BZ677" s="27"/>
      <c r="CA677" s="27"/>
      <c r="CB677" s="27"/>
      <c r="CC677" s="27"/>
      <c r="CD677" s="27"/>
      <c r="CE677" s="27"/>
      <c r="CF677" s="27"/>
      <c r="CG677" s="27"/>
      <c r="CH677" s="27"/>
      <c r="CI677" s="27"/>
      <c r="CJ677" s="27"/>
      <c r="CK677" s="27"/>
      <c r="CL677" s="27"/>
      <c r="CM677" s="27"/>
      <c r="CN677" s="27"/>
      <c r="CO677" s="27"/>
      <c r="CP677" s="27"/>
      <c r="CQ677" s="27"/>
      <c r="CR677" s="27"/>
      <c r="CS677" s="27"/>
      <c r="CT677" s="27"/>
      <c r="CU677" s="27"/>
      <c r="CV677" s="27"/>
      <c r="CW677" s="27"/>
      <c r="CX677" s="27"/>
      <c r="CY677" s="27"/>
      <c r="CZ677" s="27"/>
      <c r="DA677" s="27"/>
      <c r="DB677" s="27"/>
      <c r="DC677" s="27"/>
      <c r="DD677" s="27"/>
      <c r="DE677" s="27"/>
      <c r="DF677" s="27"/>
      <c r="DG677" s="27"/>
      <c r="DH677" s="27"/>
      <c r="DI677" s="27"/>
      <c r="DJ677" s="27"/>
      <c r="DK677" s="27"/>
      <c r="DL677" s="27"/>
      <c r="DM677" s="27"/>
      <c r="DN677" s="27"/>
      <c r="DO677" s="27"/>
      <c r="DP677" s="27"/>
      <c r="DQ677" s="27"/>
      <c r="DR677" s="27"/>
      <c r="DS677" s="27"/>
      <c r="DT677" s="27"/>
    </row>
    <row r="678" spans="7:124" x14ac:dyDescent="0.2">
      <c r="G678" s="27"/>
      <c r="H678" s="27"/>
      <c r="I678" s="27"/>
      <c r="J678" s="27"/>
      <c r="K678" s="27"/>
      <c r="L678" s="27"/>
      <c r="M678" s="27"/>
      <c r="N678" s="27"/>
      <c r="O678" s="27"/>
      <c r="P678" s="27"/>
      <c r="Q678" s="27"/>
      <c r="R678" s="27"/>
      <c r="S678" s="27"/>
      <c r="T678" s="27"/>
      <c r="U678" s="27"/>
      <c r="V678" s="27"/>
      <c r="W678" s="27"/>
      <c r="X678" s="27"/>
      <c r="Y678" s="27"/>
      <c r="Z678" s="27"/>
      <c r="AA678" s="27"/>
      <c r="AB678" s="27"/>
      <c r="AC678" s="27"/>
      <c r="AD678" s="27"/>
      <c r="AE678" s="27"/>
      <c r="AF678" s="27"/>
      <c r="AG678" s="27"/>
      <c r="AH678" s="27"/>
      <c r="AI678" s="27"/>
      <c r="AJ678" s="27"/>
      <c r="AK678" s="27"/>
      <c r="AL678" s="27"/>
      <c r="AM678" s="27"/>
      <c r="AN678" s="27"/>
      <c r="AO678" s="27"/>
      <c r="AP678" s="27"/>
      <c r="AQ678" s="27"/>
      <c r="AR678" s="27"/>
      <c r="AS678" s="27"/>
      <c r="AT678" s="27"/>
      <c r="AU678" s="27"/>
      <c r="AV678" s="27"/>
      <c r="AW678" s="27"/>
      <c r="AX678" s="27"/>
      <c r="AY678" s="27"/>
      <c r="AZ678" s="27"/>
      <c r="BA678" s="27"/>
      <c r="BB678" s="27"/>
      <c r="BC678" s="27"/>
      <c r="BD678" s="27"/>
      <c r="BE678" s="27"/>
      <c r="BF678" s="27"/>
      <c r="BG678" s="27"/>
      <c r="BH678" s="27"/>
      <c r="BI678" s="27"/>
      <c r="BJ678" s="27"/>
      <c r="BK678" s="27"/>
      <c r="BL678" s="27"/>
      <c r="BM678" s="27"/>
      <c r="BN678" s="27"/>
      <c r="BO678" s="27"/>
      <c r="BP678" s="27"/>
      <c r="BQ678" s="27"/>
      <c r="BR678" s="27"/>
      <c r="BS678" s="27"/>
      <c r="BT678" s="27"/>
      <c r="BU678" s="27"/>
      <c r="BV678" s="27"/>
      <c r="BW678" s="27"/>
      <c r="BX678" s="27"/>
      <c r="BY678" s="27"/>
      <c r="BZ678" s="27"/>
      <c r="CA678" s="27"/>
      <c r="CB678" s="27"/>
      <c r="CC678" s="27"/>
      <c r="CD678" s="27"/>
      <c r="CE678" s="27"/>
      <c r="CF678" s="27"/>
      <c r="CG678" s="27"/>
      <c r="CH678" s="27"/>
      <c r="CI678" s="27"/>
      <c r="CJ678" s="27"/>
      <c r="CK678" s="27"/>
      <c r="CL678" s="27"/>
      <c r="CM678" s="27"/>
      <c r="CN678" s="27"/>
      <c r="CO678" s="27"/>
      <c r="CP678" s="27"/>
      <c r="CQ678" s="27"/>
      <c r="CR678" s="27"/>
      <c r="CS678" s="27"/>
      <c r="CT678" s="27"/>
      <c r="CU678" s="27"/>
      <c r="CV678" s="27"/>
      <c r="CW678" s="27"/>
      <c r="CX678" s="27"/>
      <c r="CY678" s="27"/>
      <c r="CZ678" s="27"/>
      <c r="DA678" s="27"/>
      <c r="DB678" s="27"/>
      <c r="DC678" s="27"/>
      <c r="DD678" s="27"/>
      <c r="DE678" s="27"/>
      <c r="DF678" s="27"/>
      <c r="DG678" s="27"/>
      <c r="DH678" s="27"/>
      <c r="DI678" s="27"/>
      <c r="DJ678" s="27"/>
      <c r="DK678" s="27"/>
      <c r="DL678" s="27"/>
      <c r="DM678" s="27"/>
      <c r="DN678" s="27"/>
      <c r="DO678" s="27"/>
      <c r="DP678" s="27"/>
      <c r="DQ678" s="27"/>
      <c r="DR678" s="27"/>
      <c r="DS678" s="27"/>
      <c r="DT678" s="27"/>
    </row>
    <row r="679" spans="7:124" x14ac:dyDescent="0.2">
      <c r="G679" s="27"/>
      <c r="H679" s="27"/>
      <c r="I679" s="27"/>
      <c r="J679" s="27"/>
      <c r="K679" s="27"/>
      <c r="L679" s="27"/>
      <c r="M679" s="27"/>
      <c r="N679" s="27"/>
      <c r="O679" s="27"/>
      <c r="P679" s="27"/>
      <c r="Q679" s="27"/>
      <c r="R679" s="27"/>
      <c r="S679" s="27"/>
      <c r="T679" s="27"/>
      <c r="U679" s="27"/>
      <c r="V679" s="27"/>
      <c r="W679" s="27"/>
      <c r="X679" s="27"/>
      <c r="Y679" s="27"/>
      <c r="Z679" s="27"/>
      <c r="AA679" s="27"/>
      <c r="AB679" s="27"/>
      <c r="AC679" s="27"/>
      <c r="AD679" s="27"/>
      <c r="AE679" s="27"/>
      <c r="AF679" s="27"/>
      <c r="AG679" s="27"/>
      <c r="AH679" s="27"/>
      <c r="AI679" s="27"/>
      <c r="AJ679" s="27"/>
      <c r="AK679" s="27"/>
      <c r="AL679" s="27"/>
      <c r="AM679" s="27"/>
      <c r="AN679" s="27"/>
      <c r="AO679" s="27"/>
      <c r="AP679" s="27"/>
      <c r="AQ679" s="27"/>
      <c r="AR679" s="27"/>
      <c r="AS679" s="27"/>
      <c r="AT679" s="27"/>
      <c r="AU679" s="27"/>
      <c r="AV679" s="27"/>
      <c r="AW679" s="27"/>
      <c r="AX679" s="27"/>
      <c r="AY679" s="27"/>
      <c r="AZ679" s="27"/>
      <c r="BA679" s="27"/>
      <c r="BB679" s="27"/>
      <c r="BC679" s="27"/>
      <c r="BD679" s="27"/>
      <c r="BE679" s="27"/>
      <c r="BF679" s="27"/>
      <c r="BG679" s="27"/>
      <c r="BH679" s="27"/>
      <c r="BI679" s="27"/>
      <c r="BJ679" s="27"/>
      <c r="BK679" s="27"/>
      <c r="BL679" s="27"/>
      <c r="BM679" s="27"/>
      <c r="BN679" s="27"/>
      <c r="BO679" s="27"/>
      <c r="BP679" s="27"/>
      <c r="BQ679" s="27"/>
      <c r="BR679" s="27"/>
      <c r="BS679" s="27"/>
      <c r="BT679" s="27"/>
      <c r="BU679" s="27"/>
      <c r="BV679" s="27"/>
      <c r="BW679" s="27"/>
      <c r="BX679" s="27"/>
      <c r="BY679" s="27"/>
      <c r="BZ679" s="27"/>
      <c r="CA679" s="27"/>
      <c r="CB679" s="27"/>
      <c r="CC679" s="27"/>
      <c r="CD679" s="27"/>
      <c r="CE679" s="27"/>
      <c r="CF679" s="27"/>
      <c r="CG679" s="27"/>
      <c r="CH679" s="27"/>
      <c r="CI679" s="27"/>
      <c r="CJ679" s="27"/>
      <c r="CK679" s="27"/>
      <c r="CL679" s="27"/>
      <c r="CM679" s="27"/>
      <c r="CN679" s="27"/>
      <c r="CO679" s="27"/>
      <c r="CP679" s="27"/>
      <c r="CQ679" s="27"/>
      <c r="CR679" s="27"/>
      <c r="CS679" s="27"/>
      <c r="CT679" s="27"/>
      <c r="CU679" s="27"/>
      <c r="CV679" s="27"/>
      <c r="CW679" s="27"/>
      <c r="CX679" s="27"/>
      <c r="CY679" s="27"/>
      <c r="CZ679" s="27"/>
      <c r="DA679" s="27"/>
      <c r="DB679" s="27"/>
      <c r="DC679" s="27"/>
      <c r="DD679" s="27"/>
      <c r="DE679" s="27"/>
      <c r="DF679" s="27"/>
      <c r="DG679" s="27"/>
      <c r="DH679" s="27"/>
      <c r="DI679" s="27"/>
      <c r="DJ679" s="27"/>
      <c r="DK679" s="27"/>
      <c r="DL679" s="27"/>
      <c r="DM679" s="27"/>
      <c r="DN679" s="27"/>
      <c r="DO679" s="27"/>
      <c r="DP679" s="27"/>
      <c r="DQ679" s="27"/>
      <c r="DR679" s="27"/>
      <c r="DS679" s="27"/>
      <c r="DT679" s="27"/>
    </row>
    <row r="680" spans="7:124" x14ac:dyDescent="0.2">
      <c r="G680" s="27"/>
      <c r="H680" s="27"/>
      <c r="I680" s="27"/>
      <c r="J680" s="27"/>
      <c r="K680" s="27"/>
      <c r="L680" s="27"/>
      <c r="M680" s="27"/>
      <c r="N680" s="27"/>
      <c r="O680" s="27"/>
      <c r="P680" s="27"/>
      <c r="Q680" s="27"/>
      <c r="R680" s="27"/>
      <c r="S680" s="27"/>
      <c r="T680" s="27"/>
      <c r="U680" s="27"/>
      <c r="V680" s="27"/>
      <c r="W680" s="27"/>
      <c r="X680" s="27"/>
      <c r="Y680" s="27"/>
      <c r="Z680" s="27"/>
      <c r="AA680" s="27"/>
      <c r="AB680" s="27"/>
      <c r="AC680" s="27"/>
      <c r="AD680" s="27"/>
      <c r="AE680" s="27"/>
      <c r="AF680" s="27"/>
      <c r="AG680" s="27"/>
      <c r="AH680" s="27"/>
      <c r="AI680" s="27"/>
      <c r="AJ680" s="27"/>
      <c r="AK680" s="27"/>
      <c r="AL680" s="27"/>
      <c r="AM680" s="27"/>
      <c r="AN680" s="27"/>
      <c r="AO680" s="27"/>
      <c r="AP680" s="27"/>
      <c r="AQ680" s="27"/>
      <c r="AR680" s="27"/>
      <c r="AS680" s="27"/>
      <c r="AT680" s="27"/>
      <c r="AU680" s="27"/>
      <c r="AV680" s="27"/>
      <c r="AW680" s="27"/>
      <c r="AX680" s="27"/>
      <c r="AY680" s="27"/>
      <c r="AZ680" s="27"/>
      <c r="BA680" s="27"/>
      <c r="BB680" s="27"/>
      <c r="BC680" s="27"/>
      <c r="BD680" s="27"/>
      <c r="BE680" s="27"/>
      <c r="BF680" s="27"/>
      <c r="BG680" s="27"/>
      <c r="BH680" s="27"/>
      <c r="BI680" s="27"/>
      <c r="BJ680" s="27"/>
      <c r="BK680" s="27"/>
      <c r="BL680" s="27"/>
      <c r="BM680" s="27"/>
      <c r="BN680" s="27"/>
      <c r="BO680" s="27"/>
      <c r="BP680" s="27"/>
      <c r="BQ680" s="27"/>
      <c r="BR680" s="27"/>
      <c r="BS680" s="27"/>
      <c r="BT680" s="27"/>
      <c r="BU680" s="27"/>
      <c r="BV680" s="27"/>
      <c r="BW680" s="27"/>
      <c r="BX680" s="27"/>
      <c r="BY680" s="27"/>
      <c r="BZ680" s="27"/>
      <c r="CA680" s="27"/>
      <c r="CB680" s="27"/>
      <c r="CC680" s="27"/>
      <c r="CD680" s="27"/>
      <c r="CE680" s="27"/>
      <c r="CF680" s="27"/>
      <c r="CG680" s="27"/>
      <c r="CH680" s="27"/>
      <c r="CI680" s="27"/>
      <c r="CJ680" s="27"/>
      <c r="CK680" s="27"/>
      <c r="CL680" s="27"/>
      <c r="CM680" s="27"/>
      <c r="CN680" s="27"/>
      <c r="CO680" s="27"/>
      <c r="CP680" s="27"/>
      <c r="CQ680" s="27"/>
      <c r="CR680" s="27"/>
      <c r="CS680" s="27"/>
      <c r="CT680" s="27"/>
      <c r="CU680" s="27"/>
      <c r="CV680" s="27"/>
      <c r="CW680" s="27"/>
      <c r="CX680" s="27"/>
      <c r="CY680" s="27"/>
      <c r="CZ680" s="27"/>
      <c r="DA680" s="27"/>
      <c r="DB680" s="27"/>
      <c r="DC680" s="27"/>
      <c r="DD680" s="27"/>
      <c r="DE680" s="27"/>
      <c r="DF680" s="27"/>
      <c r="DG680" s="27"/>
      <c r="DH680" s="27"/>
      <c r="DI680" s="27"/>
      <c r="DJ680" s="27"/>
      <c r="DK680" s="27"/>
      <c r="DL680" s="27"/>
      <c r="DM680" s="27"/>
      <c r="DN680" s="27"/>
      <c r="DO680" s="27"/>
      <c r="DP680" s="27"/>
      <c r="DQ680" s="27"/>
      <c r="DR680" s="27"/>
      <c r="DS680" s="27"/>
      <c r="DT680" s="27"/>
    </row>
    <row r="681" spans="7:124" x14ac:dyDescent="0.2">
      <c r="G681" s="27"/>
      <c r="H681" s="27"/>
      <c r="I681" s="27"/>
      <c r="J681" s="27"/>
      <c r="K681" s="27"/>
      <c r="L681" s="27"/>
      <c r="M681" s="27"/>
      <c r="N681" s="27"/>
      <c r="O681" s="27"/>
      <c r="P681" s="27"/>
      <c r="Q681" s="27"/>
      <c r="R681" s="27"/>
      <c r="S681" s="27"/>
      <c r="T681" s="27"/>
      <c r="U681" s="27"/>
      <c r="V681" s="27"/>
      <c r="W681" s="27"/>
      <c r="X681" s="27"/>
      <c r="Y681" s="27"/>
      <c r="Z681" s="27"/>
      <c r="AA681" s="27"/>
      <c r="AB681" s="27"/>
      <c r="AC681" s="27"/>
      <c r="AD681" s="27"/>
      <c r="AE681" s="27"/>
      <c r="AF681" s="27"/>
      <c r="AG681" s="27"/>
      <c r="AH681" s="27"/>
      <c r="AI681" s="27"/>
      <c r="AJ681" s="27"/>
      <c r="AK681" s="27"/>
      <c r="AL681" s="27"/>
      <c r="AM681" s="27"/>
      <c r="AN681" s="27"/>
      <c r="AO681" s="27"/>
      <c r="AP681" s="27"/>
      <c r="AQ681" s="27"/>
      <c r="AR681" s="27"/>
      <c r="AS681" s="27"/>
      <c r="AT681" s="27"/>
      <c r="AU681" s="27"/>
      <c r="AV681" s="27"/>
      <c r="AW681" s="27"/>
      <c r="AX681" s="27"/>
      <c r="AY681" s="27"/>
      <c r="AZ681" s="27"/>
      <c r="BA681" s="27"/>
      <c r="BB681" s="27"/>
      <c r="BC681" s="27"/>
      <c r="BD681" s="27"/>
      <c r="BE681" s="27"/>
      <c r="BF681" s="27"/>
      <c r="BG681" s="27"/>
      <c r="BH681" s="27"/>
      <c r="BI681" s="27"/>
      <c r="BJ681" s="27"/>
      <c r="BK681" s="27"/>
      <c r="BL681" s="27"/>
      <c r="BM681" s="27"/>
      <c r="BN681" s="27"/>
      <c r="BO681" s="27"/>
      <c r="BP681" s="27"/>
      <c r="BQ681" s="27"/>
      <c r="BR681" s="27"/>
      <c r="BS681" s="27"/>
      <c r="BT681" s="27"/>
      <c r="BU681" s="27"/>
      <c r="BV681" s="27"/>
      <c r="BW681" s="27"/>
      <c r="BX681" s="27"/>
      <c r="BY681" s="27"/>
      <c r="BZ681" s="27"/>
      <c r="CA681" s="27"/>
      <c r="CB681" s="27"/>
      <c r="CC681" s="27"/>
      <c r="CD681" s="27"/>
      <c r="CE681" s="27"/>
      <c r="CF681" s="27"/>
      <c r="CG681" s="27"/>
      <c r="CH681" s="27"/>
      <c r="CI681" s="27"/>
      <c r="CJ681" s="27"/>
      <c r="CK681" s="27"/>
      <c r="CL681" s="27"/>
      <c r="CM681" s="27"/>
      <c r="CN681" s="27"/>
      <c r="CO681" s="27"/>
      <c r="CP681" s="27"/>
      <c r="CQ681" s="27"/>
      <c r="CR681" s="27"/>
      <c r="CS681" s="27"/>
      <c r="CT681" s="27"/>
      <c r="CU681" s="27"/>
      <c r="CV681" s="27"/>
      <c r="CW681" s="27"/>
      <c r="CX681" s="27"/>
      <c r="CY681" s="27"/>
      <c r="CZ681" s="27"/>
      <c r="DA681" s="27"/>
      <c r="DB681" s="27"/>
      <c r="DC681" s="27"/>
      <c r="DD681" s="27"/>
      <c r="DE681" s="27"/>
      <c r="DF681" s="27"/>
      <c r="DG681" s="27"/>
      <c r="DH681" s="27"/>
      <c r="DI681" s="27"/>
      <c r="DJ681" s="27"/>
      <c r="DK681" s="27"/>
      <c r="DL681" s="27"/>
      <c r="DM681" s="27"/>
      <c r="DN681" s="27"/>
      <c r="DO681" s="27"/>
      <c r="DP681" s="27"/>
      <c r="DQ681" s="27"/>
      <c r="DR681" s="27"/>
      <c r="DS681" s="27"/>
      <c r="DT681" s="27"/>
    </row>
    <row r="682" spans="7:124" x14ac:dyDescent="0.2">
      <c r="G682" s="27"/>
      <c r="H682" s="27"/>
      <c r="I682" s="27"/>
      <c r="J682" s="27"/>
      <c r="K682" s="27"/>
      <c r="L682" s="27"/>
      <c r="M682" s="27"/>
      <c r="N682" s="27"/>
      <c r="O682" s="27"/>
      <c r="P682" s="27"/>
      <c r="Q682" s="27"/>
      <c r="R682" s="27"/>
      <c r="S682" s="27"/>
      <c r="T682" s="27"/>
      <c r="U682" s="27"/>
      <c r="V682" s="27"/>
      <c r="W682" s="27"/>
      <c r="X682" s="27"/>
      <c r="Y682" s="27"/>
      <c r="Z682" s="27"/>
      <c r="AA682" s="27"/>
      <c r="AB682" s="27"/>
      <c r="AC682" s="27"/>
      <c r="AD682" s="27"/>
      <c r="AE682" s="27"/>
      <c r="AF682" s="27"/>
      <c r="AG682" s="27"/>
      <c r="AH682" s="27"/>
      <c r="AI682" s="27"/>
      <c r="AJ682" s="27"/>
      <c r="AK682" s="27"/>
      <c r="AL682" s="27"/>
      <c r="AM682" s="27"/>
      <c r="AN682" s="27"/>
      <c r="AO682" s="27"/>
      <c r="AP682" s="27"/>
      <c r="AQ682" s="27"/>
      <c r="AR682" s="27"/>
      <c r="AS682" s="27"/>
      <c r="AT682" s="27"/>
      <c r="AU682" s="27"/>
      <c r="AV682" s="27"/>
      <c r="AW682" s="27"/>
      <c r="AX682" s="27"/>
      <c r="AY682" s="27"/>
      <c r="AZ682" s="27"/>
      <c r="BA682" s="27"/>
      <c r="BB682" s="27"/>
      <c r="BC682" s="27"/>
      <c r="BD682" s="27"/>
      <c r="BE682" s="27"/>
      <c r="BF682" s="27"/>
      <c r="BG682" s="27"/>
      <c r="BH682" s="27"/>
      <c r="BI682" s="27"/>
      <c r="BJ682" s="27"/>
      <c r="BK682" s="27"/>
      <c r="BL682" s="27"/>
      <c r="BM682" s="27"/>
      <c r="BN682" s="27"/>
      <c r="BO682" s="27"/>
      <c r="BP682" s="27"/>
      <c r="BQ682" s="27"/>
      <c r="BR682" s="27"/>
      <c r="BS682" s="27"/>
      <c r="BT682" s="27"/>
      <c r="BU682" s="27"/>
      <c r="BV682" s="27"/>
      <c r="BW682" s="27"/>
      <c r="BX682" s="27"/>
      <c r="BY682" s="27"/>
      <c r="BZ682" s="27"/>
      <c r="CA682" s="27"/>
      <c r="CB682" s="27"/>
      <c r="CC682" s="27"/>
      <c r="CD682" s="27"/>
      <c r="CE682" s="27"/>
      <c r="CF682" s="27"/>
      <c r="CG682" s="27"/>
      <c r="CH682" s="27"/>
      <c r="CI682" s="27"/>
      <c r="CJ682" s="27"/>
      <c r="CK682" s="27"/>
      <c r="CL682" s="27"/>
      <c r="CM682" s="27"/>
      <c r="CN682" s="27"/>
      <c r="CO682" s="27"/>
      <c r="CP682" s="27"/>
      <c r="CQ682" s="27"/>
      <c r="CR682" s="27"/>
      <c r="CS682" s="27"/>
      <c r="CT682" s="27"/>
      <c r="CU682" s="27"/>
      <c r="CV682" s="27"/>
      <c r="CW682" s="27"/>
      <c r="CX682" s="27"/>
      <c r="CY682" s="27"/>
      <c r="CZ682" s="27"/>
      <c r="DA682" s="27"/>
      <c r="DB682" s="27"/>
      <c r="DC682" s="27"/>
      <c r="DD682" s="27"/>
      <c r="DE682" s="27"/>
      <c r="DF682" s="27"/>
      <c r="DG682" s="27"/>
      <c r="DH682" s="27"/>
      <c r="DI682" s="27"/>
      <c r="DJ682" s="27"/>
      <c r="DK682" s="27"/>
      <c r="DL682" s="27"/>
      <c r="DM682" s="27"/>
      <c r="DN682" s="27"/>
      <c r="DO682" s="27"/>
      <c r="DP682" s="27"/>
      <c r="DQ682" s="27"/>
      <c r="DR682" s="27"/>
      <c r="DS682" s="27"/>
      <c r="DT682" s="27"/>
    </row>
    <row r="683" spans="7:124" x14ac:dyDescent="0.2">
      <c r="G683" s="27"/>
      <c r="H683" s="27"/>
      <c r="I683" s="27"/>
      <c r="J683" s="27"/>
      <c r="K683" s="27"/>
      <c r="L683" s="27"/>
      <c r="M683" s="27"/>
      <c r="N683" s="27"/>
      <c r="O683" s="27"/>
      <c r="P683" s="27"/>
      <c r="Q683" s="27"/>
      <c r="R683" s="27"/>
      <c r="S683" s="27"/>
      <c r="T683" s="27"/>
      <c r="U683" s="27"/>
      <c r="V683" s="27"/>
      <c r="W683" s="27"/>
      <c r="X683" s="27"/>
      <c r="Y683" s="27"/>
      <c r="Z683" s="27"/>
      <c r="AA683" s="27"/>
      <c r="AB683" s="27"/>
      <c r="AC683" s="27"/>
      <c r="AD683" s="27"/>
      <c r="AE683" s="27"/>
      <c r="AF683" s="27"/>
      <c r="AG683" s="27"/>
      <c r="AH683" s="27"/>
      <c r="AI683" s="27"/>
      <c r="AJ683" s="27"/>
      <c r="AK683" s="27"/>
      <c r="AL683" s="27"/>
      <c r="AM683" s="27"/>
      <c r="AN683" s="27"/>
      <c r="AO683" s="27"/>
      <c r="AP683" s="27"/>
      <c r="AQ683" s="27"/>
      <c r="AR683" s="27"/>
      <c r="AS683" s="27"/>
      <c r="AT683" s="27"/>
      <c r="AU683" s="27"/>
      <c r="AV683" s="27"/>
      <c r="AW683" s="27"/>
      <c r="AX683" s="27"/>
      <c r="AY683" s="27"/>
      <c r="AZ683" s="27"/>
      <c r="BA683" s="27"/>
      <c r="BB683" s="27"/>
      <c r="BC683" s="27"/>
      <c r="BD683" s="27"/>
      <c r="BE683" s="27"/>
      <c r="BF683" s="27"/>
      <c r="BG683" s="27"/>
      <c r="BH683" s="27"/>
      <c r="BI683" s="27"/>
      <c r="BJ683" s="27"/>
      <c r="BK683" s="27"/>
      <c r="BL683" s="27"/>
      <c r="BM683" s="27"/>
      <c r="BN683" s="27"/>
      <c r="BO683" s="27"/>
      <c r="BP683" s="27"/>
      <c r="BQ683" s="27"/>
      <c r="BR683" s="27"/>
      <c r="BS683" s="27"/>
      <c r="BT683" s="27"/>
      <c r="BU683" s="27"/>
      <c r="BV683" s="27"/>
      <c r="BW683" s="27"/>
      <c r="BX683" s="27"/>
      <c r="BY683" s="27"/>
      <c r="BZ683" s="27"/>
      <c r="CA683" s="27"/>
      <c r="CB683" s="27"/>
      <c r="CC683" s="27"/>
      <c r="CD683" s="27"/>
      <c r="CE683" s="27"/>
      <c r="CF683" s="27"/>
      <c r="CG683" s="27"/>
      <c r="CH683" s="27"/>
      <c r="CI683" s="27"/>
      <c r="CJ683" s="27"/>
      <c r="CK683" s="27"/>
      <c r="CL683" s="27"/>
      <c r="CM683" s="27"/>
      <c r="CN683" s="27"/>
      <c r="CO683" s="27"/>
      <c r="CP683" s="27"/>
      <c r="CQ683" s="27"/>
      <c r="CR683" s="27"/>
      <c r="CS683" s="27"/>
      <c r="CT683" s="27"/>
      <c r="CU683" s="27"/>
      <c r="CV683" s="27"/>
      <c r="CW683" s="27"/>
      <c r="CX683" s="27"/>
      <c r="CY683" s="27"/>
      <c r="CZ683" s="27"/>
      <c r="DA683" s="27"/>
      <c r="DB683" s="27"/>
      <c r="DC683" s="27"/>
      <c r="DD683" s="27"/>
      <c r="DE683" s="27"/>
      <c r="DF683" s="27"/>
      <c r="DG683" s="27"/>
      <c r="DH683" s="27"/>
      <c r="DI683" s="27"/>
      <c r="DJ683" s="27"/>
      <c r="DK683" s="27"/>
      <c r="DL683" s="27"/>
      <c r="DM683" s="27"/>
      <c r="DN683" s="27"/>
      <c r="DO683" s="27"/>
      <c r="DP683" s="27"/>
      <c r="DQ683" s="27"/>
      <c r="DR683" s="27"/>
      <c r="DS683" s="27"/>
      <c r="DT683" s="27"/>
    </row>
    <row r="684" spans="7:124" x14ac:dyDescent="0.2">
      <c r="G684" s="27"/>
      <c r="H684" s="27"/>
      <c r="I684" s="27"/>
      <c r="J684" s="27"/>
      <c r="K684" s="27"/>
      <c r="L684" s="27"/>
      <c r="M684" s="27"/>
      <c r="N684" s="27"/>
      <c r="O684" s="27"/>
      <c r="P684" s="27"/>
      <c r="Q684" s="27"/>
      <c r="R684" s="27"/>
      <c r="S684" s="27"/>
      <c r="T684" s="27"/>
      <c r="U684" s="27"/>
      <c r="V684" s="27"/>
      <c r="W684" s="27"/>
      <c r="X684" s="27"/>
      <c r="Y684" s="27"/>
      <c r="Z684" s="27"/>
      <c r="AA684" s="27"/>
      <c r="AB684" s="27"/>
      <c r="AC684" s="27"/>
      <c r="AD684" s="27"/>
      <c r="AE684" s="27"/>
      <c r="AF684" s="27"/>
      <c r="AG684" s="27"/>
      <c r="AH684" s="27"/>
      <c r="AI684" s="27"/>
      <c r="AJ684" s="27"/>
      <c r="AK684" s="27"/>
      <c r="AL684" s="27"/>
      <c r="AM684" s="27"/>
      <c r="AN684" s="27"/>
      <c r="AO684" s="27"/>
      <c r="AP684" s="27"/>
      <c r="AQ684" s="27"/>
      <c r="AR684" s="27"/>
      <c r="AS684" s="27"/>
      <c r="AT684" s="27"/>
      <c r="AU684" s="27"/>
      <c r="AV684" s="27"/>
      <c r="AW684" s="27"/>
      <c r="AX684" s="27"/>
      <c r="AY684" s="27"/>
      <c r="AZ684" s="27"/>
      <c r="BA684" s="27"/>
      <c r="BB684" s="27"/>
      <c r="BC684" s="27"/>
      <c r="BD684" s="27"/>
      <c r="BE684" s="27"/>
      <c r="BF684" s="27"/>
      <c r="BG684" s="27"/>
      <c r="BH684" s="27"/>
      <c r="BI684" s="27"/>
      <c r="BJ684" s="27"/>
      <c r="BK684" s="27"/>
      <c r="BL684" s="27"/>
      <c r="BM684" s="27"/>
      <c r="BN684" s="27"/>
      <c r="BO684" s="27"/>
      <c r="BP684" s="27"/>
      <c r="BQ684" s="27"/>
      <c r="BR684" s="27"/>
      <c r="BS684" s="27"/>
      <c r="BT684" s="27"/>
      <c r="BU684" s="27"/>
      <c r="BV684" s="27"/>
      <c r="BW684" s="27"/>
      <c r="BX684" s="27"/>
      <c r="BY684" s="27"/>
      <c r="BZ684" s="27"/>
      <c r="CA684" s="27"/>
      <c r="CB684" s="27"/>
      <c r="CC684" s="27"/>
      <c r="CD684" s="27"/>
      <c r="CE684" s="27"/>
      <c r="CF684" s="27"/>
      <c r="CG684" s="27"/>
      <c r="CH684" s="27"/>
      <c r="CI684" s="27"/>
      <c r="CJ684" s="27"/>
      <c r="CK684" s="27"/>
      <c r="CL684" s="27"/>
      <c r="CM684" s="27"/>
      <c r="CN684" s="27"/>
      <c r="CO684" s="27"/>
      <c r="CP684" s="27"/>
      <c r="CQ684" s="27"/>
      <c r="CR684" s="27"/>
      <c r="CS684" s="27"/>
      <c r="CT684" s="27"/>
      <c r="CU684" s="27"/>
      <c r="CV684" s="27"/>
      <c r="CW684" s="27"/>
      <c r="CX684" s="27"/>
      <c r="CY684" s="27"/>
      <c r="CZ684" s="27"/>
      <c r="DA684" s="27"/>
      <c r="DB684" s="27"/>
      <c r="DC684" s="27"/>
      <c r="DD684" s="27"/>
      <c r="DE684" s="27"/>
      <c r="DF684" s="27"/>
      <c r="DG684" s="27"/>
      <c r="DH684" s="27"/>
      <c r="DI684" s="27"/>
      <c r="DJ684" s="27"/>
      <c r="DK684" s="27"/>
      <c r="DL684" s="27"/>
      <c r="DM684" s="27"/>
      <c r="DN684" s="27"/>
      <c r="DO684" s="27"/>
      <c r="DP684" s="27"/>
      <c r="DQ684" s="27"/>
      <c r="DR684" s="27"/>
      <c r="DS684" s="27"/>
      <c r="DT684" s="27"/>
    </row>
    <row r="685" spans="7:124" x14ac:dyDescent="0.2">
      <c r="G685" s="27"/>
      <c r="H685" s="27"/>
      <c r="I685" s="27"/>
      <c r="J685" s="27"/>
      <c r="K685" s="27"/>
      <c r="L685" s="27"/>
      <c r="M685" s="27"/>
      <c r="N685" s="27"/>
      <c r="O685" s="27"/>
      <c r="P685" s="27"/>
      <c r="Q685" s="27"/>
      <c r="R685" s="27"/>
      <c r="S685" s="27"/>
      <c r="T685" s="27"/>
      <c r="U685" s="27"/>
      <c r="V685" s="27"/>
      <c r="W685" s="27"/>
      <c r="X685" s="27"/>
      <c r="Y685" s="27"/>
      <c r="Z685" s="27"/>
      <c r="AA685" s="27"/>
      <c r="AB685" s="27"/>
      <c r="AC685" s="27"/>
      <c r="AD685" s="27"/>
      <c r="AE685" s="27"/>
      <c r="AF685" s="27"/>
      <c r="AG685" s="27"/>
      <c r="AH685" s="27"/>
      <c r="AI685" s="27"/>
      <c r="AJ685" s="27"/>
      <c r="AK685" s="27"/>
      <c r="AL685" s="27"/>
      <c r="AM685" s="27"/>
      <c r="AN685" s="27"/>
      <c r="AO685" s="27"/>
      <c r="AP685" s="27"/>
      <c r="AQ685" s="27"/>
      <c r="AR685" s="27"/>
      <c r="AS685" s="27"/>
      <c r="AT685" s="27"/>
      <c r="AU685" s="27"/>
      <c r="AV685" s="27"/>
      <c r="AW685" s="27"/>
      <c r="AX685" s="27"/>
      <c r="AY685" s="27"/>
      <c r="AZ685" s="27"/>
      <c r="BA685" s="27"/>
      <c r="BB685" s="27"/>
      <c r="BC685" s="27"/>
      <c r="BD685" s="27"/>
      <c r="BE685" s="27"/>
      <c r="BF685" s="27"/>
      <c r="BG685" s="27"/>
      <c r="BH685" s="27"/>
      <c r="BI685" s="27"/>
      <c r="BJ685" s="27"/>
      <c r="BK685" s="27"/>
      <c r="BL685" s="27"/>
      <c r="BM685" s="27"/>
      <c r="BN685" s="27"/>
      <c r="BO685" s="27"/>
      <c r="BP685" s="27"/>
      <c r="BQ685" s="27"/>
      <c r="BR685" s="27"/>
      <c r="BS685" s="27"/>
      <c r="BT685" s="27"/>
      <c r="BU685" s="27"/>
      <c r="BV685" s="27"/>
      <c r="BW685" s="27"/>
      <c r="BX685" s="27"/>
      <c r="BY685" s="27"/>
      <c r="BZ685" s="27"/>
      <c r="CA685" s="27"/>
      <c r="CB685" s="27"/>
      <c r="CC685" s="27"/>
      <c r="CD685" s="27"/>
      <c r="CE685" s="27"/>
      <c r="CF685" s="27"/>
      <c r="CG685" s="27"/>
      <c r="CH685" s="27"/>
      <c r="CI685" s="27"/>
      <c r="CJ685" s="27"/>
      <c r="CK685" s="27"/>
      <c r="CL685" s="27"/>
      <c r="CM685" s="27"/>
      <c r="CN685" s="27"/>
      <c r="CO685" s="27"/>
      <c r="CP685" s="27"/>
      <c r="CQ685" s="27"/>
      <c r="CR685" s="27"/>
      <c r="CS685" s="27"/>
      <c r="CT685" s="27"/>
      <c r="CU685" s="27"/>
      <c r="CV685" s="27"/>
      <c r="CW685" s="27"/>
      <c r="CX685" s="27"/>
      <c r="CY685" s="27"/>
      <c r="CZ685" s="27"/>
      <c r="DA685" s="27"/>
      <c r="DB685" s="27"/>
      <c r="DC685" s="27"/>
      <c r="DD685" s="27"/>
      <c r="DE685" s="27"/>
      <c r="DF685" s="27"/>
      <c r="DG685" s="27"/>
      <c r="DH685" s="27"/>
      <c r="DI685" s="27"/>
      <c r="DJ685" s="27"/>
      <c r="DK685" s="27"/>
      <c r="DL685" s="27"/>
      <c r="DM685" s="27"/>
      <c r="DN685" s="27"/>
      <c r="DO685" s="27"/>
      <c r="DP685" s="27"/>
      <c r="DQ685" s="27"/>
      <c r="DR685" s="27"/>
      <c r="DS685" s="27"/>
      <c r="DT685" s="27"/>
    </row>
    <row r="686" spans="7:124" x14ac:dyDescent="0.2">
      <c r="G686" s="27"/>
      <c r="H686" s="27"/>
      <c r="I686" s="27"/>
      <c r="J686" s="27"/>
      <c r="K686" s="27"/>
      <c r="L686" s="27"/>
      <c r="M686" s="27"/>
      <c r="N686" s="27"/>
      <c r="O686" s="27"/>
      <c r="P686" s="27"/>
      <c r="Q686" s="27"/>
      <c r="R686" s="27"/>
      <c r="S686" s="27"/>
      <c r="T686" s="27"/>
      <c r="U686" s="27"/>
      <c r="V686" s="27"/>
      <c r="W686" s="27"/>
      <c r="X686" s="27"/>
      <c r="Y686" s="27"/>
      <c r="Z686" s="27"/>
      <c r="AA686" s="27"/>
      <c r="AB686" s="27"/>
      <c r="AC686" s="27"/>
      <c r="AD686" s="27"/>
      <c r="AE686" s="27"/>
      <c r="AF686" s="27"/>
      <c r="AG686" s="27"/>
      <c r="AH686" s="27"/>
      <c r="AI686" s="27"/>
      <c r="AJ686" s="27"/>
      <c r="AK686" s="27"/>
      <c r="AL686" s="27"/>
      <c r="AM686" s="27"/>
      <c r="AN686" s="27"/>
      <c r="AO686" s="27"/>
      <c r="AP686" s="27"/>
      <c r="AQ686" s="27"/>
      <c r="AR686" s="27"/>
      <c r="AS686" s="27"/>
      <c r="AT686" s="27"/>
      <c r="AU686" s="27"/>
      <c r="AV686" s="27"/>
      <c r="AW686" s="27"/>
      <c r="AX686" s="27"/>
      <c r="AY686" s="27"/>
      <c r="AZ686" s="27"/>
      <c r="BA686" s="27"/>
      <c r="BB686" s="27"/>
      <c r="BC686" s="27"/>
      <c r="BD686" s="27"/>
      <c r="BE686" s="27"/>
      <c r="BF686" s="27"/>
      <c r="BG686" s="27"/>
      <c r="BH686" s="27"/>
      <c r="BI686" s="27"/>
      <c r="BJ686" s="27"/>
      <c r="BK686" s="27"/>
      <c r="BL686" s="27"/>
      <c r="BM686" s="27"/>
      <c r="BN686" s="27"/>
      <c r="BO686" s="27"/>
      <c r="BP686" s="27"/>
      <c r="BQ686" s="27"/>
      <c r="BR686" s="27"/>
      <c r="BS686" s="27"/>
      <c r="BT686" s="27"/>
      <c r="BU686" s="27"/>
      <c r="BV686" s="27"/>
      <c r="BW686" s="27"/>
      <c r="BX686" s="27"/>
      <c r="BY686" s="27"/>
      <c r="BZ686" s="27"/>
      <c r="CA686" s="27"/>
      <c r="CB686" s="27"/>
      <c r="CC686" s="27"/>
      <c r="CD686" s="27"/>
      <c r="CE686" s="27"/>
      <c r="CF686" s="27"/>
      <c r="CG686" s="27"/>
      <c r="CH686" s="27"/>
      <c r="CI686" s="27"/>
      <c r="CJ686" s="27"/>
      <c r="CK686" s="27"/>
      <c r="CL686" s="27"/>
      <c r="CM686" s="27"/>
      <c r="CN686" s="27"/>
      <c r="CO686" s="27"/>
      <c r="CP686" s="27"/>
      <c r="CQ686" s="27"/>
      <c r="CR686" s="27"/>
      <c r="CS686" s="27"/>
      <c r="CT686" s="27"/>
      <c r="CU686" s="27"/>
      <c r="CV686" s="27"/>
      <c r="CW686" s="27"/>
      <c r="CX686" s="27"/>
      <c r="CY686" s="27"/>
      <c r="CZ686" s="27"/>
      <c r="DA686" s="27"/>
      <c r="DB686" s="27"/>
      <c r="DC686" s="27"/>
      <c r="DD686" s="27"/>
      <c r="DE686" s="27"/>
      <c r="DF686" s="27"/>
      <c r="DG686" s="27"/>
      <c r="DH686" s="27"/>
      <c r="DI686" s="27"/>
      <c r="DJ686" s="27"/>
      <c r="DK686" s="27"/>
      <c r="DL686" s="27"/>
      <c r="DM686" s="27"/>
      <c r="DN686" s="27"/>
      <c r="DO686" s="27"/>
      <c r="DP686" s="27"/>
      <c r="DQ686" s="27"/>
      <c r="DR686" s="27"/>
      <c r="DS686" s="27"/>
      <c r="DT686" s="27"/>
    </row>
    <row r="687" spans="7:124" x14ac:dyDescent="0.2">
      <c r="G687" s="27"/>
      <c r="H687" s="27"/>
      <c r="I687" s="27"/>
      <c r="J687" s="27"/>
      <c r="K687" s="27"/>
      <c r="L687" s="27"/>
      <c r="M687" s="27"/>
      <c r="N687" s="27"/>
      <c r="O687" s="27"/>
      <c r="P687" s="27"/>
      <c r="Q687" s="27"/>
      <c r="R687" s="27"/>
      <c r="S687" s="27"/>
      <c r="T687" s="27"/>
      <c r="U687" s="27"/>
      <c r="V687" s="27"/>
      <c r="W687" s="27"/>
      <c r="X687" s="27"/>
      <c r="Y687" s="27"/>
      <c r="Z687" s="27"/>
      <c r="AA687" s="27"/>
      <c r="AB687" s="27"/>
      <c r="AC687" s="27"/>
      <c r="AD687" s="27"/>
      <c r="AE687" s="27"/>
      <c r="AF687" s="27"/>
      <c r="AG687" s="27"/>
      <c r="AH687" s="27"/>
      <c r="AI687" s="27"/>
      <c r="AJ687" s="27"/>
      <c r="AK687" s="27"/>
      <c r="AL687" s="27"/>
      <c r="AM687" s="27"/>
      <c r="AN687" s="27"/>
      <c r="AO687" s="27"/>
      <c r="AP687" s="27"/>
      <c r="AQ687" s="27"/>
      <c r="AR687" s="27"/>
      <c r="AS687" s="27"/>
      <c r="AT687" s="27"/>
      <c r="AU687" s="27"/>
      <c r="AV687" s="27"/>
      <c r="AW687" s="27"/>
      <c r="AX687" s="27"/>
      <c r="AY687" s="27"/>
      <c r="AZ687" s="27"/>
      <c r="BA687" s="27"/>
      <c r="BB687" s="27"/>
      <c r="BC687" s="27"/>
      <c r="BD687" s="27"/>
      <c r="BE687" s="27"/>
      <c r="BF687" s="27"/>
      <c r="BG687" s="27"/>
      <c r="BH687" s="27"/>
      <c r="BI687" s="27"/>
      <c r="BJ687" s="27"/>
      <c r="BK687" s="27"/>
      <c r="BL687" s="27"/>
      <c r="BM687" s="27"/>
      <c r="BN687" s="27"/>
      <c r="BO687" s="27"/>
      <c r="BP687" s="27"/>
      <c r="BQ687" s="27"/>
      <c r="BR687" s="27"/>
      <c r="BS687" s="27"/>
      <c r="BT687" s="27"/>
      <c r="BU687" s="27"/>
      <c r="BV687" s="27"/>
      <c r="BW687" s="27"/>
      <c r="BX687" s="27"/>
      <c r="BY687" s="27"/>
      <c r="BZ687" s="27"/>
      <c r="CA687" s="27"/>
      <c r="CB687" s="27"/>
      <c r="CC687" s="27"/>
      <c r="CD687" s="27"/>
      <c r="CE687" s="27"/>
      <c r="CF687" s="27"/>
      <c r="CG687" s="27"/>
      <c r="CH687" s="27"/>
      <c r="CI687" s="27"/>
      <c r="CJ687" s="27"/>
      <c r="CK687" s="27"/>
      <c r="CL687" s="27"/>
      <c r="CM687" s="27"/>
      <c r="CN687" s="27"/>
      <c r="CO687" s="27"/>
      <c r="CP687" s="27"/>
      <c r="CQ687" s="27"/>
      <c r="CR687" s="27"/>
      <c r="CS687" s="27"/>
      <c r="CT687" s="27"/>
      <c r="CU687" s="27"/>
      <c r="CV687" s="27"/>
      <c r="CW687" s="27"/>
      <c r="CX687" s="27"/>
      <c r="CY687" s="27"/>
      <c r="CZ687" s="27"/>
      <c r="DA687" s="27"/>
      <c r="DB687" s="27"/>
      <c r="DC687" s="27"/>
      <c r="DD687" s="27"/>
      <c r="DE687" s="27"/>
      <c r="DF687" s="27"/>
      <c r="DG687" s="27"/>
      <c r="DH687" s="27"/>
      <c r="DI687" s="27"/>
      <c r="DJ687" s="27"/>
      <c r="DK687" s="27"/>
      <c r="DL687" s="27"/>
      <c r="DM687" s="27"/>
      <c r="DN687" s="27"/>
      <c r="DO687" s="27"/>
      <c r="DP687" s="27"/>
      <c r="DQ687" s="27"/>
      <c r="DR687" s="27"/>
      <c r="DS687" s="27"/>
      <c r="DT687" s="27"/>
    </row>
    <row r="688" spans="7:124" x14ac:dyDescent="0.2">
      <c r="G688" s="27"/>
      <c r="H688" s="27"/>
      <c r="I688" s="27"/>
      <c r="J688" s="27"/>
      <c r="K688" s="27"/>
      <c r="L688" s="27"/>
      <c r="M688" s="27"/>
      <c r="N688" s="27"/>
      <c r="O688" s="27"/>
      <c r="P688" s="27"/>
      <c r="Q688" s="27"/>
      <c r="R688" s="27"/>
      <c r="S688" s="27"/>
      <c r="T688" s="27"/>
      <c r="U688" s="27"/>
      <c r="V688" s="27"/>
      <c r="W688" s="27"/>
      <c r="X688" s="27"/>
      <c r="Y688" s="27"/>
      <c r="Z688" s="27"/>
      <c r="AA688" s="27"/>
      <c r="AB688" s="27"/>
      <c r="AC688" s="27"/>
      <c r="AD688" s="27"/>
      <c r="AE688" s="27"/>
      <c r="AF688" s="27"/>
      <c r="AG688" s="27"/>
      <c r="AH688" s="27"/>
      <c r="AI688" s="27"/>
      <c r="AJ688" s="27"/>
      <c r="AK688" s="27"/>
      <c r="AL688" s="27"/>
      <c r="AM688" s="27"/>
      <c r="AN688" s="27"/>
      <c r="AO688" s="27"/>
      <c r="AP688" s="27"/>
      <c r="AQ688" s="27"/>
      <c r="AR688" s="27"/>
      <c r="AS688" s="27"/>
      <c r="AT688" s="27"/>
      <c r="AU688" s="27"/>
      <c r="AV688" s="27"/>
      <c r="AW688" s="27"/>
      <c r="AX688" s="27"/>
      <c r="AY688" s="27"/>
      <c r="AZ688" s="27"/>
      <c r="BA688" s="27"/>
      <c r="BB688" s="27"/>
      <c r="BC688" s="27"/>
      <c r="BD688" s="27"/>
      <c r="BE688" s="27"/>
      <c r="BF688" s="27"/>
      <c r="BG688" s="27"/>
      <c r="BH688" s="27"/>
      <c r="BI688" s="27"/>
      <c r="BJ688" s="27"/>
      <c r="BK688" s="27"/>
      <c r="BL688" s="27"/>
      <c r="BM688" s="27"/>
      <c r="BN688" s="27"/>
      <c r="BO688" s="27"/>
      <c r="BP688" s="27"/>
      <c r="BQ688" s="27"/>
      <c r="BR688" s="27"/>
      <c r="BS688" s="27"/>
      <c r="BT688" s="27"/>
      <c r="BU688" s="27"/>
      <c r="BV688" s="27"/>
      <c r="BW688" s="27"/>
      <c r="BX688" s="27"/>
      <c r="BY688" s="27"/>
      <c r="BZ688" s="27"/>
      <c r="CA688" s="27"/>
      <c r="CB688" s="27"/>
      <c r="CC688" s="27"/>
      <c r="CD688" s="27"/>
      <c r="CE688" s="27"/>
      <c r="CF688" s="27"/>
      <c r="CG688" s="27"/>
      <c r="CH688" s="27"/>
      <c r="CI688" s="27"/>
      <c r="CJ688" s="27"/>
      <c r="CK688" s="27"/>
      <c r="CL688" s="27"/>
      <c r="CM688" s="27"/>
      <c r="CN688" s="27"/>
      <c r="CO688" s="27"/>
      <c r="CP688" s="27"/>
      <c r="CQ688" s="27"/>
      <c r="CR688" s="27"/>
      <c r="CS688" s="27"/>
      <c r="CT688" s="27"/>
      <c r="CU688" s="27"/>
      <c r="CV688" s="27"/>
      <c r="CW688" s="27"/>
      <c r="CX688" s="27"/>
      <c r="CY688" s="27"/>
      <c r="CZ688" s="27"/>
      <c r="DA688" s="27"/>
      <c r="DB688" s="27"/>
      <c r="DC688" s="27"/>
      <c r="DD688" s="27"/>
      <c r="DE688" s="27"/>
      <c r="DF688" s="27"/>
      <c r="DG688" s="27"/>
      <c r="DH688" s="27"/>
      <c r="DI688" s="27"/>
      <c r="DJ688" s="27"/>
      <c r="DK688" s="27"/>
      <c r="DL688" s="27"/>
      <c r="DM688" s="27"/>
      <c r="DN688" s="27"/>
      <c r="DO688" s="27"/>
      <c r="DP688" s="27"/>
      <c r="DQ688" s="27"/>
      <c r="DR688" s="27"/>
      <c r="DS688" s="27"/>
      <c r="DT688" s="27"/>
    </row>
    <row r="689" spans="7:124" x14ac:dyDescent="0.2">
      <c r="G689" s="27"/>
      <c r="H689" s="27"/>
      <c r="I689" s="27"/>
      <c r="J689" s="27"/>
      <c r="K689" s="27"/>
      <c r="L689" s="27"/>
      <c r="M689" s="27"/>
      <c r="N689" s="27"/>
      <c r="O689" s="27"/>
      <c r="P689" s="27"/>
      <c r="Q689" s="27"/>
      <c r="R689" s="27"/>
      <c r="S689" s="27"/>
      <c r="T689" s="27"/>
      <c r="U689" s="27"/>
      <c r="V689" s="27"/>
      <c r="W689" s="27"/>
      <c r="X689" s="27"/>
      <c r="Y689" s="27"/>
      <c r="Z689" s="27"/>
      <c r="AA689" s="27"/>
      <c r="AB689" s="27"/>
      <c r="AC689" s="27"/>
      <c r="AD689" s="27"/>
      <c r="AE689" s="27"/>
      <c r="AF689" s="27"/>
      <c r="AG689" s="27"/>
      <c r="AH689" s="27"/>
      <c r="AI689" s="27"/>
      <c r="AJ689" s="27"/>
      <c r="AK689" s="27"/>
      <c r="AL689" s="27"/>
      <c r="AM689" s="27"/>
      <c r="AN689" s="27"/>
      <c r="AO689" s="27"/>
      <c r="AP689" s="27"/>
      <c r="AQ689" s="27"/>
      <c r="AR689" s="27"/>
      <c r="AS689" s="27"/>
      <c r="AT689" s="27"/>
      <c r="AU689" s="27"/>
      <c r="AV689" s="27"/>
      <c r="AW689" s="27"/>
      <c r="AX689" s="27"/>
      <c r="AY689" s="27"/>
      <c r="AZ689" s="27"/>
      <c r="BA689" s="27"/>
      <c r="BB689" s="27"/>
      <c r="BC689" s="27"/>
      <c r="BD689" s="27"/>
      <c r="BE689" s="27"/>
      <c r="BF689" s="27"/>
      <c r="BG689" s="27"/>
      <c r="BH689" s="27"/>
      <c r="BI689" s="27"/>
      <c r="BJ689" s="27"/>
      <c r="BK689" s="27"/>
      <c r="BL689" s="27"/>
      <c r="BM689" s="27"/>
      <c r="BN689" s="27"/>
      <c r="BO689" s="27"/>
      <c r="BP689" s="27"/>
      <c r="BQ689" s="27"/>
      <c r="BR689" s="27"/>
      <c r="BS689" s="27"/>
      <c r="BT689" s="27"/>
      <c r="BU689" s="27"/>
      <c r="BV689" s="27"/>
      <c r="BW689" s="27"/>
      <c r="BX689" s="27"/>
      <c r="BY689" s="27"/>
      <c r="BZ689" s="27"/>
      <c r="CA689" s="27"/>
      <c r="CB689" s="27"/>
      <c r="CC689" s="27"/>
      <c r="CD689" s="27"/>
      <c r="CE689" s="27"/>
      <c r="CF689" s="27"/>
      <c r="CG689" s="27"/>
      <c r="CH689" s="27"/>
      <c r="CI689" s="27"/>
      <c r="CJ689" s="27"/>
      <c r="CK689" s="27"/>
      <c r="CL689" s="27"/>
      <c r="CM689" s="27"/>
      <c r="CN689" s="27"/>
      <c r="CO689" s="27"/>
      <c r="CP689" s="27"/>
      <c r="CQ689" s="27"/>
      <c r="CR689" s="27"/>
      <c r="CS689" s="27"/>
      <c r="CT689" s="27"/>
      <c r="CU689" s="27"/>
      <c r="CV689" s="27"/>
      <c r="CW689" s="27"/>
      <c r="CX689" s="27"/>
      <c r="CY689" s="27"/>
      <c r="CZ689" s="27"/>
      <c r="DA689" s="27"/>
      <c r="DB689" s="27"/>
      <c r="DC689" s="27"/>
      <c r="DD689" s="27"/>
      <c r="DE689" s="27"/>
      <c r="DF689" s="27"/>
      <c r="DG689" s="27"/>
      <c r="DH689" s="27"/>
      <c r="DI689" s="27"/>
      <c r="DJ689" s="27"/>
      <c r="DK689" s="27"/>
      <c r="DL689" s="27"/>
      <c r="DM689" s="27"/>
      <c r="DN689" s="27"/>
      <c r="DO689" s="27"/>
      <c r="DP689" s="27"/>
      <c r="DQ689" s="27"/>
      <c r="DR689" s="27"/>
      <c r="DS689" s="27"/>
      <c r="DT689" s="27"/>
    </row>
    <row r="690" spans="7:124" x14ac:dyDescent="0.2">
      <c r="G690" s="27"/>
      <c r="H690" s="27"/>
      <c r="I690" s="27"/>
      <c r="J690" s="27"/>
      <c r="K690" s="27"/>
      <c r="L690" s="27"/>
      <c r="M690" s="27"/>
      <c r="N690" s="27"/>
      <c r="O690" s="27"/>
      <c r="P690" s="27"/>
      <c r="Q690" s="27"/>
      <c r="R690" s="27"/>
      <c r="S690" s="27"/>
      <c r="T690" s="27"/>
      <c r="U690" s="27"/>
      <c r="V690" s="27"/>
      <c r="W690" s="27"/>
      <c r="X690" s="27"/>
      <c r="Y690" s="27"/>
      <c r="Z690" s="27"/>
      <c r="AA690" s="27"/>
      <c r="AB690" s="27"/>
      <c r="AC690" s="27"/>
      <c r="AD690" s="27"/>
      <c r="AE690" s="27"/>
      <c r="AF690" s="27"/>
      <c r="AG690" s="27"/>
      <c r="AH690" s="27"/>
      <c r="AI690" s="27"/>
      <c r="AJ690" s="27"/>
      <c r="AK690" s="27"/>
      <c r="AL690" s="27"/>
      <c r="AM690" s="27"/>
      <c r="AN690" s="27"/>
      <c r="AO690" s="27"/>
      <c r="AP690" s="27"/>
      <c r="AQ690" s="27"/>
      <c r="AR690" s="27"/>
      <c r="AS690" s="27"/>
      <c r="AT690" s="27"/>
      <c r="AU690" s="27"/>
      <c r="AV690" s="27"/>
      <c r="AW690" s="27"/>
      <c r="AX690" s="27"/>
      <c r="AY690" s="27"/>
      <c r="AZ690" s="27"/>
      <c r="BA690" s="27"/>
      <c r="BB690" s="27"/>
      <c r="BC690" s="27"/>
      <c r="BD690" s="27"/>
      <c r="BE690" s="27"/>
      <c r="BF690" s="27"/>
      <c r="BG690" s="27"/>
      <c r="BH690" s="27"/>
      <c r="BI690" s="27"/>
      <c r="BJ690" s="27"/>
      <c r="BK690" s="27"/>
      <c r="BL690" s="27"/>
      <c r="BM690" s="27"/>
      <c r="BN690" s="27"/>
      <c r="BO690" s="27"/>
      <c r="BP690" s="27"/>
      <c r="BQ690" s="27"/>
      <c r="BR690" s="27"/>
      <c r="BS690" s="27"/>
      <c r="BT690" s="27"/>
      <c r="BU690" s="27"/>
      <c r="BV690" s="27"/>
      <c r="BW690" s="27"/>
      <c r="BX690" s="27"/>
      <c r="BY690" s="27"/>
      <c r="BZ690" s="27"/>
      <c r="CA690" s="27"/>
      <c r="CB690" s="27"/>
      <c r="CC690" s="27"/>
      <c r="CD690" s="27"/>
      <c r="CE690" s="27"/>
      <c r="CF690" s="27"/>
      <c r="CG690" s="27"/>
      <c r="CH690" s="27"/>
      <c r="CI690" s="27"/>
      <c r="CJ690" s="27"/>
      <c r="CK690" s="27"/>
      <c r="CL690" s="27"/>
      <c r="CM690" s="27"/>
      <c r="CN690" s="27"/>
      <c r="CO690" s="27"/>
      <c r="CP690" s="27"/>
      <c r="CQ690" s="27"/>
      <c r="CR690" s="27"/>
      <c r="CS690" s="27"/>
      <c r="CT690" s="27"/>
      <c r="CU690" s="27"/>
      <c r="CV690" s="27"/>
      <c r="CW690" s="27"/>
      <c r="CX690" s="27"/>
      <c r="CY690" s="27"/>
      <c r="CZ690" s="27"/>
      <c r="DA690" s="27"/>
      <c r="DB690" s="27"/>
      <c r="DC690" s="27"/>
      <c r="DD690" s="27"/>
      <c r="DE690" s="27"/>
      <c r="DF690" s="27"/>
      <c r="DG690" s="27"/>
      <c r="DH690" s="27"/>
      <c r="DI690" s="27"/>
      <c r="DJ690" s="27"/>
      <c r="DK690" s="27"/>
      <c r="DL690" s="27"/>
      <c r="DM690" s="27"/>
      <c r="DN690" s="27"/>
      <c r="DO690" s="27"/>
      <c r="DP690" s="27"/>
      <c r="DQ690" s="27"/>
      <c r="DR690" s="27"/>
      <c r="DS690" s="27"/>
      <c r="DT690" s="27"/>
    </row>
    <row r="691" spans="7:124" x14ac:dyDescent="0.2">
      <c r="G691" s="27"/>
      <c r="H691" s="27"/>
      <c r="I691" s="27"/>
      <c r="J691" s="27"/>
      <c r="K691" s="27"/>
      <c r="L691" s="27"/>
      <c r="M691" s="27"/>
      <c r="N691" s="27"/>
      <c r="O691" s="27"/>
      <c r="P691" s="27"/>
      <c r="Q691" s="27"/>
      <c r="R691" s="27"/>
      <c r="S691" s="27"/>
      <c r="T691" s="27"/>
      <c r="U691" s="27"/>
      <c r="V691" s="27"/>
      <c r="W691" s="27"/>
      <c r="X691" s="27"/>
      <c r="Y691" s="27"/>
      <c r="Z691" s="27"/>
      <c r="AA691" s="27"/>
      <c r="AB691" s="27"/>
      <c r="AC691" s="27"/>
      <c r="AD691" s="27"/>
      <c r="AE691" s="27"/>
      <c r="AF691" s="27"/>
      <c r="AG691" s="27"/>
      <c r="AH691" s="27"/>
      <c r="AI691" s="27"/>
      <c r="AJ691" s="27"/>
      <c r="AK691" s="27"/>
      <c r="AL691" s="27"/>
      <c r="AM691" s="27"/>
      <c r="AN691" s="27"/>
      <c r="AO691" s="27"/>
      <c r="AP691" s="27"/>
      <c r="AQ691" s="27"/>
      <c r="AR691" s="27"/>
      <c r="AS691" s="27"/>
      <c r="AT691" s="27"/>
      <c r="AU691" s="27"/>
      <c r="AV691" s="27"/>
      <c r="AW691" s="27"/>
      <c r="AX691" s="27"/>
      <c r="AY691" s="27"/>
      <c r="AZ691" s="27"/>
      <c r="BA691" s="27"/>
      <c r="BB691" s="27"/>
      <c r="BC691" s="27"/>
      <c r="BD691" s="27"/>
      <c r="BE691" s="27"/>
      <c r="BF691" s="27"/>
      <c r="BG691" s="27"/>
      <c r="BH691" s="27"/>
      <c r="BI691" s="27"/>
      <c r="BJ691" s="27"/>
      <c r="BK691" s="27"/>
      <c r="BL691" s="27"/>
      <c r="BM691" s="27"/>
      <c r="BN691" s="27"/>
      <c r="BO691" s="27"/>
      <c r="BP691" s="27"/>
      <c r="BQ691" s="27"/>
      <c r="BR691" s="27"/>
      <c r="BS691" s="27"/>
      <c r="BT691" s="27"/>
      <c r="BU691" s="27"/>
      <c r="BV691" s="27"/>
      <c r="BW691" s="27"/>
      <c r="BX691" s="27"/>
      <c r="BY691" s="27"/>
      <c r="BZ691" s="27"/>
      <c r="CA691" s="27"/>
      <c r="CB691" s="27"/>
      <c r="CC691" s="27"/>
      <c r="CD691" s="27"/>
      <c r="CE691" s="27"/>
      <c r="CF691" s="27"/>
      <c r="CG691" s="27"/>
      <c r="CH691" s="27"/>
      <c r="CI691" s="27"/>
      <c r="CJ691" s="27"/>
      <c r="CK691" s="27"/>
      <c r="CL691" s="27"/>
      <c r="CM691" s="27"/>
      <c r="CN691" s="27"/>
      <c r="CO691" s="27"/>
      <c r="CP691" s="27"/>
      <c r="CQ691" s="27"/>
      <c r="CR691" s="27"/>
      <c r="CS691" s="27"/>
      <c r="CT691" s="27"/>
      <c r="CU691" s="27"/>
      <c r="CV691" s="27"/>
      <c r="CW691" s="27"/>
      <c r="CX691" s="27"/>
      <c r="CY691" s="27"/>
      <c r="CZ691" s="27"/>
      <c r="DA691" s="27"/>
      <c r="DB691" s="27"/>
      <c r="DC691" s="27"/>
      <c r="DD691" s="27"/>
      <c r="DE691" s="27"/>
      <c r="DF691" s="27"/>
      <c r="DG691" s="27"/>
      <c r="DH691" s="27"/>
      <c r="DI691" s="27"/>
      <c r="DJ691" s="27"/>
      <c r="DK691" s="27"/>
      <c r="DL691" s="27"/>
      <c r="DM691" s="27"/>
      <c r="DN691" s="27"/>
      <c r="DO691" s="27"/>
      <c r="DP691" s="27"/>
      <c r="DQ691" s="27"/>
      <c r="DR691" s="27"/>
      <c r="DS691" s="27"/>
      <c r="DT691" s="27"/>
    </row>
    <row r="692" spans="7:124" x14ac:dyDescent="0.2">
      <c r="G692" s="27"/>
      <c r="H692" s="27"/>
      <c r="I692" s="27"/>
      <c r="J692" s="27"/>
      <c r="K692" s="27"/>
      <c r="L692" s="27"/>
      <c r="M692" s="27"/>
      <c r="N692" s="27"/>
      <c r="O692" s="27"/>
      <c r="P692" s="27"/>
      <c r="Q692" s="27"/>
      <c r="R692" s="27"/>
      <c r="S692" s="27"/>
      <c r="T692" s="27"/>
      <c r="U692" s="27"/>
      <c r="V692" s="27"/>
      <c r="W692" s="27"/>
      <c r="X692" s="27"/>
      <c r="Y692" s="27"/>
      <c r="Z692" s="27"/>
      <c r="AA692" s="27"/>
      <c r="AB692" s="27"/>
      <c r="AC692" s="27"/>
      <c r="AD692" s="27"/>
      <c r="AE692" s="27"/>
      <c r="AF692" s="27"/>
      <c r="AG692" s="27"/>
      <c r="AH692" s="27"/>
      <c r="AI692" s="27"/>
      <c r="AJ692" s="27"/>
      <c r="AK692" s="27"/>
      <c r="AL692" s="27"/>
      <c r="AM692" s="27"/>
      <c r="AN692" s="27"/>
      <c r="AO692" s="27"/>
      <c r="AP692" s="27"/>
      <c r="AQ692" s="27"/>
      <c r="AR692" s="27"/>
      <c r="AS692" s="27"/>
      <c r="AT692" s="27"/>
      <c r="AU692" s="27"/>
      <c r="AV692" s="27"/>
      <c r="AW692" s="27"/>
      <c r="AX692" s="27"/>
      <c r="AY692" s="27"/>
      <c r="AZ692" s="27"/>
      <c r="BA692" s="27"/>
      <c r="BB692" s="27"/>
      <c r="BC692" s="27"/>
      <c r="BD692" s="27"/>
      <c r="BE692" s="27"/>
      <c r="BF692" s="27"/>
      <c r="BG692" s="27"/>
      <c r="BH692" s="27"/>
      <c r="BI692" s="27"/>
      <c r="BJ692" s="27"/>
      <c r="BK692" s="27"/>
      <c r="BL692" s="27"/>
      <c r="BM692" s="27"/>
      <c r="BN692" s="27"/>
      <c r="BO692" s="27"/>
      <c r="BP692" s="27"/>
      <c r="BQ692" s="27"/>
      <c r="BR692" s="27"/>
      <c r="BS692" s="27"/>
      <c r="BT692" s="27"/>
      <c r="BU692" s="27"/>
      <c r="BV692" s="27"/>
      <c r="BW692" s="27"/>
      <c r="BX692" s="27"/>
      <c r="BY692" s="27"/>
      <c r="BZ692" s="27"/>
      <c r="CA692" s="27"/>
      <c r="CB692" s="27"/>
      <c r="CC692" s="27"/>
      <c r="CD692" s="27"/>
      <c r="CE692" s="27"/>
      <c r="CF692" s="27"/>
      <c r="CG692" s="27"/>
      <c r="CH692" s="27"/>
      <c r="CI692" s="27"/>
      <c r="CJ692" s="27"/>
      <c r="CK692" s="27"/>
      <c r="CL692" s="27"/>
      <c r="CM692" s="27"/>
      <c r="CN692" s="27"/>
      <c r="CO692" s="27"/>
      <c r="CP692" s="27"/>
      <c r="CQ692" s="27"/>
      <c r="CR692" s="27"/>
      <c r="CS692" s="27"/>
      <c r="CT692" s="27"/>
      <c r="CU692" s="27"/>
      <c r="CV692" s="27"/>
      <c r="CW692" s="27"/>
      <c r="CX692" s="27"/>
      <c r="CY692" s="27"/>
      <c r="CZ692" s="27"/>
      <c r="DA692" s="27"/>
      <c r="DB692" s="27"/>
      <c r="DC692" s="27"/>
      <c r="DD692" s="27"/>
      <c r="DE692" s="27"/>
      <c r="DF692" s="27"/>
      <c r="DG692" s="27"/>
      <c r="DH692" s="27"/>
      <c r="DI692" s="27"/>
      <c r="DJ692" s="27"/>
      <c r="DK692" s="27"/>
      <c r="DL692" s="27"/>
      <c r="DM692" s="27"/>
      <c r="DN692" s="27"/>
      <c r="DO692" s="27"/>
      <c r="DP692" s="27"/>
      <c r="DQ692" s="27"/>
      <c r="DR692" s="27"/>
      <c r="DS692" s="27"/>
      <c r="DT692" s="27"/>
    </row>
    <row r="693" spans="7:124" x14ac:dyDescent="0.2">
      <c r="G693" s="27"/>
      <c r="H693" s="27"/>
      <c r="I693" s="27"/>
      <c r="J693" s="27"/>
      <c r="K693" s="27"/>
      <c r="L693" s="27"/>
      <c r="M693" s="27"/>
      <c r="N693" s="27"/>
      <c r="O693" s="27"/>
      <c r="P693" s="27"/>
      <c r="Q693" s="27"/>
      <c r="R693" s="27"/>
      <c r="S693" s="27"/>
      <c r="T693" s="27"/>
      <c r="U693" s="27"/>
      <c r="V693" s="27"/>
      <c r="W693" s="27"/>
      <c r="X693" s="27"/>
      <c r="Y693" s="27"/>
      <c r="Z693" s="27"/>
      <c r="AA693" s="27"/>
      <c r="AB693" s="27"/>
      <c r="AC693" s="27"/>
      <c r="AD693" s="27"/>
      <c r="AE693" s="27"/>
      <c r="AF693" s="27"/>
      <c r="AG693" s="27"/>
      <c r="AH693" s="27"/>
      <c r="AI693" s="27"/>
      <c r="AJ693" s="27"/>
      <c r="AK693" s="27"/>
      <c r="AL693" s="27"/>
      <c r="AM693" s="27"/>
      <c r="AN693" s="27"/>
      <c r="AO693" s="27"/>
      <c r="AP693" s="27"/>
      <c r="AQ693" s="27"/>
      <c r="AR693" s="27"/>
      <c r="AS693" s="27"/>
      <c r="AT693" s="27"/>
      <c r="AU693" s="27"/>
      <c r="AV693" s="27"/>
      <c r="AW693" s="27"/>
      <c r="AX693" s="27"/>
      <c r="AY693" s="27"/>
      <c r="AZ693" s="27"/>
      <c r="BA693" s="27"/>
      <c r="BB693" s="27"/>
      <c r="BC693" s="27"/>
      <c r="BD693" s="27"/>
      <c r="BE693" s="27"/>
      <c r="BF693" s="27"/>
      <c r="BG693" s="27"/>
      <c r="BH693" s="27"/>
      <c r="BI693" s="27"/>
      <c r="BJ693" s="27"/>
      <c r="BK693" s="27"/>
      <c r="BL693" s="27"/>
      <c r="BM693" s="27"/>
      <c r="BN693" s="27"/>
      <c r="BO693" s="27"/>
      <c r="BP693" s="27"/>
      <c r="BQ693" s="27"/>
      <c r="BR693" s="27"/>
      <c r="BS693" s="27"/>
      <c r="BT693" s="27"/>
      <c r="BU693" s="27"/>
      <c r="BV693" s="27"/>
      <c r="BW693" s="27"/>
      <c r="BX693" s="27"/>
      <c r="BY693" s="27"/>
      <c r="BZ693" s="27"/>
      <c r="CA693" s="27"/>
      <c r="CB693" s="27"/>
      <c r="CC693" s="27"/>
      <c r="CD693" s="27"/>
      <c r="CE693" s="27"/>
      <c r="CF693" s="27"/>
      <c r="CG693" s="27"/>
      <c r="CH693" s="27"/>
      <c r="CI693" s="27"/>
      <c r="CJ693" s="27"/>
      <c r="CK693" s="27"/>
      <c r="CL693" s="27"/>
      <c r="CM693" s="27"/>
      <c r="CN693" s="27"/>
      <c r="CO693" s="27"/>
      <c r="CP693" s="27"/>
      <c r="CQ693" s="27"/>
      <c r="CR693" s="27"/>
      <c r="CS693" s="27"/>
      <c r="CT693" s="27"/>
      <c r="CU693" s="27"/>
      <c r="CV693" s="27"/>
      <c r="CW693" s="27"/>
      <c r="CX693" s="27"/>
      <c r="CY693" s="27"/>
      <c r="CZ693" s="27"/>
      <c r="DA693" s="27"/>
      <c r="DB693" s="27"/>
      <c r="DC693" s="27"/>
      <c r="DD693" s="27"/>
      <c r="DE693" s="27"/>
      <c r="DF693" s="27"/>
      <c r="DG693" s="27"/>
      <c r="DH693" s="27"/>
      <c r="DI693" s="27"/>
      <c r="DJ693" s="27"/>
      <c r="DK693" s="27"/>
      <c r="DL693" s="27"/>
      <c r="DM693" s="27"/>
      <c r="DN693" s="27"/>
      <c r="DO693" s="27"/>
      <c r="DP693" s="27"/>
      <c r="DQ693" s="27"/>
      <c r="DR693" s="27"/>
      <c r="DS693" s="27"/>
      <c r="DT693" s="27"/>
    </row>
    <row r="694" spans="7:124" x14ac:dyDescent="0.2">
      <c r="G694" s="27"/>
      <c r="H694" s="27"/>
      <c r="I694" s="27"/>
      <c r="J694" s="27"/>
      <c r="K694" s="27"/>
      <c r="L694" s="27"/>
      <c r="M694" s="27"/>
      <c r="N694" s="27"/>
      <c r="O694" s="27"/>
      <c r="P694" s="27"/>
      <c r="Q694" s="27"/>
      <c r="R694" s="27"/>
      <c r="S694" s="27"/>
      <c r="T694" s="27"/>
      <c r="U694" s="27"/>
      <c r="V694" s="27"/>
      <c r="W694" s="27"/>
      <c r="X694" s="27"/>
      <c r="Y694" s="27"/>
      <c r="Z694" s="27"/>
      <c r="AA694" s="27"/>
      <c r="AB694" s="27"/>
      <c r="AC694" s="27"/>
      <c r="AD694" s="27"/>
      <c r="AE694" s="27"/>
      <c r="AF694" s="27"/>
      <c r="AG694" s="27"/>
      <c r="AH694" s="27"/>
      <c r="AI694" s="27"/>
      <c r="AJ694" s="27"/>
      <c r="AK694" s="27"/>
      <c r="AL694" s="27"/>
      <c r="AM694" s="27"/>
      <c r="AN694" s="27"/>
      <c r="AO694" s="27"/>
      <c r="AP694" s="27"/>
      <c r="AQ694" s="27"/>
      <c r="AR694" s="27"/>
      <c r="AS694" s="27"/>
      <c r="AT694" s="27"/>
      <c r="AU694" s="27"/>
      <c r="AV694" s="27"/>
      <c r="AW694" s="27"/>
      <c r="AX694" s="27"/>
      <c r="AY694" s="27"/>
      <c r="AZ694" s="27"/>
      <c r="BA694" s="27"/>
      <c r="BB694" s="27"/>
      <c r="BC694" s="27"/>
      <c r="BD694" s="27"/>
      <c r="BE694" s="27"/>
      <c r="BF694" s="27"/>
      <c r="BG694" s="27"/>
      <c r="BH694" s="27"/>
      <c r="BI694" s="27"/>
      <c r="BJ694" s="27"/>
      <c r="BK694" s="27"/>
      <c r="BL694" s="27"/>
      <c r="BM694" s="27"/>
      <c r="BN694" s="27"/>
      <c r="BO694" s="27"/>
      <c r="BP694" s="27"/>
      <c r="BQ694" s="27"/>
      <c r="BR694" s="27"/>
      <c r="BS694" s="27"/>
      <c r="BT694" s="27"/>
      <c r="BU694" s="27"/>
      <c r="BV694" s="27"/>
      <c r="BW694" s="27"/>
      <c r="BX694" s="27"/>
      <c r="BY694" s="27"/>
      <c r="BZ694" s="27"/>
      <c r="CA694" s="27"/>
      <c r="CB694" s="27"/>
      <c r="CC694" s="27"/>
      <c r="CD694" s="27"/>
      <c r="CE694" s="27"/>
      <c r="CF694" s="27"/>
      <c r="CG694" s="27"/>
      <c r="CH694" s="27"/>
      <c r="CI694" s="27"/>
      <c r="CJ694" s="27"/>
      <c r="CK694" s="27"/>
      <c r="CL694" s="27"/>
      <c r="CM694" s="27"/>
      <c r="CN694" s="27"/>
      <c r="CO694" s="27"/>
      <c r="CP694" s="27"/>
      <c r="CQ694" s="27"/>
      <c r="CR694" s="27"/>
      <c r="CS694" s="27"/>
      <c r="CT694" s="27"/>
      <c r="CU694" s="27"/>
      <c r="CV694" s="27"/>
      <c r="CW694" s="27"/>
      <c r="CX694" s="27"/>
      <c r="CY694" s="27"/>
      <c r="CZ694" s="27"/>
      <c r="DA694" s="27"/>
      <c r="DB694" s="27"/>
      <c r="DC694" s="27"/>
      <c r="DD694" s="27"/>
      <c r="DE694" s="27"/>
      <c r="DF694" s="27"/>
      <c r="DG694" s="27"/>
      <c r="DH694" s="27"/>
      <c r="DI694" s="27"/>
      <c r="DJ694" s="27"/>
      <c r="DK694" s="27"/>
      <c r="DL694" s="27"/>
      <c r="DM694" s="27"/>
      <c r="DN694" s="27"/>
      <c r="DO694" s="27"/>
      <c r="DP694" s="27"/>
      <c r="DQ694" s="27"/>
      <c r="DR694" s="27"/>
      <c r="DS694" s="27"/>
      <c r="DT694" s="27"/>
    </row>
    <row r="695" spans="7:124" x14ac:dyDescent="0.2">
      <c r="G695" s="27"/>
      <c r="H695" s="27"/>
      <c r="I695" s="27"/>
      <c r="J695" s="27"/>
      <c r="K695" s="27"/>
      <c r="L695" s="27"/>
      <c r="M695" s="27"/>
      <c r="N695" s="27"/>
      <c r="O695" s="27"/>
      <c r="P695" s="27"/>
      <c r="Q695" s="27"/>
      <c r="R695" s="27"/>
      <c r="S695" s="27"/>
      <c r="T695" s="27"/>
      <c r="U695" s="27"/>
      <c r="V695" s="27"/>
      <c r="W695" s="27"/>
      <c r="X695" s="27"/>
      <c r="Y695" s="27"/>
      <c r="Z695" s="27"/>
      <c r="AA695" s="27"/>
      <c r="AB695" s="27"/>
      <c r="AC695" s="27"/>
      <c r="AD695" s="27"/>
      <c r="AE695" s="27"/>
      <c r="AF695" s="27"/>
      <c r="AG695" s="27"/>
      <c r="AH695" s="27"/>
      <c r="AI695" s="27"/>
      <c r="AJ695" s="27"/>
      <c r="AK695" s="27"/>
      <c r="AL695" s="27"/>
      <c r="AM695" s="27"/>
      <c r="AN695" s="27"/>
      <c r="AO695" s="27"/>
      <c r="AP695" s="27"/>
      <c r="AQ695" s="27"/>
      <c r="AR695" s="27"/>
      <c r="AS695" s="27"/>
      <c r="AT695" s="27"/>
      <c r="AU695" s="27"/>
      <c r="AV695" s="27"/>
      <c r="AW695" s="27"/>
      <c r="AX695" s="27"/>
      <c r="AY695" s="27"/>
      <c r="AZ695" s="27"/>
      <c r="BA695" s="27"/>
      <c r="BB695" s="27"/>
      <c r="BC695" s="27"/>
      <c r="BD695" s="27"/>
      <c r="BE695" s="27"/>
      <c r="BF695" s="27"/>
      <c r="BG695" s="27"/>
      <c r="BH695" s="27"/>
      <c r="BI695" s="27"/>
      <c r="BJ695" s="27"/>
      <c r="BK695" s="27"/>
      <c r="BL695" s="27"/>
      <c r="BM695" s="27"/>
      <c r="BN695" s="27"/>
      <c r="BO695" s="27"/>
      <c r="BP695" s="27"/>
      <c r="BQ695" s="27"/>
      <c r="BR695" s="27"/>
      <c r="BS695" s="27"/>
      <c r="BT695" s="27"/>
      <c r="BU695" s="27"/>
      <c r="BV695" s="27"/>
      <c r="BW695" s="27"/>
      <c r="BX695" s="27"/>
      <c r="BY695" s="27"/>
      <c r="BZ695" s="27"/>
      <c r="CA695" s="27"/>
      <c r="CB695" s="27"/>
      <c r="CC695" s="27"/>
      <c r="CD695" s="27"/>
      <c r="CE695" s="27"/>
      <c r="CF695" s="27"/>
      <c r="CG695" s="27"/>
      <c r="CH695" s="27"/>
      <c r="CI695" s="27"/>
      <c r="CJ695" s="27"/>
      <c r="CK695" s="27"/>
      <c r="CL695" s="27"/>
      <c r="CM695" s="27"/>
      <c r="CN695" s="27"/>
      <c r="CO695" s="27"/>
      <c r="CP695" s="27"/>
      <c r="CQ695" s="27"/>
      <c r="CR695" s="27"/>
      <c r="CS695" s="27"/>
      <c r="CT695" s="27"/>
      <c r="CU695" s="27"/>
      <c r="CV695" s="27"/>
      <c r="CW695" s="27"/>
      <c r="CX695" s="27"/>
      <c r="CY695" s="27"/>
      <c r="CZ695" s="27"/>
      <c r="DA695" s="27"/>
      <c r="DB695" s="27"/>
      <c r="DC695" s="27"/>
      <c r="DD695" s="27"/>
      <c r="DE695" s="27"/>
      <c r="DF695" s="27"/>
      <c r="DG695" s="27"/>
      <c r="DH695" s="27"/>
      <c r="DI695" s="27"/>
      <c r="DJ695" s="27"/>
      <c r="DK695" s="27"/>
      <c r="DL695" s="27"/>
      <c r="DM695" s="27"/>
      <c r="DN695" s="27"/>
      <c r="DO695" s="27"/>
      <c r="DP695" s="27"/>
      <c r="DQ695" s="27"/>
      <c r="DR695" s="27"/>
      <c r="DS695" s="27"/>
      <c r="DT695" s="27"/>
    </row>
    <row r="696" spans="7:124" x14ac:dyDescent="0.2">
      <c r="G696" s="27"/>
      <c r="H696" s="27"/>
      <c r="I696" s="27"/>
      <c r="J696" s="27"/>
      <c r="K696" s="27"/>
      <c r="L696" s="27"/>
      <c r="M696" s="27"/>
      <c r="N696" s="27"/>
      <c r="O696" s="27"/>
      <c r="P696" s="27"/>
      <c r="Q696" s="27"/>
      <c r="R696" s="27"/>
      <c r="S696" s="27"/>
      <c r="T696" s="27"/>
      <c r="U696" s="27"/>
      <c r="V696" s="27"/>
      <c r="W696" s="27"/>
      <c r="X696" s="27"/>
      <c r="Y696" s="27"/>
      <c r="Z696" s="27"/>
      <c r="AA696" s="27"/>
      <c r="AB696" s="27"/>
      <c r="AC696" s="27"/>
      <c r="AD696" s="27"/>
      <c r="AE696" s="27"/>
      <c r="AF696" s="27"/>
      <c r="AG696" s="27"/>
      <c r="AH696" s="27"/>
      <c r="AI696" s="27"/>
      <c r="AJ696" s="27"/>
      <c r="AK696" s="27"/>
      <c r="AL696" s="27"/>
      <c r="AM696" s="27"/>
      <c r="AN696" s="27"/>
      <c r="AO696" s="27"/>
      <c r="AP696" s="27"/>
      <c r="AQ696" s="27"/>
      <c r="AR696" s="27"/>
      <c r="AS696" s="27"/>
      <c r="AT696" s="27"/>
      <c r="AU696" s="27"/>
      <c r="AV696" s="27"/>
      <c r="AW696" s="27"/>
      <c r="AX696" s="27"/>
      <c r="AY696" s="27"/>
      <c r="AZ696" s="27"/>
      <c r="BA696" s="27"/>
      <c r="BB696" s="27"/>
      <c r="BC696" s="27"/>
      <c r="BD696" s="27"/>
      <c r="BE696" s="27"/>
      <c r="BF696" s="27"/>
      <c r="BG696" s="27"/>
      <c r="BH696" s="27"/>
      <c r="BI696" s="27"/>
      <c r="BJ696" s="27"/>
      <c r="BK696" s="27"/>
      <c r="BL696" s="27"/>
      <c r="BM696" s="27"/>
      <c r="BN696" s="27"/>
      <c r="BO696" s="27"/>
      <c r="BP696" s="27"/>
      <c r="BQ696" s="27"/>
      <c r="BR696" s="27"/>
      <c r="BS696" s="27"/>
      <c r="BT696" s="27"/>
      <c r="BU696" s="27"/>
      <c r="BV696" s="27"/>
      <c r="BW696" s="27"/>
      <c r="BX696" s="27"/>
      <c r="BY696" s="27"/>
      <c r="BZ696" s="27"/>
      <c r="CA696" s="27"/>
      <c r="CB696" s="27"/>
      <c r="CC696" s="27"/>
      <c r="CD696" s="27"/>
      <c r="CE696" s="27"/>
      <c r="CF696" s="27"/>
      <c r="CG696" s="27"/>
      <c r="CH696" s="27"/>
      <c r="CI696" s="27"/>
      <c r="CJ696" s="27"/>
      <c r="CK696" s="27"/>
      <c r="CL696" s="27"/>
      <c r="CM696" s="27"/>
      <c r="CN696" s="27"/>
      <c r="CO696" s="27"/>
      <c r="CP696" s="27"/>
      <c r="CQ696" s="27"/>
      <c r="CR696" s="27"/>
      <c r="CS696" s="27"/>
      <c r="CT696" s="27"/>
      <c r="CU696" s="27"/>
      <c r="CV696" s="27"/>
      <c r="CW696" s="27"/>
      <c r="CX696" s="27"/>
      <c r="CY696" s="27"/>
      <c r="CZ696" s="27"/>
      <c r="DA696" s="27"/>
      <c r="DB696" s="27"/>
      <c r="DC696" s="27"/>
      <c r="DD696" s="27"/>
      <c r="DE696" s="27"/>
      <c r="DF696" s="27"/>
      <c r="DG696" s="27"/>
      <c r="DH696" s="27"/>
      <c r="DI696" s="27"/>
      <c r="DJ696" s="27"/>
      <c r="DK696" s="27"/>
      <c r="DL696" s="27"/>
      <c r="DM696" s="27"/>
      <c r="DN696" s="27"/>
      <c r="DO696" s="27"/>
      <c r="DP696" s="27"/>
      <c r="DQ696" s="27"/>
      <c r="DR696" s="27"/>
      <c r="DS696" s="27"/>
      <c r="DT696" s="27"/>
    </row>
    <row r="697" spans="7:124" x14ac:dyDescent="0.2">
      <c r="G697" s="27"/>
      <c r="H697" s="27"/>
      <c r="I697" s="27"/>
      <c r="J697" s="27"/>
      <c r="K697" s="27"/>
      <c r="L697" s="27"/>
      <c r="M697" s="27"/>
      <c r="N697" s="27"/>
      <c r="O697" s="27"/>
      <c r="P697" s="27"/>
      <c r="Q697" s="27"/>
      <c r="R697" s="27"/>
      <c r="S697" s="27"/>
      <c r="T697" s="27"/>
      <c r="U697" s="27"/>
      <c r="V697" s="27"/>
      <c r="W697" s="27"/>
      <c r="X697" s="27"/>
      <c r="Y697" s="27"/>
      <c r="Z697" s="27"/>
      <c r="AA697" s="27"/>
      <c r="AB697" s="27"/>
      <c r="AC697" s="27"/>
      <c r="AD697" s="27"/>
      <c r="AE697" s="27"/>
      <c r="AF697" s="27"/>
      <c r="AG697" s="27"/>
      <c r="AH697" s="27"/>
      <c r="AI697" s="27"/>
      <c r="AJ697" s="27"/>
      <c r="AK697" s="27"/>
      <c r="AL697" s="27"/>
      <c r="AM697" s="27"/>
      <c r="AN697" s="27"/>
      <c r="AO697" s="27"/>
      <c r="AP697" s="27"/>
      <c r="AQ697" s="27"/>
      <c r="AR697" s="27"/>
      <c r="AS697" s="27"/>
      <c r="AT697" s="27"/>
      <c r="AU697" s="27"/>
      <c r="AV697" s="27"/>
      <c r="AW697" s="27"/>
      <c r="AX697" s="27"/>
      <c r="AY697" s="27"/>
      <c r="AZ697" s="27"/>
      <c r="BA697" s="27"/>
      <c r="BB697" s="27"/>
      <c r="BC697" s="27"/>
      <c r="BD697" s="27"/>
      <c r="BE697" s="27"/>
      <c r="BF697" s="27"/>
      <c r="BG697" s="27"/>
      <c r="BH697" s="27"/>
      <c r="BI697" s="27"/>
      <c r="BJ697" s="27"/>
      <c r="BK697" s="27"/>
      <c r="BL697" s="27"/>
      <c r="BM697" s="27"/>
      <c r="BN697" s="27"/>
      <c r="BO697" s="27"/>
      <c r="BP697" s="27"/>
      <c r="BQ697" s="27"/>
      <c r="BR697" s="27"/>
      <c r="BS697" s="27"/>
      <c r="BT697" s="27"/>
      <c r="BU697" s="27"/>
      <c r="BV697" s="27"/>
      <c r="BW697" s="27"/>
      <c r="BX697" s="27"/>
      <c r="BY697" s="27"/>
      <c r="BZ697" s="27"/>
      <c r="CA697" s="27"/>
      <c r="CB697" s="27"/>
      <c r="CC697" s="27"/>
      <c r="CD697" s="27"/>
      <c r="CE697" s="27"/>
      <c r="CF697" s="27"/>
      <c r="CG697" s="27"/>
      <c r="CH697" s="27"/>
      <c r="CI697" s="27"/>
      <c r="CJ697" s="27"/>
      <c r="CK697" s="27"/>
      <c r="CL697" s="27"/>
      <c r="CM697" s="27"/>
      <c r="CN697" s="27"/>
      <c r="CO697" s="27"/>
      <c r="CP697" s="27"/>
      <c r="CQ697" s="27"/>
      <c r="CR697" s="27"/>
      <c r="CS697" s="27"/>
      <c r="CT697" s="27"/>
      <c r="CU697" s="27"/>
      <c r="CV697" s="27"/>
      <c r="CW697" s="27"/>
      <c r="CX697" s="27"/>
      <c r="CY697" s="27"/>
      <c r="CZ697" s="27"/>
      <c r="DA697" s="27"/>
      <c r="DB697" s="27"/>
      <c r="DC697" s="27"/>
      <c r="DD697" s="27"/>
      <c r="DE697" s="27"/>
      <c r="DF697" s="27"/>
      <c r="DG697" s="27"/>
      <c r="DH697" s="27"/>
      <c r="DI697" s="27"/>
      <c r="DJ697" s="27"/>
      <c r="DK697" s="27"/>
      <c r="DL697" s="27"/>
      <c r="DM697" s="27"/>
      <c r="DN697" s="27"/>
      <c r="DO697" s="27"/>
      <c r="DP697" s="27"/>
      <c r="DQ697" s="27"/>
      <c r="DR697" s="27"/>
      <c r="DS697" s="27"/>
      <c r="DT697" s="27"/>
    </row>
    <row r="698" spans="7:124" x14ac:dyDescent="0.2">
      <c r="G698" s="27"/>
      <c r="H698" s="27"/>
      <c r="I698" s="27"/>
      <c r="J698" s="27"/>
      <c r="K698" s="27"/>
      <c r="L698" s="27"/>
      <c r="M698" s="27"/>
      <c r="N698" s="27"/>
      <c r="O698" s="27"/>
      <c r="P698" s="27"/>
      <c r="Q698" s="27"/>
      <c r="R698" s="27"/>
      <c r="S698" s="27"/>
      <c r="T698" s="27"/>
      <c r="U698" s="27"/>
      <c r="V698" s="27"/>
      <c r="W698" s="27"/>
      <c r="X698" s="27"/>
      <c r="Y698" s="27"/>
      <c r="Z698" s="27"/>
      <c r="AA698" s="27"/>
      <c r="AB698" s="27"/>
      <c r="AC698" s="27"/>
      <c r="AD698" s="27"/>
      <c r="AE698" s="27"/>
      <c r="AF698" s="27"/>
      <c r="AG698" s="27"/>
      <c r="AH698" s="27"/>
      <c r="AI698" s="27"/>
      <c r="AJ698" s="27"/>
      <c r="AK698" s="27"/>
      <c r="AL698" s="27"/>
      <c r="AM698" s="27"/>
      <c r="AN698" s="27"/>
      <c r="AO698" s="27"/>
      <c r="AP698" s="27"/>
      <c r="AQ698" s="27"/>
      <c r="AR698" s="27"/>
      <c r="AS698" s="27"/>
      <c r="AT698" s="27"/>
      <c r="AU698" s="27"/>
      <c r="AV698" s="27"/>
      <c r="AW698" s="27"/>
      <c r="AX698" s="27"/>
      <c r="AY698" s="27"/>
      <c r="AZ698" s="27"/>
      <c r="BA698" s="27"/>
      <c r="BB698" s="27"/>
      <c r="BC698" s="27"/>
      <c r="BD698" s="27"/>
      <c r="BE698" s="27"/>
      <c r="BF698" s="27"/>
      <c r="BG698" s="27"/>
      <c r="BH698" s="27"/>
      <c r="BI698" s="27"/>
      <c r="BJ698" s="27"/>
      <c r="BK698" s="27"/>
      <c r="BL698" s="27"/>
      <c r="BM698" s="27"/>
      <c r="BN698" s="27"/>
      <c r="BO698" s="27"/>
      <c r="BP698" s="27"/>
      <c r="BQ698" s="27"/>
      <c r="BR698" s="27"/>
      <c r="BS698" s="27"/>
      <c r="BT698" s="27"/>
      <c r="BU698" s="27"/>
      <c r="BV698" s="27"/>
      <c r="BW698" s="27"/>
      <c r="BX698" s="27"/>
      <c r="BY698" s="27"/>
      <c r="BZ698" s="27"/>
      <c r="CA698" s="27"/>
      <c r="CB698" s="27"/>
      <c r="CC698" s="27"/>
      <c r="CD698" s="27"/>
      <c r="CE698" s="27"/>
      <c r="CF698" s="27"/>
      <c r="CG698" s="27"/>
      <c r="CH698" s="27"/>
      <c r="CI698" s="27"/>
      <c r="CJ698" s="27"/>
      <c r="CK698" s="27"/>
      <c r="CL698" s="27"/>
      <c r="CM698" s="27"/>
      <c r="CN698" s="27"/>
      <c r="CO698" s="27"/>
      <c r="CP698" s="27"/>
      <c r="CQ698" s="27"/>
      <c r="CR698" s="27"/>
      <c r="CS698" s="27"/>
      <c r="CT698" s="27"/>
      <c r="CU698" s="27"/>
      <c r="CV698" s="27"/>
      <c r="CW698" s="27"/>
      <c r="CX698" s="27"/>
      <c r="CY698" s="27"/>
      <c r="CZ698" s="27"/>
      <c r="DA698" s="27"/>
      <c r="DB698" s="27"/>
      <c r="DC698" s="27"/>
      <c r="DD698" s="27"/>
      <c r="DE698" s="27"/>
      <c r="DF698" s="27"/>
      <c r="DG698" s="27"/>
      <c r="DH698" s="27"/>
      <c r="DI698" s="27"/>
      <c r="DJ698" s="27"/>
      <c r="DK698" s="27"/>
      <c r="DL698" s="27"/>
      <c r="DM698" s="27"/>
      <c r="DN698" s="27"/>
      <c r="DO698" s="27"/>
      <c r="DP698" s="27"/>
      <c r="DQ698" s="27"/>
      <c r="DR698" s="27"/>
      <c r="DS698" s="27"/>
      <c r="DT698" s="27"/>
    </row>
    <row r="699" spans="7:124" x14ac:dyDescent="0.2">
      <c r="G699" s="27"/>
      <c r="H699" s="27"/>
      <c r="I699" s="27"/>
      <c r="J699" s="27"/>
      <c r="K699" s="27"/>
      <c r="L699" s="27"/>
      <c r="M699" s="27"/>
      <c r="N699" s="27"/>
      <c r="O699" s="27"/>
      <c r="P699" s="27"/>
      <c r="Q699" s="27"/>
      <c r="R699" s="27"/>
      <c r="S699" s="27"/>
      <c r="T699" s="27"/>
      <c r="U699" s="27"/>
      <c r="V699" s="27"/>
      <c r="W699" s="27"/>
      <c r="X699" s="27"/>
      <c r="Y699" s="27"/>
      <c r="Z699" s="27"/>
      <c r="AA699" s="27"/>
      <c r="AB699" s="27"/>
      <c r="AC699" s="27"/>
      <c r="AD699" s="27"/>
      <c r="AE699" s="27"/>
      <c r="AF699" s="27"/>
      <c r="AG699" s="27"/>
      <c r="AH699" s="27"/>
      <c r="AI699" s="27"/>
      <c r="AJ699" s="27"/>
      <c r="AK699" s="27"/>
      <c r="AL699" s="27"/>
      <c r="AM699" s="27"/>
      <c r="AN699" s="27"/>
      <c r="AO699" s="27"/>
      <c r="AP699" s="27"/>
      <c r="AQ699" s="27"/>
      <c r="AR699" s="27"/>
      <c r="AS699" s="27"/>
      <c r="AT699" s="27"/>
      <c r="AU699" s="27"/>
      <c r="AV699" s="27"/>
      <c r="AW699" s="27"/>
      <c r="AX699" s="27"/>
      <c r="AY699" s="27"/>
      <c r="AZ699" s="27"/>
      <c r="BA699" s="27"/>
      <c r="BB699" s="27"/>
      <c r="BC699" s="27"/>
      <c r="BD699" s="27"/>
      <c r="BE699" s="27"/>
      <c r="BF699" s="27"/>
      <c r="BG699" s="27"/>
      <c r="BH699" s="27"/>
      <c r="BI699" s="27"/>
      <c r="BJ699" s="27"/>
      <c r="BK699" s="27"/>
      <c r="BL699" s="27"/>
      <c r="BM699" s="27"/>
      <c r="BN699" s="27"/>
      <c r="BO699" s="27"/>
      <c r="BP699" s="27"/>
      <c r="BQ699" s="27"/>
      <c r="BR699" s="27"/>
      <c r="BS699" s="27"/>
      <c r="BT699" s="27"/>
      <c r="BU699" s="27"/>
      <c r="BV699" s="27"/>
      <c r="BW699" s="27"/>
      <c r="BX699" s="27"/>
      <c r="BY699" s="27"/>
      <c r="BZ699" s="27"/>
      <c r="CA699" s="27"/>
      <c r="CB699" s="27"/>
      <c r="CC699" s="27"/>
      <c r="CD699" s="27"/>
      <c r="CE699" s="27"/>
      <c r="CF699" s="27"/>
      <c r="CG699" s="27"/>
      <c r="CH699" s="27"/>
      <c r="CI699" s="27"/>
      <c r="CJ699" s="27"/>
      <c r="CK699" s="27"/>
      <c r="CL699" s="27"/>
      <c r="CM699" s="27"/>
      <c r="CN699" s="27"/>
      <c r="CO699" s="27"/>
      <c r="CP699" s="27"/>
      <c r="CQ699" s="27"/>
      <c r="CR699" s="27"/>
      <c r="CS699" s="27"/>
      <c r="CT699" s="27"/>
      <c r="CU699" s="27"/>
      <c r="CV699" s="27"/>
      <c r="CW699" s="27"/>
      <c r="CX699" s="27"/>
      <c r="CY699" s="27"/>
      <c r="CZ699" s="27"/>
      <c r="DA699" s="27"/>
      <c r="DB699" s="27"/>
      <c r="DC699" s="27"/>
      <c r="DD699" s="27"/>
      <c r="DE699" s="27"/>
      <c r="DF699" s="27"/>
      <c r="DG699" s="27"/>
      <c r="DH699" s="27"/>
      <c r="DI699" s="27"/>
      <c r="DJ699" s="27"/>
      <c r="DK699" s="27"/>
      <c r="DL699" s="27"/>
      <c r="DM699" s="27"/>
      <c r="DN699" s="27"/>
      <c r="DO699" s="27"/>
      <c r="DP699" s="27"/>
      <c r="DQ699" s="27"/>
      <c r="DR699" s="27"/>
      <c r="DS699" s="27"/>
      <c r="DT699" s="27"/>
    </row>
    <row r="700" spans="7:124" x14ac:dyDescent="0.2">
      <c r="G700" s="27"/>
      <c r="H700" s="27"/>
      <c r="I700" s="27"/>
      <c r="J700" s="27"/>
      <c r="K700" s="27"/>
      <c r="L700" s="27"/>
      <c r="M700" s="27"/>
      <c r="N700" s="27"/>
      <c r="O700" s="27"/>
      <c r="P700" s="27"/>
      <c r="Q700" s="27"/>
      <c r="R700" s="27"/>
      <c r="S700" s="27"/>
      <c r="T700" s="27"/>
      <c r="U700" s="27"/>
      <c r="V700" s="27"/>
      <c r="W700" s="27"/>
      <c r="X700" s="27"/>
      <c r="Y700" s="27"/>
      <c r="Z700" s="27"/>
      <c r="AA700" s="27"/>
      <c r="AB700" s="27"/>
      <c r="AC700" s="27"/>
      <c r="AD700" s="27"/>
      <c r="AE700" s="27"/>
      <c r="AF700" s="27"/>
      <c r="AG700" s="27"/>
      <c r="AH700" s="27"/>
      <c r="AI700" s="27"/>
      <c r="AJ700" s="27"/>
      <c r="AK700" s="27"/>
      <c r="AL700" s="27"/>
      <c r="AM700" s="27"/>
      <c r="AN700" s="27"/>
      <c r="AO700" s="27"/>
      <c r="AP700" s="27"/>
      <c r="AQ700" s="27"/>
      <c r="AR700" s="27"/>
      <c r="AS700" s="27"/>
      <c r="AT700" s="27"/>
      <c r="AU700" s="27"/>
      <c r="AV700" s="27"/>
      <c r="AW700" s="27"/>
      <c r="AX700" s="27"/>
      <c r="AY700" s="27"/>
      <c r="AZ700" s="27"/>
      <c r="BA700" s="27"/>
      <c r="BB700" s="27"/>
      <c r="BC700" s="27"/>
      <c r="BD700" s="27"/>
      <c r="BE700" s="27"/>
      <c r="BF700" s="27"/>
      <c r="BG700" s="27"/>
      <c r="BH700" s="27"/>
      <c r="BI700" s="27"/>
      <c r="BJ700" s="27"/>
      <c r="BK700" s="27"/>
      <c r="BL700" s="27"/>
      <c r="BM700" s="27"/>
      <c r="BN700" s="27"/>
      <c r="BO700" s="27"/>
      <c r="BP700" s="27"/>
      <c r="BQ700" s="27"/>
      <c r="BR700" s="27"/>
      <c r="BS700" s="27"/>
      <c r="BT700" s="27"/>
      <c r="BU700" s="27"/>
      <c r="BV700" s="27"/>
      <c r="BW700" s="27"/>
      <c r="BX700" s="27"/>
      <c r="BY700" s="27"/>
      <c r="BZ700" s="27"/>
      <c r="CA700" s="27"/>
      <c r="CB700" s="27"/>
      <c r="CC700" s="27"/>
      <c r="CD700" s="27"/>
      <c r="CE700" s="27"/>
      <c r="CF700" s="27"/>
      <c r="CG700" s="27"/>
      <c r="CH700" s="27"/>
      <c r="CI700" s="27"/>
      <c r="CJ700" s="27"/>
      <c r="CK700" s="27"/>
      <c r="CL700" s="27"/>
      <c r="CM700" s="27"/>
      <c r="CN700" s="27"/>
      <c r="CO700" s="27"/>
      <c r="CP700" s="27"/>
      <c r="CQ700" s="27"/>
      <c r="CR700" s="27"/>
      <c r="CS700" s="27"/>
      <c r="CT700" s="27"/>
      <c r="CU700" s="27"/>
      <c r="CV700" s="27"/>
      <c r="CW700" s="27"/>
      <c r="CX700" s="27"/>
      <c r="CY700" s="27"/>
      <c r="CZ700" s="27"/>
      <c r="DA700" s="27"/>
      <c r="DB700" s="27"/>
      <c r="DC700" s="27"/>
      <c r="DD700" s="27"/>
      <c r="DE700" s="27"/>
      <c r="DF700" s="27"/>
      <c r="DG700" s="27"/>
      <c r="DH700" s="27"/>
      <c r="DI700" s="27"/>
      <c r="DJ700" s="27"/>
      <c r="DK700" s="27"/>
      <c r="DL700" s="27"/>
      <c r="DM700" s="27"/>
      <c r="DN700" s="27"/>
      <c r="DO700" s="27"/>
      <c r="DP700" s="27"/>
      <c r="DQ700" s="27"/>
      <c r="DR700" s="27"/>
      <c r="DS700" s="27"/>
      <c r="DT700" s="27"/>
    </row>
    <row r="701" spans="7:124" x14ac:dyDescent="0.2">
      <c r="G701" s="27"/>
      <c r="H701" s="27"/>
      <c r="I701" s="27"/>
      <c r="J701" s="27"/>
      <c r="K701" s="27"/>
      <c r="L701" s="27"/>
      <c r="M701" s="27"/>
      <c r="N701" s="27"/>
      <c r="O701" s="27"/>
      <c r="P701" s="27"/>
      <c r="Q701" s="27"/>
      <c r="R701" s="27"/>
      <c r="S701" s="27"/>
      <c r="T701" s="27"/>
      <c r="U701" s="27"/>
      <c r="V701" s="27"/>
      <c r="W701" s="27"/>
      <c r="X701" s="27"/>
      <c r="Y701" s="27"/>
      <c r="Z701" s="27"/>
      <c r="AA701" s="27"/>
      <c r="AB701" s="27"/>
      <c r="AC701" s="27"/>
      <c r="AD701" s="27"/>
      <c r="AE701" s="27"/>
      <c r="AF701" s="27"/>
      <c r="AG701" s="27"/>
      <c r="AH701" s="27"/>
      <c r="AI701" s="27"/>
      <c r="AJ701" s="27"/>
      <c r="AK701" s="27"/>
      <c r="AL701" s="27"/>
      <c r="AM701" s="27"/>
      <c r="AN701" s="27"/>
      <c r="AO701" s="27"/>
      <c r="AP701" s="27"/>
      <c r="AQ701" s="27"/>
      <c r="AR701" s="27"/>
      <c r="AS701" s="27"/>
      <c r="AT701" s="27"/>
      <c r="AU701" s="27"/>
      <c r="AV701" s="27"/>
      <c r="AW701" s="27"/>
      <c r="AX701" s="27"/>
      <c r="AY701" s="27"/>
      <c r="AZ701" s="27"/>
      <c r="BA701" s="27"/>
      <c r="BB701" s="27"/>
      <c r="BC701" s="27"/>
      <c r="BD701" s="27"/>
      <c r="BE701" s="27"/>
      <c r="BF701" s="27"/>
      <c r="BG701" s="27"/>
      <c r="BH701" s="27"/>
      <c r="BI701" s="27"/>
      <c r="BJ701" s="27"/>
      <c r="BK701" s="27"/>
      <c r="BL701" s="27"/>
      <c r="BM701" s="27"/>
      <c r="BN701" s="27"/>
      <c r="BO701" s="27"/>
      <c r="BP701" s="27"/>
      <c r="BQ701" s="27"/>
      <c r="BR701" s="27"/>
      <c r="BS701" s="27"/>
      <c r="BT701" s="27"/>
      <c r="BU701" s="27"/>
      <c r="BV701" s="27"/>
      <c r="BW701" s="27"/>
      <c r="BX701" s="27"/>
      <c r="BY701" s="27"/>
      <c r="BZ701" s="27"/>
      <c r="CA701" s="27"/>
      <c r="CB701" s="27"/>
      <c r="CC701" s="27"/>
      <c r="CD701" s="27"/>
      <c r="CE701" s="27"/>
      <c r="CF701" s="27"/>
      <c r="CG701" s="27"/>
      <c r="CH701" s="27"/>
      <c r="CI701" s="27"/>
      <c r="CJ701" s="27"/>
      <c r="CK701" s="27"/>
      <c r="CL701" s="27"/>
      <c r="CM701" s="27"/>
      <c r="CN701" s="27"/>
      <c r="CO701" s="27"/>
      <c r="CP701" s="27"/>
      <c r="CQ701" s="27"/>
      <c r="CR701" s="27"/>
      <c r="CS701" s="27"/>
      <c r="CT701" s="27"/>
      <c r="CU701" s="27"/>
      <c r="CV701" s="27"/>
      <c r="CW701" s="27"/>
      <c r="CX701" s="27"/>
      <c r="CY701" s="27"/>
      <c r="CZ701" s="27"/>
      <c r="DA701" s="27"/>
      <c r="DB701" s="27"/>
      <c r="DC701" s="27"/>
      <c r="DD701" s="27"/>
      <c r="DE701" s="27"/>
      <c r="DF701" s="27"/>
      <c r="DG701" s="27"/>
      <c r="DH701" s="27"/>
      <c r="DI701" s="27"/>
      <c r="DJ701" s="27"/>
      <c r="DK701" s="27"/>
      <c r="DL701" s="27"/>
      <c r="DM701" s="27"/>
      <c r="DN701" s="27"/>
      <c r="DO701" s="27"/>
      <c r="DP701" s="27"/>
      <c r="DQ701" s="27"/>
      <c r="DR701" s="27"/>
      <c r="DS701" s="27"/>
      <c r="DT701" s="27"/>
    </row>
    <row r="702" spans="7:124" x14ac:dyDescent="0.2">
      <c r="G702" s="27"/>
      <c r="H702" s="27"/>
      <c r="I702" s="27"/>
      <c r="J702" s="27"/>
      <c r="K702" s="27"/>
      <c r="L702" s="27"/>
      <c r="M702" s="27"/>
      <c r="N702" s="27"/>
      <c r="O702" s="27"/>
      <c r="P702" s="27"/>
      <c r="Q702" s="27"/>
      <c r="R702" s="27"/>
      <c r="S702" s="27"/>
      <c r="T702" s="27"/>
      <c r="U702" s="27"/>
      <c r="V702" s="27"/>
      <c r="W702" s="27"/>
      <c r="X702" s="27"/>
      <c r="Y702" s="27"/>
      <c r="Z702" s="27"/>
      <c r="AA702" s="27"/>
      <c r="AB702" s="27"/>
      <c r="AC702" s="27"/>
      <c r="AD702" s="27"/>
      <c r="AE702" s="27"/>
      <c r="AF702" s="27"/>
      <c r="AG702" s="27"/>
      <c r="AH702" s="27"/>
      <c r="AI702" s="27"/>
      <c r="AJ702" s="27"/>
      <c r="AK702" s="27"/>
      <c r="AL702" s="27"/>
      <c r="AM702" s="27"/>
      <c r="AN702" s="27"/>
      <c r="AO702" s="27"/>
      <c r="AP702" s="27"/>
      <c r="AQ702" s="27"/>
      <c r="AR702" s="27"/>
      <c r="AS702" s="27"/>
      <c r="AT702" s="27"/>
      <c r="AU702" s="27"/>
      <c r="AV702" s="27"/>
      <c r="AW702" s="27"/>
      <c r="AX702" s="27"/>
      <c r="AY702" s="27"/>
      <c r="AZ702" s="27"/>
      <c r="BA702" s="27"/>
      <c r="BB702" s="27"/>
      <c r="BC702" s="27"/>
      <c r="BD702" s="27"/>
      <c r="BE702" s="27"/>
      <c r="BF702" s="27"/>
      <c r="BG702" s="27"/>
      <c r="BH702" s="27"/>
      <c r="BI702" s="27"/>
      <c r="BJ702" s="27"/>
      <c r="BK702" s="27"/>
      <c r="BL702" s="27"/>
      <c r="BM702" s="27"/>
      <c r="BN702" s="27"/>
      <c r="BO702" s="27"/>
      <c r="BP702" s="27"/>
      <c r="BQ702" s="27"/>
      <c r="BR702" s="27"/>
      <c r="BS702" s="27"/>
      <c r="BT702" s="27"/>
      <c r="BU702" s="27"/>
      <c r="BV702" s="27"/>
      <c r="BW702" s="27"/>
      <c r="BX702" s="27"/>
      <c r="BY702" s="27"/>
      <c r="BZ702" s="27"/>
      <c r="CA702" s="27"/>
      <c r="CB702" s="27"/>
      <c r="CC702" s="27"/>
      <c r="CD702" s="27"/>
      <c r="CE702" s="27"/>
      <c r="CF702" s="27"/>
      <c r="CG702" s="27"/>
      <c r="CH702" s="27"/>
      <c r="CI702" s="27"/>
      <c r="CJ702" s="27"/>
      <c r="CK702" s="27"/>
      <c r="CL702" s="27"/>
      <c r="CM702" s="27"/>
      <c r="CN702" s="27"/>
      <c r="CO702" s="27"/>
      <c r="CP702" s="27"/>
      <c r="CQ702" s="27"/>
      <c r="CR702" s="27"/>
      <c r="CS702" s="27"/>
      <c r="CT702" s="27"/>
      <c r="CU702" s="27"/>
      <c r="CV702" s="27"/>
      <c r="CW702" s="27"/>
      <c r="CX702" s="27"/>
      <c r="CY702" s="27"/>
      <c r="CZ702" s="27"/>
      <c r="DA702" s="27"/>
      <c r="DB702" s="27"/>
      <c r="DC702" s="27"/>
      <c r="DD702" s="27"/>
      <c r="DE702" s="27"/>
      <c r="DF702" s="27"/>
      <c r="DG702" s="27"/>
      <c r="DH702" s="27"/>
      <c r="DI702" s="27"/>
      <c r="DJ702" s="27"/>
      <c r="DK702" s="27"/>
      <c r="DL702" s="27"/>
      <c r="DM702" s="27"/>
      <c r="DN702" s="27"/>
      <c r="DO702" s="27"/>
      <c r="DP702" s="27"/>
      <c r="DQ702" s="27"/>
      <c r="DR702" s="27"/>
      <c r="DS702" s="27"/>
      <c r="DT702" s="27"/>
    </row>
    <row r="703" spans="7:124" x14ac:dyDescent="0.2">
      <c r="G703" s="27"/>
      <c r="H703" s="27"/>
      <c r="I703" s="27"/>
      <c r="J703" s="27"/>
      <c r="K703" s="27"/>
      <c r="L703" s="27"/>
      <c r="M703" s="27"/>
      <c r="N703" s="27"/>
      <c r="O703" s="27"/>
      <c r="P703" s="27"/>
      <c r="Q703" s="27"/>
      <c r="R703" s="27"/>
      <c r="S703" s="27"/>
      <c r="T703" s="27"/>
      <c r="U703" s="27"/>
      <c r="V703" s="27"/>
      <c r="W703" s="27"/>
      <c r="X703" s="27"/>
      <c r="Y703" s="27"/>
      <c r="Z703" s="27"/>
      <c r="AA703" s="27"/>
      <c r="AB703" s="27"/>
      <c r="AC703" s="27"/>
      <c r="AD703" s="27"/>
      <c r="AE703" s="27"/>
      <c r="AF703" s="27"/>
      <c r="AG703" s="27"/>
      <c r="AH703" s="27"/>
      <c r="AI703" s="27"/>
      <c r="AJ703" s="27"/>
      <c r="AK703" s="27"/>
      <c r="AL703" s="27"/>
      <c r="AM703" s="27"/>
      <c r="AN703" s="27"/>
      <c r="AO703" s="27"/>
      <c r="AP703" s="27"/>
      <c r="AQ703" s="27"/>
      <c r="AR703" s="27"/>
      <c r="AS703" s="27"/>
      <c r="AT703" s="27"/>
      <c r="AU703" s="27"/>
      <c r="AV703" s="27"/>
      <c r="AW703" s="27"/>
      <c r="AX703" s="27"/>
      <c r="AY703" s="27"/>
      <c r="AZ703" s="27"/>
      <c r="BA703" s="27"/>
      <c r="BB703" s="27"/>
      <c r="BC703" s="27"/>
      <c r="BD703" s="27"/>
      <c r="BE703" s="27"/>
      <c r="BF703" s="27"/>
      <c r="BG703" s="27"/>
      <c r="BH703" s="27"/>
      <c r="BI703" s="27"/>
      <c r="BJ703" s="27"/>
      <c r="BK703" s="27"/>
      <c r="BL703" s="27"/>
      <c r="BM703" s="27"/>
      <c r="BN703" s="27"/>
      <c r="BO703" s="27"/>
      <c r="BP703" s="27"/>
      <c r="BQ703" s="27"/>
      <c r="BR703" s="27"/>
      <c r="BS703" s="27"/>
      <c r="BT703" s="27"/>
      <c r="BU703" s="27"/>
      <c r="BV703" s="27"/>
      <c r="BW703" s="27"/>
      <c r="BX703" s="27"/>
      <c r="BY703" s="27"/>
      <c r="BZ703" s="27"/>
      <c r="CA703" s="27"/>
      <c r="CB703" s="27"/>
      <c r="CC703" s="27"/>
      <c r="CD703" s="27"/>
      <c r="CE703" s="27"/>
      <c r="CF703" s="27"/>
      <c r="CG703" s="27"/>
      <c r="CH703" s="27"/>
      <c r="CI703" s="27"/>
      <c r="CJ703" s="27"/>
      <c r="CK703" s="27"/>
      <c r="CL703" s="27"/>
      <c r="CM703" s="27"/>
      <c r="CN703" s="27"/>
      <c r="CO703" s="27"/>
      <c r="CP703" s="27"/>
      <c r="CQ703" s="27"/>
      <c r="CR703" s="27"/>
      <c r="CS703" s="27"/>
      <c r="CT703" s="27"/>
      <c r="CU703" s="27"/>
      <c r="CV703" s="27"/>
      <c r="CW703" s="27"/>
      <c r="CX703" s="27"/>
      <c r="CY703" s="27"/>
      <c r="CZ703" s="27"/>
      <c r="DA703" s="27"/>
      <c r="DB703" s="27"/>
      <c r="DC703" s="27"/>
      <c r="DD703" s="27"/>
      <c r="DE703" s="27"/>
      <c r="DF703" s="27"/>
      <c r="DG703" s="27"/>
      <c r="DH703" s="27"/>
      <c r="DI703" s="27"/>
      <c r="DJ703" s="27"/>
      <c r="DK703" s="27"/>
      <c r="DL703" s="27"/>
      <c r="DM703" s="27"/>
      <c r="DN703" s="27"/>
      <c r="DO703" s="27"/>
      <c r="DP703" s="27"/>
      <c r="DQ703" s="27"/>
      <c r="DR703" s="27"/>
      <c r="DS703" s="27"/>
      <c r="DT703" s="27"/>
    </row>
    <row r="704" spans="7:124" x14ac:dyDescent="0.2">
      <c r="G704" s="27"/>
      <c r="H704" s="27"/>
      <c r="I704" s="27"/>
      <c r="J704" s="27"/>
      <c r="K704" s="27"/>
      <c r="L704" s="27"/>
      <c r="M704" s="27"/>
      <c r="N704" s="27"/>
      <c r="O704" s="27"/>
      <c r="P704" s="27"/>
      <c r="Q704" s="27"/>
      <c r="R704" s="27" t="s">
        <v>55</v>
      </c>
      <c r="S704" s="27">
        <f>IF(BB770-INT(BB770)=0.5,1,0)</f>
        <v>0</v>
      </c>
      <c r="T704" s="27">
        <f>IF(S704=0,0,IF(BB770&lt;=7,3.75,4.25))</f>
        <v>0</v>
      </c>
      <c r="U704" s="27"/>
      <c r="V704" s="27" t="s">
        <v>56</v>
      </c>
      <c r="W704" s="27"/>
      <c r="X704" s="27"/>
      <c r="Y704" s="27"/>
      <c r="Z704" s="27"/>
      <c r="AA704" s="27"/>
      <c r="AB704" s="27"/>
      <c r="AC704" s="27"/>
      <c r="AD704" s="27"/>
      <c r="AE704" s="27"/>
      <c r="AF704" s="27"/>
      <c r="AG704" s="27"/>
      <c r="AH704" s="27"/>
      <c r="AI704" s="27" t="s">
        <v>57</v>
      </c>
      <c r="AJ704" s="27"/>
      <c r="AK704" s="27"/>
      <c r="AL704" s="27"/>
      <c r="AM704" s="27"/>
      <c r="AN704" s="27"/>
      <c r="AO704" s="27"/>
      <c r="AP704" s="27"/>
      <c r="AQ704" s="27"/>
      <c r="AR704" s="27"/>
      <c r="AS704" s="27"/>
      <c r="AT704" s="27"/>
      <c r="AU704" s="27"/>
      <c r="AV704" s="27" t="s">
        <v>58</v>
      </c>
      <c r="AW704" s="27"/>
      <c r="AX704" s="27"/>
      <c r="AY704" s="27"/>
      <c r="AZ704" s="27"/>
      <c r="BA704" s="27"/>
      <c r="BB704" s="27"/>
      <c r="BC704" s="27"/>
      <c r="BD704" s="27"/>
      <c r="BE704" s="27"/>
      <c r="BF704" s="27"/>
      <c r="BG704" s="27"/>
      <c r="BH704" s="27"/>
      <c r="BI704" s="27"/>
      <c r="BJ704" s="27"/>
      <c r="BK704" s="27"/>
      <c r="BL704" s="27"/>
      <c r="BM704" s="27"/>
      <c r="BN704" s="27"/>
      <c r="BO704" s="27"/>
      <c r="BP704" s="27"/>
      <c r="BQ704" s="27"/>
      <c r="BR704" s="27"/>
      <c r="BS704" s="27"/>
      <c r="BT704" s="27"/>
      <c r="BU704" s="27"/>
      <c r="BV704" s="27"/>
      <c r="BW704" s="27"/>
      <c r="BX704" s="27"/>
      <c r="BY704" s="27"/>
      <c r="BZ704" s="27"/>
      <c r="CA704" s="27"/>
      <c r="CB704" s="27"/>
      <c r="CC704" s="27"/>
      <c r="CD704" s="27"/>
      <c r="CE704" s="27"/>
      <c r="CF704" s="27"/>
      <c r="CG704" s="27"/>
      <c r="CH704" s="27"/>
      <c r="CI704" s="27"/>
      <c r="CJ704" s="27"/>
      <c r="CK704" s="27"/>
      <c r="CL704" s="27"/>
      <c r="CM704" s="27"/>
      <c r="CN704" s="27"/>
      <c r="CO704" s="27"/>
      <c r="CP704" s="27"/>
      <c r="CQ704" s="27"/>
      <c r="CR704" s="27"/>
      <c r="CS704" s="27"/>
      <c r="CT704" s="27"/>
      <c r="CU704" s="27"/>
      <c r="CV704" s="27"/>
      <c r="CW704" s="27"/>
      <c r="CX704" s="27"/>
      <c r="CY704" s="27"/>
      <c r="CZ704" s="27"/>
      <c r="DA704" s="27"/>
      <c r="DB704" s="27"/>
      <c r="DC704" s="27"/>
      <c r="DD704" s="27"/>
      <c r="DE704" s="27"/>
      <c r="DF704" s="27"/>
      <c r="DG704" s="27"/>
      <c r="DH704" s="27"/>
      <c r="DI704" s="27"/>
      <c r="DJ704" s="27"/>
      <c r="DK704" s="27"/>
      <c r="DL704" s="27"/>
      <c r="DM704" s="27"/>
      <c r="DN704" s="27"/>
      <c r="DO704" s="27"/>
      <c r="DP704" s="27"/>
      <c r="DQ704" s="27"/>
      <c r="DR704" s="27"/>
      <c r="DS704" s="27"/>
      <c r="DT704" s="27"/>
    </row>
    <row r="705" spans="7:124" x14ac:dyDescent="0.2">
      <c r="G705" s="27"/>
      <c r="H705" s="27"/>
      <c r="I705" s="27"/>
      <c r="J705" s="27"/>
      <c r="K705" s="27"/>
      <c r="L705" s="27"/>
      <c r="M705" s="27"/>
      <c r="N705" s="27"/>
      <c r="O705" s="27" t="s">
        <v>63</v>
      </c>
      <c r="P705" s="27" t="s">
        <v>27</v>
      </c>
      <c r="Q705" s="27"/>
      <c r="R705" s="27" t="s">
        <v>64</v>
      </c>
      <c r="S705" s="27">
        <v>0.03</v>
      </c>
      <c r="T705" s="27">
        <f>1+(T704/100)</f>
        <v>1</v>
      </c>
      <c r="U705" s="27"/>
      <c r="V705" s="27">
        <v>0</v>
      </c>
      <c r="W705" s="27">
        <v>0</v>
      </c>
      <c r="X705" s="27"/>
      <c r="Y705" s="27" t="s">
        <v>65</v>
      </c>
      <c r="Z705" s="27"/>
      <c r="AA705" s="27"/>
      <c r="AB705" s="27"/>
      <c r="AC705" s="27"/>
      <c r="AD705" s="27"/>
      <c r="AE705" s="27"/>
      <c r="AF705" s="27"/>
      <c r="AG705" s="27"/>
      <c r="AH705" s="27"/>
      <c r="AI705" s="27" t="s">
        <v>66</v>
      </c>
      <c r="AJ705" s="27"/>
      <c r="AK705" s="27"/>
      <c r="AL705" s="27"/>
      <c r="AM705" s="27"/>
      <c r="AN705" s="27"/>
      <c r="AO705" s="27">
        <v>4.5</v>
      </c>
      <c r="AP705" s="27">
        <f>N34*1.0375</f>
        <v>0</v>
      </c>
      <c r="AQ705" s="27"/>
      <c r="AR705" s="27"/>
      <c r="AS705" s="27"/>
      <c r="AT705" s="27"/>
      <c r="AU705" s="27"/>
      <c r="AV705" s="27">
        <v>0</v>
      </c>
      <c r="AW705" s="27">
        <v>0</v>
      </c>
      <c r="AX705" s="27"/>
      <c r="AY705" s="27"/>
      <c r="AZ705" s="27"/>
      <c r="BA705" s="27"/>
      <c r="BB705" s="27"/>
      <c r="BC705" s="27"/>
      <c r="BD705" s="27"/>
      <c r="BE705" s="27"/>
      <c r="BF705" s="27"/>
      <c r="BG705" s="27"/>
      <c r="BH705" s="27"/>
      <c r="BI705" s="27"/>
      <c r="BJ705" s="27"/>
      <c r="BK705" s="27"/>
      <c r="BL705" s="27"/>
      <c r="BM705" s="27"/>
      <c r="BN705" s="27"/>
      <c r="BO705" s="27"/>
      <c r="BP705" s="27"/>
      <c r="BQ705" s="27"/>
      <c r="BR705" s="27"/>
      <c r="BS705" s="27"/>
      <c r="BT705" s="27"/>
      <c r="BU705" s="27"/>
      <c r="BV705" s="27"/>
      <c r="BW705" s="27"/>
      <c r="BX705" s="27"/>
      <c r="BY705" s="27"/>
      <c r="BZ705" s="27"/>
      <c r="CA705" s="27"/>
      <c r="CB705" s="27"/>
      <c r="CC705" s="27"/>
      <c r="CD705" s="27"/>
      <c r="CE705" s="27"/>
      <c r="CF705" s="27"/>
      <c r="CG705" s="27"/>
      <c r="CH705" s="27"/>
      <c r="CI705" s="27"/>
      <c r="CJ705" s="27"/>
      <c r="CK705" s="27"/>
      <c r="CL705" s="27"/>
      <c r="CM705" s="27"/>
      <c r="CN705" s="27"/>
      <c r="CO705" s="27"/>
      <c r="CP705" s="27"/>
      <c r="CQ705" s="27"/>
      <c r="CR705" s="27"/>
      <c r="CS705" s="27"/>
      <c r="CT705" s="27"/>
      <c r="CU705" s="27"/>
      <c r="CV705" s="27"/>
      <c r="CW705" s="27"/>
      <c r="CX705" s="27"/>
      <c r="CY705" s="27"/>
      <c r="CZ705" s="27"/>
      <c r="DA705" s="27"/>
      <c r="DB705" s="27"/>
      <c r="DC705" s="27"/>
      <c r="DD705" s="27"/>
      <c r="DE705" s="27"/>
      <c r="DF705" s="27"/>
      <c r="DG705" s="27"/>
      <c r="DH705" s="27"/>
      <c r="DI705" s="27"/>
      <c r="DJ705" s="27"/>
      <c r="DK705" s="27"/>
      <c r="DL705" s="27"/>
      <c r="DM705" s="27"/>
      <c r="DN705" s="27"/>
      <c r="DO705" s="27"/>
      <c r="DP705" s="27"/>
      <c r="DQ705" s="27"/>
      <c r="DR705" s="27"/>
      <c r="DS705" s="27"/>
      <c r="DT705" s="27"/>
    </row>
    <row r="706" spans="7:124" x14ac:dyDescent="0.2">
      <c r="G706" s="27"/>
      <c r="H706" s="27"/>
      <c r="I706" s="27"/>
      <c r="J706" s="27"/>
      <c r="K706" s="27"/>
      <c r="L706" s="27"/>
      <c r="M706" s="27"/>
      <c r="N706" s="27"/>
      <c r="O706" s="27" t="s">
        <v>70</v>
      </c>
      <c r="P706" s="27" t="s">
        <v>71</v>
      </c>
      <c r="Q706" s="27"/>
      <c r="R706" s="27" t="s">
        <v>72</v>
      </c>
      <c r="S706" s="27">
        <v>4.8099999999999997E-2</v>
      </c>
      <c r="T706" s="27"/>
      <c r="U706" s="27"/>
      <c r="V706" s="27">
        <v>1</v>
      </c>
      <c r="W706" s="27">
        <v>0.47499999999999998</v>
      </c>
      <c r="X706" s="27" t="s">
        <v>59</v>
      </c>
      <c r="Y706" s="27">
        <v>0.09</v>
      </c>
      <c r="Z706" s="27" t="s">
        <v>73</v>
      </c>
      <c r="AA706" s="27"/>
      <c r="AB706" s="27"/>
      <c r="AC706" s="27"/>
      <c r="AD706" s="27"/>
      <c r="AE706" s="27" t="s">
        <v>497</v>
      </c>
      <c r="AF706" s="27"/>
      <c r="AG706" s="27"/>
      <c r="AH706" s="27"/>
      <c r="AI706" s="27">
        <v>1</v>
      </c>
      <c r="AJ706" s="27"/>
      <c r="AK706" s="27"/>
      <c r="AL706" s="27"/>
      <c r="AM706" s="27"/>
      <c r="AN706" s="27"/>
      <c r="AO706" s="27">
        <v>5</v>
      </c>
      <c r="AP706" s="27" t="e">
        <f>IF(#REF!=$BW$719,M824*1.05,M824)</f>
        <v>#REF!</v>
      </c>
      <c r="AQ706" s="27"/>
      <c r="AR706" s="27"/>
      <c r="AS706" s="27"/>
      <c r="AT706" s="27"/>
      <c r="AU706" s="27"/>
      <c r="AV706" s="27">
        <v>1</v>
      </c>
      <c r="AW706" s="27">
        <v>0</v>
      </c>
      <c r="AX706" s="27"/>
      <c r="AY706" s="27"/>
      <c r="AZ706" s="27"/>
      <c r="BA706" s="27"/>
      <c r="BB706" s="27"/>
      <c r="BC706" s="27"/>
      <c r="BD706" s="27"/>
      <c r="BE706" s="27"/>
      <c r="BF706" s="27"/>
      <c r="BG706" s="27"/>
      <c r="BH706" s="27"/>
      <c r="BI706" s="27"/>
      <c r="BJ706" s="27"/>
      <c r="BK706" s="27"/>
      <c r="BL706" s="27"/>
      <c r="BM706" s="27"/>
      <c r="BN706" s="27"/>
      <c r="BO706" s="27"/>
      <c r="BP706" s="27"/>
      <c r="BQ706" s="27"/>
      <c r="BR706" s="27"/>
      <c r="BS706" s="27"/>
      <c r="BT706" s="27"/>
      <c r="BU706" s="27"/>
      <c r="BV706" s="27"/>
      <c r="BW706" s="27"/>
      <c r="BX706" s="27"/>
      <c r="BY706" s="27"/>
      <c r="BZ706" s="27"/>
      <c r="CA706" s="27"/>
      <c r="CB706" s="27"/>
      <c r="CC706" s="27"/>
      <c r="CD706" s="27"/>
      <c r="CE706" s="27"/>
      <c r="CF706" s="27"/>
      <c r="CG706" s="27"/>
      <c r="CH706" s="27"/>
      <c r="CI706" s="27"/>
      <c r="CJ706" s="27"/>
      <c r="CK706" s="27"/>
      <c r="CL706" s="27"/>
      <c r="CM706" s="27"/>
      <c r="CN706" s="27"/>
      <c r="CO706" s="27"/>
      <c r="CP706" s="27"/>
      <c r="CQ706" s="27"/>
      <c r="CR706" s="27"/>
      <c r="CS706" s="27"/>
      <c r="CT706" s="27"/>
      <c r="CU706" s="27"/>
      <c r="CV706" s="27"/>
      <c r="CW706" s="27"/>
      <c r="CX706" s="27"/>
      <c r="CY706" s="27"/>
      <c r="CZ706" s="27"/>
      <c r="DA706" s="27"/>
      <c r="DB706" s="27"/>
      <c r="DC706" s="27"/>
      <c r="DD706" s="27"/>
      <c r="DE706" s="27"/>
      <c r="DF706" s="27"/>
      <c r="DG706" s="27"/>
      <c r="DH706" s="27"/>
      <c r="DI706" s="27"/>
      <c r="DJ706" s="27"/>
      <c r="DK706" s="27"/>
      <c r="DL706" s="27"/>
      <c r="DM706" s="27"/>
      <c r="DN706" s="27"/>
      <c r="DO706" s="27"/>
      <c r="DP706" s="27"/>
      <c r="DQ706" s="27"/>
      <c r="DR706" s="27"/>
      <c r="DS706" s="27"/>
      <c r="DT706" s="27"/>
    </row>
    <row r="707" spans="7:124" x14ac:dyDescent="0.2">
      <c r="G707" s="27"/>
      <c r="H707" s="27"/>
      <c r="I707" s="27"/>
      <c r="J707" s="27"/>
      <c r="K707" s="27"/>
      <c r="L707" s="27"/>
      <c r="M707" s="27"/>
      <c r="N707" s="27"/>
      <c r="O707" s="27" t="s">
        <v>75</v>
      </c>
      <c r="P707" s="27" t="s">
        <v>76</v>
      </c>
      <c r="Q707" s="27"/>
      <c r="R707" s="27"/>
      <c r="S707" s="27"/>
      <c r="T707" s="27"/>
      <c r="U707" s="27"/>
      <c r="V707" s="27">
        <v>2</v>
      </c>
      <c r="W707" s="27">
        <v>0.495</v>
      </c>
      <c r="X707" s="27" t="s">
        <v>59</v>
      </c>
      <c r="Y707" s="27">
        <v>8.2500000000000004E-2</v>
      </c>
      <c r="Z707" s="27" t="s">
        <v>77</v>
      </c>
      <c r="AA707" s="27"/>
      <c r="AB707" s="27"/>
      <c r="AC707" s="27"/>
      <c r="AD707" s="27"/>
      <c r="AE707" s="27" t="s">
        <v>157</v>
      </c>
      <c r="AF707" s="27" t="s">
        <v>71</v>
      </c>
      <c r="AG707" s="27"/>
      <c r="AH707" s="27"/>
      <c r="AI707" s="27">
        <v>1.5</v>
      </c>
      <c r="AJ707" s="27"/>
      <c r="AK707" s="27"/>
      <c r="AL707" s="27"/>
      <c r="AM707" s="27"/>
      <c r="AN707" s="27"/>
      <c r="AO707" s="27">
        <v>5.5</v>
      </c>
      <c r="AP707" s="27" t="e">
        <f>AP706*1.0375</f>
        <v>#REF!</v>
      </c>
      <c r="AQ707" s="27"/>
      <c r="AR707" s="27"/>
      <c r="AS707" s="27"/>
      <c r="AT707" s="27"/>
      <c r="AU707" s="27"/>
      <c r="AV707" s="27">
        <v>2</v>
      </c>
      <c r="AW707" s="27">
        <v>2.4E-2</v>
      </c>
      <c r="AX707" s="27"/>
      <c r="AY707" s="27"/>
      <c r="AZ707" s="27"/>
      <c r="BA707" s="27"/>
      <c r="BB707" s="27"/>
      <c r="BC707" s="27"/>
      <c r="BD707" s="27"/>
      <c r="BE707" s="27"/>
      <c r="BF707" s="27"/>
      <c r="BG707" s="27"/>
      <c r="BH707" s="27"/>
      <c r="BI707" s="27"/>
      <c r="BJ707" s="27"/>
      <c r="BK707" s="27"/>
      <c r="BL707" s="27"/>
      <c r="BM707" s="27"/>
      <c r="BN707" s="27"/>
      <c r="BO707" s="27"/>
      <c r="BP707" s="27"/>
      <c r="BQ707" s="27"/>
      <c r="BR707" s="27"/>
      <c r="BS707" s="27"/>
      <c r="BT707" s="27"/>
      <c r="BU707" s="27"/>
      <c r="BV707" s="27"/>
      <c r="BW707" s="27"/>
      <c r="BX707" s="27"/>
      <c r="BY707" s="27"/>
      <c r="BZ707" s="27"/>
      <c r="CA707" s="27"/>
      <c r="CB707" s="27"/>
      <c r="CC707" s="27"/>
      <c r="CD707" s="27"/>
      <c r="CE707" s="27"/>
      <c r="CF707" s="27"/>
      <c r="CG707" s="27"/>
      <c r="CH707" s="27"/>
      <c r="CI707" s="27"/>
      <c r="CJ707" s="27"/>
      <c r="CK707" s="27"/>
      <c r="CL707" s="27"/>
      <c r="CM707" s="27"/>
      <c r="CN707" s="27"/>
      <c r="CO707" s="27"/>
      <c r="CP707" s="27"/>
      <c r="CQ707" s="27"/>
      <c r="CR707" s="27"/>
      <c r="CS707" s="27"/>
      <c r="CT707" s="27"/>
      <c r="CU707" s="27"/>
      <c r="CV707" s="27"/>
      <c r="CW707" s="27"/>
      <c r="CX707" s="27"/>
      <c r="CY707" s="27"/>
      <c r="CZ707" s="27"/>
      <c r="DA707" s="27"/>
      <c r="DB707" s="27"/>
      <c r="DC707" s="27"/>
      <c r="DD707" s="27"/>
      <c r="DE707" s="27"/>
      <c r="DF707" s="27"/>
      <c r="DG707" s="27"/>
      <c r="DH707" s="27"/>
      <c r="DI707" s="27"/>
      <c r="DJ707" s="27"/>
      <c r="DK707" s="27"/>
      <c r="DL707" s="27"/>
      <c r="DM707" s="27"/>
      <c r="DN707" s="27"/>
      <c r="DO707" s="27"/>
      <c r="DP707" s="27"/>
      <c r="DQ707" s="27"/>
      <c r="DR707" s="27"/>
      <c r="DS707" s="27"/>
      <c r="DT707" s="27"/>
    </row>
    <row r="708" spans="7:124" x14ac:dyDescent="0.2">
      <c r="G708" s="27"/>
      <c r="H708" s="27"/>
      <c r="I708" s="27"/>
      <c r="J708" s="27"/>
      <c r="K708" s="27"/>
      <c r="L708" s="27"/>
      <c r="M708" s="27"/>
      <c r="N708" s="27"/>
      <c r="O708" s="27">
        <f ca="1">VLOOKUP(INT(O712),ofek4,Q712+2,FALSE)*(1+AB746/100)*T719*T705</f>
        <v>1.1025E-2</v>
      </c>
      <c r="P708" s="27">
        <f ca="1">VLOOKUP(INT(O712),ofek4,Q712+2,FALSE)*(1+AB746/100)*T719*T705</f>
        <v>1.1025E-2</v>
      </c>
      <c r="Q708" s="27"/>
      <c r="R708" s="27"/>
      <c r="S708" s="27"/>
      <c r="T708" s="27"/>
      <c r="U708" s="27"/>
      <c r="V708" s="27">
        <v>3</v>
      </c>
      <c r="W708" s="27">
        <v>0.51</v>
      </c>
      <c r="X708" s="27" t="s">
        <v>59</v>
      </c>
      <c r="Y708" s="27">
        <v>7.4999999999999997E-2</v>
      </c>
      <c r="Z708" s="27" t="s">
        <v>80</v>
      </c>
      <c r="AA708" s="27"/>
      <c r="AB708" s="27"/>
      <c r="AC708" s="27"/>
      <c r="AD708" s="27"/>
      <c r="AE708" s="27" t="s">
        <v>197</v>
      </c>
      <c r="AF708" s="27" t="s">
        <v>71</v>
      </c>
      <c r="AG708" s="27"/>
      <c r="AH708" s="27"/>
      <c r="AI708" s="27">
        <v>2</v>
      </c>
      <c r="AJ708" s="27"/>
      <c r="AK708" s="27"/>
      <c r="AL708" s="27"/>
      <c r="AM708" s="27"/>
      <c r="AN708" s="27"/>
      <c r="AO708" s="27">
        <v>6</v>
      </c>
      <c r="AP708" s="27" t="e">
        <f>IF(#REF!=$BW$719,M826*1.05,M826)</f>
        <v>#REF!</v>
      </c>
      <c r="AQ708" s="27"/>
      <c r="AR708" s="27"/>
      <c r="AS708" s="27"/>
      <c r="AT708" s="27"/>
      <c r="AU708" s="27"/>
      <c r="AV708" s="27">
        <v>3</v>
      </c>
      <c r="AW708" s="27">
        <v>4.8000000000000001E-2</v>
      </c>
      <c r="AX708" s="27"/>
      <c r="AY708" s="27"/>
      <c r="AZ708" s="27"/>
      <c r="BA708" s="27"/>
      <c r="BB708" s="27"/>
      <c r="BC708" s="27"/>
      <c r="BD708" s="27"/>
      <c r="BE708" s="27"/>
      <c r="BF708" s="27"/>
      <c r="BG708" s="27"/>
      <c r="BH708" s="27"/>
      <c r="BI708" s="27"/>
      <c r="BJ708" s="27"/>
      <c r="BK708" s="27"/>
      <c r="BL708" s="27"/>
      <c r="BM708" s="27"/>
      <c r="BN708" s="27"/>
      <c r="BO708" s="27"/>
      <c r="BP708" s="27"/>
      <c r="BQ708" s="27"/>
      <c r="BR708" s="27"/>
      <c r="BS708" s="27"/>
      <c r="BT708" s="27"/>
      <c r="BU708" s="27"/>
      <c r="BV708" s="27"/>
      <c r="BW708" s="27"/>
      <c r="BX708" s="27"/>
      <c r="BY708" s="27"/>
      <c r="BZ708" s="27"/>
      <c r="CA708" s="27"/>
      <c r="CB708" s="27"/>
      <c r="CC708" s="27"/>
      <c r="CD708" s="27"/>
      <c r="CE708" s="27"/>
      <c r="CF708" s="27"/>
      <c r="CG708" s="27"/>
      <c r="CH708" s="27"/>
      <c r="CI708" s="27"/>
      <c r="CJ708" s="27"/>
      <c r="CK708" s="27"/>
      <c r="CL708" s="27"/>
      <c r="CM708" s="27"/>
      <c r="CN708" s="27"/>
      <c r="CO708" s="27"/>
      <c r="CP708" s="27"/>
      <c r="CQ708" s="27"/>
      <c r="CR708" s="27"/>
      <c r="CS708" s="27"/>
      <c r="CT708" s="27"/>
      <c r="CU708" s="27"/>
      <c r="CV708" s="27"/>
      <c r="CW708" s="27"/>
      <c r="CX708" s="27"/>
      <c r="CY708" s="27"/>
      <c r="CZ708" s="27"/>
      <c r="DA708" s="27"/>
      <c r="DB708" s="27"/>
      <c r="DC708" s="27"/>
      <c r="DD708" s="27"/>
      <c r="DE708" s="27"/>
      <c r="DF708" s="27"/>
      <c r="DG708" s="27"/>
      <c r="DH708" s="27"/>
      <c r="DI708" s="27"/>
      <c r="DJ708" s="27"/>
      <c r="DK708" s="27"/>
      <c r="DL708" s="27"/>
      <c r="DM708" s="27"/>
      <c r="DN708" s="27"/>
      <c r="DO708" s="27"/>
      <c r="DP708" s="27"/>
      <c r="DQ708" s="27"/>
      <c r="DR708" s="27"/>
      <c r="DS708" s="27"/>
      <c r="DT708" s="27"/>
    </row>
    <row r="709" spans="7:124" x14ac:dyDescent="0.2">
      <c r="G709" s="27"/>
      <c r="H709" s="27"/>
      <c r="I709" s="27"/>
      <c r="J709" s="27"/>
      <c r="K709" s="27"/>
      <c r="L709" s="27"/>
      <c r="M709" s="27"/>
      <c r="N709" s="27"/>
      <c r="O709" s="27"/>
      <c r="P709" s="27"/>
      <c r="Q709" s="27"/>
      <c r="R709" s="27"/>
      <c r="S709" s="27" t="s">
        <v>84</v>
      </c>
      <c r="T709" s="27"/>
      <c r="U709" s="27"/>
      <c r="V709" s="27">
        <v>4</v>
      </c>
      <c r="W709" s="27">
        <v>0.53</v>
      </c>
      <c r="X709" s="27" t="s">
        <v>59</v>
      </c>
      <c r="Y709" s="27">
        <v>6.7500000000000004E-2</v>
      </c>
      <c r="Z709" s="27" t="s">
        <v>85</v>
      </c>
      <c r="AA709" s="27"/>
      <c r="AB709" s="27"/>
      <c r="AC709" s="27"/>
      <c r="AD709" s="27"/>
      <c r="AE709" s="27" t="s">
        <v>564</v>
      </c>
      <c r="AF709" s="27" t="s">
        <v>71</v>
      </c>
      <c r="AG709" s="27"/>
      <c r="AH709" s="27"/>
      <c r="AI709" s="27">
        <v>2.5</v>
      </c>
      <c r="AJ709" s="27"/>
      <c r="AK709" s="27"/>
      <c r="AL709" s="27"/>
      <c r="AM709" s="27"/>
      <c r="AN709" s="27"/>
      <c r="AO709" s="27">
        <v>6.5</v>
      </c>
      <c r="AP709" s="27" t="e">
        <f>AP708*1.0375</f>
        <v>#REF!</v>
      </c>
      <c r="AQ709" s="27"/>
      <c r="AR709" s="27"/>
      <c r="AS709" s="27"/>
      <c r="AT709" s="27"/>
      <c r="AU709" s="27"/>
      <c r="AV709" s="27">
        <v>4</v>
      </c>
      <c r="AW709" s="27">
        <v>7.1999999999999995E-2</v>
      </c>
      <c r="AX709" s="27"/>
      <c r="AY709" s="27"/>
      <c r="AZ709" s="27"/>
      <c r="BA709" s="27"/>
      <c r="BB709" s="27"/>
      <c r="BC709" s="27"/>
      <c r="BD709" s="27"/>
      <c r="BE709" s="27"/>
      <c r="BF709" s="27"/>
      <c r="BG709" s="27"/>
      <c r="BH709" s="27"/>
      <c r="BI709" s="27"/>
      <c r="BJ709" s="27"/>
      <c r="BK709" s="27"/>
      <c r="BL709" s="27"/>
      <c r="BM709" s="27"/>
      <c r="BN709" s="27"/>
      <c r="BO709" s="27"/>
      <c r="BP709" s="27"/>
      <c r="BQ709" s="27"/>
      <c r="BR709" s="27"/>
      <c r="BS709" s="27"/>
      <c r="BT709" s="27"/>
      <c r="BU709" s="27"/>
      <c r="BV709" s="27"/>
      <c r="BW709" s="27"/>
      <c r="BX709" s="27"/>
      <c r="BY709" s="27"/>
      <c r="BZ709" s="27"/>
      <c r="CA709" s="27"/>
      <c r="CB709" s="27"/>
      <c r="CC709" s="27"/>
      <c r="CD709" s="27"/>
      <c r="CE709" s="27"/>
      <c r="CF709" s="27"/>
      <c r="CG709" s="27"/>
      <c r="CH709" s="27"/>
      <c r="CI709" s="27"/>
      <c r="CJ709" s="27"/>
      <c r="CK709" s="27"/>
      <c r="CL709" s="27"/>
      <c r="CM709" s="27"/>
      <c r="CN709" s="27"/>
      <c r="CO709" s="27"/>
      <c r="CP709" s="27"/>
      <c r="CQ709" s="27"/>
      <c r="CR709" s="27"/>
      <c r="CS709" s="27"/>
      <c r="CT709" s="27"/>
      <c r="CU709" s="27"/>
      <c r="CV709" s="27"/>
      <c r="CW709" s="27"/>
      <c r="CX709" s="27"/>
      <c r="CY709" s="27"/>
      <c r="CZ709" s="27"/>
      <c r="DA709" s="27"/>
      <c r="DB709" s="27"/>
      <c r="DC709" s="27"/>
      <c r="DD709" s="27"/>
      <c r="DE709" s="27"/>
      <c r="DF709" s="27"/>
      <c r="DG709" s="27"/>
      <c r="DH709" s="27"/>
      <c r="DI709" s="27"/>
      <c r="DJ709" s="27"/>
      <c r="DK709" s="27"/>
      <c r="DL709" s="27"/>
      <c r="DM709" s="27"/>
      <c r="DN709" s="27"/>
      <c r="DO709" s="27"/>
      <c r="DP709" s="27"/>
      <c r="DQ709" s="27"/>
      <c r="DR709" s="27"/>
      <c r="DS709" s="27"/>
      <c r="DT709" s="27"/>
    </row>
    <row r="710" spans="7:124" x14ac:dyDescent="0.2">
      <c r="G710" s="27"/>
      <c r="H710" s="27"/>
      <c r="I710" s="27"/>
      <c r="J710" s="27"/>
      <c r="K710" s="27"/>
      <c r="L710" s="27"/>
      <c r="M710" s="27"/>
      <c r="N710" s="27"/>
      <c r="O710" s="27">
        <f ca="1">ROUND((I775-AL723)/365.25,2)</f>
        <v>65.84</v>
      </c>
      <c r="P710" s="27" t="s">
        <v>89</v>
      </c>
      <c r="Q710" s="27">
        <f>ROUND((AF735-AT720)/365.25,2)</f>
        <v>0.36</v>
      </c>
      <c r="R710" s="27"/>
      <c r="S710" s="27" t="s">
        <v>6</v>
      </c>
      <c r="T710" s="27"/>
      <c r="U710" s="27"/>
      <c r="V710" s="27">
        <v>5</v>
      </c>
      <c r="W710" s="27">
        <v>0.54500000000000004</v>
      </c>
      <c r="X710" s="27" t="s">
        <v>59</v>
      </c>
      <c r="Y710" s="27">
        <v>0.06</v>
      </c>
      <c r="Z710" s="27" t="s">
        <v>90</v>
      </c>
      <c r="AA710" s="27"/>
      <c r="AB710" s="27"/>
      <c r="AC710" s="27"/>
      <c r="AD710" s="27"/>
      <c r="AE710" s="27"/>
      <c r="AF710" s="27"/>
      <c r="AG710" s="27"/>
      <c r="AH710" s="27"/>
      <c r="AI710" s="27">
        <v>3</v>
      </c>
      <c r="AJ710" s="27"/>
      <c r="AK710" s="27"/>
      <c r="AL710" s="27"/>
      <c r="AM710" s="27"/>
      <c r="AN710" s="27"/>
      <c r="AO710" s="27">
        <v>7</v>
      </c>
      <c r="AP710" s="27" t="e">
        <f>IF(#REF!=$BW$719,M828*1.05,M828)</f>
        <v>#REF!</v>
      </c>
      <c r="AQ710" s="27"/>
      <c r="AR710" s="27"/>
      <c r="AS710" s="27"/>
      <c r="AT710" s="27"/>
      <c r="AU710" s="27"/>
      <c r="AV710" s="27">
        <v>5</v>
      </c>
      <c r="AW710" s="27">
        <v>9.6000000000000002E-2</v>
      </c>
      <c r="AX710" s="27"/>
      <c r="AY710" s="27"/>
      <c r="AZ710" s="27"/>
      <c r="BA710" s="27"/>
      <c r="BB710" s="27"/>
      <c r="BC710" s="27"/>
      <c r="BD710" s="27"/>
      <c r="BE710" s="27"/>
      <c r="BF710" s="27"/>
      <c r="BG710" s="27"/>
      <c r="BH710" s="27"/>
      <c r="BI710" s="27"/>
      <c r="BJ710" s="27"/>
      <c r="BK710" s="27"/>
      <c r="BL710" s="27"/>
      <c r="BM710" s="27"/>
      <c r="BN710" s="27"/>
      <c r="BO710" s="27"/>
      <c r="BP710" s="27"/>
      <c r="BQ710" s="27"/>
      <c r="BR710" s="27"/>
      <c r="BS710" s="27"/>
      <c r="BT710" s="27"/>
      <c r="BU710" s="27"/>
      <c r="BV710" s="27"/>
      <c r="BW710" s="27"/>
      <c r="BX710" s="27"/>
      <c r="BY710" s="27"/>
      <c r="BZ710" s="27"/>
      <c r="CA710" s="27"/>
      <c r="CB710" s="27"/>
      <c r="CC710" s="27"/>
      <c r="CD710" s="27"/>
      <c r="CE710" s="27"/>
      <c r="CF710" s="27"/>
      <c r="CG710" s="27"/>
      <c r="CH710" s="27"/>
      <c r="CI710" s="27"/>
      <c r="CJ710" s="27"/>
      <c r="CK710" s="27"/>
      <c r="CL710" s="27"/>
      <c r="CM710" s="27"/>
      <c r="CN710" s="27"/>
      <c r="CO710" s="27"/>
      <c r="CP710" s="27"/>
      <c r="CQ710" s="27"/>
      <c r="CR710" s="27"/>
      <c r="CS710" s="27"/>
      <c r="CT710" s="27"/>
      <c r="CU710" s="27"/>
      <c r="CV710" s="27"/>
      <c r="CW710" s="27"/>
      <c r="CX710" s="27"/>
      <c r="CY710" s="27"/>
      <c r="CZ710" s="27"/>
      <c r="DA710" s="27"/>
      <c r="DB710" s="27"/>
      <c r="DC710" s="27"/>
      <c r="DD710" s="27"/>
      <c r="DE710" s="27"/>
      <c r="DF710" s="27"/>
      <c r="DG710" s="27"/>
      <c r="DH710" s="27"/>
      <c r="DI710" s="27"/>
      <c r="DJ710" s="27"/>
      <c r="DK710" s="27"/>
      <c r="DL710" s="27"/>
      <c r="DM710" s="27"/>
      <c r="DN710" s="27"/>
      <c r="DO710" s="27"/>
      <c r="DP710" s="27"/>
      <c r="DQ710" s="27"/>
      <c r="DR710" s="27"/>
      <c r="DS710" s="27"/>
      <c r="DT710" s="27"/>
    </row>
    <row r="711" spans="7:124" x14ac:dyDescent="0.2">
      <c r="G711" s="27"/>
      <c r="H711" s="27"/>
      <c r="I711" s="27"/>
      <c r="J711" s="27"/>
      <c r="K711" s="27"/>
      <c r="L711" s="27"/>
      <c r="M711" s="27"/>
      <c r="N711" s="27"/>
      <c r="O711" s="27">
        <f ca="1">IF(BB769=CB719,59-O710,60-O710)</f>
        <v>-5.8400000000000034</v>
      </c>
      <c r="P711" s="27" t="s">
        <v>96</v>
      </c>
      <c r="Q711" s="27">
        <f ca="1">Q710+O711</f>
        <v>-5.4800000000000031</v>
      </c>
      <c r="R711" s="27"/>
      <c r="S711" s="27" t="s">
        <v>97</v>
      </c>
      <c r="T711" s="27"/>
      <c r="U711" s="27"/>
      <c r="V711" s="27">
        <v>6</v>
      </c>
      <c r="W711" s="27">
        <v>0.56499999999999995</v>
      </c>
      <c r="X711" s="27" t="s">
        <v>59</v>
      </c>
      <c r="Y711" s="27">
        <v>5.2499999999999998E-2</v>
      </c>
      <c r="Z711" s="27" t="s">
        <v>98</v>
      </c>
      <c r="AA711" s="27"/>
      <c r="AB711" s="27"/>
      <c r="AC711" s="27"/>
      <c r="AD711" s="27"/>
      <c r="AE711" s="27" t="e">
        <f>HLOOKUP(C51,kothor1,3,FALSE)</f>
        <v>#N/A</v>
      </c>
      <c r="AF711" s="27"/>
      <c r="AG711" s="27"/>
      <c r="AH711" s="27"/>
      <c r="AI711" s="27">
        <v>3.5</v>
      </c>
      <c r="AJ711" s="27"/>
      <c r="AK711" s="27"/>
      <c r="AL711" s="27"/>
      <c r="AM711" s="27"/>
      <c r="AN711" s="27"/>
      <c r="AO711" s="27">
        <v>7.5</v>
      </c>
      <c r="AP711" s="27" t="e">
        <f>AP710*1.0375</f>
        <v>#REF!</v>
      </c>
      <c r="AQ711" s="27"/>
      <c r="AR711" s="27"/>
      <c r="AS711" s="27"/>
      <c r="AT711" s="27"/>
      <c r="AU711" s="27"/>
      <c r="AV711" s="27">
        <v>6</v>
      </c>
      <c r="AW711" s="27">
        <v>0.12</v>
      </c>
      <c r="AX711" s="27"/>
      <c r="AY711" s="27"/>
      <c r="AZ711" s="27"/>
      <c r="BA711" s="27"/>
      <c r="BB711" s="27"/>
      <c r="BC711" s="27" t="s">
        <v>565</v>
      </c>
      <c r="BD711" s="27" t="s">
        <v>71</v>
      </c>
      <c r="BE711" s="27"/>
      <c r="BF711" s="27"/>
      <c r="BG711" s="27"/>
      <c r="BH711" s="27"/>
      <c r="BI711" s="27"/>
      <c r="BJ711" s="27"/>
      <c r="BK711" s="27"/>
      <c r="BL711" s="27"/>
      <c r="BM711" s="27"/>
      <c r="BN711" s="27"/>
      <c r="BO711" s="27"/>
      <c r="BP711" s="27"/>
      <c r="BQ711" s="27"/>
      <c r="BR711" s="27"/>
      <c r="BS711" s="27"/>
      <c r="BT711" s="27"/>
      <c r="BU711" s="27"/>
      <c r="BV711" s="27"/>
      <c r="BW711" s="27"/>
      <c r="BX711" s="27"/>
      <c r="BY711" s="27"/>
      <c r="BZ711" s="27"/>
      <c r="CA711" s="27"/>
      <c r="CB711" s="27"/>
      <c r="CC711" s="27"/>
      <c r="CD711" s="27"/>
      <c r="CE711" s="27"/>
      <c r="CF711" s="27"/>
      <c r="CG711" s="27"/>
      <c r="CH711" s="27"/>
      <c r="CI711" s="27"/>
      <c r="CJ711" s="27"/>
      <c r="CK711" s="27"/>
      <c r="CL711" s="27"/>
      <c r="CM711" s="27"/>
      <c r="CN711" s="27"/>
      <c r="CO711" s="27"/>
      <c r="CP711" s="27"/>
      <c r="CQ711" s="27"/>
      <c r="CR711" s="27"/>
      <c r="CS711" s="27"/>
      <c r="CT711" s="27"/>
      <c r="CU711" s="27"/>
      <c r="CV711" s="27"/>
      <c r="CW711" s="27"/>
      <c r="CX711" s="27"/>
      <c r="CY711" s="27"/>
      <c r="CZ711" s="27"/>
      <c r="DA711" s="27"/>
      <c r="DB711" s="27"/>
      <c r="DC711" s="27"/>
      <c r="DD711" s="27"/>
      <c r="DE711" s="27"/>
      <c r="DF711" s="27"/>
      <c r="DG711" s="27"/>
      <c r="DH711" s="27"/>
      <c r="DI711" s="27"/>
      <c r="DJ711" s="27"/>
      <c r="DK711" s="27"/>
      <c r="DL711" s="27"/>
      <c r="DM711" s="27"/>
      <c r="DN711" s="27"/>
      <c r="DO711" s="27"/>
      <c r="DP711" s="27"/>
      <c r="DQ711" s="27"/>
      <c r="DR711" s="27"/>
      <c r="DS711" s="27"/>
      <c r="DT711" s="27"/>
    </row>
    <row r="712" spans="7:124" x14ac:dyDescent="0.2">
      <c r="G712" s="27"/>
      <c r="H712" s="27"/>
      <c r="I712" s="27"/>
      <c r="J712" s="27"/>
      <c r="K712" s="27"/>
      <c r="L712" s="27"/>
      <c r="M712" s="27"/>
      <c r="N712" s="27"/>
      <c r="O712" s="27">
        <f ca="1">IF(AD738+O711&gt;36,36,AD738+O711)</f>
        <v>27.159999999999997</v>
      </c>
      <c r="P712" s="27" t="s">
        <v>104</v>
      </c>
      <c r="Q712" s="27">
        <f>E928</f>
        <v>0</v>
      </c>
      <c r="R712" s="27" t="s">
        <v>105</v>
      </c>
      <c r="S712" s="27" t="s">
        <v>106</v>
      </c>
      <c r="T712" s="27"/>
      <c r="U712" s="27"/>
      <c r="V712" s="27">
        <v>7</v>
      </c>
      <c r="W712" s="27">
        <v>0.58499999999999996</v>
      </c>
      <c r="X712" s="27" t="s">
        <v>59</v>
      </c>
      <c r="Y712" s="27">
        <v>4.4999999999999998E-2</v>
      </c>
      <c r="Z712" s="27" t="s">
        <v>107</v>
      </c>
      <c r="AA712" s="27"/>
      <c r="AB712" s="27"/>
      <c r="AC712" s="27"/>
      <c r="AD712" s="27"/>
      <c r="AE712" s="27"/>
      <c r="AF712" s="27"/>
      <c r="AG712" s="27"/>
      <c r="AH712" s="27"/>
      <c r="AI712" s="27">
        <v>4</v>
      </c>
      <c r="AJ712" s="27" t="s">
        <v>59</v>
      </c>
      <c r="AK712" s="27"/>
      <c r="AL712" s="27"/>
      <c r="AM712" s="27"/>
      <c r="AN712" s="27"/>
      <c r="AO712" s="27">
        <v>8</v>
      </c>
      <c r="AP712" s="27" t="e">
        <f>IF(#REF!=$BW$719,M830*1.05,M830)</f>
        <v>#REF!</v>
      </c>
      <c r="AQ712" s="27"/>
      <c r="AR712" s="27"/>
      <c r="AS712" s="27"/>
      <c r="AT712" s="27"/>
      <c r="AU712" s="27"/>
      <c r="AV712" s="27">
        <v>7</v>
      </c>
      <c r="AW712" s="27">
        <v>0.14399999999999999</v>
      </c>
      <c r="AX712" s="27"/>
      <c r="AY712" s="27"/>
      <c r="AZ712" s="27"/>
      <c r="BA712" s="27"/>
      <c r="BB712" s="27"/>
      <c r="BC712" s="27"/>
      <c r="BD712" s="27"/>
      <c r="BE712" s="27"/>
      <c r="BF712" s="27"/>
      <c r="BG712" s="27"/>
      <c r="BH712" s="27"/>
      <c r="BI712" s="27"/>
      <c r="BJ712" s="27"/>
      <c r="BK712" s="27"/>
      <c r="BL712" s="27"/>
      <c r="BM712" s="27"/>
      <c r="BN712" s="27"/>
      <c r="BO712" s="27"/>
      <c r="BP712" s="27"/>
      <c r="BQ712" s="27"/>
      <c r="BR712" s="27"/>
      <c r="BS712" s="27"/>
      <c r="BT712" s="27"/>
      <c r="BU712" s="27"/>
      <c r="BV712" s="27"/>
      <c r="BW712" s="27"/>
      <c r="BX712" s="27"/>
      <c r="BY712" s="27"/>
      <c r="BZ712" s="27"/>
      <c r="CA712" s="27"/>
      <c r="CB712" s="27"/>
      <c r="CC712" s="27"/>
      <c r="CD712" s="27"/>
      <c r="CE712" s="27"/>
      <c r="CF712" s="27"/>
      <c r="CG712" s="27"/>
      <c r="CH712" s="27"/>
      <c r="CI712" s="27"/>
      <c r="CJ712" s="27"/>
      <c r="CK712" s="27"/>
      <c r="CL712" s="27"/>
      <c r="CM712" s="27"/>
      <c r="CN712" s="27"/>
      <c r="CO712" s="27"/>
      <c r="CP712" s="27"/>
      <c r="CQ712" s="27"/>
      <c r="CR712" s="27"/>
      <c r="CS712" s="27"/>
      <c r="CT712" s="27"/>
      <c r="CU712" s="27"/>
      <c r="CV712" s="27"/>
      <c r="CW712" s="27"/>
      <c r="CX712" s="27"/>
      <c r="CY712" s="27"/>
      <c r="CZ712" s="27"/>
      <c r="DA712" s="27"/>
      <c r="DB712" s="27"/>
      <c r="DC712" s="27"/>
      <c r="DD712" s="27"/>
      <c r="DE712" s="27"/>
      <c r="DF712" s="27"/>
      <c r="DG712" s="27"/>
      <c r="DH712" s="27"/>
      <c r="DI712" s="27"/>
      <c r="DJ712" s="27"/>
      <c r="DK712" s="27"/>
      <c r="DL712" s="27"/>
      <c r="DM712" s="27"/>
      <c r="DN712" s="27"/>
      <c r="DO712" s="27"/>
      <c r="DP712" s="27"/>
      <c r="DQ712" s="27"/>
      <c r="DR712" s="27"/>
      <c r="DS712" s="27"/>
      <c r="DT712" s="27"/>
    </row>
    <row r="713" spans="7:124" x14ac:dyDescent="0.2">
      <c r="G713" s="27"/>
      <c r="H713" s="27"/>
      <c r="I713" s="27"/>
      <c r="J713" s="27"/>
      <c r="K713" s="27"/>
      <c r="L713" s="27"/>
      <c r="M713" s="27"/>
      <c r="N713" s="27"/>
      <c r="O713" s="27">
        <f ca="1">VLOOKUP(INT(O712),ofek4,Q712+2,FALSE)*(1+AB746/100)*AX737*T719*T705</f>
        <v>1.1025E-2</v>
      </c>
      <c r="P713" s="27">
        <f ca="1">VLOOKUP(INT(O712),ofek4,Q712+2,FALSE)*(1+AB746/100)*AX737*T719*T705</f>
        <v>1.1025E-2</v>
      </c>
      <c r="Q713" s="27"/>
      <c r="R713" s="27"/>
      <c r="S713" s="27" t="s">
        <v>114</v>
      </c>
      <c r="T713" s="27"/>
      <c r="U713" s="27"/>
      <c r="V713" s="27">
        <v>8</v>
      </c>
      <c r="W713" s="27">
        <v>0.6</v>
      </c>
      <c r="X713" s="27"/>
      <c r="Y713" s="27">
        <v>0</v>
      </c>
      <c r="Z713" s="27" t="s">
        <v>115</v>
      </c>
      <c r="AA713" s="27"/>
      <c r="AB713" s="27"/>
      <c r="AC713" s="27"/>
      <c r="AD713" s="27"/>
      <c r="AE713" s="27"/>
      <c r="AF713" s="27"/>
      <c r="AG713" s="27"/>
      <c r="AH713" s="27"/>
      <c r="AI713" s="27">
        <v>4.5</v>
      </c>
      <c r="AJ713" s="27" t="s">
        <v>59</v>
      </c>
      <c r="AK713" s="27"/>
      <c r="AL713" s="27"/>
      <c r="AM713" s="27"/>
      <c r="AN713" s="27"/>
      <c r="AO713" s="27">
        <v>8.5</v>
      </c>
      <c r="AP713" s="27" t="e">
        <f>AP712*1.0375</f>
        <v>#REF!</v>
      </c>
      <c r="AQ713" s="27"/>
      <c r="AR713" s="27"/>
      <c r="AS713" s="27"/>
      <c r="AT713" s="27"/>
      <c r="AU713" s="27"/>
      <c r="AV713" s="27">
        <v>8</v>
      </c>
      <c r="AW713" s="27">
        <v>0.16800000000000001</v>
      </c>
      <c r="AX713" s="27"/>
      <c r="AY713" s="27"/>
      <c r="AZ713" s="27"/>
      <c r="BA713" s="27"/>
      <c r="BB713" s="27"/>
      <c r="BC713" s="27"/>
      <c r="BD713" s="27"/>
      <c r="BE713" s="27"/>
      <c r="BF713" s="27"/>
      <c r="BG713" s="27"/>
      <c r="BH713" s="27"/>
      <c r="BI713" s="27"/>
      <c r="BJ713" s="27"/>
      <c r="BK713" s="27"/>
      <c r="BL713" s="27"/>
      <c r="BM713" s="27"/>
      <c r="BN713" s="27"/>
      <c r="BO713" s="27"/>
      <c r="BP713" s="27"/>
      <c r="BQ713" s="27"/>
      <c r="BR713" s="27"/>
      <c r="BS713" s="27"/>
      <c r="BT713" s="27"/>
      <c r="BU713" s="27"/>
      <c r="BV713" s="27"/>
      <c r="BW713" s="27"/>
      <c r="BX713" s="27"/>
      <c r="BY713" s="27"/>
      <c r="BZ713" s="27"/>
      <c r="CA713" s="27"/>
      <c r="CB713" s="27"/>
      <c r="CC713" s="27"/>
      <c r="CD713" s="27"/>
      <c r="CE713" s="27"/>
      <c r="CF713" s="27"/>
      <c r="CG713" s="27"/>
      <c r="CH713" s="27"/>
      <c r="CI713" s="27"/>
      <c r="CJ713" s="27"/>
      <c r="CK713" s="27"/>
      <c r="CL713" s="27"/>
      <c r="CM713" s="27"/>
      <c r="CN713" s="27"/>
      <c r="CO713" s="27"/>
      <c r="CP713" s="27"/>
      <c r="CQ713" s="27"/>
      <c r="CR713" s="27"/>
      <c r="CS713" s="27"/>
      <c r="CT713" s="27"/>
      <c r="CU713" s="27"/>
      <c r="CV713" s="27"/>
      <c r="CW713" s="27"/>
      <c r="CX713" s="27"/>
      <c r="CY713" s="27"/>
      <c r="CZ713" s="27"/>
      <c r="DA713" s="27"/>
      <c r="DB713" s="27"/>
      <c r="DC713" s="27"/>
      <c r="DD713" s="27"/>
      <c r="DE713" s="27"/>
      <c r="DF713" s="27"/>
      <c r="DG713" s="27"/>
      <c r="DH713" s="27"/>
      <c r="DI713" s="27"/>
      <c r="DJ713" s="27"/>
      <c r="DK713" s="27"/>
      <c r="DL713" s="27"/>
      <c r="DM713" s="27"/>
      <c r="DN713" s="27"/>
      <c r="DO713" s="27"/>
      <c r="DP713" s="27"/>
      <c r="DQ713" s="27"/>
      <c r="DR713" s="27"/>
      <c r="DS713" s="27"/>
      <c r="DT713" s="27"/>
    </row>
    <row r="714" spans="7:124" x14ac:dyDescent="0.2">
      <c r="G714" s="27"/>
      <c r="H714" s="27"/>
      <c r="I714" s="27"/>
      <c r="J714" s="27"/>
      <c r="K714" s="27"/>
      <c r="L714" s="27"/>
      <c r="M714" s="27"/>
      <c r="N714" s="27"/>
      <c r="O714" s="27">
        <v>0</v>
      </c>
      <c r="P714" s="27"/>
      <c r="Q714" s="27"/>
      <c r="R714" s="27"/>
      <c r="S714" s="27"/>
      <c r="T714" s="27"/>
      <c r="U714" s="27"/>
      <c r="V714" s="27">
        <v>9</v>
      </c>
      <c r="W714" s="27">
        <v>0.62</v>
      </c>
      <c r="X714" s="27"/>
      <c r="Y714" s="27">
        <f>IF(BB777=Z706,Y706,IF(BB777=Z707,Y707,IF(BB777=Z708,Y708,IF(BB777=Z709,Y709,IF(BB777=Z710,Y710,IF(BB777=Z711,Y711,IF(BB777=Z712,Y712,IF(BB777=Z713,Y713))))))))</f>
        <v>0</v>
      </c>
      <c r="Z714" s="27"/>
      <c r="AA714" s="27"/>
      <c r="AB714" s="27"/>
      <c r="AC714" s="27"/>
      <c r="AD714" s="27"/>
      <c r="AE714" s="27"/>
      <c r="AF714" s="27"/>
      <c r="AG714" s="27"/>
      <c r="AH714" s="27"/>
      <c r="AI714" s="27">
        <v>5</v>
      </c>
      <c r="AJ714" s="27" t="s">
        <v>59</v>
      </c>
      <c r="AK714" s="27"/>
      <c r="AL714" s="27"/>
      <c r="AM714" s="27"/>
      <c r="AN714" s="27"/>
      <c r="AO714" s="27">
        <v>9</v>
      </c>
      <c r="AP714" s="27" t="e">
        <f>IF(#REF!=$BW$719,M832*1.05,M832)</f>
        <v>#REF!</v>
      </c>
      <c r="AQ714" s="27"/>
      <c r="AR714" s="27"/>
      <c r="AS714" s="27"/>
      <c r="AT714" s="27"/>
      <c r="AU714" s="27"/>
      <c r="AV714" s="27">
        <v>9</v>
      </c>
      <c r="AW714" s="27">
        <v>0.192</v>
      </c>
      <c r="AX714" s="27"/>
      <c r="AY714" s="27"/>
      <c r="AZ714" s="27"/>
      <c r="BA714" s="27"/>
      <c r="BB714" s="27"/>
      <c r="BC714" s="27"/>
      <c r="BD714" s="27"/>
      <c r="BE714" s="27"/>
      <c r="BF714" s="27"/>
      <c r="BG714" s="27"/>
      <c r="BH714" s="27"/>
      <c r="BI714" s="27"/>
      <c r="BJ714" s="27"/>
      <c r="BK714" s="27"/>
      <c r="BL714" s="27"/>
      <c r="BM714" s="27"/>
      <c r="BN714" s="27"/>
      <c r="BO714" s="27"/>
      <c r="BP714" s="27"/>
      <c r="BQ714" s="27"/>
      <c r="BR714" s="27"/>
      <c r="BS714" s="27"/>
      <c r="BT714" s="27"/>
      <c r="BU714" s="27"/>
      <c r="BV714" s="27"/>
      <c r="BW714" s="27"/>
      <c r="BX714" s="27"/>
      <c r="BY714" s="27"/>
      <c r="BZ714" s="27"/>
      <c r="CA714" s="27"/>
      <c r="CB714" s="27"/>
      <c r="CC714" s="27"/>
      <c r="CD714" s="27"/>
      <c r="CE714" s="27"/>
      <c r="CF714" s="27"/>
      <c r="CG714" s="27"/>
      <c r="CH714" s="27"/>
      <c r="CI714" s="27"/>
      <c r="CJ714" s="27"/>
      <c r="CK714" s="27"/>
      <c r="CL714" s="27"/>
      <c r="CM714" s="27"/>
      <c r="CN714" s="27"/>
      <c r="CO714" s="27"/>
      <c r="CP714" s="27"/>
      <c r="CQ714" s="27"/>
      <c r="CR714" s="27"/>
      <c r="CS714" s="27"/>
      <c r="CT714" s="27"/>
      <c r="CU714" s="27"/>
      <c r="CV714" s="27"/>
      <c r="CW714" s="27"/>
      <c r="CX714" s="27"/>
      <c r="CY714" s="27"/>
      <c r="CZ714" s="27"/>
      <c r="DA714" s="27"/>
      <c r="DB714" s="27"/>
      <c r="DC714" s="27"/>
      <c r="DD714" s="27"/>
      <c r="DE714" s="27"/>
      <c r="DF714" s="27"/>
      <c r="DG714" s="27"/>
      <c r="DH714" s="27"/>
      <c r="DI714" s="27"/>
      <c r="DJ714" s="27"/>
      <c r="DK714" s="27"/>
      <c r="DL714" s="27"/>
      <c r="DM714" s="27"/>
      <c r="DN714" s="27"/>
      <c r="DO714" s="27"/>
      <c r="DP714" s="27"/>
      <c r="DQ714" s="27"/>
      <c r="DR714" s="27"/>
      <c r="DS714" s="27"/>
      <c r="DT714" s="27"/>
    </row>
    <row r="715" spans="7:124" x14ac:dyDescent="0.2">
      <c r="G715" s="27"/>
      <c r="H715" s="27"/>
      <c r="I715" s="27"/>
      <c r="J715" s="27"/>
      <c r="K715" s="27"/>
      <c r="L715" s="27"/>
      <c r="M715" s="27"/>
      <c r="N715" s="27"/>
      <c r="O715" s="27">
        <v>0</v>
      </c>
      <c r="P715" s="27"/>
      <c r="Q715" s="27"/>
      <c r="R715" s="27"/>
      <c r="S715" s="27"/>
      <c r="T715" s="27" t="s">
        <v>59</v>
      </c>
      <c r="U715" s="27"/>
      <c r="V715" s="27">
        <v>1</v>
      </c>
      <c r="W715" s="27">
        <v>0.63500000000000001</v>
      </c>
      <c r="X715" s="27"/>
      <c r="Y715" s="27"/>
      <c r="Z715" s="27"/>
      <c r="AA715" s="27"/>
      <c r="AB715" s="27"/>
      <c r="AC715" s="27"/>
      <c r="AD715" s="27"/>
      <c r="AE715" s="27"/>
      <c r="AF715" s="27"/>
      <c r="AG715" s="27"/>
      <c r="AH715" s="27"/>
      <c r="AI715" s="27">
        <v>5.5</v>
      </c>
      <c r="AJ715" s="27" t="s">
        <v>59</v>
      </c>
      <c r="AK715" s="27"/>
      <c r="AL715" s="27"/>
      <c r="AM715" s="27"/>
      <c r="AN715" s="27"/>
      <c r="AO715" s="27"/>
      <c r="AP715" s="27"/>
      <c r="AQ715" s="27"/>
      <c r="AR715" s="27"/>
      <c r="AS715" s="27"/>
      <c r="AT715" s="27"/>
      <c r="AU715" s="27"/>
      <c r="AV715" s="27">
        <v>10</v>
      </c>
      <c r="AW715" s="27">
        <v>0.216</v>
      </c>
      <c r="AX715" s="27"/>
      <c r="AY715" s="27"/>
      <c r="AZ715" s="27"/>
      <c r="BA715" s="27"/>
      <c r="BB715" s="27"/>
      <c r="BC715" s="27"/>
      <c r="BD715" s="27"/>
      <c r="BE715" s="27"/>
      <c r="BF715" s="27"/>
      <c r="BG715" s="27"/>
      <c r="BH715" s="27"/>
      <c r="BI715" s="27"/>
      <c r="BJ715" s="27"/>
      <c r="BK715" s="27"/>
      <c r="BL715" s="27"/>
      <c r="BM715" s="27"/>
      <c r="BN715" s="27"/>
      <c r="BO715" s="27"/>
      <c r="BP715" s="27"/>
      <c r="BQ715" s="27"/>
      <c r="BR715" s="27"/>
      <c r="BS715" s="27"/>
      <c r="BT715" s="27"/>
      <c r="BU715" s="27" t="s">
        <v>125</v>
      </c>
      <c r="BV715" s="27" t="s">
        <v>126</v>
      </c>
      <c r="BW715" s="27" t="s">
        <v>10</v>
      </c>
      <c r="BX715" s="27" t="s">
        <v>11</v>
      </c>
      <c r="BY715" s="27" t="s">
        <v>1</v>
      </c>
      <c r="BZ715" s="27"/>
      <c r="CA715" s="27"/>
      <c r="CB715" s="27"/>
      <c r="CC715" s="27"/>
      <c r="CD715" s="27"/>
      <c r="CE715" s="27"/>
      <c r="CF715" s="27"/>
      <c r="CG715" s="27"/>
      <c r="CH715" s="27"/>
      <c r="CI715" s="27"/>
      <c r="CJ715" s="27"/>
      <c r="CK715" s="27"/>
      <c r="CL715" s="27"/>
      <c r="CM715" s="27"/>
      <c r="CN715" s="27"/>
      <c r="CO715" s="27"/>
      <c r="CP715" s="27"/>
      <c r="CQ715" s="27"/>
      <c r="CR715" s="27"/>
      <c r="CS715" s="27"/>
      <c r="CT715" s="27"/>
      <c r="CU715" s="27"/>
      <c r="CV715" s="27"/>
      <c r="CW715" s="27"/>
      <c r="CX715" s="27"/>
      <c r="CY715" s="27"/>
      <c r="CZ715" s="27"/>
      <c r="DA715" s="27"/>
      <c r="DB715" s="27"/>
      <c r="DC715" s="27"/>
      <c r="DD715" s="27"/>
      <c r="DE715" s="27"/>
      <c r="DF715" s="27"/>
      <c r="DG715" s="27"/>
      <c r="DH715" s="27"/>
      <c r="DI715" s="27"/>
      <c r="DJ715" s="27"/>
      <c r="DK715" s="27"/>
      <c r="DL715" s="27"/>
      <c r="DM715" s="27"/>
      <c r="DN715" s="27"/>
      <c r="DO715" s="27"/>
      <c r="DP715" s="27"/>
      <c r="DQ715" s="27"/>
      <c r="DR715" s="27"/>
      <c r="DS715" s="27"/>
      <c r="DT715" s="27"/>
    </row>
    <row r="716" spans="7:124" x14ac:dyDescent="0.2">
      <c r="G716" s="27"/>
      <c r="H716" s="27"/>
      <c r="I716" s="27"/>
      <c r="J716" s="27"/>
      <c r="K716" s="27"/>
      <c r="L716" s="27"/>
      <c r="M716" s="27"/>
      <c r="N716" s="27"/>
      <c r="O716" s="27">
        <v>0</v>
      </c>
      <c r="P716" s="27"/>
      <c r="Q716" s="27"/>
      <c r="R716" s="27">
        <f>IF(BB775=S710,10%,IF(BB775=S711,20%,IF(BB775=S712,11.5%,6%)))</f>
        <v>0.06</v>
      </c>
      <c r="S716" s="27" t="s">
        <v>130</v>
      </c>
      <c r="T716" s="27">
        <v>0.05</v>
      </c>
      <c r="U716" s="27"/>
      <c r="V716" s="27">
        <v>11</v>
      </c>
      <c r="W716" s="27">
        <v>0.66</v>
      </c>
      <c r="X716" s="27"/>
      <c r="Y716" s="27" t="s">
        <v>131</v>
      </c>
      <c r="Z716" s="27">
        <v>0</v>
      </c>
      <c r="AA716" s="27"/>
      <c r="AB716" s="27"/>
      <c r="AC716" s="27"/>
      <c r="AD716" s="27"/>
      <c r="AE716" s="27"/>
      <c r="AF716" s="27"/>
      <c r="AG716" s="27"/>
      <c r="AH716" s="27"/>
      <c r="AI716" s="27">
        <v>6</v>
      </c>
      <c r="AJ716" s="27" t="s">
        <v>59</v>
      </c>
      <c r="AK716" s="27"/>
      <c r="AL716" s="27"/>
      <c r="AM716" s="27"/>
      <c r="AN716" s="27"/>
      <c r="AO716" s="27"/>
      <c r="AP716" s="27"/>
      <c r="AQ716" s="27"/>
      <c r="AR716" s="27"/>
      <c r="AS716" s="27"/>
      <c r="AT716" s="27"/>
      <c r="AU716" s="27"/>
      <c r="AV716" s="27">
        <v>11</v>
      </c>
      <c r="AW716" s="27">
        <v>0.24</v>
      </c>
      <c r="AX716" s="27"/>
      <c r="AY716" s="27"/>
      <c r="AZ716" s="27"/>
      <c r="BA716" s="27"/>
      <c r="BB716" s="27"/>
      <c r="BC716" s="27"/>
      <c r="BD716" s="27"/>
      <c r="BE716" s="27"/>
      <c r="BF716" s="27"/>
      <c r="BG716" s="27"/>
      <c r="BH716" s="27"/>
      <c r="BI716" s="27"/>
      <c r="BJ716" s="27"/>
      <c r="BK716" s="27"/>
      <c r="BL716" s="27"/>
      <c r="BM716" s="27"/>
      <c r="BN716" s="27"/>
      <c r="BO716" s="27"/>
      <c r="BP716" s="27"/>
      <c r="BQ716" s="27"/>
      <c r="BR716" s="27"/>
      <c r="BS716" s="27"/>
      <c r="BT716" s="27"/>
      <c r="BU716" s="27"/>
      <c r="BV716" s="27"/>
      <c r="BW716" s="27"/>
      <c r="BX716" s="27"/>
      <c r="BY716" s="27"/>
      <c r="BZ716" s="27"/>
      <c r="CA716" s="27"/>
      <c r="CB716" s="27"/>
      <c r="CC716" s="27"/>
      <c r="CD716" s="27"/>
      <c r="CE716" s="27"/>
      <c r="CF716" s="27"/>
      <c r="CG716" s="27"/>
      <c r="CH716" s="27"/>
      <c r="CI716" s="27"/>
      <c r="CJ716" s="27"/>
      <c r="CK716" s="27"/>
      <c r="CL716" s="27"/>
      <c r="CM716" s="27"/>
      <c r="CN716" s="27"/>
      <c r="CO716" s="27"/>
      <c r="CP716" s="27"/>
      <c r="CQ716" s="27"/>
      <c r="CR716" s="27"/>
      <c r="CS716" s="27"/>
      <c r="CT716" s="27"/>
      <c r="CU716" s="27"/>
      <c r="CV716" s="27"/>
      <c r="CW716" s="27"/>
      <c r="CX716" s="27"/>
      <c r="CY716" s="27"/>
      <c r="CZ716" s="27"/>
      <c r="DA716" s="27"/>
      <c r="DB716" s="27"/>
      <c r="DC716" s="27"/>
      <c r="DD716" s="27"/>
      <c r="DE716" s="27"/>
      <c r="DF716" s="27"/>
      <c r="DG716" s="27"/>
      <c r="DH716" s="27"/>
      <c r="DI716" s="27"/>
      <c r="DJ716" s="27"/>
      <c r="DK716" s="27"/>
      <c r="DL716" s="27"/>
      <c r="DM716" s="27"/>
      <c r="DN716" s="27"/>
      <c r="DO716" s="27"/>
      <c r="DP716" s="27"/>
      <c r="DQ716" s="27"/>
      <c r="DR716" s="27"/>
      <c r="DS716" s="27"/>
      <c r="DT716" s="27"/>
    </row>
    <row r="717" spans="7:124" x14ac:dyDescent="0.2">
      <c r="G717" s="27"/>
      <c r="H717" s="27"/>
      <c r="I717" s="27"/>
      <c r="J717" s="27"/>
      <c r="K717" s="27"/>
      <c r="L717" s="27"/>
      <c r="M717" s="27"/>
      <c r="N717" s="27"/>
      <c r="O717" s="27">
        <v>0</v>
      </c>
      <c r="P717" s="27"/>
      <c r="Q717" s="27"/>
      <c r="R717" s="27"/>
      <c r="S717" s="27" t="s">
        <v>135</v>
      </c>
      <c r="T717" s="27">
        <v>0.10249999999999999</v>
      </c>
      <c r="U717" s="27"/>
      <c r="V717" s="27">
        <v>12</v>
      </c>
      <c r="W717" s="27">
        <v>0.68</v>
      </c>
      <c r="X717" s="27"/>
      <c r="Y717" s="27" t="s">
        <v>136</v>
      </c>
      <c r="Z717" s="27">
        <f>W754</f>
        <v>1</v>
      </c>
      <c r="AA717" s="27"/>
      <c r="AB717" s="27"/>
      <c r="AC717" s="27">
        <v>5</v>
      </c>
      <c r="AD717" s="27"/>
      <c r="AE717" s="27" t="s">
        <v>137</v>
      </c>
      <c r="AF717" s="27"/>
      <c r="AG717" s="27" t="e">
        <f>#REF!</f>
        <v>#REF!</v>
      </c>
      <c r="AH717" s="27"/>
      <c r="AI717" s="27">
        <v>6.5</v>
      </c>
      <c r="AJ717" s="27" t="s">
        <v>59</v>
      </c>
      <c r="AK717" s="27"/>
      <c r="AL717" s="27"/>
      <c r="AM717" s="27"/>
      <c r="AN717" s="27"/>
      <c r="AO717" s="27"/>
      <c r="AP717" s="27"/>
      <c r="AQ717" s="27">
        <f>IF(BB771+BB772&gt;=AJ750,'[1]נתוני מס'!I16*L807,0)</f>
        <v>8640.6881497795894</v>
      </c>
      <c r="AR717" s="27"/>
      <c r="AS717" s="27"/>
      <c r="AT717" s="27"/>
      <c r="AU717" s="27"/>
      <c r="AV717" s="27">
        <v>12</v>
      </c>
      <c r="AW717" s="27">
        <v>0.26400000000000001</v>
      </c>
      <c r="AX717" s="27"/>
      <c r="AY717" s="27"/>
      <c r="AZ717" s="27"/>
      <c r="BA717" s="27"/>
      <c r="BB717" s="27"/>
      <c r="BC717" s="27"/>
      <c r="BD717" s="27"/>
      <c r="BE717" s="27"/>
      <c r="BF717" s="27"/>
      <c r="BG717" s="27"/>
      <c r="BH717" s="27"/>
      <c r="BI717" s="27"/>
      <c r="BJ717" s="27"/>
      <c r="BK717" s="27"/>
      <c r="BL717" s="27"/>
      <c r="BM717" s="27"/>
      <c r="BN717" s="27"/>
      <c r="BO717" s="27"/>
      <c r="BP717" s="27"/>
      <c r="BQ717" s="27"/>
      <c r="BR717" s="27"/>
      <c r="BS717" s="27"/>
      <c r="BT717" s="27"/>
      <c r="BU717" s="27" t="s">
        <v>138</v>
      </c>
      <c r="BV717" s="27" t="s">
        <v>139</v>
      </c>
      <c r="BW717" s="27" t="s">
        <v>140</v>
      </c>
      <c r="BX717" s="27"/>
      <c r="BY717" s="27"/>
      <c r="BZ717" s="27"/>
      <c r="CA717" s="27"/>
      <c r="CB717" s="27"/>
      <c r="CC717" s="27" t="s">
        <v>141</v>
      </c>
      <c r="CD717" s="27"/>
      <c r="CE717" s="27"/>
      <c r="CF717" s="27"/>
      <c r="CG717" s="27" t="s">
        <v>142</v>
      </c>
      <c r="CH717" s="27"/>
      <c r="CI717" s="27"/>
      <c r="CJ717" s="27"/>
      <c r="CK717" s="27"/>
      <c r="CL717" s="27"/>
      <c r="CM717" s="27"/>
      <c r="CN717" s="27"/>
      <c r="CO717" s="27"/>
      <c r="CP717" s="27"/>
      <c r="CQ717" s="27"/>
      <c r="CR717" s="27"/>
      <c r="CS717" s="27"/>
      <c r="CT717" s="27"/>
      <c r="CU717" s="27"/>
      <c r="CV717" s="27"/>
      <c r="CW717" s="27"/>
      <c r="CX717" s="27"/>
      <c r="CY717" s="27"/>
      <c r="CZ717" s="27"/>
      <c r="DA717" s="27"/>
      <c r="DB717" s="27"/>
      <c r="DC717" s="27"/>
      <c r="DD717" s="27"/>
      <c r="DE717" s="27"/>
      <c r="DF717" s="27"/>
      <c r="DG717" s="27"/>
      <c r="DH717" s="27"/>
      <c r="DI717" s="27"/>
      <c r="DJ717" s="27"/>
      <c r="DK717" s="27"/>
      <c r="DL717" s="27"/>
      <c r="DM717" s="27"/>
      <c r="DN717" s="27"/>
      <c r="DO717" s="27"/>
      <c r="DP717" s="27"/>
      <c r="DQ717" s="27"/>
      <c r="DR717" s="27"/>
      <c r="DS717" s="27"/>
      <c r="DT717" s="27"/>
    </row>
    <row r="718" spans="7:124" x14ac:dyDescent="0.2">
      <c r="G718" s="27"/>
      <c r="H718" s="27"/>
      <c r="I718" s="27"/>
      <c r="J718" s="27"/>
      <c r="K718" s="27"/>
      <c r="L718" s="27"/>
      <c r="M718" s="27"/>
      <c r="N718" s="27"/>
      <c r="O718" s="27">
        <f ca="1">SUM(O713:O716)*BB774</f>
        <v>0</v>
      </c>
      <c r="P718" s="27"/>
      <c r="Q718" s="27"/>
      <c r="R718" s="27">
        <f>IF(E901=AC754,2,1)</f>
        <v>2</v>
      </c>
      <c r="S718" s="27"/>
      <c r="T718" s="27">
        <f>IF(BB769=BY719,0,IF(BB769=BX719,T716,IF(BB769=BW719,T717)))</f>
        <v>0.10249999999999999</v>
      </c>
      <c r="U718" s="27"/>
      <c r="V718" s="27">
        <v>13</v>
      </c>
      <c r="W718" s="27">
        <v>0.70499999999999996</v>
      </c>
      <c r="X718" s="27"/>
      <c r="Y718" s="27"/>
      <c r="Z718" s="27"/>
      <c r="AA718" s="27"/>
      <c r="AB718" s="27"/>
      <c r="AC718" s="27">
        <v>6</v>
      </c>
      <c r="AD718" s="27"/>
      <c r="AE718" s="27"/>
      <c r="AF718" s="27"/>
      <c r="AG718" s="27"/>
      <c r="AH718" s="27"/>
      <c r="AI718" s="27">
        <v>7</v>
      </c>
      <c r="AJ718" s="27">
        <v>7.5</v>
      </c>
      <c r="AK718" s="27"/>
      <c r="AL718" s="27"/>
      <c r="AM718" s="27"/>
      <c r="AN718" s="27"/>
      <c r="AO718" s="27"/>
      <c r="AP718" s="27" t="s">
        <v>59</v>
      </c>
      <c r="AQ718" s="27">
        <f>BB771+BB772</f>
        <v>33</v>
      </c>
      <c r="AR718" s="27">
        <f>IF(AR719=0,0,1)</f>
        <v>1</v>
      </c>
      <c r="AS718" s="27"/>
      <c r="AT718" s="27"/>
      <c r="AU718" s="27" t="s">
        <v>59</v>
      </c>
      <c r="AV718" s="27">
        <v>13</v>
      </c>
      <c r="AW718" s="27">
        <v>0.28799999999999998</v>
      </c>
      <c r="AX718" s="27"/>
      <c r="AY718" s="27"/>
      <c r="AZ718" s="27"/>
      <c r="BA718" s="27"/>
      <c r="BB718" s="27"/>
      <c r="BC718" s="27"/>
      <c r="BD718" s="27"/>
      <c r="BE718" s="27"/>
      <c r="BF718" s="27"/>
      <c r="BG718" s="27"/>
      <c r="BH718" s="27"/>
      <c r="BI718" s="27"/>
      <c r="BJ718" s="27"/>
      <c r="BK718" s="27"/>
      <c r="BL718" s="27"/>
      <c r="BM718" s="27"/>
      <c r="BN718" s="27"/>
      <c r="BO718" s="27"/>
      <c r="BP718" s="27"/>
      <c r="BQ718" s="27"/>
      <c r="BR718" s="27"/>
      <c r="BS718" s="27"/>
      <c r="BT718" s="27"/>
      <c r="BU718" s="27"/>
      <c r="BV718" s="27"/>
      <c r="BW718" s="27"/>
      <c r="BX718" s="27"/>
      <c r="BY718" s="27"/>
      <c r="BZ718" s="27"/>
      <c r="CA718" s="27"/>
      <c r="CB718" s="27"/>
      <c r="CC718" s="27"/>
      <c r="CD718" s="27"/>
      <c r="CE718" s="27"/>
      <c r="CF718" s="27"/>
      <c r="CG718" s="27"/>
      <c r="CH718" s="27"/>
      <c r="CI718" s="27"/>
      <c r="CJ718" s="27"/>
      <c r="CK718" s="27"/>
      <c r="CL718" s="27"/>
      <c r="CM718" s="27"/>
      <c r="CN718" s="27"/>
      <c r="CO718" s="27"/>
      <c r="CP718" s="27"/>
      <c r="CQ718" s="27"/>
      <c r="CR718" s="27"/>
      <c r="CS718" s="27"/>
      <c r="CT718" s="27"/>
      <c r="CU718" s="27"/>
      <c r="CV718" s="27"/>
      <c r="CW718" s="27"/>
      <c r="CX718" s="27"/>
      <c r="CY718" s="27"/>
      <c r="CZ718" s="27"/>
      <c r="DA718" s="27"/>
      <c r="DB718" s="27"/>
      <c r="DC718" s="27"/>
      <c r="DD718" s="27"/>
      <c r="DE718" s="27"/>
      <c r="DF718" s="27"/>
      <c r="DG718" s="27"/>
      <c r="DH718" s="27"/>
      <c r="DI718" s="27"/>
      <c r="DJ718" s="27"/>
      <c r="DK718" s="27"/>
      <c r="DL718" s="27"/>
      <c r="DM718" s="27"/>
      <c r="DN718" s="27"/>
      <c r="DO718" s="27"/>
      <c r="DP718" s="27"/>
      <c r="DQ718" s="27"/>
      <c r="DR718" s="27"/>
      <c r="DS718" s="27"/>
      <c r="DT718" s="27"/>
    </row>
    <row r="719" spans="7:124" x14ac:dyDescent="0.2">
      <c r="G719" s="27"/>
      <c r="H719" s="27"/>
      <c r="I719" s="27"/>
      <c r="J719" s="27"/>
      <c r="K719" s="27"/>
      <c r="L719" s="27"/>
      <c r="M719" s="27"/>
      <c r="N719" s="27"/>
      <c r="O719" s="27">
        <f>IF(BB775=S709,0,IF(BB775=S710,10%*(O708+SUM(O714:O716)),IF(BB775=S711,20%*(O708+SUM(O714:O716)),IF(BB775=S712,11.5%*(O708+SUM(O714:O716)),6%*SUM(O713:O716)))))</f>
        <v>0</v>
      </c>
      <c r="P719" s="27"/>
      <c r="Q719" s="27"/>
      <c r="R719" s="27"/>
      <c r="S719" s="27"/>
      <c r="T719" s="27">
        <f>1+T718</f>
        <v>1.1025</v>
      </c>
      <c r="U719" s="27"/>
      <c r="V719" s="27"/>
      <c r="W719" s="27">
        <f>VLOOKUP(BB780,ghad1,2,FALSE)</f>
        <v>0</v>
      </c>
      <c r="X719" s="27"/>
      <c r="Y719" s="27"/>
      <c r="Z719" s="27"/>
      <c r="AA719" s="27"/>
      <c r="AB719" s="27"/>
      <c r="AC719" s="27"/>
      <c r="AD719" s="27" t="s">
        <v>151</v>
      </c>
      <c r="AE719" s="27"/>
      <c r="AF719" s="27"/>
      <c r="AG719" s="27"/>
      <c r="AH719" s="27"/>
      <c r="AI719" s="27">
        <v>7.5</v>
      </c>
      <c r="AJ719" s="27">
        <v>8</v>
      </c>
      <c r="AK719" s="27"/>
      <c r="AL719" s="27"/>
      <c r="AM719" s="27"/>
      <c r="AN719" s="27"/>
      <c r="AO719" s="27"/>
      <c r="AP719" s="27" t="b">
        <f ca="1">IF(AND((YEAR(I775)=AY720),MONTH(I775&lt;9)),TRUE,FALSE)</f>
        <v>0</v>
      </c>
      <c r="AQ719" s="27">
        <f>(AJ750-AQ718)*365</f>
        <v>-3072.2050000000004</v>
      </c>
      <c r="AR719" s="27">
        <f>MOD(AQ719,365)</f>
        <v>212.79499999999962</v>
      </c>
      <c r="AS719" s="27"/>
      <c r="AT719" s="27"/>
      <c r="AU719" s="27" t="s">
        <v>59</v>
      </c>
      <c r="AV719" s="27">
        <v>14</v>
      </c>
      <c r="AW719" s="27">
        <v>0.312</v>
      </c>
      <c r="AX719" s="27"/>
      <c r="AY719" s="27"/>
      <c r="AZ719" s="27"/>
      <c r="BA719" s="27"/>
      <c r="BB719" s="27"/>
      <c r="BC719" s="27"/>
      <c r="BD719" s="27"/>
      <c r="BE719" s="27"/>
      <c r="BF719" s="27" t="s">
        <v>152</v>
      </c>
      <c r="BG719" s="27"/>
      <c r="BH719" s="27"/>
      <c r="BI719" s="27"/>
      <c r="BJ719" s="27"/>
      <c r="BK719" s="27"/>
      <c r="BL719" s="27"/>
      <c r="BM719" s="27"/>
      <c r="BN719" s="27"/>
      <c r="BO719" s="27"/>
      <c r="BP719" s="27"/>
      <c r="BQ719" s="27"/>
      <c r="BR719" s="27"/>
      <c r="BS719" s="27"/>
      <c r="BT719" s="27"/>
      <c r="BU719" s="27"/>
      <c r="BV719" s="27"/>
      <c r="BW719" s="27" t="s">
        <v>10</v>
      </c>
      <c r="BX719" s="27" t="s">
        <v>11</v>
      </c>
      <c r="BY719" s="27" t="s">
        <v>1</v>
      </c>
      <c r="BZ719" s="27" t="s">
        <v>9</v>
      </c>
      <c r="CA719" s="27" t="s">
        <v>12</v>
      </c>
      <c r="CB719" s="27" t="s">
        <v>566</v>
      </c>
      <c r="CC719" s="27" t="s">
        <v>13</v>
      </c>
      <c r="CD719" s="27" t="s">
        <v>14</v>
      </c>
      <c r="CE719" s="27" t="s">
        <v>15</v>
      </c>
      <c r="CF719" s="27" t="s">
        <v>16</v>
      </c>
      <c r="CG719" s="27" t="s">
        <v>444</v>
      </c>
      <c r="CH719" s="27" t="s">
        <v>567</v>
      </c>
      <c r="CI719" s="27" t="s">
        <v>141</v>
      </c>
      <c r="CJ719" s="27" t="s">
        <v>568</v>
      </c>
      <c r="CK719" s="27" t="s">
        <v>21</v>
      </c>
      <c r="CL719" s="27"/>
      <c r="CM719" s="27"/>
      <c r="CN719" s="27"/>
      <c r="CO719" s="27"/>
      <c r="CP719" s="27"/>
      <c r="CQ719" s="27"/>
      <c r="CR719" s="27"/>
      <c r="CS719" s="27"/>
      <c r="CT719" s="27"/>
      <c r="CU719" s="27"/>
      <c r="CV719" s="27"/>
      <c r="CW719" s="27"/>
      <c r="CX719" s="27"/>
      <c r="CY719" s="27"/>
      <c r="CZ719" s="27"/>
      <c r="DA719" s="27"/>
      <c r="DB719" s="27"/>
      <c r="DC719" s="27"/>
      <c r="DD719" s="27"/>
      <c r="DE719" s="27"/>
      <c r="DF719" s="27"/>
      <c r="DG719" s="27"/>
      <c r="DH719" s="27"/>
      <c r="DI719" s="27"/>
      <c r="DJ719" s="27"/>
      <c r="DK719" s="27"/>
      <c r="DL719" s="27"/>
      <c r="DM719" s="27"/>
      <c r="DN719" s="27"/>
      <c r="DO719" s="27"/>
      <c r="DP719" s="27"/>
      <c r="DQ719" s="27"/>
      <c r="DR719" s="27"/>
      <c r="DS719" s="27"/>
      <c r="DT719" s="27"/>
    </row>
    <row r="720" spans="7:124" x14ac:dyDescent="0.2">
      <c r="G720" s="27"/>
      <c r="H720" s="27"/>
      <c r="I720" s="27"/>
      <c r="J720" s="27"/>
      <c r="K720" s="27"/>
      <c r="L720" s="27"/>
      <c r="M720" s="27"/>
      <c r="N720" s="27"/>
      <c r="O720" s="27"/>
      <c r="P720" s="27"/>
      <c r="Q720" s="27"/>
      <c r="R720" s="27"/>
      <c r="S720" s="27" t="s">
        <v>156</v>
      </c>
      <c r="T720" s="27">
        <v>0</v>
      </c>
      <c r="U720" s="27" t="e">
        <f>M747*1.2%*#REF!</f>
        <v>#REF!</v>
      </c>
      <c r="V720" s="27" t="s">
        <v>156</v>
      </c>
      <c r="W720" s="27">
        <v>0</v>
      </c>
      <c r="X720" s="27"/>
      <c r="Y720" s="27"/>
      <c r="Z720" s="27"/>
      <c r="AA720" s="27"/>
      <c r="AB720" s="27"/>
      <c r="AC720" s="27"/>
      <c r="AD720" s="27"/>
      <c r="AE720" s="27"/>
      <c r="AF720" s="27"/>
      <c r="AG720" s="27"/>
      <c r="AH720" s="27"/>
      <c r="AI720" s="27"/>
      <c r="AJ720" s="27"/>
      <c r="AK720" s="27">
        <v>67</v>
      </c>
      <c r="AL720" s="27">
        <f ca="1">IF(MONTH(I775)=9,1,0)</f>
        <v>0</v>
      </c>
      <c r="AM720" s="27">
        <f>HLOOKUP(BB769,kothor1,3,FALSE)</f>
        <v>1</v>
      </c>
      <c r="AN720" s="27">
        <f>HLOOKUP(BB769,kothor1,2,FALSE)</f>
        <v>1</v>
      </c>
      <c r="AO720" s="27" t="s">
        <v>158</v>
      </c>
      <c r="AP720" s="27">
        <v>39844</v>
      </c>
      <c r="AQ720" s="27">
        <v>8</v>
      </c>
      <c r="AR720" s="27">
        <v>8.5</v>
      </c>
      <c r="AS720" s="27" t="s">
        <v>159</v>
      </c>
      <c r="AT720" s="27">
        <v>40442</v>
      </c>
      <c r="AU720" s="27"/>
      <c r="AV720" s="27"/>
      <c r="AW720" s="27"/>
      <c r="AX720" s="27" t="str">
        <f ca="1">"06/"&amp;MID(AY720,1,4)</f>
        <v>06/2016</v>
      </c>
      <c r="AY720" s="27">
        <f ca="1">YEAR(AQ719+I775)+AR718</f>
        <v>2016</v>
      </c>
      <c r="AZ720" s="27" t="s">
        <v>160</v>
      </c>
      <c r="BA720" s="27"/>
      <c r="BB720" s="27"/>
      <c r="BC720" s="27"/>
      <c r="BD720" s="27">
        <v>15</v>
      </c>
      <c r="BE720" s="27">
        <v>0.33600000000000002</v>
      </c>
      <c r="BF720" s="27"/>
      <c r="BG720" s="27"/>
      <c r="BH720" s="27" t="s">
        <v>161</v>
      </c>
      <c r="BI720" s="27" t="s">
        <v>162</v>
      </c>
      <c r="BJ720" s="27" t="s">
        <v>163</v>
      </c>
      <c r="BK720" s="27"/>
      <c r="BL720" s="27"/>
      <c r="BM720" s="27"/>
      <c r="BN720" s="27" t="s">
        <v>164</v>
      </c>
      <c r="BO720" s="27">
        <f>E111</f>
        <v>0</v>
      </c>
      <c r="BP720" s="27"/>
      <c r="BQ720" s="27"/>
      <c r="BR720" s="27"/>
      <c r="BS720" s="27"/>
      <c r="BT720" s="27" t="s">
        <v>165</v>
      </c>
      <c r="BU720" s="27"/>
      <c r="BV720" s="27"/>
      <c r="BW720" s="27"/>
      <c r="BX720" s="27"/>
      <c r="BY720" s="27"/>
      <c r="BZ720" s="27"/>
      <c r="CA720" s="27"/>
      <c r="CB720" s="27"/>
      <c r="CC720" s="27"/>
      <c r="CD720" s="27"/>
      <c r="CE720" s="27">
        <v>1</v>
      </c>
      <c r="CF720" s="27">
        <v>2</v>
      </c>
      <c r="CG720" s="27">
        <v>3</v>
      </c>
      <c r="CH720" s="27">
        <v>7</v>
      </c>
      <c r="CI720" s="27">
        <v>8</v>
      </c>
      <c r="CJ720" s="27">
        <v>9</v>
      </c>
      <c r="CK720" s="27">
        <v>10</v>
      </c>
      <c r="CL720" s="27">
        <v>11</v>
      </c>
      <c r="CM720" s="27">
        <v>12</v>
      </c>
      <c r="CN720" s="27">
        <v>13</v>
      </c>
      <c r="CO720" s="27">
        <v>14</v>
      </c>
      <c r="CP720" s="27">
        <v>15</v>
      </c>
      <c r="CQ720" s="27">
        <v>16</v>
      </c>
      <c r="CR720" s="27">
        <v>17</v>
      </c>
      <c r="CS720" s="27">
        <v>18</v>
      </c>
      <c r="CT720" s="27"/>
      <c r="CU720" s="27"/>
      <c r="CV720" s="27"/>
      <c r="CW720" s="27"/>
      <c r="CX720" s="27"/>
      <c r="CY720" s="27"/>
      <c r="CZ720" s="27"/>
      <c r="DA720" s="27"/>
      <c r="DB720" s="27"/>
      <c r="DC720" s="27"/>
      <c r="DD720" s="27"/>
      <c r="DE720" s="27"/>
      <c r="DF720" s="27"/>
      <c r="DG720" s="27"/>
      <c r="DH720" s="27"/>
      <c r="DI720" s="27"/>
      <c r="DJ720" s="27"/>
      <c r="DK720" s="27"/>
      <c r="DL720" s="27"/>
      <c r="DM720" s="27"/>
      <c r="DN720" s="27"/>
      <c r="DO720" s="27"/>
      <c r="DP720" s="27"/>
      <c r="DQ720" s="27"/>
      <c r="DR720" s="27"/>
      <c r="DS720" s="27"/>
      <c r="DT720" s="27"/>
    </row>
    <row r="721" spans="7:124" x14ac:dyDescent="0.2">
      <c r="G721" s="27"/>
      <c r="H721" s="27"/>
      <c r="I721" s="27"/>
      <c r="J721" s="27"/>
      <c r="K721" s="27"/>
      <c r="L721" s="27"/>
      <c r="M721" s="27"/>
      <c r="N721" s="27"/>
      <c r="O721" s="27">
        <f>BB776+P721</f>
        <v>0</v>
      </c>
      <c r="P721" s="27">
        <f>IF(BB776&lt;=0,0,2%*O713-2%*M747)</f>
        <v>0</v>
      </c>
      <c r="Q721" s="27"/>
      <c r="R721" s="27"/>
      <c r="S721" s="27"/>
      <c r="T721" s="27"/>
      <c r="U721" s="27"/>
      <c r="V721" s="27"/>
      <c r="W721" s="27"/>
      <c r="X721" s="27"/>
      <c r="Y721" s="27" t="s">
        <v>59</v>
      </c>
      <c r="Z721" s="27"/>
      <c r="AA721" s="27" t="e">
        <f>1-#REF!/(#REF!+#REF!)</f>
        <v>#REF!</v>
      </c>
      <c r="AB721" s="27"/>
      <c r="AC721" s="27"/>
      <c r="AD721" s="27"/>
      <c r="AE721" s="27"/>
      <c r="AF721" s="27"/>
      <c r="AG721" s="27" t="s">
        <v>168</v>
      </c>
      <c r="AH721" s="27">
        <v>39872</v>
      </c>
      <c r="AI721" s="27">
        <v>8.5</v>
      </c>
      <c r="AJ721" s="27">
        <v>9</v>
      </c>
      <c r="AK721" s="27"/>
      <c r="AL721" s="27"/>
      <c r="AM721" s="27"/>
      <c r="AN721" s="27" t="s">
        <v>169</v>
      </c>
      <c r="AO721" s="27"/>
      <c r="AP721" s="27"/>
      <c r="AQ721" s="27"/>
      <c r="AR721" s="27"/>
      <c r="AS721" s="27"/>
      <c r="AT721" s="27" t="s">
        <v>170</v>
      </c>
      <c r="AU721" s="27"/>
      <c r="AV721" s="27">
        <v>16</v>
      </c>
      <c r="AW721" s="27">
        <v>0.36</v>
      </c>
      <c r="AX721" s="27"/>
      <c r="AY721" s="27"/>
      <c r="AZ721" s="27" t="s">
        <v>171</v>
      </c>
      <c r="BA721" s="27" t="s">
        <v>171</v>
      </c>
      <c r="BB721" s="27" t="s">
        <v>172</v>
      </c>
      <c r="BC721" s="27" t="s">
        <v>173</v>
      </c>
      <c r="BD721" s="27" t="s">
        <v>174</v>
      </c>
      <c r="BE721" s="27" t="s">
        <v>175</v>
      </c>
      <c r="BF721" s="27" t="s">
        <v>176</v>
      </c>
      <c r="BG721" s="27"/>
      <c r="BH721" s="27"/>
      <c r="BI721" s="27"/>
      <c r="BJ721" s="27"/>
      <c r="BK721" s="27"/>
      <c r="BL721" s="27">
        <v>1114297</v>
      </c>
      <c r="BM721" s="27"/>
      <c r="BN721" s="27" t="s">
        <v>177</v>
      </c>
      <c r="BO721" s="27"/>
      <c r="BP721" s="27"/>
      <c r="BQ721" s="27"/>
      <c r="BR721" s="27"/>
      <c r="BS721" s="27"/>
      <c r="BT721" s="27"/>
      <c r="BU721" s="27"/>
      <c r="BV721" s="27"/>
      <c r="BW721" s="27">
        <v>1</v>
      </c>
      <c r="BX721" s="27">
        <v>2</v>
      </c>
      <c r="BY721" s="27">
        <v>3</v>
      </c>
      <c r="BZ721" s="27">
        <v>4</v>
      </c>
      <c r="CA721" s="27">
        <v>5</v>
      </c>
      <c r="CB721" s="27">
        <v>6</v>
      </c>
      <c r="CC721" s="27">
        <v>7</v>
      </c>
      <c r="CD721" s="27">
        <v>8</v>
      </c>
      <c r="CE721" s="27">
        <v>9</v>
      </c>
      <c r="CF721" s="27">
        <v>10</v>
      </c>
      <c r="CG721" s="27">
        <v>11</v>
      </c>
      <c r="CH721" s="27">
        <v>12</v>
      </c>
      <c r="CI721" s="27">
        <v>13</v>
      </c>
      <c r="CJ721" s="27">
        <v>14</v>
      </c>
      <c r="CK721" s="27">
        <v>15</v>
      </c>
      <c r="CL721" s="27"/>
      <c r="CM721" s="27"/>
      <c r="CN721" s="27"/>
      <c r="CO721" s="27"/>
      <c r="CP721" s="27"/>
      <c r="CQ721" s="27"/>
      <c r="CR721" s="27"/>
      <c r="CS721" s="27"/>
      <c r="CT721" s="27"/>
      <c r="CU721" s="27"/>
      <c r="CV721" s="27"/>
      <c r="CW721" s="27"/>
      <c r="CX721" s="27"/>
      <c r="CY721" s="27"/>
      <c r="CZ721" s="27"/>
      <c r="DA721" s="27"/>
      <c r="DB721" s="27"/>
      <c r="DC721" s="27"/>
      <c r="DD721" s="27"/>
      <c r="DE721" s="27"/>
      <c r="DF721" s="27"/>
      <c r="DG721" s="27"/>
      <c r="DH721" s="27"/>
      <c r="DI721" s="27"/>
      <c r="DJ721" s="27"/>
      <c r="DK721" s="27"/>
      <c r="DL721" s="27"/>
      <c r="DM721" s="27"/>
      <c r="DN721" s="27"/>
      <c r="DO721" s="27"/>
      <c r="DP721" s="27"/>
      <c r="DQ721" s="27"/>
      <c r="DR721" s="27"/>
      <c r="DS721" s="27"/>
      <c r="DT721" s="27"/>
    </row>
    <row r="722" spans="7:124" x14ac:dyDescent="0.2">
      <c r="G722" s="27"/>
      <c r="H722" s="27"/>
      <c r="I722" s="27"/>
      <c r="J722" s="27"/>
      <c r="K722" s="27"/>
      <c r="L722" s="27"/>
      <c r="M722" s="27"/>
      <c r="N722" s="27"/>
      <c r="O722" s="27">
        <f ca="1">O708*Y714</f>
        <v>0</v>
      </c>
      <c r="P722" s="27"/>
      <c r="Q722" s="27" t="s">
        <v>59</v>
      </c>
      <c r="R722" s="27"/>
      <c r="S722" s="27"/>
      <c r="T722" s="27"/>
      <c r="U722" s="27"/>
      <c r="V722" s="27" t="s">
        <v>184</v>
      </c>
      <c r="W722" s="27">
        <v>5</v>
      </c>
      <c r="X722" s="27"/>
      <c r="Y722" s="27"/>
      <c r="Z722" s="27" t="s">
        <v>59</v>
      </c>
      <c r="AA722" s="27" t="s">
        <v>59</v>
      </c>
      <c r="AB722" s="27" t="s">
        <v>185</v>
      </c>
      <c r="AC722" s="27"/>
      <c r="AD722" s="27"/>
      <c r="AE722" s="27"/>
      <c r="AF722" s="27"/>
      <c r="AG722" s="27" t="s">
        <v>186</v>
      </c>
      <c r="AH722" s="27">
        <v>39903</v>
      </c>
      <c r="AI722" s="27">
        <v>9</v>
      </c>
      <c r="AJ722" s="27" t="s">
        <v>187</v>
      </c>
      <c r="AK722" s="27" t="s">
        <v>102</v>
      </c>
      <c r="AL722" s="27" t="s">
        <v>188</v>
      </c>
      <c r="AM722" s="27">
        <f>'[1]נתוני מס'!I22</f>
        <v>395</v>
      </c>
      <c r="AN722" s="27">
        <v>10</v>
      </c>
      <c r="AO722" s="27"/>
      <c r="AP722" s="27" t="s">
        <v>189</v>
      </c>
      <c r="AQ722" s="27"/>
      <c r="AR722" s="27"/>
      <c r="AS722" s="27"/>
      <c r="AT722" s="27">
        <f>AL723</f>
        <v>21262</v>
      </c>
      <c r="AU722" s="27" t="s">
        <v>190</v>
      </c>
      <c r="AV722" s="27" t="s">
        <v>191</v>
      </c>
      <c r="AW722" s="27">
        <f>VLOOKUP(BB779,nihool,2,FALSE)</f>
        <v>0</v>
      </c>
      <c r="AX722" s="27"/>
      <c r="AY722" s="27"/>
      <c r="AZ722" s="27" t="s">
        <v>176</v>
      </c>
      <c r="BA722" s="27" t="s">
        <v>192</v>
      </c>
      <c r="BB722" s="27" t="e">
        <f>#REF!/12</f>
        <v>#REF!</v>
      </c>
      <c r="BC722" s="27" t="e">
        <f>G966</f>
        <v>#REF!</v>
      </c>
      <c r="BD722" s="27" t="e">
        <f>#REF!/12-BE812</f>
        <v>#REF!</v>
      </c>
      <c r="BE722" s="27" t="e">
        <f>(12*(E946-L807)+BB787)/12</f>
        <v>#REF!</v>
      </c>
      <c r="BF722" s="27" t="e">
        <f>(#REF!*((12-BE741/12))+BB787/12*BE742)/12+E111+BE723*((12-BE742)/12)</f>
        <v>#REF!</v>
      </c>
      <c r="BG722" s="27"/>
      <c r="BH722" s="27"/>
      <c r="BI722" s="27" t="s">
        <v>193</v>
      </c>
      <c r="BJ722" s="27" t="e">
        <f ca="1">IF('[1]נתוני מס'!N16&gt;K909,K909,'[1]נתוני מס'!N16)</f>
        <v>#REF!</v>
      </c>
      <c r="BK722" s="27"/>
      <c r="BL722" s="27"/>
      <c r="BM722" s="27"/>
      <c r="BN722" s="27" t="e">
        <f ca="1">BJ722</f>
        <v>#REF!</v>
      </c>
      <c r="BO722" s="27"/>
      <c r="BP722" s="27"/>
      <c r="BQ722" s="27"/>
      <c r="BR722" s="27"/>
      <c r="BS722" s="27"/>
      <c r="BT722" s="27"/>
      <c r="BU722" s="27"/>
      <c r="BV722" s="27"/>
      <c r="BW722" s="27"/>
      <c r="BX722" s="27"/>
      <c r="BY722" s="27"/>
      <c r="BZ722" s="27"/>
      <c r="CA722" s="27"/>
      <c r="CB722" s="27"/>
      <c r="CC722" s="27"/>
      <c r="CD722" s="27"/>
      <c r="CE722" s="27"/>
      <c r="CF722" s="27"/>
      <c r="CG722" s="27"/>
      <c r="CH722" s="27"/>
      <c r="CI722" s="27"/>
      <c r="CJ722" s="27"/>
      <c r="CK722" s="27"/>
      <c r="CL722" s="27"/>
      <c r="CM722" s="27"/>
      <c r="CN722" s="27"/>
      <c r="CO722" s="27"/>
      <c r="CP722" s="27"/>
      <c r="CQ722" s="27"/>
      <c r="CR722" s="27"/>
      <c r="CS722" s="27"/>
      <c r="CT722" s="27"/>
      <c r="CU722" s="27"/>
      <c r="CV722" s="27"/>
      <c r="CW722" s="27"/>
      <c r="CX722" s="27"/>
      <c r="CY722" s="27"/>
      <c r="CZ722" s="27"/>
      <c r="DA722" s="27"/>
      <c r="DB722" s="27"/>
      <c r="DC722" s="27"/>
      <c r="DD722" s="27"/>
      <c r="DE722" s="27"/>
      <c r="DF722" s="27"/>
      <c r="DG722" s="27"/>
      <c r="DH722" s="27"/>
      <c r="DI722" s="27"/>
      <c r="DJ722" s="27"/>
      <c r="DK722" s="27"/>
      <c r="DL722" s="27"/>
      <c r="DM722" s="27"/>
      <c r="DN722" s="27"/>
      <c r="DO722" s="27"/>
      <c r="DP722" s="27"/>
      <c r="DQ722" s="27"/>
      <c r="DR722" s="27"/>
      <c r="DS722" s="27"/>
      <c r="DT722" s="27"/>
    </row>
    <row r="723" spans="7:124" ht="15.75" customHeight="1" x14ac:dyDescent="0.2">
      <c r="G723" s="27"/>
      <c r="H723" s="27"/>
      <c r="I723" s="27"/>
      <c r="J723" s="27"/>
      <c r="K723" s="27"/>
      <c r="L723" s="27"/>
      <c r="M723" s="27"/>
      <c r="N723" s="27"/>
      <c r="O723" s="27">
        <f ca="1">SUM(O713:O716)*BB778</f>
        <v>0</v>
      </c>
      <c r="P723" s="27"/>
      <c r="Q723" s="27"/>
      <c r="R723" s="27"/>
      <c r="S723" s="27" t="s">
        <v>569</v>
      </c>
      <c r="T723" s="27"/>
      <c r="U723" s="27"/>
      <c r="V723" s="27"/>
      <c r="W723" s="27"/>
      <c r="X723" s="27"/>
      <c r="Y723" s="27" t="s">
        <v>198</v>
      </c>
      <c r="Z723" s="27" t="s">
        <v>59</v>
      </c>
      <c r="AA723" s="27" t="s">
        <v>59</v>
      </c>
      <c r="AB723" s="27" t="s">
        <v>199</v>
      </c>
      <c r="AC723" s="27"/>
      <c r="AD723" s="27"/>
      <c r="AE723" s="27" t="s">
        <v>200</v>
      </c>
      <c r="AF723" s="27"/>
      <c r="AG723" s="27" t="s">
        <v>201</v>
      </c>
      <c r="AH723" s="27">
        <v>39933</v>
      </c>
      <c r="AI723" s="27"/>
      <c r="AJ723" s="27"/>
      <c r="AK723" s="27" t="s">
        <v>190</v>
      </c>
      <c r="AL723" s="27">
        <v>21262</v>
      </c>
      <c r="AM723" s="27"/>
      <c r="AN723" s="27" t="s">
        <v>202</v>
      </c>
      <c r="AO723" s="27"/>
      <c r="AP723" s="27">
        <v>0</v>
      </c>
      <c r="AQ723" s="27"/>
      <c r="AR723" s="27"/>
      <c r="AS723" s="27"/>
      <c r="AT723" s="27"/>
      <c r="AU723" s="27"/>
      <c r="AV723" s="27" t="s">
        <v>203</v>
      </c>
      <c r="AW723" s="27">
        <f>VLOOKUP(G102,nihool,2,FALSE)</f>
        <v>0</v>
      </c>
      <c r="AX723" s="27"/>
      <c r="AY723" s="27"/>
      <c r="AZ723" s="27" t="e">
        <f>#REF!/12/#REF!+G966+E111-BE812</f>
        <v>#REF!</v>
      </c>
      <c r="BA723" s="27" t="e">
        <f>#REF!/12+G966+E111-BE812</f>
        <v>#REF!</v>
      </c>
      <c r="BB723" s="27" t="s">
        <v>204</v>
      </c>
      <c r="BC723" s="27" t="e">
        <f>IF(BE741=0,BB722+BC722+BO720-BE812,-BE812+((#REF!-1+(12-BE742)/12)   *(BC722+BO720+BB722  )+  ( BE741*(BE722+BB722)  ))/12)</f>
        <v>#REF!</v>
      </c>
      <c r="BD723" s="27" t="e">
        <f>((BE722+BD722)*BE742+(12-BE742)*(BO720+BC722+BD722))/12</f>
        <v>#REF!</v>
      </c>
      <c r="BE723" s="27" t="e">
        <f>G966-BE812</f>
        <v>#REF!</v>
      </c>
      <c r="BF723" s="27" t="e">
        <f>BF722-BE812</f>
        <v>#REF!</v>
      </c>
      <c r="BG723" s="27" t="e">
        <f>#REF!-BE812</f>
        <v>#REF!</v>
      </c>
      <c r="BH723" s="27">
        <f>BB787/12-BE812</f>
        <v>11500</v>
      </c>
      <c r="BI723" s="27" t="e">
        <f ca="1">BJ722*BJ723</f>
        <v>#REF!</v>
      </c>
      <c r="BJ723" s="27">
        <v>0.65</v>
      </c>
      <c r="BK723" s="27">
        <f>BE809</f>
        <v>0</v>
      </c>
      <c r="BL723" s="27">
        <v>1115773</v>
      </c>
      <c r="BM723" s="27">
        <f>BF814</f>
        <v>12640</v>
      </c>
      <c r="BN723" s="27" t="e">
        <f>1-#REF!</f>
        <v>#REF!</v>
      </c>
      <c r="BO723" s="27"/>
      <c r="BP723" s="27" t="s">
        <v>205</v>
      </c>
      <c r="BQ723" s="27"/>
      <c r="BR723" s="27"/>
      <c r="BS723" s="27"/>
      <c r="BT723" s="27"/>
      <c r="BU723" s="27" t="s">
        <v>206</v>
      </c>
      <c r="BV723" s="27"/>
      <c r="BW723" s="27">
        <v>1.302</v>
      </c>
      <c r="BX723" s="27">
        <v>1.23</v>
      </c>
      <c r="BY723" s="27">
        <v>1.1479999999999999</v>
      </c>
      <c r="BZ723" s="27">
        <v>1.097</v>
      </c>
      <c r="CA723" s="27">
        <v>1</v>
      </c>
      <c r="CB723" s="27">
        <v>1</v>
      </c>
      <c r="CC723" s="27">
        <v>0.87</v>
      </c>
      <c r="CD723" s="27">
        <v>0.81499999999999995</v>
      </c>
      <c r="CE723" s="27">
        <v>0.79500000000000004</v>
      </c>
      <c r="CF723" s="27">
        <v>0.77</v>
      </c>
      <c r="CG723" s="27">
        <v>1.097</v>
      </c>
      <c r="CH723" s="27">
        <v>1.02</v>
      </c>
      <c r="CI723" s="27">
        <v>0.87</v>
      </c>
      <c r="CJ723" s="27">
        <v>1.0740000000000001</v>
      </c>
      <c r="CK723" s="27">
        <v>1.097</v>
      </c>
      <c r="CL723" s="27"/>
      <c r="CM723" s="27"/>
      <c r="CN723" s="27"/>
      <c r="CO723" s="27"/>
      <c r="CP723" s="27"/>
      <c r="CQ723" s="27"/>
      <c r="CR723" s="27"/>
      <c r="CS723" s="27"/>
      <c r="CT723" s="27"/>
      <c r="CU723" s="27"/>
      <c r="CV723" s="27"/>
      <c r="CW723" s="27"/>
      <c r="CX723" s="27"/>
      <c r="CY723" s="27"/>
      <c r="CZ723" s="27"/>
      <c r="DA723" s="27"/>
      <c r="DB723" s="27"/>
      <c r="DC723" s="27"/>
      <c r="DD723" s="27"/>
      <c r="DE723" s="27"/>
      <c r="DF723" s="27"/>
      <c r="DG723" s="27"/>
      <c r="DH723" s="27"/>
      <c r="DI723" s="27"/>
      <c r="DJ723" s="27"/>
      <c r="DK723" s="27"/>
      <c r="DL723" s="27"/>
      <c r="DM723" s="27"/>
      <c r="DN723" s="27"/>
      <c r="DO723" s="27"/>
      <c r="DP723" s="27"/>
      <c r="DQ723" s="27"/>
      <c r="DR723" s="27"/>
      <c r="DS723" s="27"/>
      <c r="DT723" s="27"/>
    </row>
    <row r="724" spans="7:124" x14ac:dyDescent="0.2">
      <c r="G724" s="27"/>
      <c r="H724" s="27"/>
      <c r="I724" s="27"/>
      <c r="J724" s="27"/>
      <c r="K724" s="27"/>
      <c r="L724" s="27"/>
      <c r="M724" s="27"/>
      <c r="N724" s="27"/>
      <c r="O724" s="27">
        <f ca="1">P724*O723</f>
        <v>0</v>
      </c>
      <c r="P724" s="27">
        <f>IF(AW722=0,0,IF((AW722+Q724)&gt;36%,36%,AW722+Q724))</f>
        <v>0</v>
      </c>
      <c r="Q724" s="27" t="e">
        <f ca="1">(F904-O710)*2.4%</f>
        <v>#REF!</v>
      </c>
      <c r="R724" s="27"/>
      <c r="S724" s="27" t="s">
        <v>570</v>
      </c>
      <c r="T724" s="27"/>
      <c r="U724" s="27"/>
      <c r="V724" s="27" t="s">
        <v>212</v>
      </c>
      <c r="W724" s="27" t="s">
        <v>200</v>
      </c>
      <c r="X724" s="27"/>
      <c r="Y724" s="27" t="s">
        <v>27</v>
      </c>
      <c r="Z724" s="27" t="s">
        <v>59</v>
      </c>
      <c r="AA724" s="27" t="s">
        <v>59</v>
      </c>
      <c r="AB724" s="27" t="s">
        <v>213</v>
      </c>
      <c r="AC724" s="27"/>
      <c r="AD724" s="27"/>
      <c r="AE724" s="27"/>
      <c r="AF724" s="27"/>
      <c r="AG724" s="27" t="s">
        <v>214</v>
      </c>
      <c r="AH724" s="27">
        <v>39964</v>
      </c>
      <c r="AI724" s="27"/>
      <c r="AJ724" s="27"/>
      <c r="AK724" s="27" t="s">
        <v>215</v>
      </c>
      <c r="AL724" s="27" t="s">
        <v>216</v>
      </c>
      <c r="AM724" s="27"/>
      <c r="AN724" s="27">
        <v>11</v>
      </c>
      <c r="AO724" s="27"/>
      <c r="AP724" s="27">
        <v>0.5</v>
      </c>
      <c r="AQ724" s="27"/>
      <c r="AR724" s="27"/>
      <c r="AS724" s="27" t="s">
        <v>59</v>
      </c>
      <c r="AT724" s="27">
        <v>17288</v>
      </c>
      <c r="AU724" s="27">
        <v>17288</v>
      </c>
      <c r="AV724" s="27"/>
      <c r="AW724" s="27" t="s">
        <v>217</v>
      </c>
      <c r="AX724" s="27"/>
      <c r="AY724" s="27"/>
      <c r="AZ724" s="27" t="s">
        <v>218</v>
      </c>
      <c r="BA724" s="27"/>
      <c r="BB724" s="27"/>
      <c r="BC724" s="27" t="s">
        <v>219</v>
      </c>
      <c r="BD724" s="27" t="s">
        <v>220</v>
      </c>
      <c r="BE724" s="27" t="s">
        <v>173</v>
      </c>
      <c r="BF724" s="27" t="s">
        <v>221</v>
      </c>
      <c r="BG724" s="27" t="s">
        <v>222</v>
      </c>
      <c r="BH724" s="27" t="s">
        <v>223</v>
      </c>
      <c r="BI724" s="27" t="s">
        <v>224</v>
      </c>
      <c r="BJ724" s="27"/>
      <c r="BK724" s="27" t="s">
        <v>225</v>
      </c>
      <c r="BL724" s="27"/>
      <c r="BM724" s="27"/>
      <c r="BN724" s="27" t="e">
        <f ca="1">BN723*BN722</f>
        <v>#REF!</v>
      </c>
      <c r="BO724" s="27"/>
      <c r="BP724" s="27" t="e">
        <f ca="1">BN722</f>
        <v>#REF!</v>
      </c>
      <c r="BQ724" s="27"/>
      <c r="BR724" s="27"/>
      <c r="BS724" s="27"/>
      <c r="BT724" s="27"/>
      <c r="BU724" s="27"/>
      <c r="BV724" s="27"/>
      <c r="BW724" s="27"/>
      <c r="BX724" s="27"/>
      <c r="BY724" s="27"/>
      <c r="BZ724" s="27"/>
      <c r="CA724" s="27"/>
      <c r="CB724" s="27"/>
      <c r="CC724" s="27"/>
      <c r="CD724" s="27"/>
      <c r="CE724" s="27"/>
      <c r="CF724" s="27"/>
      <c r="CG724" s="27"/>
      <c r="CH724" s="27"/>
      <c r="CI724" s="27"/>
      <c r="CJ724" s="27"/>
      <c r="CK724" s="27"/>
      <c r="CL724" s="27"/>
      <c r="CM724" s="27"/>
      <c r="CN724" s="27"/>
      <c r="CO724" s="27"/>
      <c r="CP724" s="27"/>
      <c r="CQ724" s="27"/>
      <c r="CR724" s="27"/>
      <c r="CS724" s="27"/>
      <c r="CT724" s="27"/>
      <c r="CU724" s="27"/>
      <c r="CV724" s="27"/>
      <c r="CW724" s="27"/>
      <c r="CX724" s="27"/>
      <c r="CY724" s="27"/>
      <c r="CZ724" s="27"/>
      <c r="DA724" s="27"/>
      <c r="DB724" s="27"/>
      <c r="DC724" s="27"/>
      <c r="DD724" s="27"/>
      <c r="DE724" s="27"/>
      <c r="DF724" s="27"/>
      <c r="DG724" s="27"/>
      <c r="DH724" s="27"/>
      <c r="DI724" s="27"/>
      <c r="DJ724" s="27"/>
      <c r="DK724" s="27"/>
      <c r="DL724" s="27"/>
      <c r="DM724" s="27"/>
      <c r="DN724" s="27"/>
      <c r="DO724" s="27"/>
      <c r="DP724" s="27"/>
      <c r="DQ724" s="27"/>
      <c r="DR724" s="27"/>
      <c r="DS724" s="27"/>
      <c r="DT724" s="27"/>
    </row>
    <row r="725" spans="7:124" x14ac:dyDescent="0.2">
      <c r="G725" s="27"/>
      <c r="H725" s="27"/>
      <c r="I725" s="27"/>
      <c r="J725" s="27"/>
      <c r="K725" s="27"/>
      <c r="L725" s="27"/>
      <c r="M725" s="27"/>
      <c r="N725" s="27"/>
      <c r="O725" s="27"/>
      <c r="P725" s="27"/>
      <c r="Q725" s="27"/>
      <c r="R725" s="27"/>
      <c r="S725" s="27" t="s">
        <v>571</v>
      </c>
      <c r="T725" s="27"/>
      <c r="U725" s="27"/>
      <c r="V725" s="27"/>
      <c r="W725" s="27"/>
      <c r="X725" s="27"/>
      <c r="Y725" s="27"/>
      <c r="Z725" s="27"/>
      <c r="AA725" s="27"/>
      <c r="AB725" s="27"/>
      <c r="AC725" s="27"/>
      <c r="AD725" s="27"/>
      <c r="AE725" s="27"/>
      <c r="AF725" s="27"/>
      <c r="AG725" s="27"/>
      <c r="AH725" s="27"/>
      <c r="AI725" s="27"/>
      <c r="AJ725" s="27"/>
      <c r="AK725" s="27"/>
      <c r="AL725" s="27"/>
      <c r="AM725" s="27"/>
      <c r="AN725" s="27"/>
      <c r="AO725" s="27"/>
      <c r="AP725" s="27"/>
      <c r="AQ725" s="27"/>
      <c r="AR725" s="27"/>
      <c r="AS725" s="27"/>
      <c r="AT725" s="27"/>
      <c r="AU725" s="27"/>
      <c r="AV725" s="27"/>
      <c r="AW725" s="27"/>
      <c r="AX725" s="27"/>
      <c r="AY725" s="27"/>
      <c r="AZ725" s="27"/>
      <c r="BA725" s="27"/>
      <c r="BB725" s="27"/>
      <c r="BC725" s="27"/>
      <c r="BD725" s="27"/>
      <c r="BE725" s="27"/>
      <c r="BF725" s="27"/>
      <c r="BG725" s="27"/>
      <c r="BH725" s="27"/>
      <c r="BI725" s="27"/>
      <c r="BJ725" s="27"/>
      <c r="BK725" s="27"/>
      <c r="BL725" s="27"/>
      <c r="BM725" s="27"/>
      <c r="BN725" s="27"/>
      <c r="BO725" s="27"/>
      <c r="BP725" s="27"/>
      <c r="BQ725" s="27"/>
      <c r="BR725" s="27"/>
      <c r="BS725" s="27"/>
      <c r="BT725" s="27"/>
      <c r="BU725" s="27"/>
      <c r="BV725" s="27"/>
      <c r="BW725" s="27"/>
      <c r="BX725" s="27"/>
      <c r="BY725" s="27"/>
      <c r="BZ725" s="27"/>
      <c r="CA725" s="27"/>
      <c r="CB725" s="27"/>
      <c r="CC725" s="27"/>
      <c r="CD725" s="27"/>
      <c r="CE725" s="27"/>
      <c r="CF725" s="27"/>
      <c r="CG725" s="27"/>
      <c r="CH725" s="27"/>
      <c r="CI725" s="27"/>
      <c r="CJ725" s="27"/>
      <c r="CK725" s="27"/>
      <c r="CL725" s="27"/>
      <c r="CM725" s="27"/>
      <c r="CN725" s="27"/>
      <c r="CO725" s="27"/>
      <c r="CP725" s="27"/>
      <c r="CQ725" s="27"/>
      <c r="CR725" s="27"/>
      <c r="CS725" s="27"/>
      <c r="CT725" s="27"/>
      <c r="CU725" s="27"/>
      <c r="CV725" s="27"/>
      <c r="CW725" s="27"/>
      <c r="CX725" s="27"/>
      <c r="CY725" s="27"/>
      <c r="CZ725" s="27"/>
      <c r="DA725" s="27"/>
      <c r="DB725" s="27"/>
      <c r="DC725" s="27"/>
      <c r="DD725" s="27"/>
      <c r="DE725" s="27"/>
      <c r="DF725" s="27"/>
      <c r="DG725" s="27"/>
      <c r="DH725" s="27"/>
      <c r="DI725" s="27"/>
      <c r="DJ725" s="27"/>
      <c r="DK725" s="27"/>
      <c r="DL725" s="27"/>
      <c r="DM725" s="27"/>
      <c r="DN725" s="27"/>
      <c r="DO725" s="27"/>
      <c r="DP725" s="27"/>
      <c r="DQ725" s="27"/>
      <c r="DR725" s="27"/>
      <c r="DS725" s="27"/>
      <c r="DT725" s="27"/>
    </row>
    <row r="726" spans="7:124" x14ac:dyDescent="0.2">
      <c r="G726" s="27"/>
      <c r="H726" s="27"/>
      <c r="I726" s="27"/>
      <c r="J726" s="27"/>
      <c r="K726" s="27"/>
      <c r="L726" s="27"/>
      <c r="M726" s="27"/>
      <c r="N726" s="27"/>
      <c r="O726" s="27"/>
      <c r="P726" s="27"/>
      <c r="Q726" s="27"/>
      <c r="R726" s="27"/>
      <c r="S726" s="27" t="s">
        <v>572</v>
      </c>
      <c r="T726" s="27"/>
      <c r="U726" s="27"/>
      <c r="V726" s="27"/>
      <c r="W726" s="27"/>
      <c r="X726" s="27"/>
      <c r="Y726" s="27">
        <f>IF(C52&gt;36,36,C52)</f>
        <v>0</v>
      </c>
      <c r="Z726" s="27"/>
      <c r="AA726" s="27"/>
      <c r="AB726" s="27"/>
      <c r="AC726" s="27"/>
      <c r="AD726" s="27"/>
      <c r="AE726" s="27"/>
      <c r="AF726" s="27"/>
      <c r="AG726" s="27"/>
      <c r="AH726" s="27"/>
      <c r="AI726" s="27"/>
      <c r="AJ726" s="27"/>
      <c r="AK726" s="27"/>
      <c r="AL726" s="27"/>
      <c r="AM726" s="27"/>
      <c r="AN726" s="27"/>
      <c r="AO726" s="27"/>
      <c r="AP726" s="27"/>
      <c r="AQ726" s="27"/>
      <c r="AR726" s="27"/>
      <c r="AS726" s="27"/>
      <c r="AT726" s="27"/>
      <c r="AU726" s="27"/>
      <c r="AV726" s="27"/>
      <c r="AW726" s="27"/>
      <c r="AX726" s="27"/>
      <c r="AY726" s="27"/>
      <c r="AZ726" s="27"/>
      <c r="BA726" s="27"/>
      <c r="BB726" s="27"/>
      <c r="BC726" s="27"/>
      <c r="BD726" s="27"/>
      <c r="BE726" s="27"/>
      <c r="BF726" s="27"/>
      <c r="BG726" s="27"/>
      <c r="BH726" s="27"/>
      <c r="BI726" s="27"/>
      <c r="BJ726" s="27"/>
      <c r="BK726" s="27"/>
      <c r="BL726" s="27"/>
      <c r="BM726" s="27"/>
      <c r="BN726" s="27"/>
      <c r="BO726" s="27"/>
      <c r="BP726" s="27"/>
      <c r="BQ726" s="27"/>
      <c r="BR726" s="27"/>
      <c r="BS726" s="27"/>
      <c r="BT726" s="27"/>
      <c r="BU726" s="27"/>
      <c r="BV726" s="27"/>
      <c r="BW726" s="27"/>
      <c r="BX726" s="27"/>
      <c r="BY726" s="27"/>
      <c r="BZ726" s="27"/>
      <c r="CA726" s="27"/>
      <c r="CB726" s="27"/>
      <c r="CC726" s="27"/>
      <c r="CD726" s="27"/>
      <c r="CE726" s="27"/>
      <c r="CF726" s="27"/>
      <c r="CG726" s="27"/>
      <c r="CH726" s="27"/>
      <c r="CI726" s="27"/>
      <c r="CJ726" s="27"/>
      <c r="CK726" s="27"/>
      <c r="CL726" s="27"/>
      <c r="CM726" s="27"/>
      <c r="CN726" s="27"/>
      <c r="CO726" s="27"/>
      <c r="CP726" s="27"/>
      <c r="CQ726" s="27"/>
      <c r="CR726" s="27"/>
      <c r="CS726" s="27"/>
      <c r="CT726" s="27"/>
      <c r="CU726" s="27"/>
      <c r="CV726" s="27"/>
      <c r="CW726" s="27"/>
      <c r="CX726" s="27"/>
      <c r="CY726" s="27"/>
      <c r="CZ726" s="27"/>
      <c r="DA726" s="27"/>
      <c r="DB726" s="27"/>
      <c r="DC726" s="27"/>
      <c r="DD726" s="27"/>
      <c r="DE726" s="27"/>
      <c r="DF726" s="27"/>
      <c r="DG726" s="27"/>
      <c r="DH726" s="27"/>
      <c r="DI726" s="27"/>
      <c r="DJ726" s="27"/>
      <c r="DK726" s="27"/>
      <c r="DL726" s="27"/>
      <c r="DM726" s="27"/>
      <c r="DN726" s="27"/>
      <c r="DO726" s="27"/>
      <c r="DP726" s="27"/>
      <c r="DQ726" s="27"/>
      <c r="DR726" s="27"/>
      <c r="DS726" s="27"/>
      <c r="DT726" s="27"/>
    </row>
    <row r="727" spans="7:124" x14ac:dyDescent="0.2">
      <c r="G727" s="27"/>
      <c r="H727" s="27"/>
      <c r="I727" s="27"/>
      <c r="J727" s="27"/>
      <c r="K727" s="27"/>
      <c r="L727" s="27"/>
      <c r="M727" s="27"/>
      <c r="N727" s="27"/>
      <c r="O727" s="27"/>
      <c r="P727" s="27"/>
      <c r="Q727" s="27"/>
      <c r="R727" s="27"/>
      <c r="S727" s="27"/>
      <c r="T727" s="27"/>
      <c r="U727" s="27"/>
      <c r="V727" s="27"/>
      <c r="W727" s="27"/>
      <c r="X727" s="27"/>
      <c r="Y727" s="27">
        <f>IF(Y726+4&gt;36,36,Y726+4)</f>
        <v>4</v>
      </c>
      <c r="Z727" s="27"/>
      <c r="AA727" s="27"/>
      <c r="AB727" s="27"/>
      <c r="AC727" s="27"/>
      <c r="AD727" s="27"/>
      <c r="AE727" s="27"/>
      <c r="AF727" s="27"/>
      <c r="AG727" s="27"/>
      <c r="AH727" s="27"/>
      <c r="AI727" s="27"/>
      <c r="AJ727" s="27"/>
      <c r="AK727" s="27"/>
      <c r="AL727" s="27"/>
      <c r="AM727" s="27"/>
      <c r="AN727" s="27"/>
      <c r="AO727" s="27"/>
      <c r="AP727" s="27"/>
      <c r="AQ727" s="27"/>
      <c r="AR727" s="27"/>
      <c r="AS727" s="27"/>
      <c r="AT727" s="27"/>
      <c r="AU727" s="27"/>
      <c r="AV727" s="27"/>
      <c r="AW727" s="27"/>
      <c r="AX727" s="27"/>
      <c r="AY727" s="27"/>
      <c r="AZ727" s="27"/>
      <c r="BA727" s="27"/>
      <c r="BB727" s="27"/>
      <c r="BC727" s="27"/>
      <c r="BD727" s="27"/>
      <c r="BE727" s="27"/>
      <c r="BF727" s="27"/>
      <c r="BG727" s="27"/>
      <c r="BH727" s="27"/>
      <c r="BI727" s="27"/>
      <c r="BJ727" s="27"/>
      <c r="BK727" s="27"/>
      <c r="BL727" s="27"/>
      <c r="BM727" s="27"/>
      <c r="BN727" s="27"/>
      <c r="BO727" s="27"/>
      <c r="BP727" s="27"/>
      <c r="BQ727" s="27"/>
      <c r="BR727" s="27"/>
      <c r="BS727" s="27"/>
      <c r="BT727" s="27"/>
      <c r="BU727" s="27"/>
      <c r="BV727" s="27"/>
      <c r="BW727" s="27"/>
      <c r="BX727" s="27"/>
      <c r="BY727" s="27"/>
      <c r="BZ727" s="27"/>
      <c r="CA727" s="27"/>
      <c r="CB727" s="27"/>
      <c r="CC727" s="27"/>
      <c r="CD727" s="27"/>
      <c r="CE727" s="27"/>
      <c r="CF727" s="27"/>
      <c r="CG727" s="27"/>
      <c r="CH727" s="27"/>
      <c r="CI727" s="27"/>
      <c r="CJ727" s="27"/>
      <c r="CK727" s="27"/>
      <c r="CL727" s="27"/>
      <c r="CM727" s="27"/>
      <c r="CN727" s="27"/>
      <c r="CO727" s="27"/>
      <c r="CP727" s="27"/>
      <c r="CQ727" s="27"/>
      <c r="CR727" s="27"/>
      <c r="CS727" s="27"/>
      <c r="CT727" s="27"/>
      <c r="CU727" s="27"/>
      <c r="CV727" s="27"/>
      <c r="CW727" s="27"/>
      <c r="CX727" s="27"/>
      <c r="CY727" s="27"/>
      <c r="CZ727" s="27"/>
      <c r="DA727" s="27"/>
      <c r="DB727" s="27"/>
      <c r="DC727" s="27"/>
      <c r="DD727" s="27"/>
      <c r="DE727" s="27"/>
      <c r="DF727" s="27"/>
      <c r="DG727" s="27"/>
      <c r="DH727" s="27"/>
      <c r="DI727" s="27"/>
      <c r="DJ727" s="27"/>
      <c r="DK727" s="27"/>
      <c r="DL727" s="27"/>
      <c r="DM727" s="27"/>
      <c r="DN727" s="27"/>
      <c r="DO727" s="27"/>
      <c r="DP727" s="27"/>
      <c r="DQ727" s="27"/>
      <c r="DR727" s="27"/>
      <c r="DS727" s="27"/>
      <c r="DT727" s="27"/>
    </row>
    <row r="728" spans="7:124" x14ac:dyDescent="0.2">
      <c r="G728" s="27"/>
      <c r="H728" s="27"/>
      <c r="I728" s="27"/>
      <c r="J728" s="27"/>
      <c r="K728" s="27"/>
      <c r="L728" s="27"/>
      <c r="M728" s="27"/>
      <c r="N728" s="27"/>
      <c r="O728" s="27"/>
      <c r="P728" s="27"/>
      <c r="Q728" s="27"/>
      <c r="R728" s="27"/>
      <c r="S728" s="27"/>
      <c r="T728" s="27"/>
      <c r="U728" s="27"/>
      <c r="V728" s="27"/>
      <c r="W728" s="27"/>
      <c r="X728" s="27" t="s">
        <v>573</v>
      </c>
      <c r="Y728" s="27" t="e">
        <f>VLOOKUP(INT(Y727),מורה,AE711+2,FALSE)</f>
        <v>#N/A</v>
      </c>
      <c r="Z728" s="27"/>
      <c r="AA728" s="27"/>
      <c r="AB728" s="27"/>
      <c r="AC728" s="27"/>
      <c r="AD728" s="27"/>
      <c r="AE728" s="27"/>
      <c r="AF728" s="27"/>
      <c r="AG728" s="27"/>
      <c r="AH728" s="27"/>
      <c r="AI728" s="27"/>
      <c r="AJ728" s="27"/>
      <c r="AK728" s="27"/>
      <c r="AL728" s="27"/>
      <c r="AM728" s="27"/>
      <c r="AN728" s="27"/>
      <c r="AO728" s="27"/>
      <c r="AP728" s="27"/>
      <c r="AQ728" s="27"/>
      <c r="AR728" s="27"/>
      <c r="AS728" s="27"/>
      <c r="AT728" s="27"/>
      <c r="AU728" s="27"/>
      <c r="AV728" s="27"/>
      <c r="AW728" s="27"/>
      <c r="AX728" s="27"/>
      <c r="AY728" s="27"/>
      <c r="AZ728" s="27"/>
      <c r="BA728" s="27"/>
      <c r="BB728" s="27"/>
      <c r="BC728" s="27"/>
      <c r="BD728" s="27"/>
      <c r="BE728" s="27"/>
      <c r="BF728" s="27"/>
      <c r="BG728" s="27"/>
      <c r="BH728" s="27"/>
      <c r="BI728" s="27"/>
      <c r="BJ728" s="27"/>
      <c r="BK728" s="27"/>
      <c r="BL728" s="27"/>
      <c r="BM728" s="27"/>
      <c r="BN728" s="27"/>
      <c r="BO728" s="27"/>
      <c r="BP728" s="27"/>
      <c r="BQ728" s="27"/>
      <c r="BR728" s="27"/>
      <c r="BS728" s="27"/>
      <c r="BT728" s="27"/>
      <c r="BU728" s="27"/>
      <c r="BV728" s="27"/>
      <c r="BW728" s="27"/>
      <c r="BX728" s="27"/>
      <c r="BY728" s="27"/>
      <c r="BZ728" s="27"/>
      <c r="CA728" s="27"/>
      <c r="CB728" s="27"/>
      <c r="CC728" s="27"/>
      <c r="CD728" s="27"/>
      <c r="CE728" s="27"/>
      <c r="CF728" s="27"/>
      <c r="CG728" s="27"/>
      <c r="CH728" s="27"/>
      <c r="CI728" s="27"/>
      <c r="CJ728" s="27"/>
      <c r="CK728" s="27"/>
      <c r="CL728" s="27"/>
      <c r="CM728" s="27"/>
      <c r="CN728" s="27"/>
      <c r="CO728" s="27"/>
      <c r="CP728" s="27"/>
      <c r="CQ728" s="27"/>
      <c r="CR728" s="27"/>
      <c r="CS728" s="27"/>
      <c r="CT728" s="27"/>
      <c r="CU728" s="27"/>
      <c r="CV728" s="27"/>
      <c r="CW728" s="27"/>
      <c r="CX728" s="27"/>
      <c r="CY728" s="27"/>
      <c r="CZ728" s="27"/>
      <c r="DA728" s="27"/>
      <c r="DB728" s="27"/>
      <c r="DC728" s="27"/>
      <c r="DD728" s="27"/>
      <c r="DE728" s="27"/>
      <c r="DF728" s="27"/>
      <c r="DG728" s="27"/>
      <c r="DH728" s="27"/>
      <c r="DI728" s="27"/>
      <c r="DJ728" s="27"/>
      <c r="DK728" s="27"/>
      <c r="DL728" s="27"/>
      <c r="DM728" s="27"/>
      <c r="DN728" s="27"/>
      <c r="DO728" s="27"/>
      <c r="DP728" s="27"/>
      <c r="DQ728" s="27"/>
      <c r="DR728" s="27"/>
      <c r="DS728" s="27"/>
      <c r="DT728" s="27"/>
    </row>
    <row r="729" spans="7:124" x14ac:dyDescent="0.2">
      <c r="G729" s="27"/>
      <c r="H729" s="27"/>
      <c r="I729" s="27"/>
      <c r="J729" s="27"/>
      <c r="K729" s="27"/>
      <c r="L729" s="27"/>
      <c r="M729" s="27"/>
      <c r="N729" s="27"/>
      <c r="O729" s="27"/>
      <c r="P729" s="27"/>
      <c r="Q729" s="27"/>
      <c r="R729" s="27"/>
      <c r="S729" s="27"/>
      <c r="T729" s="27"/>
      <c r="U729" s="27"/>
      <c r="V729" s="27"/>
      <c r="W729" s="27"/>
      <c r="X729" s="27"/>
      <c r="Y729" s="27" t="e">
        <f>Y728-G47</f>
        <v>#N/A</v>
      </c>
      <c r="Z729" s="27"/>
      <c r="AA729" s="27"/>
      <c r="AB729" s="27"/>
      <c r="AC729" s="27"/>
      <c r="AD729" s="27"/>
      <c r="AE729" s="27"/>
      <c r="AF729" s="27"/>
      <c r="AG729" s="27"/>
      <c r="AH729" s="27"/>
      <c r="AI729" s="27"/>
      <c r="AJ729" s="27"/>
      <c r="AK729" s="27"/>
      <c r="AL729" s="27"/>
      <c r="AM729" s="27"/>
      <c r="AN729" s="27"/>
      <c r="AO729" s="27"/>
      <c r="AP729" s="27"/>
      <c r="AQ729" s="27"/>
      <c r="AR729" s="27"/>
      <c r="AS729" s="27"/>
      <c r="AT729" s="27"/>
      <c r="AU729" s="27"/>
      <c r="AV729" s="27"/>
      <c r="AW729" s="27"/>
      <c r="AX729" s="27"/>
      <c r="AY729" s="27"/>
      <c r="AZ729" s="27"/>
      <c r="BA729" s="27"/>
      <c r="BB729" s="27"/>
      <c r="BC729" s="27"/>
      <c r="BD729" s="27"/>
      <c r="BE729" s="27"/>
      <c r="BF729" s="27"/>
      <c r="BG729" s="27"/>
      <c r="BH729" s="27"/>
      <c r="BI729" s="27"/>
      <c r="BJ729" s="27"/>
      <c r="BK729" s="27"/>
      <c r="BL729" s="27"/>
      <c r="BM729" s="27"/>
      <c r="BN729" s="27"/>
      <c r="BO729" s="27"/>
      <c r="BP729" s="27"/>
      <c r="BQ729" s="27"/>
      <c r="BR729" s="27"/>
      <c r="BS729" s="27"/>
      <c r="BT729" s="27"/>
      <c r="BU729" s="27"/>
      <c r="BV729" s="27"/>
      <c r="BW729" s="27"/>
      <c r="BX729" s="27"/>
      <c r="BY729" s="27"/>
      <c r="BZ729" s="27"/>
      <c r="CA729" s="27"/>
      <c r="CB729" s="27"/>
      <c r="CC729" s="27"/>
      <c r="CD729" s="27"/>
      <c r="CE729" s="27"/>
      <c r="CF729" s="27"/>
      <c r="CG729" s="27"/>
      <c r="CH729" s="27"/>
      <c r="CI729" s="27"/>
      <c r="CJ729" s="27"/>
      <c r="CK729" s="27"/>
      <c r="CL729" s="27"/>
      <c r="CM729" s="27"/>
      <c r="CN729" s="27"/>
      <c r="CO729" s="27"/>
      <c r="CP729" s="27"/>
      <c r="CQ729" s="27"/>
      <c r="CR729" s="27"/>
      <c r="CS729" s="27"/>
      <c r="CT729" s="27"/>
      <c r="CU729" s="27"/>
      <c r="CV729" s="27"/>
      <c r="CW729" s="27"/>
      <c r="CX729" s="27"/>
      <c r="CY729" s="27"/>
      <c r="CZ729" s="27"/>
      <c r="DA729" s="27"/>
      <c r="DB729" s="27"/>
      <c r="DC729" s="27"/>
      <c r="DD729" s="27"/>
      <c r="DE729" s="27"/>
      <c r="DF729" s="27"/>
      <c r="DG729" s="27"/>
      <c r="DH729" s="27"/>
      <c r="DI729" s="27"/>
      <c r="DJ729" s="27"/>
      <c r="DK729" s="27"/>
      <c r="DL729" s="27"/>
      <c r="DM729" s="27"/>
      <c r="DN729" s="27"/>
      <c r="DO729" s="27"/>
      <c r="DP729" s="27"/>
      <c r="DQ729" s="27"/>
      <c r="DR729" s="27"/>
      <c r="DS729" s="27"/>
      <c r="DT729" s="27"/>
    </row>
    <row r="730" spans="7:124" x14ac:dyDescent="0.2">
      <c r="G730" s="27"/>
      <c r="H730" s="27"/>
      <c r="I730" s="27"/>
      <c r="J730" s="27"/>
      <c r="K730" s="27"/>
      <c r="L730" s="27"/>
      <c r="M730" s="27"/>
      <c r="N730" s="27"/>
      <c r="O730" s="27"/>
      <c r="P730" s="27"/>
      <c r="Q730" s="27"/>
      <c r="R730" s="27"/>
      <c r="S730" s="27"/>
      <c r="T730" s="27"/>
      <c r="U730" s="27"/>
      <c r="V730" s="27"/>
      <c r="W730" s="27"/>
      <c r="X730" s="27"/>
      <c r="Y730" s="27"/>
      <c r="Z730" s="27"/>
      <c r="AA730" s="27"/>
      <c r="AB730" s="27"/>
      <c r="AC730" s="27"/>
      <c r="AD730" s="27"/>
      <c r="AE730" s="27"/>
      <c r="AF730" s="27"/>
      <c r="AG730" s="27"/>
      <c r="AH730" s="27"/>
      <c r="AI730" s="27"/>
      <c r="AJ730" s="27"/>
      <c r="AK730" s="27"/>
      <c r="AL730" s="27"/>
      <c r="AM730" s="27"/>
      <c r="AN730" s="27"/>
      <c r="AO730" s="27"/>
      <c r="AP730" s="27"/>
      <c r="AQ730" s="27"/>
      <c r="AR730" s="27"/>
      <c r="AS730" s="27"/>
      <c r="AT730" s="27"/>
      <c r="AU730" s="27"/>
      <c r="AV730" s="27"/>
      <c r="AW730" s="27"/>
      <c r="AX730" s="27"/>
      <c r="AY730" s="27"/>
      <c r="AZ730" s="27"/>
      <c r="BA730" s="27"/>
      <c r="BB730" s="27"/>
      <c r="BC730" s="27"/>
      <c r="BD730" s="27"/>
      <c r="BE730" s="27"/>
      <c r="BF730" s="27"/>
      <c r="BG730" s="27"/>
      <c r="BH730" s="27"/>
      <c r="BI730" s="27"/>
      <c r="BJ730" s="27"/>
      <c r="BK730" s="27"/>
      <c r="BL730" s="27"/>
      <c r="BM730" s="27"/>
      <c r="BN730" s="27"/>
      <c r="BO730" s="27"/>
      <c r="BP730" s="27"/>
      <c r="BQ730" s="27"/>
      <c r="BR730" s="27"/>
      <c r="BS730" s="27"/>
      <c r="BT730" s="27"/>
      <c r="BU730" s="27"/>
      <c r="BV730" s="27"/>
      <c r="BW730" s="27"/>
      <c r="BX730" s="27"/>
      <c r="BY730" s="27"/>
      <c r="BZ730" s="27"/>
      <c r="CA730" s="27"/>
      <c r="CB730" s="27"/>
      <c r="CC730" s="27"/>
      <c r="CD730" s="27"/>
      <c r="CE730" s="27"/>
      <c r="CF730" s="27"/>
      <c r="CG730" s="27"/>
      <c r="CH730" s="27"/>
      <c r="CI730" s="27"/>
      <c r="CJ730" s="27"/>
      <c r="CK730" s="27"/>
      <c r="CL730" s="27"/>
      <c r="CM730" s="27"/>
      <c r="CN730" s="27"/>
      <c r="CO730" s="27"/>
      <c r="CP730" s="27"/>
      <c r="CQ730" s="27"/>
      <c r="CR730" s="27"/>
      <c r="CS730" s="27"/>
      <c r="CT730" s="27"/>
      <c r="CU730" s="27"/>
      <c r="CV730" s="27"/>
      <c r="CW730" s="27"/>
      <c r="CX730" s="27"/>
      <c r="CY730" s="27"/>
      <c r="CZ730" s="27"/>
      <c r="DA730" s="27"/>
      <c r="DB730" s="27"/>
      <c r="DC730" s="27"/>
      <c r="DD730" s="27"/>
      <c r="DE730" s="27"/>
      <c r="DF730" s="27"/>
      <c r="DG730" s="27"/>
      <c r="DH730" s="27"/>
      <c r="DI730" s="27"/>
      <c r="DJ730" s="27"/>
      <c r="DK730" s="27"/>
      <c r="DL730" s="27"/>
      <c r="DM730" s="27"/>
      <c r="DN730" s="27"/>
      <c r="DO730" s="27"/>
      <c r="DP730" s="27"/>
      <c r="DQ730" s="27"/>
      <c r="DR730" s="27"/>
      <c r="DS730" s="27"/>
      <c r="DT730" s="27"/>
    </row>
    <row r="731" spans="7:124" x14ac:dyDescent="0.2">
      <c r="G731" s="27"/>
      <c r="H731" s="27"/>
      <c r="I731" s="27"/>
      <c r="J731" s="27"/>
      <c r="K731" s="27"/>
      <c r="L731" s="27"/>
      <c r="M731" s="27"/>
      <c r="N731" s="27"/>
      <c r="O731" s="27"/>
      <c r="P731" s="27"/>
      <c r="Q731" s="27"/>
      <c r="R731" s="27"/>
      <c r="S731" s="27"/>
      <c r="T731" s="27"/>
      <c r="U731" s="27"/>
      <c r="V731" s="27"/>
      <c r="W731" s="27"/>
      <c r="X731" s="27"/>
      <c r="Y731" s="27"/>
      <c r="Z731" s="27"/>
      <c r="AA731" s="27"/>
      <c r="AB731" s="27"/>
      <c r="AC731" s="27"/>
      <c r="AD731" s="27"/>
      <c r="AE731" s="27"/>
      <c r="AF731" s="27"/>
      <c r="AG731" s="27"/>
      <c r="AH731" s="27"/>
      <c r="AI731" s="27"/>
      <c r="AJ731" s="27"/>
      <c r="AK731" s="27"/>
      <c r="AL731" s="27"/>
      <c r="AM731" s="27"/>
      <c r="AN731" s="27"/>
      <c r="AO731" s="27"/>
      <c r="AP731" s="27"/>
      <c r="AQ731" s="27"/>
      <c r="AR731" s="27"/>
      <c r="AS731" s="27"/>
      <c r="AT731" s="27"/>
      <c r="AU731" s="27"/>
      <c r="AV731" s="27"/>
      <c r="AW731" s="27"/>
      <c r="AX731" s="27"/>
      <c r="AY731" s="27"/>
      <c r="AZ731" s="27"/>
      <c r="BA731" s="27"/>
      <c r="BB731" s="27"/>
      <c r="BC731" s="27"/>
      <c r="BD731" s="27"/>
      <c r="BE731" s="27"/>
      <c r="BF731" s="27"/>
      <c r="BG731" s="27"/>
      <c r="BH731" s="27"/>
      <c r="BI731" s="27"/>
      <c r="BJ731" s="27"/>
      <c r="BK731" s="27"/>
      <c r="BL731" s="27"/>
      <c r="BM731" s="27"/>
      <c r="BN731" s="27"/>
      <c r="BO731" s="27"/>
      <c r="BP731" s="27"/>
      <c r="BQ731" s="27"/>
      <c r="BR731" s="27"/>
      <c r="BS731" s="27"/>
      <c r="BT731" s="27"/>
      <c r="BU731" s="27"/>
      <c r="BV731" s="27"/>
      <c r="BW731" s="27"/>
      <c r="BX731" s="27"/>
      <c r="BY731" s="27"/>
      <c r="BZ731" s="27"/>
      <c r="CA731" s="27"/>
      <c r="CB731" s="27"/>
      <c r="CC731" s="27"/>
      <c r="CD731" s="27"/>
      <c r="CE731" s="27"/>
      <c r="CF731" s="27"/>
      <c r="CG731" s="27"/>
      <c r="CH731" s="27"/>
      <c r="CI731" s="27"/>
      <c r="CJ731" s="27"/>
      <c r="CK731" s="27"/>
      <c r="CL731" s="27"/>
      <c r="CM731" s="27"/>
      <c r="CN731" s="27"/>
      <c r="CO731" s="27"/>
      <c r="CP731" s="27"/>
      <c r="CQ731" s="27"/>
      <c r="CR731" s="27"/>
      <c r="CS731" s="27"/>
      <c r="CT731" s="27"/>
      <c r="CU731" s="27"/>
      <c r="CV731" s="27"/>
      <c r="CW731" s="27"/>
      <c r="CX731" s="27"/>
      <c r="CY731" s="27"/>
      <c r="CZ731" s="27"/>
      <c r="DA731" s="27"/>
      <c r="DB731" s="27"/>
      <c r="DC731" s="27"/>
      <c r="DD731" s="27"/>
      <c r="DE731" s="27"/>
      <c r="DF731" s="27"/>
      <c r="DG731" s="27"/>
      <c r="DH731" s="27"/>
      <c r="DI731" s="27"/>
      <c r="DJ731" s="27"/>
      <c r="DK731" s="27"/>
      <c r="DL731" s="27"/>
      <c r="DM731" s="27"/>
      <c r="DN731" s="27"/>
      <c r="DO731" s="27"/>
      <c r="DP731" s="27"/>
      <c r="DQ731" s="27"/>
      <c r="DR731" s="27"/>
      <c r="DS731" s="27"/>
      <c r="DT731" s="27"/>
    </row>
    <row r="732" spans="7:124" x14ac:dyDescent="0.2">
      <c r="G732" s="27"/>
      <c r="H732" s="27"/>
      <c r="I732" s="27"/>
      <c r="J732" s="27"/>
      <c r="K732" s="27"/>
      <c r="L732" s="27"/>
      <c r="M732" s="27"/>
      <c r="N732" s="27"/>
      <c r="O732" s="27">
        <f ca="1">P732*O713</f>
        <v>0</v>
      </c>
      <c r="P732" s="27">
        <f>VLOOKUP(INT(Q732),ghad1,2,FALSE)</f>
        <v>0</v>
      </c>
      <c r="Q732" s="27">
        <f>IF(W719=0,0,IF(60-O710+BB780&gt;13,13,60-O710+BB780))</f>
        <v>0</v>
      </c>
      <c r="R732" s="27"/>
      <c r="S732" s="27"/>
      <c r="T732" s="27"/>
      <c r="U732" s="27"/>
      <c r="V732" s="27" t="s">
        <v>230</v>
      </c>
      <c r="W732" s="27"/>
      <c r="X732" s="27"/>
      <c r="Y732" s="27"/>
      <c r="Z732" s="27" t="s">
        <v>59</v>
      </c>
      <c r="AA732" s="27" t="s">
        <v>59</v>
      </c>
      <c r="AB732" s="27" t="s">
        <v>231</v>
      </c>
      <c r="AC732" s="27" t="s">
        <v>59</v>
      </c>
      <c r="AD732" s="27"/>
      <c r="AE732" s="27" t="s">
        <v>232</v>
      </c>
      <c r="AF732" s="27"/>
      <c r="AG732" s="27" t="s">
        <v>233</v>
      </c>
      <c r="AH732" s="27">
        <v>39994</v>
      </c>
      <c r="AI732" s="27"/>
      <c r="AJ732" s="27"/>
      <c r="AK732" s="27" t="s">
        <v>234</v>
      </c>
      <c r="AL732" s="27">
        <v>28734</v>
      </c>
      <c r="AM732" s="27"/>
      <c r="AN732" s="27" t="s">
        <v>235</v>
      </c>
      <c r="AO732" s="27"/>
      <c r="AP732" s="27">
        <v>1</v>
      </c>
      <c r="AQ732" s="27"/>
      <c r="AR732" s="27"/>
      <c r="AS732" s="27" t="s">
        <v>59</v>
      </c>
      <c r="AT732" s="27">
        <v>18264</v>
      </c>
      <c r="AU732" s="27">
        <v>18264</v>
      </c>
      <c r="AV732" s="27"/>
      <c r="AW732" s="27" t="str">
        <f>MID(BB769,1,2)</f>
        <v>ד"</v>
      </c>
      <c r="AX732" s="27"/>
      <c r="AY732" s="27"/>
      <c r="AZ732" s="27" t="e">
        <f>IF((AZ723&gt;='[1]נתוני מס'!H7)*AND(AZ723&lt;'[1]נתוני מס'!H8),((AZ723-'[1]נתוני מס'!H7)*'[1]נתוני מס'!I8+'[1]נתוני מס'!F7-AB742)*AZ738,IF((AZ723&lt;'[1]נתוני מס'!H7),(AZ723*'[1]נתוני מס'!I7-AB742)*AZ738,0))</f>
        <v>#REF!</v>
      </c>
      <c r="BA732" s="27" t="e">
        <f>IF((BA723&gt;='[1]נתוני מס'!H7)*AND(BA723&lt;'[1]נתוני מס'!H8),((BA723-'[1]נתוני מס'!H7)*'[1]נתוני מס'!I8+'[1]נתוני מס'!F7-AB742)*BA738,IF((BA723&lt;'[1]נתוני מס'!H7),(BA723*'[1]נתוני מס'!I7-AB742)*BA738,0))</f>
        <v>#REF!</v>
      </c>
      <c r="BB732" s="27"/>
      <c r="BC732" s="27" t="e">
        <f>IF((BC723&gt;='[1]נתוני מס'!H7)*AND(BC723&lt;'[1]נתוני מס'!H8),((BC723-'[1]נתוני מס'!H7)*'[1]נתוני מס'!I8+'[1]נתוני מס'!F7)*BC738,IF((BC723&lt;'[1]נתוני מס'!H7),(BC723*'[1]נתוני מס'!I7)*BC738,0))</f>
        <v>#REF!</v>
      </c>
      <c r="BD732" s="27" t="e">
        <f>IF((BD723&gt;='[1]נתוני מס'!H7)*AND(BD723&lt;'[1]נתוני מס'!H8),((BD723-'[1]נתוני מס'!H7)*'[1]נתוני מס'!I8+'[1]נתוני מס'!F7)*BD738,IF((BD723&lt;'[1]נתוני מס'!H7),(BD723*'[1]נתוני מס'!I7)*BD738,0))</f>
        <v>#REF!</v>
      </c>
      <c r="BE732" s="27" t="e">
        <f>IF((G966&gt;='[1]נתוני מס'!H7)*AND(G966&lt;'[1]נתוני מס'!H8),(G966-'[1]נתוני מס'!H7)*'[1]נתוני מס'!I8+'[1]נתוני מס'!F7,IF((G966&lt;'[1]נתוני מס'!H7),G966*'[1]נתוני מס'!I7,0))</f>
        <v>#REF!</v>
      </c>
      <c r="BF732" s="27" t="e">
        <f>IF((BF723&gt;='[1]נתוני מס'!H7)*AND(BF723&lt;'[1]נתוני מס'!H8),(BF723-'[1]נתוני מס'!H7)*'[1]נתוני מס'!I8+'[1]נתוני מס'!F7,IF((BF723&lt;'[1]נתוני מס'!H7),BF723*'[1]נתוני מס'!I7,0))</f>
        <v>#REF!</v>
      </c>
      <c r="BG732" s="27" t="e">
        <f>IF((BG723&gt;='[1]נתוני מס'!H7)*AND(BG723&lt;'[1]נתוני מס'!H8),(BG723-'[1]נתוני מס'!H7)*'[1]נתוני מס'!I8+'[1]נתוני מס'!F7,IF((BG723&lt;'[1]נתוני מס'!H7),BG723*'[1]נתוני מס'!I7,0))</f>
        <v>#REF!</v>
      </c>
      <c r="BH732" s="27">
        <f>IF((BH723&gt;='[1]נתוני מס'!H7)*AND(BH723&lt;'[1]נתוני מס'!H8),(BH723-'[1]נתוני מס'!H7)*'[1]נתוני מס'!J8+'[1]נתוני מס'!F7,IF((BH723&lt;'[1]נתוני מס'!H7),BH723*'[1]נתוני מס'!J7,0))</f>
        <v>0</v>
      </c>
      <c r="BI732" s="27" t="e">
        <f ca="1">IF((BI723&gt;='[1]נתוני מס'!H7)*AND(BI723&lt;'[1]נתוני מס'!H8),(BI723-'[1]נתוני מס'!H7)*'[1]נתוני מס'!I8+'[1]נתוני מס'!F7,IF((BI723&lt;'[1]נתוני מס'!H7),BI723*'[1]נתוני מס'!I7,0))</f>
        <v>#REF!</v>
      </c>
      <c r="BJ732" s="27"/>
      <c r="BK732" s="27">
        <f>IF((BK723&gt;='[1]נתוני מס'!H7)*AND(BK723&lt;'[1]נתוני מס'!H8),(BK723-'[1]נתוני מס'!H7)*'[1]נתוני מס'!J8+'[1]נתוני מס'!F7,IF((BK723&lt;'[1]נתוני מס'!H7),BK723*'[1]נתוני מס'!J7,0))</f>
        <v>0</v>
      </c>
      <c r="BL732" s="27">
        <v>1101575</v>
      </c>
      <c r="BM732" s="27"/>
      <c r="BN732" s="27" t="e">
        <f ca="1">IF((BN724&gt;='[1]נתוני מס'!H7)*AND(BN724&lt;'[1]נתוני מס'!H8),(BN724-'[1]נתוני מס'!H7)*'[1]נתוני מס'!I8+'[1]נתוני מס'!F7,IF((BN724&lt;'[1]נתוני מס'!H7),BN724*'[1]נתוני מס'!I7,0))</f>
        <v>#REF!</v>
      </c>
      <c r="BO732" s="27"/>
      <c r="BP732" s="27" t="e">
        <f ca="1">IF((BP724&gt;='[1]נתוני מס'!H7)*AND(BP724&lt;'[1]נתוני מס'!H8),(BP724-'[1]נתוני מס'!H7)*'[1]נתוני מס'!I8+'[1]נתוני מס'!F7,IF((BP724&lt;'[1]נתוני מס'!H7),BP724*'[1]נתוני מס'!I7,0))</f>
        <v>#REF!</v>
      </c>
      <c r="BQ732" s="27"/>
      <c r="BR732" s="27"/>
      <c r="BS732" s="27"/>
      <c r="BT732" s="27"/>
      <c r="BU732" s="27">
        <v>1</v>
      </c>
      <c r="BV732" s="27"/>
      <c r="BW732" s="27">
        <v>3365.57</v>
      </c>
      <c r="BX732" s="27">
        <v>3179.46</v>
      </c>
      <c r="BY732" s="27">
        <v>2967.49</v>
      </c>
      <c r="BZ732" s="27">
        <v>2835.66</v>
      </c>
      <c r="CA732" s="27">
        <v>2584.9299999999998</v>
      </c>
      <c r="CB732" s="27">
        <v>2584.9299999999998</v>
      </c>
      <c r="CC732" s="27">
        <v>2248.89</v>
      </c>
      <c r="CD732" s="27">
        <v>2106.71</v>
      </c>
      <c r="CE732" s="27">
        <v>2055.0100000000002</v>
      </c>
      <c r="CF732" s="27">
        <v>1990.39</v>
      </c>
      <c r="CG732" s="27">
        <v>2835.66</v>
      </c>
      <c r="CH732" s="27">
        <v>2636.63</v>
      </c>
      <c r="CI732" s="27">
        <v>2248.89</v>
      </c>
      <c r="CJ732" s="27">
        <v>2776.21</v>
      </c>
      <c r="CK732" s="27">
        <v>2835.66</v>
      </c>
      <c r="CL732" s="27"/>
      <c r="CM732" s="27"/>
      <c r="CN732" s="27"/>
      <c r="CO732" s="27"/>
      <c r="CP732" s="27"/>
      <c r="CQ732" s="27"/>
      <c r="CR732" s="27"/>
      <c r="CS732" s="27"/>
      <c r="CT732" s="27"/>
      <c r="CU732" s="27"/>
      <c r="CV732" s="27"/>
      <c r="CW732" s="27"/>
      <c r="CX732" s="27"/>
      <c r="CY732" s="27"/>
      <c r="CZ732" s="27"/>
      <c r="DA732" s="27"/>
      <c r="DB732" s="27"/>
      <c r="DC732" s="27"/>
      <c r="DD732" s="27"/>
      <c r="DE732" s="27"/>
      <c r="DF732" s="27"/>
      <c r="DG732" s="27"/>
      <c r="DH732" s="27"/>
      <c r="DI732" s="27"/>
      <c r="DJ732" s="27"/>
      <c r="DK732" s="27"/>
      <c r="DL732" s="27"/>
      <c r="DM732" s="27"/>
      <c r="DN732" s="27"/>
      <c r="DO732" s="27"/>
      <c r="DP732" s="27"/>
      <c r="DQ732" s="27"/>
      <c r="DR732" s="27"/>
      <c r="DS732" s="27"/>
      <c r="DT732" s="27"/>
    </row>
    <row r="733" spans="7:124" x14ac:dyDescent="0.2">
      <c r="G733" s="27"/>
      <c r="H733" s="27"/>
      <c r="I733" s="27"/>
      <c r="J733" s="27"/>
      <c r="K733" s="27"/>
      <c r="L733" s="27"/>
      <c r="M733" s="27"/>
      <c r="N733" s="27"/>
      <c r="O733" s="27">
        <f ca="1">SUM(O713:O716)*W739</f>
        <v>0</v>
      </c>
      <c r="P733" s="27"/>
      <c r="Q733" s="27"/>
      <c r="R733" s="27"/>
      <c r="S733" s="27"/>
      <c r="T733" s="27"/>
      <c r="U733" s="27" t="s">
        <v>239</v>
      </c>
      <c r="V733" s="27"/>
      <c r="W733" s="27">
        <v>0</v>
      </c>
      <c r="X733" s="27"/>
      <c r="Y733" s="27"/>
      <c r="Z733" s="27" t="s">
        <v>59</v>
      </c>
      <c r="AA733" s="27" t="s">
        <v>240</v>
      </c>
      <c r="AB733" s="27" t="s">
        <v>241</v>
      </c>
      <c r="AC733" s="27"/>
      <c r="AD733" s="27"/>
      <c r="AE733" s="27" t="s">
        <v>242</v>
      </c>
      <c r="AF733" s="27">
        <v>389</v>
      </c>
      <c r="AG733" s="27" t="s">
        <v>243</v>
      </c>
      <c r="AH733" s="27">
        <v>40025</v>
      </c>
      <c r="AI733" s="27"/>
      <c r="AJ733" s="27"/>
      <c r="AK733" s="27">
        <v>16</v>
      </c>
      <c r="AL733" s="27">
        <v>11</v>
      </c>
      <c r="AM733" s="27"/>
      <c r="AN733" s="27">
        <v>12</v>
      </c>
      <c r="AO733" s="27"/>
      <c r="AP733" s="27">
        <v>1.5</v>
      </c>
      <c r="AQ733" s="27"/>
      <c r="AR733" s="27"/>
      <c r="AS733" s="27" t="s">
        <v>59</v>
      </c>
      <c r="AT733" s="27">
        <v>18476</v>
      </c>
      <c r="AU733" s="27">
        <v>18476</v>
      </c>
      <c r="AV733" s="27"/>
      <c r="AW733" s="27"/>
      <c r="AX733" s="27"/>
      <c r="AY733" s="27"/>
      <c r="AZ733" s="27" t="e">
        <f>IF((AZ723&gt;='[1]נתוני מס'!H8)*AND(AZ723&lt;'[1]נתוני מס'!H9),((AZ723-'[1]נתוני מס'!H8)*'[1]נתוני מס'!I9+'[1]נתוני מס'!F8+'[1]נתוני מס'!F7-AB742)*AZ738,0)</f>
        <v>#REF!</v>
      </c>
      <c r="BA733" s="27" t="e">
        <f>IF((BA723&gt;='[1]נתוני מס'!H8)*AND(BA723&lt;'[1]נתוני מס'!H9),((BA723-'[1]נתוני מס'!H8)*'[1]נתוני מס'!I9+'[1]נתוני מס'!F8+'[1]נתוני מס'!F7-AB742)*BA738,0)</f>
        <v>#REF!</v>
      </c>
      <c r="BB733" s="27"/>
      <c r="BC733" s="27" t="e">
        <f>IF((BC723&gt;='[1]נתוני מס'!H8)*AND(BC723&lt;'[1]נתוני מס'!H9),((BC723-'[1]נתוני מס'!H8)*'[1]נתוני מס'!I9+'[1]נתוני מס'!F8+'[1]נתוני מס'!F7)*BC738,0)</f>
        <v>#REF!</v>
      </c>
      <c r="BD733" s="27" t="e">
        <f>IF((BD723&gt;='[1]נתוני מס'!H8)*AND(BD723&lt;'[1]נתוני מס'!H9),((BD723-'[1]נתוני מס'!H8)*'[1]נתוני מס'!I9+'[1]נתוני מס'!F8+'[1]נתוני מס'!F7)*BD738,0)</f>
        <v>#REF!</v>
      </c>
      <c r="BE733" s="27" t="e">
        <f>IF((G966&gt;='[1]נתוני מס'!H8)*AND(G966&lt;'[1]נתוני מס'!H9),(G966-'[1]נתוני מס'!H8)*'[1]נתוני מס'!I9+'[1]נתוני מס'!F8+'[1]נתוני מס'!F7,0)</f>
        <v>#REF!</v>
      </c>
      <c r="BF733" s="27" t="e">
        <f>IF((BF723&gt;='[1]נתוני מס'!H8)*AND(BF723&lt;'[1]נתוני מס'!H9),(BF723-'[1]נתוני מס'!H8)*'[1]נתוני מס'!I9+'[1]נתוני מס'!F8+'[1]נתוני מס'!F7,0)</f>
        <v>#REF!</v>
      </c>
      <c r="BG733" s="27" t="e">
        <f>IF((BG723&gt;='[1]נתוני מס'!H8)*AND(BG723&lt;'[1]נתוני מס'!H9),(BG723-'[1]נתוני מס'!H8)*'[1]נתוני מס'!I9+'[1]נתוני מס'!F8+'[1]נתוני מס'!F7,0)</f>
        <v>#REF!</v>
      </c>
      <c r="BH733" s="27">
        <f>IF((BH723&gt;='[1]נתוני מס'!H8)*AND(BH723&lt;'[1]נתוני מס'!H9),(BH723-'[1]נתוני מס'!H8)*'[1]נתוני מס'!J9+'[1]נתוני מס'!F8+'[1]נתוני מס'!F7,0)</f>
        <v>1662.8000000000002</v>
      </c>
      <c r="BI733" s="27" t="e">
        <f ca="1">IF((BI723&gt;='[1]נתוני מס'!H8)*AND(BI723&lt;'[1]נתוני מס'!H9),(BI723-'[1]נתוני מס'!H8)*'[1]נתוני מס'!I9+'[1]נתוני מס'!F8+'[1]נתוני מס'!F7,0)</f>
        <v>#REF!</v>
      </c>
      <c r="BJ733" s="27"/>
      <c r="BK733" s="27">
        <f>IF((BK723&gt;='[1]נתוני מס'!H8)*AND(BK723&lt;'[1]נתוני מס'!H9),(BK723-'[1]נתוני מס'!H8)*'[1]נתוני מס'!J9+'[1]נתוני מס'!F8+'[1]נתוני מס'!F7,0)</f>
        <v>0</v>
      </c>
      <c r="BL733" s="27"/>
      <c r="BM733" s="27"/>
      <c r="BN733" s="27" t="e">
        <f ca="1">IF((BN724&gt;='[1]נתוני מס'!H8)*AND(BN724&lt;'[1]נתוני מס'!H9),(BN724-'[1]נתוני מס'!H8)*'[1]נתוני מס'!I9+'[1]נתוני מס'!F8+'[1]נתוני מס'!F7,0)</f>
        <v>#REF!</v>
      </c>
      <c r="BO733" s="27"/>
      <c r="BP733" s="27" t="e">
        <f ca="1">IF((BP724&gt;='[1]נתוני מס'!H8)*AND(BP724&lt;'[1]נתוני מס'!H9),(BP724-'[1]נתוני מס'!H8)*'[1]נתוני מס'!I9+'[1]נתוני מס'!F8+'[1]נתוני מס'!F7,0)</f>
        <v>#REF!</v>
      </c>
      <c r="BQ733" s="27"/>
      <c r="BR733" s="27"/>
      <c r="BS733" s="27"/>
      <c r="BT733" s="27"/>
      <c r="BU733" s="27"/>
      <c r="BV733" s="27"/>
      <c r="BW733" s="27"/>
      <c r="BX733" s="27"/>
      <c r="BY733" s="27"/>
      <c r="BZ733" s="27"/>
      <c r="CA733" s="27"/>
      <c r="CB733" s="27"/>
      <c r="CC733" s="27"/>
      <c r="CD733" s="27"/>
      <c r="CE733" s="27"/>
      <c r="CF733" s="27"/>
      <c r="CG733" s="27"/>
      <c r="CH733" s="27"/>
      <c r="CI733" s="27"/>
      <c r="CJ733" s="27"/>
      <c r="CK733" s="27"/>
      <c r="CL733" s="27"/>
      <c r="CM733" s="27"/>
      <c r="CN733" s="27"/>
      <c r="CO733" s="27"/>
      <c r="CP733" s="27"/>
      <c r="CQ733" s="27"/>
      <c r="CR733" s="27"/>
      <c r="CS733" s="27"/>
      <c r="CT733" s="27"/>
      <c r="CU733" s="27"/>
      <c r="CV733" s="27"/>
      <c r="CW733" s="27"/>
      <c r="CX733" s="27"/>
      <c r="CY733" s="27"/>
      <c r="CZ733" s="27"/>
      <c r="DA733" s="27"/>
      <c r="DB733" s="27"/>
      <c r="DC733" s="27"/>
      <c r="DD733" s="27"/>
      <c r="DE733" s="27"/>
      <c r="DF733" s="27"/>
      <c r="DG733" s="27"/>
      <c r="DH733" s="27"/>
      <c r="DI733" s="27"/>
      <c r="DJ733" s="27"/>
      <c r="DK733" s="27"/>
      <c r="DL733" s="27"/>
      <c r="DM733" s="27"/>
      <c r="DN733" s="27"/>
      <c r="DO733" s="27"/>
      <c r="DP733" s="27"/>
      <c r="DQ733" s="27"/>
      <c r="DR733" s="27"/>
      <c r="DS733" s="27"/>
      <c r="DT733" s="27"/>
    </row>
    <row r="734" spans="7:124" x14ac:dyDescent="0.2">
      <c r="G734" s="27"/>
      <c r="H734" s="27"/>
      <c r="I734" s="27"/>
      <c r="J734" s="27"/>
      <c r="K734" s="27"/>
      <c r="L734" s="27"/>
      <c r="M734" s="27"/>
      <c r="N734" s="27"/>
      <c r="O734" s="27">
        <f ca="1">O708*BB782</f>
        <v>0</v>
      </c>
      <c r="P734" s="27"/>
      <c r="Q734" s="27"/>
      <c r="R734" s="27"/>
      <c r="S734" s="27" t="s">
        <v>252</v>
      </c>
      <c r="T734" s="27"/>
      <c r="U734" s="27"/>
      <c r="V734" s="27"/>
      <c r="W734" s="27"/>
      <c r="X734" s="27"/>
      <c r="Y734" s="27"/>
      <c r="Z734" s="27" t="s">
        <v>59</v>
      </c>
      <c r="AA734" s="27"/>
      <c r="AB734" s="27" t="s">
        <v>59</v>
      </c>
      <c r="AC734" s="27"/>
      <c r="AD734" s="27"/>
      <c r="AE734" s="27" t="s">
        <v>253</v>
      </c>
      <c r="AF734" s="27">
        <v>0.59709999999999996</v>
      </c>
      <c r="AG734" s="27" t="s">
        <v>254</v>
      </c>
      <c r="AH734" s="27">
        <v>40056</v>
      </c>
      <c r="AI734" s="27"/>
      <c r="AJ734" s="27"/>
      <c r="AK734" s="27">
        <v>20</v>
      </c>
      <c r="AL734" s="27">
        <v>12</v>
      </c>
      <c r="AM734" s="27"/>
      <c r="AN734" s="27" t="s">
        <v>255</v>
      </c>
      <c r="AO734" s="27" t="s">
        <v>256</v>
      </c>
      <c r="AP734" s="27">
        <v>2</v>
      </c>
      <c r="AQ734" s="27"/>
      <c r="AR734" s="27"/>
      <c r="AS734" s="27" t="e">
        <f>IF(AL724=#REF!,'[1]נתוני מס'!L6,IF(AT722&gt;=AT737,'[1]נתוני מס'!L7,IF(AT722&gt;=AT736,63.666,IF(AT722&gt;=AT735,63.333,IF(AT722&gt;=AT734,63,IF(AT722&gt;=AT733,62.666,IF(AT722&gt;=AT732,62.333,62)))))))</f>
        <v>#REF!</v>
      </c>
      <c r="AT734" s="27">
        <v>18749</v>
      </c>
      <c r="AU734" s="27">
        <v>18749</v>
      </c>
      <c r="AV734" s="27"/>
      <c r="AW734" s="27" t="s">
        <v>257</v>
      </c>
      <c r="AX734" s="27">
        <f>W752+(1/12)*V745+(E110*100)/2</f>
        <v>33</v>
      </c>
      <c r="AY734" s="27"/>
      <c r="AZ734" s="27" t="e">
        <f>IF((AZ723&gt;='[1]נתוני מס'!H9)*AND(AZ723&lt;'[1]נתוני מס'!H10),((AZ723-'[1]נתוני מס'!H9)*'[1]נתוני מס'!I10+'[1]נתוני מס'!F9+'[1]נתוני מס'!F8+'[1]נתוני מס'!F7-AB742)*AZ738,0)</f>
        <v>#REF!</v>
      </c>
      <c r="BA734" s="27" t="e">
        <f>IF((BA723&gt;='[1]נתוני מס'!H9)*AND(BA723&lt;'[1]נתוני מס'!H10),((BA723-'[1]נתוני מס'!H9)*'[1]נתוני מס'!I10+'[1]נתוני מס'!F9+'[1]נתוני מס'!F8+'[1]נתוני מס'!F7-AB742)*BA738,0)</f>
        <v>#REF!</v>
      </c>
      <c r="BB734" s="27"/>
      <c r="BC734" s="27" t="e">
        <f>IF((BC723&gt;='[1]נתוני מס'!H9)*AND(BC723&lt;'[1]נתוני מס'!H10),((BC723-'[1]נתוני מס'!H9)*'[1]נתוני מס'!I10+'[1]נתוני מס'!F9+'[1]נתוני מס'!F8+'[1]נתוני מס'!F7)*BC738,0)</f>
        <v>#REF!</v>
      </c>
      <c r="BD734" s="27" t="e">
        <f>IF((BD723&gt;='[1]נתוני מס'!H9)*AND(BD723&lt;'[1]נתוני מס'!H10),((BD723-'[1]נתוני מס'!H9)*'[1]נתוני מס'!I10+'[1]נתוני מס'!F9+'[1]נתוני מס'!F8+'[1]נתוני מס'!F7)*BD738,0)</f>
        <v>#REF!</v>
      </c>
      <c r="BE734" s="27" t="e">
        <f>IF((G966&gt;='[1]נתוני מס'!H9)*AND(G966&lt;'[1]נתוני מס'!H10),(G966-'[1]נתוני מס'!H9)*'[1]נתוני מס'!I10+'[1]נתוני מס'!F9+'[1]נתוני מס'!F8+'[1]נתוני מס'!F7,0)</f>
        <v>#REF!</v>
      </c>
      <c r="BF734" s="27" t="e">
        <f>IF((BF723&gt;='[1]נתוני מס'!H9)*AND(BF723&lt;'[1]נתוני מס'!H10),(BF723-'[1]נתוני מס'!H9)*'[1]נתוני מס'!I10+'[1]נתוני מס'!F9+'[1]נתוני מס'!F8+'[1]נתוני מס'!F7,0)</f>
        <v>#REF!</v>
      </c>
      <c r="BG734" s="27" t="e">
        <f>IF((BG723&gt;='[1]נתוני מס'!H9)*AND(BG723&lt;'[1]נתוני מס'!H10),(BG723-'[1]נתוני מס'!H9)*'[1]נתוני מס'!I10+'[1]נתוני מס'!F9+'[1]נתוני מס'!F8+'[1]נתוני מס'!F7,0)</f>
        <v>#REF!</v>
      </c>
      <c r="BH734" s="27">
        <f>IF((BH723&gt;='[1]נתוני מס'!H9)*AND(BH723&lt;'[1]נתוני מס'!H10),(BH723-'[1]נתוני מס'!H9)*'[1]נתוני מס'!J10+'[1]נתוני מס'!F9+'[1]נתוני מס'!F8+'[1]נתוני מס'!F7,0)</f>
        <v>0</v>
      </c>
      <c r="BI734" s="27" t="e">
        <f ca="1">IF((BI723&gt;='[1]נתוני מס'!H9)*AND(BI723&lt;'[1]נתוני מס'!H10),(BI723-'[1]נתוני מס'!H9)*'[1]נתוני מס'!I10+'[1]נתוני מס'!F9+'[1]נתוני מס'!F8+'[1]נתוני מס'!F7,0)</f>
        <v>#REF!</v>
      </c>
      <c r="BJ734" s="27"/>
      <c r="BK734" s="27">
        <f xml:space="preserve"> IF((BK723&gt;='[1]נתוני מס'!H9)*AND(BK723&lt;'[1]נתוני מס'!H10),(BK723-'[1]נתוני מס'!H9)*'[1]נתוני מס'!J10+'[1]נתוני מס'!F9+'[1]נתוני מס'!F8+'[1]נתוני מס'!F7,0)</f>
        <v>0</v>
      </c>
      <c r="BL734" s="27">
        <v>1110907</v>
      </c>
      <c r="BM734" s="27"/>
      <c r="BN734" s="27" t="e">
        <f ca="1">IF((BN724&gt;='[1]נתוני מס'!H9)*AND(BN724&lt;'[1]נתוני מס'!H10),(BN724-'[1]נתוני מס'!H9)*'[1]נתוני מס'!I10+'[1]נתוני מס'!F9+'[1]נתוני מס'!F8+'[1]נתוני מס'!F7,0)</f>
        <v>#REF!</v>
      </c>
      <c r="BO734" s="27"/>
      <c r="BP734" s="27" t="e">
        <f ca="1">IF((BP724&gt;='[1]נתוני מס'!H9)*AND(BP724&lt;'[1]נתוני מס'!H10),(BP724-'[1]נתוני מס'!H9)*'[1]נתוני מס'!I10+'[1]נתוני מס'!F9+'[1]נתוני מס'!F8+'[1]נתוני מס'!F7,0)</f>
        <v>#REF!</v>
      </c>
      <c r="BQ734" s="27"/>
      <c r="BR734" s="27"/>
      <c r="BS734" s="27"/>
      <c r="BT734" s="27"/>
      <c r="BU734" s="27">
        <v>2</v>
      </c>
      <c r="BV734" s="27">
        <v>0.05</v>
      </c>
      <c r="BW734" s="27">
        <v>3533.84</v>
      </c>
      <c r="BX734" s="27">
        <v>3338.43</v>
      </c>
      <c r="BY734" s="27">
        <v>3115.86</v>
      </c>
      <c r="BZ734" s="27">
        <v>2977.44</v>
      </c>
      <c r="CA734" s="27">
        <v>2714.17</v>
      </c>
      <c r="CB734" s="27">
        <v>2714.17</v>
      </c>
      <c r="CC734" s="27">
        <v>2361.33</v>
      </c>
      <c r="CD734" s="27">
        <v>2212.04</v>
      </c>
      <c r="CE734" s="27">
        <v>2157.7600000000002</v>
      </c>
      <c r="CF734" s="27">
        <v>2089.9</v>
      </c>
      <c r="CG734" s="27">
        <v>2977.44</v>
      </c>
      <c r="CH734" s="27">
        <v>2768.46</v>
      </c>
      <c r="CI734" s="27">
        <v>2361.33</v>
      </c>
      <c r="CJ734" s="27">
        <v>2915.02</v>
      </c>
      <c r="CK734" s="27">
        <v>2977.44</v>
      </c>
      <c r="CL734" s="27"/>
      <c r="CM734" s="27"/>
      <c r="CN734" s="27"/>
      <c r="CO734" s="27"/>
      <c r="CP734" s="27"/>
      <c r="CQ734" s="27"/>
      <c r="CR734" s="27"/>
      <c r="CS734" s="27"/>
      <c r="CT734" s="27"/>
      <c r="CU734" s="27"/>
      <c r="CV734" s="27"/>
      <c r="CW734" s="27"/>
      <c r="CX734" s="27"/>
      <c r="CY734" s="27"/>
      <c r="CZ734" s="27"/>
      <c r="DA734" s="27"/>
      <c r="DB734" s="27"/>
      <c r="DC734" s="27"/>
      <c r="DD734" s="27"/>
      <c r="DE734" s="27"/>
      <c r="DF734" s="27"/>
      <c r="DG734" s="27"/>
      <c r="DH734" s="27"/>
      <c r="DI734" s="27"/>
      <c r="DJ734" s="27"/>
      <c r="DK734" s="27"/>
      <c r="DL734" s="27"/>
      <c r="DM734" s="27"/>
      <c r="DN734" s="27"/>
      <c r="DO734" s="27"/>
      <c r="DP734" s="27"/>
      <c r="DQ734" s="27"/>
      <c r="DR734" s="27"/>
      <c r="DS734" s="27"/>
      <c r="DT734" s="27"/>
    </row>
    <row r="735" spans="7:124" x14ac:dyDescent="0.2">
      <c r="G735" s="27"/>
      <c r="H735" s="27"/>
      <c r="I735" s="27"/>
      <c r="J735" s="27"/>
      <c r="K735" s="27"/>
      <c r="L735" s="27"/>
      <c r="M735" s="27"/>
      <c r="N735" s="27"/>
      <c r="O735" s="27">
        <f>BB783</f>
        <v>0</v>
      </c>
      <c r="P735" s="27"/>
      <c r="Q735" s="27"/>
      <c r="R735" s="27">
        <f>IF(BB769=BW719,10%,IF(BB769=BX719,5%,0))</f>
        <v>0.1</v>
      </c>
      <c r="S735" s="27" t="s">
        <v>263</v>
      </c>
      <c r="T735" s="27"/>
      <c r="U735" s="27"/>
      <c r="V735" s="27"/>
      <c r="W735" s="27"/>
      <c r="X735" s="27">
        <v>40147</v>
      </c>
      <c r="Y735" s="27"/>
      <c r="Z735" s="27" t="s">
        <v>264</v>
      </c>
      <c r="AA735" s="27" t="e">
        <f>IF(BA760&lt;60,MIN(AV753:AV755),0)</f>
        <v>#REF!</v>
      </c>
      <c r="AB735" s="27"/>
      <c r="AC735" s="27"/>
      <c r="AD735" s="27"/>
      <c r="AE735" s="27" t="s">
        <v>265</v>
      </c>
      <c r="AF735" s="27">
        <v>40574</v>
      </c>
      <c r="AG735" s="27" t="s">
        <v>151</v>
      </c>
      <c r="AH735" s="27">
        <v>40086</v>
      </c>
      <c r="AI735" s="27"/>
      <c r="AJ735" s="27"/>
      <c r="AK735" s="27">
        <v>25</v>
      </c>
      <c r="AL735" s="27">
        <v>13</v>
      </c>
      <c r="AM735" s="27"/>
      <c r="AN735" s="27">
        <v>13</v>
      </c>
      <c r="AO735" s="27">
        <v>34</v>
      </c>
      <c r="AP735" s="27">
        <v>2.5</v>
      </c>
      <c r="AQ735" s="27"/>
      <c r="AR735" s="27"/>
      <c r="AS735" s="27"/>
      <c r="AT735" s="27">
        <v>18994</v>
      </c>
      <c r="AU735" s="27">
        <v>18994</v>
      </c>
      <c r="AV735" s="27"/>
      <c r="AW735" s="27" t="s">
        <v>138</v>
      </c>
      <c r="AX735" s="27">
        <f>BB771+(1/12)*V745</f>
        <v>33</v>
      </c>
      <c r="AY735" s="27"/>
      <c r="AZ735" s="27" t="e">
        <f>IF((AZ723&gt;='[1]נתוני מס'!H10)*AND(AZ723&lt;'[1]נתוני מס'!H11),((AZ723-'[1]נתוני מס'!H10)*'[1]נתוני מס'!I11+'[1]נתוני מס'!F10+'[1]נתוני מס'!F9+'[1]נתוני מס'!F8+'[1]נתוני מס'!F7-AB742)*AZ738,0)</f>
        <v>#REF!</v>
      </c>
      <c r="BA735" s="27" t="e">
        <f>IF((BA723&gt;='[1]נתוני מס'!H10)*AND(BA723&lt;'[1]נתוני מס'!H11),((BA723-'[1]נתוני מס'!H10)*'[1]נתוני מס'!I11+'[1]נתוני מס'!F10+'[1]נתוני מס'!F9+'[1]נתוני מס'!F8+'[1]נתוני מס'!F7-AB742)*BA738,0)</f>
        <v>#REF!</v>
      </c>
      <c r="BB735" s="27"/>
      <c r="BC735" s="27" t="e">
        <f>IF((BC723&gt;='[1]נתוני מס'!H10)*AND(BC723&lt;'[1]נתוני מס'!H11),((BC723-'[1]נתוני מס'!H10)*'[1]נתוני מס'!I11+'[1]נתוני מס'!F10+'[1]נתוני מס'!F9+'[1]נתוני מס'!F8+'[1]נתוני מס'!F7)*BC738,0)</f>
        <v>#REF!</v>
      </c>
      <c r="BD735" s="27" t="e">
        <f>IF((BD723&gt;='[1]נתוני מס'!H10)*AND(BD723&lt;'[1]נתוני מס'!H11),((BD723-'[1]נתוני מס'!H10)*'[1]נתוני מס'!I11+'[1]נתוני מס'!F10+'[1]נתוני מס'!F9+'[1]נתוני מס'!F8+'[1]נתוני מס'!F7)*BD738,0)</f>
        <v>#REF!</v>
      </c>
      <c r="BE735" s="27" t="e">
        <f>IF((G966&gt;='[1]נתוני מס'!H10)*AND(G966&lt;'[1]נתוני מס'!H11),(G966-'[1]נתוני מס'!H10)*'[1]נתוני מס'!I11+'[1]נתוני מס'!F10+'[1]נתוני מס'!F9+'[1]נתוני מס'!F8+'[1]נתוני מס'!F7,0)</f>
        <v>#REF!</v>
      </c>
      <c r="BF735" s="27" t="e">
        <f>IF((BF723&gt;='[1]נתוני מס'!H10)*AND(BF723&lt;'[1]נתוני מס'!H11),(BF723-'[1]נתוני מס'!H10)*'[1]נתוני מס'!I11+'[1]נתוני מס'!F10+'[1]נתוני מס'!F9+'[1]נתוני מס'!F8+'[1]נתוני מס'!F7,0)</f>
        <v>#REF!</v>
      </c>
      <c r="BG735" s="27" t="e">
        <f>IF((BG723&gt;='[1]נתוני מס'!H10)*AND(BG723&lt;'[1]נתוני מס'!H11),(BG723-'[1]נתוני מס'!H10)*'[1]נתוני מס'!I11+'[1]נתוני מס'!F10+'[1]נתוני מס'!F9+'[1]נתוני מס'!F8+'[1]נתוני מס'!F7,0)</f>
        <v>#REF!</v>
      </c>
      <c r="BH735" s="27">
        <f>IF((BH723&gt;='[1]נתוני מס'!H10)*AND(BH723&lt;'[1]נתוני מס'!H11),(BH723-'[1]נתוני מס'!H10)*'[1]נתוני מס'!J11+'[1]נתוני מס'!F10+'[1]נתוני מס'!F9+'[1]נתוני מס'!F8+'[1]נתוני מס'!F7,0)</f>
        <v>0</v>
      </c>
      <c r="BI735" s="27" t="e">
        <f ca="1">IF((BI723&gt;='[1]נתוני מס'!H10)*AND(BI723&lt;'[1]נתוני מס'!H11),(BI723-'[1]נתוני מס'!H10)*'[1]נתוני מס'!I11+'[1]נתוני מס'!F10+'[1]נתוני מס'!F9+'[1]נתוני מס'!F8+'[1]נתוני מס'!F7,0)</f>
        <v>#REF!</v>
      </c>
      <c r="BJ735" s="27"/>
      <c r="BK735" s="27">
        <f xml:space="preserve"> IF((BK723&gt;='[1]נתוני מס'!H10)*AND(BK723&lt;'[1]נתוני מס'!H11),(BK723-'[1]נתוני מס'!H10)*'[1]נתוני מס'!J11+'[1]נתוני מס'!F10+'[1]נתוני מס'!F9+'[1]נתוני מס'!F8+'[1]נתוני מס'!F7,0)</f>
        <v>0</v>
      </c>
      <c r="BL735" s="27"/>
      <c r="BM735" s="27"/>
      <c r="BN735" s="27" t="e">
        <f ca="1">IF((BN724&gt;='[1]נתוני מס'!H10)*AND(BN724&lt;'[1]נתוני מס'!H11),(BN724-'[1]נתוני מס'!H10)*'[1]נתוני מס'!I11+'[1]נתוני מס'!F10+'[1]נתוני מס'!F9+'[1]נתוני מס'!F8+'[1]נתוני מס'!F7,0)</f>
        <v>#REF!</v>
      </c>
      <c r="BO735" s="27"/>
      <c r="BP735" s="27" t="e">
        <f ca="1">IF((BP724&gt;='[1]נתוני מס'!H10)*AND(BP724&lt;'[1]נתוני מס'!H11),(BP724-'[1]נתוני מס'!H10)*'[1]נתוני מס'!I11+'[1]נתוני מס'!F10+'[1]נתוני מס'!F9+'[1]נתוני מס'!F8+'[1]נתוני מס'!F7,0)</f>
        <v>#REF!</v>
      </c>
      <c r="BQ735" s="27"/>
      <c r="BR735" s="27"/>
      <c r="BS735" s="27"/>
      <c r="BT735" s="27"/>
      <c r="BU735" s="27"/>
      <c r="BV735" s="27"/>
      <c r="BW735" s="27"/>
      <c r="BX735" s="27"/>
      <c r="BY735" s="27"/>
      <c r="BZ735" s="27"/>
      <c r="CA735" s="27"/>
      <c r="CB735" s="27"/>
      <c r="CC735" s="27"/>
      <c r="CD735" s="27"/>
      <c r="CE735" s="27"/>
      <c r="CF735" s="27"/>
      <c r="CG735" s="27"/>
      <c r="CH735" s="27"/>
      <c r="CI735" s="27"/>
      <c r="CJ735" s="27"/>
      <c r="CK735" s="27"/>
      <c r="CL735" s="27"/>
      <c r="CM735" s="27"/>
      <c r="CN735" s="27"/>
      <c r="CO735" s="27"/>
      <c r="CP735" s="27"/>
      <c r="CQ735" s="27"/>
      <c r="CR735" s="27"/>
      <c r="CS735" s="27"/>
      <c r="CT735" s="27"/>
      <c r="CU735" s="27"/>
      <c r="CV735" s="27"/>
      <c r="CW735" s="27"/>
      <c r="CX735" s="27"/>
      <c r="CY735" s="27"/>
      <c r="CZ735" s="27"/>
      <c r="DA735" s="27"/>
      <c r="DB735" s="27"/>
      <c r="DC735" s="27"/>
      <c r="DD735" s="27"/>
      <c r="DE735" s="27"/>
      <c r="DF735" s="27"/>
      <c r="DG735" s="27"/>
      <c r="DH735" s="27"/>
      <c r="DI735" s="27"/>
      <c r="DJ735" s="27"/>
      <c r="DK735" s="27"/>
      <c r="DL735" s="27"/>
      <c r="DM735" s="27"/>
      <c r="DN735" s="27"/>
      <c r="DO735" s="27"/>
      <c r="DP735" s="27"/>
      <c r="DQ735" s="27"/>
      <c r="DR735" s="27"/>
      <c r="DS735" s="27"/>
      <c r="DT735" s="27"/>
    </row>
    <row r="736" spans="7:124" x14ac:dyDescent="0.2">
      <c r="G736" s="27"/>
      <c r="H736" s="27"/>
      <c r="I736" s="27"/>
      <c r="J736" s="27"/>
      <c r="K736" s="27"/>
      <c r="L736" s="27"/>
      <c r="M736" s="27"/>
      <c r="N736" s="27"/>
      <c r="O736" s="27">
        <f ca="1">SUM(O713:O735)</f>
        <v>1.1025E-2</v>
      </c>
      <c r="P736" s="27"/>
      <c r="Q736" s="27"/>
      <c r="R736" s="27"/>
      <c r="S736" s="27"/>
      <c r="T736" s="27"/>
      <c r="U736" s="27"/>
      <c r="V736" s="27"/>
      <c r="W736" s="27"/>
      <c r="X736" s="27">
        <v>147.53</v>
      </c>
      <c r="Y736" s="27"/>
      <c r="Z736" s="27"/>
      <c r="AA736" s="27"/>
      <c r="AB736" s="27"/>
      <c r="AC736" s="27"/>
      <c r="AD736" s="27"/>
      <c r="AE736" s="27" t="s">
        <v>216</v>
      </c>
      <c r="AF736" s="27"/>
      <c r="AG736" s="27" t="s">
        <v>272</v>
      </c>
      <c r="AH736" s="27">
        <v>40117</v>
      </c>
      <c r="AI736" s="27"/>
      <c r="AJ736" s="27"/>
      <c r="AK736" s="27"/>
      <c r="AL736" s="27"/>
      <c r="AM736" s="27"/>
      <c r="AN736" s="27" t="s">
        <v>273</v>
      </c>
      <c r="AO736" s="27" t="s">
        <v>274</v>
      </c>
      <c r="AP736" s="27">
        <v>3</v>
      </c>
      <c r="AQ736" s="27"/>
      <c r="AR736" s="27"/>
      <c r="AS736" s="27"/>
      <c r="AT736" s="27">
        <v>19238</v>
      </c>
      <c r="AU736" s="27">
        <v>19238</v>
      </c>
      <c r="AV736" s="27"/>
      <c r="AW736" s="27" t="s">
        <v>275</v>
      </c>
      <c r="AX736" s="27">
        <f>BB773+(1/12)*V745+(E110*100)/2</f>
        <v>33</v>
      </c>
      <c r="AY736" s="27"/>
      <c r="AZ736" s="27" t="e">
        <f>IF((AZ723&gt;='[1]נתוני מס'!H11),((AZ723-'[1]נתוני מס'!H11)*'[1]נתוני מס'!I12+'[1]נתוני מס'!F11+'[1]נתוני מס'!F10+'[1]נתוני מס'!F9+'[1]נתוני מס'!F8+'[1]נתוני מס'!F7-AB742)*AZ738,0)</f>
        <v>#REF!</v>
      </c>
      <c r="BA736" s="27" t="e">
        <f>IF((BA723&gt;='[1]נתוני מס'!H11),((BA723-'[1]נתוני מס'!H11)*'[1]נתוני מס'!I12+'[1]נתוני מס'!F11+'[1]נתוני מס'!F10+'[1]נתוני מס'!F9+'[1]נתוני מס'!F8+'[1]נתוני מס'!F7-AB742)*BA738,0)</f>
        <v>#REF!</v>
      </c>
      <c r="BB736" s="27"/>
      <c r="BC736" s="27" t="e">
        <f>IF((BC723&gt;='[1]נתוני מס'!H11),((BC723-'[1]נתוני מס'!H11)*'[1]נתוני מס'!I12+'[1]נתוני מס'!F11+'[1]נתוני מס'!F10+'[1]נתוני מס'!F9+'[1]נתוני מס'!F8+'[1]נתוני מס'!F7)*BC738,0)</f>
        <v>#REF!</v>
      </c>
      <c r="BD736" s="27" t="e">
        <f>IF((BD723&gt;='[1]נתוני מס'!H11),((BD723-'[1]נתוני מס'!H11)*'[1]נתוני מס'!I12+'[1]נתוני מס'!F11+'[1]נתוני מס'!F10+'[1]נתוני מס'!F9+'[1]נתוני מס'!F8+'[1]נתוני מס'!F7)*BD738,0)</f>
        <v>#REF!</v>
      </c>
      <c r="BE736" s="27" t="e">
        <f>IF((G966&gt;='[1]נתוני מס'!H11),(G966-'[1]נתוני מס'!H11)*'[1]נתוני מס'!I12+'[1]נתוני מס'!F11+'[1]נתוני מס'!F10+'[1]נתוני מס'!F9+'[1]נתוני מס'!F8+'[1]נתוני מס'!F7,0)</f>
        <v>#REF!</v>
      </c>
      <c r="BF736" s="27" t="e">
        <f>IF((BF723&gt;='[1]נתוני מס'!H11),(BF723-'[1]נתוני מס'!H11)*'[1]נתוני מס'!I12+'[1]נתוני מס'!F11+'[1]נתוני מס'!F10+'[1]נתוני מס'!F9+'[1]נתוני מס'!F8+'[1]נתוני מס'!F7,0)</f>
        <v>#REF!</v>
      </c>
      <c r="BG736" s="27" t="e">
        <f>IF((BG723&gt;='[1]נתוני מס'!H11),(BG723-'[1]נתוני מס'!H11)*'[1]נתוני מס'!I12+'[1]נתוני מס'!F11+'[1]נתוני מס'!F10+'[1]נתוני מס'!F9+'[1]נתוני מס'!F8+'[1]נתוני מס'!F7,0)</f>
        <v>#REF!</v>
      </c>
      <c r="BH736" s="27">
        <f>IF((BH723&gt;='[1]נתוני מס'!H11),(BH723-'[1]נתוני מס'!H11)*'[1]נתוני מס'!J12+'[1]נתוני מס'!F11+'[1]נתוני מס'!F10+'[1]נתוני מס'!F9+'[1]נתוני מס'!F8+'[1]נתוני מס'!F7,0)</f>
        <v>0</v>
      </c>
      <c r="BI736" s="27" t="e">
        <f ca="1">IF((BI723&gt;='[1]נתוני מס'!H11),(BI723-'[1]נתוני מס'!H11)*'[1]נתוני מס'!I12+'[1]נתוני מס'!F11+'[1]נתוני מס'!F10+'[1]נתוני מס'!F9+'[1]נתוני מס'!F8+'[1]נתוני מס'!F7,0)</f>
        <v>#REF!</v>
      </c>
      <c r="BJ736" s="27"/>
      <c r="BK736" s="27">
        <f>IF((BK723&gt;='[1]נתוני מס'!H11),(BK723-'[1]נתוני מס'!H11)*'[1]נתוני מס'!J12+'[1]נתוני מס'!F11+'[1]נתוני מס'!F10+'[1]נתוני מס'!F9+'[1]נתוני מס'!F8+'[1]נתוני מס'!F7,0)</f>
        <v>0</v>
      </c>
      <c r="BL736" s="27">
        <v>1112887</v>
      </c>
      <c r="BM736" s="27"/>
      <c r="BN736" s="27" t="e">
        <f ca="1">IF((BN724&gt;='[1]נתוני מס'!H11),(BN724-'[1]נתוני מס'!H11)*'[1]נתוני מס'!I12+'[1]נתוני מס'!F11+'[1]נתוני מס'!F10+'[1]נתוני מס'!F9+'[1]נתוני מס'!F8+'[1]נתוני מס'!F7,0)</f>
        <v>#REF!</v>
      </c>
      <c r="BO736" s="27"/>
      <c r="BP736" s="27" t="e">
        <f ca="1">IF((BP724&gt;='[1]נתוני מס'!H11),(BP724-'[1]נתוני מס'!H11)*'[1]נתוני מס'!I12+'[1]נתוני מס'!F11+'[1]נתוני מס'!F10+'[1]נתוני מס'!F9+'[1]נתוני מס'!F8+'[1]נתוני מס'!F7,0)</f>
        <v>#REF!</v>
      </c>
      <c r="BQ736" s="27" t="s">
        <v>224</v>
      </c>
      <c r="BR736" s="27"/>
      <c r="BS736" s="27"/>
      <c r="BT736" s="27"/>
      <c r="BU736" s="27">
        <v>3</v>
      </c>
      <c r="BV736" s="27">
        <v>0.05</v>
      </c>
      <c r="BW736" s="27">
        <v>3710.53</v>
      </c>
      <c r="BX736" s="27">
        <v>3505.35</v>
      </c>
      <c r="BY736" s="27">
        <v>3271.65</v>
      </c>
      <c r="BZ736" s="27">
        <v>3126.31</v>
      </c>
      <c r="CA736" s="27">
        <v>2849.87</v>
      </c>
      <c r="CB736" s="27">
        <v>2849.87</v>
      </c>
      <c r="CC736" s="27">
        <v>2479.39</v>
      </c>
      <c r="CD736" s="27">
        <v>2322.64</v>
      </c>
      <c r="CE736" s="27">
        <v>2265.64</v>
      </c>
      <c r="CF736" s="27">
        <v>2194.39</v>
      </c>
      <c r="CG736" s="27">
        <v>3126.31</v>
      </c>
      <c r="CH736" s="27">
        <v>2906.88</v>
      </c>
      <c r="CI736" s="27">
        <v>2479.39</v>
      </c>
      <c r="CJ736" s="27">
        <v>3060.77</v>
      </c>
      <c r="CK736" s="27">
        <v>3126.31</v>
      </c>
      <c r="CL736" s="27"/>
      <c r="CM736" s="27"/>
      <c r="CN736" s="27"/>
      <c r="CO736" s="27"/>
      <c r="CP736" s="27"/>
      <c r="CQ736" s="27"/>
      <c r="CR736" s="27"/>
      <c r="CS736" s="27"/>
      <c r="CT736" s="27"/>
      <c r="CU736" s="27"/>
      <c r="CV736" s="27"/>
      <c r="CW736" s="27"/>
      <c r="CX736" s="27"/>
      <c r="CY736" s="27"/>
      <c r="CZ736" s="27"/>
      <c r="DA736" s="27"/>
      <c r="DB736" s="27"/>
      <c r="DC736" s="27"/>
      <c r="DD736" s="27"/>
      <c r="DE736" s="27"/>
      <c r="DF736" s="27"/>
      <c r="DG736" s="27"/>
      <c r="DH736" s="27"/>
      <c r="DI736" s="27"/>
      <c r="DJ736" s="27"/>
      <c r="DK736" s="27"/>
      <c r="DL736" s="27"/>
      <c r="DM736" s="27"/>
      <c r="DN736" s="27"/>
      <c r="DO736" s="27"/>
      <c r="DP736" s="27"/>
      <c r="DQ736" s="27"/>
      <c r="DR736" s="27"/>
      <c r="DS736" s="27"/>
      <c r="DT736" s="27"/>
    </row>
    <row r="737" spans="7:124" x14ac:dyDescent="0.2">
      <c r="G737" s="27"/>
      <c r="H737" s="27"/>
      <c r="I737" s="27"/>
      <c r="J737" s="27"/>
      <c r="K737" s="27"/>
      <c r="L737" s="27"/>
      <c r="M737" s="27"/>
      <c r="N737" s="27"/>
      <c r="O737" s="27" t="e">
        <f ca="1">(O736*Q711+D946*G945)/O712</f>
        <v>#REF!</v>
      </c>
      <c r="P737" s="27" t="s">
        <v>59</v>
      </c>
      <c r="Q737" s="27"/>
      <c r="R737" s="27"/>
      <c r="S737" s="27"/>
      <c r="T737" s="27"/>
      <c r="U737" s="27"/>
      <c r="V737" s="27"/>
      <c r="W737" s="27"/>
      <c r="X737" s="27"/>
      <c r="Y737" s="27"/>
      <c r="Z737" s="27" t="s">
        <v>275</v>
      </c>
      <c r="AA737" s="27">
        <f ca="1">YEAR(AF735)-YEAR(I775)+AX736</f>
        <v>20</v>
      </c>
      <c r="AB737" s="27"/>
      <c r="AC737" s="27"/>
      <c r="AD737" s="27" t="s">
        <v>280</v>
      </c>
      <c r="AE737" s="27" t="s">
        <v>281</v>
      </c>
      <c r="AF737" s="27" t="s">
        <v>282</v>
      </c>
      <c r="AG737" s="27" t="s">
        <v>283</v>
      </c>
      <c r="AH737" s="27">
        <v>40147</v>
      </c>
      <c r="AI737" s="27"/>
      <c r="AJ737" s="27"/>
      <c r="AK737" s="27"/>
      <c r="AL737" s="27" t="s">
        <v>59</v>
      </c>
      <c r="AM737" s="27">
        <f ca="1">VLOOKUP(AA737,__HAV2,2,TRUE)</f>
        <v>12</v>
      </c>
      <c r="AN737" s="27">
        <v>14</v>
      </c>
      <c r="AO737" s="27">
        <v>35</v>
      </c>
      <c r="AP737" s="27"/>
      <c r="AQ737" s="27"/>
      <c r="AR737" s="27"/>
      <c r="AS737" s="27"/>
      <c r="AT737" s="27">
        <v>19480</v>
      </c>
      <c r="AU737" s="27">
        <v>19480</v>
      </c>
      <c r="AV737" s="27" t="s">
        <v>284</v>
      </c>
      <c r="AW737" s="27"/>
      <c r="AX737" s="27">
        <f>IF(Z717&lt;=100%/3,0,Z717)</f>
        <v>1</v>
      </c>
      <c r="AY737" s="27"/>
      <c r="AZ737" s="27" t="e">
        <f>IF(SUM(AZ732:AZ736)&lt;0,0,SUM(AZ732:AZ736))</f>
        <v>#REF!</v>
      </c>
      <c r="BA737" s="27" t="e">
        <f>IF(SUM(BA732:BA736)&lt;0,0,SUM(BA732:BA736))</f>
        <v>#REF!</v>
      </c>
      <c r="BB737" s="27"/>
      <c r="BC737" s="27" t="e">
        <f>IF(SUM(BC732:BC736)&lt;0,0,(SUM(BC732:BC736)))</f>
        <v>#REF!</v>
      </c>
      <c r="BD737" s="27" t="e">
        <f>IF(SUM(BD732:BD736)&lt;0,0,SUM(BD732:BD736))</f>
        <v>#REF!</v>
      </c>
      <c r="BE737" s="27" t="e">
        <f>IF(SUM(BE732:BE736)&lt;0,0,SUM(BE732:BE736))</f>
        <v>#REF!</v>
      </c>
      <c r="BF737" s="27" t="e">
        <f>IF(SUM(BF732:BF736)&lt;0,0,SUM(BF732:BF736))</f>
        <v>#REF!</v>
      </c>
      <c r="BG737" s="27" t="e">
        <f>IF(SUM(BG732:BG736)&lt;0,0,SUM(BG732:BG736))</f>
        <v>#REF!</v>
      </c>
      <c r="BH737" s="27">
        <f>IF(SUM(BH732:BH736)&lt;0,0,SUM(BH732:BH736))</f>
        <v>1662.8000000000002</v>
      </c>
      <c r="BI737" s="27" t="e">
        <f ca="1">SUM(BI732:BI736)</f>
        <v>#REF!</v>
      </c>
      <c r="BJ737" s="27"/>
      <c r="BK737" s="27">
        <f>IF(SUM(BK732:BK736)&lt;0,0,SUM(BK732:BK736))</f>
        <v>0</v>
      </c>
      <c r="BL737" s="27"/>
      <c r="BM737" s="27" t="s">
        <v>285</v>
      </c>
      <c r="BN737" s="27" t="e">
        <f ca="1">SUM(BN732:BN736)</f>
        <v>#REF!</v>
      </c>
      <c r="BO737" s="27"/>
      <c r="BP737" s="27" t="e">
        <f ca="1">SUM(BP732:BP736)</f>
        <v>#REF!</v>
      </c>
      <c r="BQ737" s="27" t="e">
        <f ca="1">BP739-BI739</f>
        <v>#REF!</v>
      </c>
      <c r="BR737" s="27"/>
      <c r="BS737" s="27"/>
      <c r="BT737" s="27"/>
      <c r="BU737" s="27"/>
      <c r="BV737" s="27"/>
      <c r="BW737" s="27"/>
      <c r="BX737" s="27"/>
      <c r="BY737" s="27"/>
      <c r="BZ737" s="27"/>
      <c r="CA737" s="27"/>
      <c r="CB737" s="27"/>
      <c r="CC737" s="27"/>
      <c r="CD737" s="27"/>
      <c r="CE737" s="27"/>
      <c r="CF737" s="27"/>
      <c r="CG737" s="27"/>
      <c r="CH737" s="27"/>
      <c r="CI737" s="27"/>
      <c r="CJ737" s="27"/>
      <c r="CK737" s="27"/>
      <c r="CL737" s="27"/>
      <c r="CM737" s="27"/>
      <c r="CN737" s="27"/>
      <c r="CO737" s="27"/>
      <c r="CP737" s="27"/>
      <c r="CQ737" s="27"/>
      <c r="CR737" s="27"/>
      <c r="CS737" s="27"/>
      <c r="CT737" s="27"/>
      <c r="CU737" s="27"/>
      <c r="CV737" s="27"/>
      <c r="CW737" s="27"/>
      <c r="CX737" s="27"/>
      <c r="CY737" s="27"/>
      <c r="CZ737" s="27"/>
      <c r="DA737" s="27"/>
      <c r="DB737" s="27"/>
      <c r="DC737" s="27"/>
      <c r="DD737" s="27"/>
      <c r="DE737" s="27"/>
      <c r="DF737" s="27"/>
      <c r="DG737" s="27"/>
      <c r="DH737" s="27"/>
      <c r="DI737" s="27"/>
      <c r="DJ737" s="27"/>
      <c r="DK737" s="27"/>
      <c r="DL737" s="27"/>
      <c r="DM737" s="27"/>
      <c r="DN737" s="27"/>
      <c r="DO737" s="27"/>
      <c r="DP737" s="27"/>
      <c r="DQ737" s="27"/>
      <c r="DR737" s="27"/>
      <c r="DS737" s="27"/>
      <c r="DT737" s="27"/>
    </row>
    <row r="738" spans="7:124" x14ac:dyDescent="0.2">
      <c r="G738" s="27"/>
      <c r="H738" s="27"/>
      <c r="I738" s="27"/>
      <c r="J738" s="27"/>
      <c r="K738" s="27"/>
      <c r="L738" s="27"/>
      <c r="M738" s="27" t="s">
        <v>54</v>
      </c>
      <c r="N738" s="27">
        <f ca="1">ROUND((I775-AT720)/365.25,2)</f>
        <v>13.33</v>
      </c>
      <c r="O738" s="27"/>
      <c r="P738" s="27"/>
      <c r="Q738" s="27"/>
      <c r="R738" s="27"/>
      <c r="S738" s="27"/>
      <c r="T738" s="27"/>
      <c r="U738" s="27"/>
      <c r="V738" s="27" t="s">
        <v>574</v>
      </c>
      <c r="W738" s="27"/>
      <c r="X738" s="27">
        <v>164.07</v>
      </c>
      <c r="Y738" s="27"/>
      <c r="Z738" s="27" t="s">
        <v>292</v>
      </c>
      <c r="AA738" s="27">
        <f>AX734</f>
        <v>33</v>
      </c>
      <c r="AB738" s="27"/>
      <c r="AC738" s="27" t="s">
        <v>191</v>
      </c>
      <c r="AD738" s="27">
        <f>IF(AX734&gt;AA739,AA739,AX734)</f>
        <v>33</v>
      </c>
      <c r="AE738" s="27" t="e">
        <f>IF(W724=#REF!,1.5*AF738,1*AF738)</f>
        <v>#REF!</v>
      </c>
      <c r="AF738" s="27">
        <f>IF(W724=AE723,1,IF(AX734&gt;30,0.75,1))</f>
        <v>1</v>
      </c>
      <c r="AG738" s="27" t="s">
        <v>293</v>
      </c>
      <c r="AH738" s="27">
        <v>40178</v>
      </c>
      <c r="AI738" s="27"/>
      <c r="AJ738" s="27"/>
      <c r="AK738" s="27"/>
      <c r="AL738" s="27"/>
      <c r="AM738" s="27"/>
      <c r="AN738" s="27" t="s">
        <v>294</v>
      </c>
      <c r="AO738" s="27" t="s">
        <v>295</v>
      </c>
      <c r="AP738" s="27"/>
      <c r="AQ738" s="27"/>
      <c r="AR738" s="27"/>
      <c r="AS738" s="27"/>
      <c r="AT738" s="27"/>
      <c r="AU738" s="27"/>
      <c r="AV738" s="27"/>
      <c r="AW738" s="27" t="s">
        <v>59</v>
      </c>
      <c r="AX738" s="27"/>
      <c r="AY738" s="27"/>
      <c r="AZ738" s="27">
        <v>1</v>
      </c>
      <c r="BA738" s="27">
        <v>1</v>
      </c>
      <c r="BB738" s="27"/>
      <c r="BC738" s="27" t="e">
        <f>BB722/BC723</f>
        <v>#REF!</v>
      </c>
      <c r="BD738" s="27" t="e">
        <f>BD722/BD723</f>
        <v>#REF!</v>
      </c>
      <c r="BE738" s="27"/>
      <c r="BF738" s="27" t="e">
        <f>(#REF!/12)/BF722</f>
        <v>#REF!</v>
      </c>
      <c r="BG738" s="27"/>
      <c r="BH738" s="27"/>
      <c r="BI738" s="27"/>
      <c r="BJ738" s="27"/>
      <c r="BK738" s="27">
        <f>IF(BK723&gt;BF814,BK737*(BM738-BD814)+95,BK737*BM738)</f>
        <v>0</v>
      </c>
      <c r="BL738" s="27">
        <v>1107788</v>
      </c>
      <c r="BM738" s="27">
        <f>BD808</f>
        <v>0</v>
      </c>
      <c r="BN738" s="27"/>
      <c r="BO738" s="27"/>
      <c r="BP738" s="27"/>
      <c r="BQ738" s="27"/>
      <c r="BR738" s="27"/>
      <c r="BS738" s="27"/>
      <c r="BT738" s="27"/>
      <c r="BU738" s="27">
        <v>4</v>
      </c>
      <c r="BV738" s="27">
        <v>0.05</v>
      </c>
      <c r="BW738" s="27">
        <v>3896.05</v>
      </c>
      <c r="BX738" s="27">
        <v>3680.61</v>
      </c>
      <c r="BY738" s="27">
        <v>3435.23</v>
      </c>
      <c r="BZ738" s="27">
        <v>3282.62</v>
      </c>
      <c r="CA738" s="27">
        <v>2992.36</v>
      </c>
      <c r="CB738" s="27">
        <v>2992.36</v>
      </c>
      <c r="CC738" s="27">
        <v>2603.35</v>
      </c>
      <c r="CD738" s="27">
        <v>2438.77</v>
      </c>
      <c r="CE738" s="27">
        <v>2378.92</v>
      </c>
      <c r="CF738" s="27">
        <v>2304.1</v>
      </c>
      <c r="CG738" s="27">
        <v>3282.62</v>
      </c>
      <c r="CH738" s="27">
        <v>3052.22</v>
      </c>
      <c r="CI738" s="27">
        <v>2603.35</v>
      </c>
      <c r="CJ738" s="27">
        <v>3213.8</v>
      </c>
      <c r="CK738" s="27">
        <v>3282.62</v>
      </c>
      <c r="CL738" s="27"/>
      <c r="CM738" s="27"/>
      <c r="CN738" s="27"/>
      <c r="CO738" s="27"/>
      <c r="CP738" s="27"/>
      <c r="CQ738" s="27"/>
      <c r="CR738" s="27"/>
      <c r="CS738" s="27"/>
      <c r="CT738" s="27"/>
      <c r="CU738" s="27"/>
      <c r="CV738" s="27"/>
      <c r="CW738" s="27"/>
      <c r="CX738" s="27"/>
      <c r="CY738" s="27"/>
      <c r="CZ738" s="27"/>
      <c r="DA738" s="27"/>
      <c r="DB738" s="27"/>
      <c r="DC738" s="27"/>
      <c r="DD738" s="27"/>
      <c r="DE738" s="27"/>
      <c r="DF738" s="27"/>
      <c r="DG738" s="27"/>
      <c r="DH738" s="27"/>
      <c r="DI738" s="27"/>
      <c r="DJ738" s="27"/>
      <c r="DK738" s="27"/>
      <c r="DL738" s="27"/>
      <c r="DM738" s="27"/>
      <c r="DN738" s="27"/>
      <c r="DO738" s="27"/>
      <c r="DP738" s="27"/>
      <c r="DQ738" s="27"/>
      <c r="DR738" s="27"/>
      <c r="DS738" s="27"/>
      <c r="DT738" s="27"/>
    </row>
    <row r="739" spans="7:124" x14ac:dyDescent="0.2">
      <c r="G739" s="27"/>
      <c r="H739" s="27"/>
      <c r="I739" s="27"/>
      <c r="J739" s="27"/>
      <c r="K739" s="27"/>
      <c r="L739" s="27"/>
      <c r="M739" s="27" t="s">
        <v>59</v>
      </c>
      <c r="N739" s="27"/>
      <c r="O739" s="27"/>
      <c r="P739" s="27"/>
      <c r="Q739" s="27"/>
      <c r="R739" s="27"/>
      <c r="S739" s="27"/>
      <c r="T739" s="27"/>
      <c r="U739" s="27"/>
      <c r="V739" s="27" t="s">
        <v>302</v>
      </c>
      <c r="W739" s="27">
        <f>IF(BB781=Y723,12%,0)</f>
        <v>0</v>
      </c>
      <c r="X739" s="27"/>
      <c r="Y739" s="27"/>
      <c r="Z739" s="27" t="s">
        <v>303</v>
      </c>
      <c r="AA739" s="27">
        <v>36</v>
      </c>
      <c r="AB739" s="27"/>
      <c r="AC739" s="27" t="s">
        <v>304</v>
      </c>
      <c r="AD739" s="27">
        <f ca="1">IF((AD738+AB748)&gt;AA739,AA739,AD738+AB748)</f>
        <v>20</v>
      </c>
      <c r="AE739" s="27"/>
      <c r="AF739" s="27"/>
      <c r="AG739" s="27"/>
      <c r="AH739" s="27">
        <v>40209</v>
      </c>
      <c r="AI739" s="27"/>
      <c r="AJ739" s="27"/>
      <c r="AK739" s="27"/>
      <c r="AL739" s="27"/>
      <c r="AM739" s="27"/>
      <c r="AN739" s="27">
        <v>15</v>
      </c>
      <c r="AO739" s="27">
        <v>36</v>
      </c>
      <c r="AP739" s="27"/>
      <c r="AQ739" s="27"/>
      <c r="AR739" s="27" t="s">
        <v>305</v>
      </c>
      <c r="AS739" s="27"/>
      <c r="AT739" s="27">
        <f ca="1">IF(MONTH(I775)=1,1,0)</f>
        <v>1</v>
      </c>
      <c r="AU739" s="27"/>
      <c r="AV739" s="27" t="s">
        <v>306</v>
      </c>
      <c r="AW739" s="27" t="e">
        <f>(L807-#REF!)*12</f>
        <v>#REF!</v>
      </c>
      <c r="AX739" s="27"/>
      <c r="AY739" s="27"/>
      <c r="AZ739" s="27"/>
      <c r="BA739" s="27" t="s">
        <v>307</v>
      </c>
      <c r="BB739" s="27" t="s">
        <v>308</v>
      </c>
      <c r="BC739" s="27" t="e">
        <f>IF(BC723&lt;=0,0,IF($BM$738=0%,BC737-(AB742*BC738),IF(BC723&lt;$BK$723,BC737*$BD$809-AB742,BC737-($BK$738*BC738)-AB742)))</f>
        <v>#REF!</v>
      </c>
      <c r="BD739" s="27" t="e">
        <f>IF(BD723&lt;=0,0,IF($BM$738=0%,BD737,IF(BD723&lt;$BK$723,BD737*$BD$809-AC742,BD737-($BK$738*BD738)-AC742)))</f>
        <v>#REF!</v>
      </c>
      <c r="BE739" s="27" t="e">
        <f>IF(BE723&lt;=0,0,IF($BM$738=0%,BE737,IF(BE723&lt;$BK$723,BE737*$BD$809-AD742,BE737-($BK$738*BE738)-AD742)))</f>
        <v>#REF!</v>
      </c>
      <c r="BF739" s="27" t="e">
        <f>IF(BF723&lt;=0,0,IF($BM$738=0%,BF737,IF(BF723&lt;$BK$723,BF737*$BD$809-AE742,BF737-($BK$738*BF738)-AE742)))</f>
        <v>#REF!</v>
      </c>
      <c r="BG739" s="27" t="e">
        <f>IF(BG723&lt;=0,0,IF($BM$738=0%,BG737,IF(BG723&lt;$BK$723,BG737*$BD$809-AF742,BG737-($BK$738*BG738)-AF742)))</f>
        <v>#REF!</v>
      </c>
      <c r="BH739" s="27">
        <f>IF(BH723&lt;=0,0,IF($BM$738=0%,BH737,IF(BH723&lt;$BK$723,BH737*$BD$809-AG742,BH737-($BK$738*BH738)-AG742)))</f>
        <v>1662.8000000000002</v>
      </c>
      <c r="BI739" s="27" t="e">
        <f ca="1">IF($BM$738=0%,BI737,IF(BI723&lt;$BK$723,BI737*$BD$809,BI737-($BK$738*BI738)))</f>
        <v>#REF!</v>
      </c>
      <c r="BJ739" s="27"/>
      <c r="BK739" s="27" t="s">
        <v>309</v>
      </c>
      <c r="BL739" s="27"/>
      <c r="BM739" s="27"/>
      <c r="BN739" s="27" t="e">
        <f ca="1">IF($BM$738=0%,BN737,IF(BN724&lt;$BK$723,BN737*$BD$809,BN737-($BK$738*BN738)))</f>
        <v>#REF!</v>
      </c>
      <c r="BO739" s="27"/>
      <c r="BP739" s="27" t="e">
        <f ca="1">IF($BM$738=0%,BP737,IF(BP724&lt;$BK$723,BP737*$BD$809,BP737-($BK$738*BP738)))</f>
        <v>#REF!</v>
      </c>
      <c r="BQ739" s="27" t="s">
        <v>310</v>
      </c>
      <c r="BR739" s="27"/>
      <c r="BS739" s="27"/>
      <c r="BT739" s="27"/>
      <c r="BU739" s="27"/>
      <c r="BV739" s="27"/>
      <c r="BW739" s="27"/>
      <c r="BX739" s="27"/>
      <c r="BY739" s="27"/>
      <c r="BZ739" s="27"/>
      <c r="CA739" s="27"/>
      <c r="CB739" s="27"/>
      <c r="CC739" s="27"/>
      <c r="CD739" s="27"/>
      <c r="CE739" s="27"/>
      <c r="CF739" s="27"/>
      <c r="CG739" s="27"/>
      <c r="CH739" s="27"/>
      <c r="CI739" s="27"/>
      <c r="CJ739" s="27"/>
      <c r="CK739" s="27"/>
      <c r="CL739" s="27"/>
      <c r="CM739" s="27"/>
      <c r="CN739" s="27"/>
      <c r="CO739" s="27"/>
      <c r="CP739" s="27"/>
      <c r="CQ739" s="27"/>
      <c r="CR739" s="27"/>
      <c r="CS739" s="27"/>
      <c r="CT739" s="27"/>
      <c r="CU739" s="27"/>
      <c r="CV739" s="27"/>
      <c r="CW739" s="27"/>
      <c r="CX739" s="27"/>
      <c r="CY739" s="27"/>
      <c r="CZ739" s="27"/>
      <c r="DA739" s="27"/>
      <c r="DB739" s="27"/>
      <c r="DC739" s="27"/>
      <c r="DD739" s="27"/>
      <c r="DE739" s="27"/>
      <c r="DF739" s="27"/>
      <c r="DG739" s="27"/>
      <c r="DH739" s="27"/>
      <c r="DI739" s="27"/>
      <c r="DJ739" s="27"/>
      <c r="DK739" s="27"/>
      <c r="DL739" s="27"/>
      <c r="DM739" s="27"/>
      <c r="DN739" s="27"/>
      <c r="DO739" s="27"/>
      <c r="DP739" s="27"/>
      <c r="DQ739" s="27"/>
      <c r="DR739" s="27"/>
      <c r="DS739" s="27"/>
      <c r="DT739" s="27"/>
    </row>
    <row r="740" spans="7:124" x14ac:dyDescent="0.2">
      <c r="G740" s="27"/>
      <c r="H740" s="27"/>
      <c r="I740" s="27"/>
      <c r="J740" s="27"/>
      <c r="K740" s="27"/>
      <c r="L740" s="27"/>
      <c r="M740" s="27"/>
      <c r="N740" s="27"/>
      <c r="O740" s="27"/>
      <c r="P740" s="27"/>
      <c r="Q740" s="27"/>
      <c r="R740" s="27"/>
      <c r="S740" s="27"/>
      <c r="T740" s="27"/>
      <c r="U740" s="27"/>
      <c r="V740" s="27"/>
      <c r="W740" s="27"/>
      <c r="X740" s="27"/>
      <c r="Y740" s="27"/>
      <c r="Z740" s="27"/>
      <c r="AA740" s="27"/>
      <c r="AB740" s="27" t="s">
        <v>314</v>
      </c>
      <c r="AC740" s="27"/>
      <c r="AD740" s="27"/>
      <c r="AE740" s="27" t="e">
        <f>(100-AE738)/100</f>
        <v>#REF!</v>
      </c>
      <c r="AF740" s="27"/>
      <c r="AG740" s="27"/>
      <c r="AH740" s="27">
        <v>40237</v>
      </c>
      <c r="AI740" s="27"/>
      <c r="AJ740" s="27" t="s">
        <v>315</v>
      </c>
      <c r="AK740" s="27"/>
      <c r="AL740" s="27"/>
      <c r="AM740" s="27"/>
      <c r="AN740" s="27" t="s">
        <v>316</v>
      </c>
      <c r="AO740" s="27" t="s">
        <v>317</v>
      </c>
      <c r="AP740" s="27"/>
      <c r="AQ740" s="27"/>
      <c r="AR740" s="27"/>
      <c r="AS740" s="27"/>
      <c r="AT740" s="27" t="s">
        <v>59</v>
      </c>
      <c r="AU740" s="27"/>
      <c r="AV740" s="27" t="s">
        <v>59</v>
      </c>
      <c r="AW740" s="27"/>
      <c r="AX740" s="27"/>
      <c r="AY740" s="27"/>
      <c r="AZ740" s="27"/>
      <c r="BA740" s="27"/>
      <c r="BB740" s="27"/>
      <c r="BC740" s="27"/>
      <c r="BD740" s="27"/>
      <c r="BE740" s="27"/>
      <c r="BF740" s="27" t="e">
        <f>(BF738*BF739)*12</f>
        <v>#REF!</v>
      </c>
      <c r="BG740" s="27"/>
      <c r="BH740" s="27">
        <f>12*BH739</f>
        <v>19953.600000000002</v>
      </c>
      <c r="BI740" s="27"/>
      <c r="BJ740" s="27"/>
      <c r="BK740" s="27"/>
      <c r="BL740" s="27">
        <v>1099456</v>
      </c>
      <c r="BM740" s="27" t="s">
        <v>318</v>
      </c>
      <c r="BN740" s="27"/>
      <c r="BO740" s="27"/>
      <c r="BP740" s="27"/>
      <c r="BQ740" s="27" t="e">
        <f ca="1">BP739-BN739</f>
        <v>#REF!</v>
      </c>
      <c r="BR740" s="27"/>
      <c r="BS740" s="27"/>
      <c r="BT740" s="27"/>
      <c r="BU740" s="27">
        <v>5</v>
      </c>
      <c r="BV740" s="27">
        <v>0.05</v>
      </c>
      <c r="BW740" s="27">
        <v>4090.85</v>
      </c>
      <c r="BX740" s="27">
        <v>3864.64</v>
      </c>
      <c r="BY740" s="27">
        <v>3606.99</v>
      </c>
      <c r="BZ740" s="27">
        <v>3446.75</v>
      </c>
      <c r="CA740" s="27">
        <v>3141.97</v>
      </c>
      <c r="CB740" s="27">
        <v>3141.97</v>
      </c>
      <c r="CC740" s="27">
        <v>2733.51</v>
      </c>
      <c r="CD740" s="27">
        <v>2560.6999999999998</v>
      </c>
      <c r="CE740" s="27">
        <v>2497.86</v>
      </c>
      <c r="CF740" s="27">
        <v>2419.3000000000002</v>
      </c>
      <c r="CG740" s="27">
        <v>3446.75</v>
      </c>
      <c r="CH740" s="27">
        <v>3204.83</v>
      </c>
      <c r="CI740" s="27">
        <v>2733.51</v>
      </c>
      <c r="CJ740" s="27">
        <v>3374.49</v>
      </c>
      <c r="CK740" s="27">
        <v>3446.75</v>
      </c>
      <c r="CL740" s="27"/>
      <c r="CM740" s="27"/>
      <c r="CN740" s="27"/>
      <c r="CO740" s="27"/>
      <c r="CP740" s="27"/>
      <c r="CQ740" s="27"/>
      <c r="CR740" s="27"/>
      <c r="CS740" s="27"/>
      <c r="CT740" s="27"/>
      <c r="CU740" s="27"/>
      <c r="CV740" s="27"/>
      <c r="CW740" s="27"/>
      <c r="CX740" s="27"/>
      <c r="CY740" s="27"/>
      <c r="CZ740" s="27"/>
      <c r="DA740" s="27"/>
      <c r="DB740" s="27"/>
      <c r="DC740" s="27"/>
      <c r="DD740" s="27"/>
      <c r="DE740" s="27"/>
      <c r="DF740" s="27"/>
      <c r="DG740" s="27"/>
      <c r="DH740" s="27"/>
      <c r="DI740" s="27"/>
      <c r="DJ740" s="27"/>
      <c r="DK740" s="27"/>
      <c r="DL740" s="27"/>
      <c r="DM740" s="27"/>
      <c r="DN740" s="27"/>
      <c r="DO740" s="27"/>
      <c r="DP740" s="27"/>
      <c r="DQ740" s="27"/>
      <c r="DR740" s="27"/>
      <c r="DS740" s="27"/>
      <c r="DT740" s="27"/>
    </row>
    <row r="741" spans="7:124" x14ac:dyDescent="0.2">
      <c r="G741" s="27"/>
      <c r="H741" s="27"/>
      <c r="I741" s="27"/>
      <c r="J741" s="27"/>
      <c r="K741" s="27"/>
      <c r="L741" s="27"/>
      <c r="M741" s="27"/>
      <c r="N741" s="27"/>
      <c r="O741" s="27"/>
      <c r="P741" s="27"/>
      <c r="Q741" s="27"/>
      <c r="R741" s="27"/>
      <c r="S741" s="27"/>
      <c r="T741" s="27"/>
      <c r="U741" s="27"/>
      <c r="V741" s="27" t="s">
        <v>321</v>
      </c>
      <c r="W741" s="27"/>
      <c r="X741" s="27"/>
      <c r="Y741" s="27"/>
      <c r="Z741" s="27" t="s">
        <v>322</v>
      </c>
      <c r="AA741" s="27"/>
      <c r="AB741" s="27" t="s">
        <v>323</v>
      </c>
      <c r="AC741" s="27"/>
      <c r="AD741" s="27"/>
      <c r="AE741" s="27"/>
      <c r="AF741" s="27"/>
      <c r="AG741" s="27"/>
      <c r="AH741" s="27">
        <v>40268</v>
      </c>
      <c r="AI741" s="27"/>
      <c r="AJ741" s="27">
        <f ca="1">DATE(YEAR(I775),MONTH(I775)-MONTH(I775)+1,DAY(I775)-DAY(I775)+1)</f>
        <v>45292</v>
      </c>
      <c r="AK741" s="27">
        <f ca="1">ROUND((AJ741-AL732)/365.25,2)</f>
        <v>45.33</v>
      </c>
      <c r="AL741" s="27"/>
      <c r="AM741" s="27"/>
      <c r="AN741" s="27">
        <v>16</v>
      </c>
      <c r="AO741" s="27">
        <v>37</v>
      </c>
      <c r="AP741" s="27" t="s">
        <v>59</v>
      </c>
      <c r="AQ741" s="27"/>
      <c r="AR741" s="27"/>
      <c r="AS741" s="27"/>
      <c r="AT741" s="27"/>
      <c r="AU741" s="27"/>
      <c r="AV741" s="27">
        <f>IF(24.75-BB771-BB772&lt;=0,0,IF((24.75-BB771-BB772)&gt;#REF!,#REF!*#REF!*0.6,(24.75-BB771-BB772)*#REF!*0.6))</f>
        <v>0</v>
      </c>
      <c r="AW741" s="27"/>
      <c r="AX741" s="27"/>
      <c r="AY741" s="27"/>
      <c r="AZ741" s="27"/>
      <c r="BA741" s="27"/>
      <c r="BB741" s="27" t="s">
        <v>324</v>
      </c>
      <c r="BC741" s="27"/>
      <c r="BD741" s="27"/>
      <c r="BE741" s="27">
        <f>IF(MONTH(AF735)&gt;9,0,MONTH(AF735)-1+DAY(AF735)/30)</f>
        <v>1.0333333333333334</v>
      </c>
      <c r="BF741" s="27"/>
      <c r="BG741" s="27" t="s">
        <v>325</v>
      </c>
      <c r="BH741" s="27" t="e">
        <f>IF(BH740=0,0,(BH740-(BB786*BH742)*12)-BK741)</f>
        <v>#REF!</v>
      </c>
      <c r="BI741" s="27" t="s">
        <v>326</v>
      </c>
      <c r="BJ741" s="27" t="s">
        <v>327</v>
      </c>
      <c r="BK741" s="27" t="e">
        <f>((BB787-AW798)*0.35)/12</f>
        <v>#REF!</v>
      </c>
      <c r="BL741" s="27"/>
      <c r="BM741" s="27"/>
      <c r="BN741" s="27"/>
      <c r="BO741" s="27"/>
      <c r="BP741" s="27"/>
      <c r="BQ741" s="27"/>
      <c r="BR741" s="27"/>
      <c r="BS741" s="27"/>
      <c r="BT741" s="27"/>
      <c r="BU741" s="27"/>
      <c r="BV741" s="27"/>
      <c r="BW741" s="27"/>
      <c r="BX741" s="27"/>
      <c r="BY741" s="27"/>
      <c r="BZ741" s="27"/>
      <c r="CA741" s="27"/>
      <c r="CB741" s="27"/>
      <c r="CC741" s="27"/>
      <c r="CD741" s="27"/>
      <c r="CE741" s="27"/>
      <c r="CF741" s="27"/>
      <c r="CG741" s="27"/>
      <c r="CH741" s="27"/>
      <c r="CI741" s="27"/>
      <c r="CJ741" s="27"/>
      <c r="CK741" s="27"/>
      <c r="CL741" s="27"/>
      <c r="CM741" s="27"/>
      <c r="CN741" s="27"/>
      <c r="CO741" s="27"/>
      <c r="CP741" s="27"/>
      <c r="CQ741" s="27"/>
      <c r="CR741" s="27"/>
      <c r="CS741" s="27"/>
      <c r="CT741" s="27"/>
      <c r="CU741" s="27"/>
      <c r="CV741" s="27"/>
      <c r="CW741" s="27"/>
      <c r="CX741" s="27"/>
      <c r="CY741" s="27"/>
      <c r="CZ741" s="27"/>
      <c r="DA741" s="27"/>
      <c r="DB741" s="27"/>
      <c r="DC741" s="27"/>
      <c r="DD741" s="27"/>
      <c r="DE741" s="27"/>
      <c r="DF741" s="27"/>
      <c r="DG741" s="27"/>
      <c r="DH741" s="27"/>
      <c r="DI741" s="27"/>
      <c r="DJ741" s="27"/>
      <c r="DK741" s="27"/>
      <c r="DL741" s="27"/>
      <c r="DM741" s="27"/>
      <c r="DN741" s="27"/>
      <c r="DO741" s="27"/>
      <c r="DP741" s="27"/>
      <c r="DQ741" s="27"/>
      <c r="DR741" s="27"/>
      <c r="DS741" s="27"/>
      <c r="DT741" s="27"/>
    </row>
    <row r="742" spans="7:124" x14ac:dyDescent="0.2">
      <c r="G742" s="27"/>
      <c r="H742" s="27"/>
      <c r="I742" s="27"/>
      <c r="J742" s="27"/>
      <c r="K742" s="27"/>
      <c r="L742" s="27"/>
      <c r="M742" s="27">
        <f>VLOOKUP(INT(W752),horaa2,AM720+2,FALSE)*(1)</f>
        <v>6975.17</v>
      </c>
      <c r="N742" s="27"/>
      <c r="O742" s="27"/>
      <c r="P742" s="27"/>
      <c r="Q742" s="27"/>
      <c r="R742" s="27"/>
      <c r="S742" s="27"/>
      <c r="T742" s="27"/>
      <c r="U742" s="27" t="s">
        <v>59</v>
      </c>
      <c r="V742" s="27" t="s">
        <v>332</v>
      </c>
      <c r="W742" s="27" t="s">
        <v>252</v>
      </c>
      <c r="X742" s="27"/>
      <c r="Y742" s="27"/>
      <c r="Z742" s="27" t="e">
        <f>#REF!</f>
        <v>#REF!</v>
      </c>
      <c r="AA742" s="27"/>
      <c r="AB742" s="27">
        <f>BB786*'[1]נתוני מס'!I14</f>
        <v>574.75</v>
      </c>
      <c r="AC742" s="27"/>
      <c r="AD742" s="27"/>
      <c r="AE742" s="27"/>
      <c r="AF742" s="27"/>
      <c r="AG742" s="27"/>
      <c r="AH742" s="27">
        <v>40298</v>
      </c>
      <c r="AI742" s="27"/>
      <c r="AJ742" s="27"/>
      <c r="AK742" s="27"/>
      <c r="AL742" s="27"/>
      <c r="AM742" s="27"/>
      <c r="AN742" s="27" t="s">
        <v>333</v>
      </c>
      <c r="AO742" s="27" t="s">
        <v>334</v>
      </c>
      <c r="AP742" s="27"/>
      <c r="AQ742" s="27"/>
      <c r="AR742" s="27"/>
      <c r="AS742" s="27" t="s">
        <v>335</v>
      </c>
      <c r="AT742" s="27">
        <f ca="1">ROUND(G906,0)</f>
        <v>-11</v>
      </c>
      <c r="AU742" s="27"/>
      <c r="AV742" s="27" t="e">
        <f>IF(G911&lt;70%,IF(#REF!* 2% &gt;70%-G911,70%-G911,#REF!*2%),IF(G909+G910-G911&lt;=0,0,G909+G910-G911))</f>
        <v>#REF!</v>
      </c>
      <c r="AW742" s="27"/>
      <c r="AX742" s="27"/>
      <c r="AY742" s="27"/>
      <c r="AZ742" s="27"/>
      <c r="BA742" s="27"/>
      <c r="BB742" s="27" t="s">
        <v>336</v>
      </c>
      <c r="BC742" s="27"/>
      <c r="BD742" s="27"/>
      <c r="BE742" s="27">
        <f>MONTH(AF735)-1+DAY(AF735)/30</f>
        <v>1.0333333333333334</v>
      </c>
      <c r="BF742" s="27"/>
      <c r="BG742" s="27" t="s">
        <v>337</v>
      </c>
      <c r="BH742" s="27">
        <f>'[1]נתוני מס'!I14</f>
        <v>209</v>
      </c>
      <c r="BI742" s="27"/>
      <c r="BJ742" s="27"/>
      <c r="BK742" s="27"/>
      <c r="BL742" s="27">
        <v>9266735</v>
      </c>
      <c r="BM742" s="27"/>
      <c r="BN742" s="27"/>
      <c r="BO742" s="27"/>
      <c r="BP742" s="27"/>
      <c r="BQ742" s="27"/>
      <c r="BR742" s="27"/>
      <c r="BS742" s="27"/>
      <c r="BT742" s="27"/>
      <c r="BU742" s="27">
        <v>6</v>
      </c>
      <c r="BV742" s="27">
        <v>0.05</v>
      </c>
      <c r="BW742" s="27">
        <v>4295.3900000000003</v>
      </c>
      <c r="BX742" s="27">
        <v>4057.87</v>
      </c>
      <c r="BY742" s="27">
        <v>3787.33</v>
      </c>
      <c r="BZ742" s="27">
        <v>3619.08</v>
      </c>
      <c r="CA742" s="27">
        <v>3299.06</v>
      </c>
      <c r="CB742" s="27">
        <v>3299.06</v>
      </c>
      <c r="CC742" s="27">
        <v>2870.18</v>
      </c>
      <c r="CD742" s="27">
        <v>2688.73</v>
      </c>
      <c r="CE742" s="27">
        <v>2622.75</v>
      </c>
      <c r="CF742" s="27">
        <v>2540.2600000000002</v>
      </c>
      <c r="CG742" s="27">
        <v>3619.08</v>
      </c>
      <c r="CH742" s="27">
        <v>3365.07</v>
      </c>
      <c r="CI742" s="27">
        <v>2870.18</v>
      </c>
      <c r="CJ742" s="27">
        <v>3543.21</v>
      </c>
      <c r="CK742" s="27">
        <v>3619.08</v>
      </c>
      <c r="CL742" s="27"/>
      <c r="CM742" s="27"/>
      <c r="CN742" s="27"/>
      <c r="CO742" s="27"/>
      <c r="CP742" s="27"/>
      <c r="CQ742" s="27"/>
      <c r="CR742" s="27"/>
      <c r="CS742" s="27"/>
      <c r="CT742" s="27"/>
      <c r="CU742" s="27"/>
      <c r="CV742" s="27"/>
      <c r="CW742" s="27"/>
      <c r="CX742" s="27"/>
      <c r="CY742" s="27"/>
      <c r="CZ742" s="27"/>
      <c r="DA742" s="27"/>
      <c r="DB742" s="27"/>
      <c r="DC742" s="27"/>
      <c r="DD742" s="27"/>
      <c r="DE742" s="27"/>
      <c r="DF742" s="27"/>
      <c r="DG742" s="27"/>
      <c r="DH742" s="27"/>
      <c r="DI742" s="27"/>
      <c r="DJ742" s="27"/>
      <c r="DK742" s="27"/>
      <c r="DL742" s="27"/>
      <c r="DM742" s="27"/>
      <c r="DN742" s="27"/>
      <c r="DO742" s="27"/>
      <c r="DP742" s="27"/>
      <c r="DQ742" s="27"/>
      <c r="DR742" s="27"/>
      <c r="DS742" s="27"/>
      <c r="DT742" s="27"/>
    </row>
    <row r="743" spans="7:124" x14ac:dyDescent="0.2">
      <c r="G743" s="27"/>
      <c r="H743" s="27"/>
      <c r="I743" s="27"/>
      <c r="J743" s="27"/>
      <c r="K743" s="27"/>
      <c r="L743" s="27"/>
      <c r="M743" s="27"/>
      <c r="N743" s="27"/>
      <c r="O743" s="27"/>
      <c r="P743" s="27"/>
      <c r="Q743" s="27"/>
      <c r="R743" s="27"/>
      <c r="S743" s="27"/>
      <c r="T743" s="27"/>
      <c r="U743" s="27"/>
      <c r="V743" s="27" t="s">
        <v>339</v>
      </c>
      <c r="W743" s="27" t="s">
        <v>130</v>
      </c>
      <c r="X743" s="27"/>
      <c r="Y743" s="27"/>
      <c r="Z743" s="27" t="s">
        <v>59</v>
      </c>
      <c r="AA743" s="27"/>
      <c r="AB743" s="27"/>
      <c r="AC743" s="27"/>
      <c r="AD743" s="27" t="s">
        <v>340</v>
      </c>
      <c r="AE743" s="27">
        <f>L807*0.36</f>
        <v>5184.4128898677536</v>
      </c>
      <c r="AF743" s="27"/>
      <c r="AG743" s="27"/>
      <c r="AH743" s="27">
        <v>40329</v>
      </c>
      <c r="AI743" s="27"/>
      <c r="AJ743" s="27" t="s">
        <v>341</v>
      </c>
      <c r="AK743" s="27" t="s">
        <v>342</v>
      </c>
      <c r="AL743" s="27"/>
      <c r="AM743" s="27"/>
      <c r="AN743" s="27">
        <v>17</v>
      </c>
      <c r="AO743" s="27">
        <v>38</v>
      </c>
      <c r="AP743" s="27"/>
      <c r="AQ743" s="27"/>
      <c r="AR743" s="27"/>
      <c r="AS743" s="27" t="s">
        <v>343</v>
      </c>
      <c r="AT743" s="27" t="s">
        <v>59</v>
      </c>
      <c r="AU743" s="27"/>
      <c r="AV743" s="27"/>
      <c r="AW743" s="27"/>
      <c r="AX743" s="27"/>
      <c r="AY743" s="27"/>
      <c r="AZ743" s="27"/>
      <c r="BA743" s="27"/>
      <c r="BB743" s="27"/>
      <c r="BC743" s="27"/>
      <c r="BD743" s="27"/>
      <c r="BE743" s="27"/>
      <c r="BF743" s="27"/>
      <c r="BG743" s="27" t="s">
        <v>344</v>
      </c>
      <c r="BH743" s="27">
        <f>IF(BH745&gt;'[1]נתוני מס'!K33,'[1]נתוני מס'!H37+'[1]נתוני מס'!F37,IF(BH745&lt;='[1]נתוני מס'!L31,BH745*('[1]נתוני מס'!E37-AG755),(BH745-'[1]נתוני מס'!L31)*('[1]נתוני מס'!G37-AG756)+'[1]נתוני מס'!F37))</f>
        <v>476.04280000000006</v>
      </c>
      <c r="BI743" s="27">
        <f>BH743*12</f>
        <v>5712.5136000000002</v>
      </c>
      <c r="BJ743" s="27" t="s">
        <v>59</v>
      </c>
      <c r="BK743" s="27"/>
      <c r="BL743" s="27"/>
      <c r="BM743" s="27"/>
      <c r="BN743" s="27"/>
      <c r="BO743" s="27"/>
      <c r="BP743" s="27"/>
      <c r="BQ743" s="27"/>
      <c r="BR743" s="27"/>
      <c r="BS743" s="27"/>
      <c r="BT743" s="27"/>
      <c r="BU743" s="27"/>
      <c r="BV743" s="27"/>
      <c r="BW743" s="27"/>
      <c r="BX743" s="27"/>
      <c r="BY743" s="27"/>
      <c r="BZ743" s="27"/>
      <c r="CA743" s="27"/>
      <c r="CB743" s="27"/>
      <c r="CC743" s="27"/>
      <c r="CD743" s="27"/>
      <c r="CE743" s="27"/>
      <c r="CF743" s="27"/>
      <c r="CG743" s="27"/>
      <c r="CH743" s="27"/>
      <c r="CI743" s="27"/>
      <c r="CJ743" s="27"/>
      <c r="CK743" s="27"/>
      <c r="CL743" s="27"/>
      <c r="CM743" s="27"/>
      <c r="CN743" s="27"/>
      <c r="CO743" s="27"/>
      <c r="CP743" s="27"/>
      <c r="CQ743" s="27"/>
      <c r="CR743" s="27"/>
      <c r="CS743" s="27"/>
      <c r="CT743" s="27"/>
      <c r="CU743" s="27"/>
      <c r="CV743" s="27"/>
      <c r="CW743" s="27"/>
      <c r="CX743" s="27"/>
      <c r="CY743" s="27"/>
      <c r="CZ743" s="27"/>
      <c r="DA743" s="27"/>
      <c r="DB743" s="27"/>
      <c r="DC743" s="27"/>
      <c r="DD743" s="27"/>
      <c r="DE743" s="27"/>
      <c r="DF743" s="27"/>
      <c r="DG743" s="27"/>
      <c r="DH743" s="27"/>
      <c r="DI743" s="27"/>
      <c r="DJ743" s="27"/>
      <c r="DK743" s="27"/>
      <c r="DL743" s="27"/>
      <c r="DM743" s="27"/>
      <c r="DN743" s="27"/>
      <c r="DO743" s="27"/>
      <c r="DP743" s="27"/>
      <c r="DQ743" s="27"/>
      <c r="DR743" s="27"/>
      <c r="DS743" s="27"/>
      <c r="DT743" s="27"/>
    </row>
    <row r="744" spans="7:124" x14ac:dyDescent="0.2">
      <c r="G744" s="27"/>
      <c r="H744" s="27"/>
      <c r="I744" s="27"/>
      <c r="J744" s="27"/>
      <c r="K744" s="27"/>
      <c r="L744" s="27"/>
      <c r="M744" s="27"/>
      <c r="N744" s="27" t="s">
        <v>88</v>
      </c>
      <c r="O744" s="27"/>
      <c r="P744" s="27"/>
      <c r="Q744" s="27"/>
      <c r="R744" s="27"/>
      <c r="S744" s="27"/>
      <c r="T744" s="27"/>
      <c r="U744" s="27"/>
      <c r="V744" s="27"/>
      <c r="W744" s="27"/>
      <c r="X744" s="27"/>
      <c r="Y744" s="27"/>
      <c r="Z744" s="27"/>
      <c r="AA744" s="27"/>
      <c r="AB744" s="27"/>
      <c r="AC744" s="27"/>
      <c r="AD744" s="27"/>
      <c r="AE744" s="27"/>
      <c r="AF744" s="27"/>
      <c r="AG744" s="27"/>
      <c r="AH744" s="27">
        <v>40359</v>
      </c>
      <c r="AI744" s="27"/>
      <c r="AJ744" s="27">
        <f>DATE(YEAR(AF735),MONTH(AF735)-MONTH(AF735)+1,DAY(AF735)-DAY(AF735)+1)</f>
        <v>40544</v>
      </c>
      <c r="AK744" s="27"/>
      <c r="AL744" s="27"/>
      <c r="AM744" s="27"/>
      <c r="AN744" s="27" t="s">
        <v>348</v>
      </c>
      <c r="AO744" s="27" t="s">
        <v>349</v>
      </c>
      <c r="AP744" s="27"/>
      <c r="AQ744" s="27"/>
      <c r="AR744" s="27"/>
      <c r="AS744" s="27" t="s">
        <v>350</v>
      </c>
      <c r="AT744" s="27">
        <f ca="1">(AT746*2)/100</f>
        <v>-1.8333333333333333E-2</v>
      </c>
      <c r="AU744" s="27"/>
      <c r="AV744" s="27"/>
      <c r="AW744" s="27"/>
      <c r="AX744" s="27"/>
      <c r="AY744" s="27"/>
      <c r="AZ744" s="27"/>
      <c r="BA744" s="27"/>
      <c r="BB744" s="27"/>
      <c r="BC744" s="27"/>
      <c r="BD744" s="27"/>
      <c r="BE744" s="27"/>
      <c r="BF744" s="27" t="s">
        <v>59</v>
      </c>
      <c r="BG744" s="27" t="s">
        <v>351</v>
      </c>
      <c r="BH744" s="27">
        <f>IF(BH745&lt;='[1]נתוני מס'!L31,BH745*'[1]נתוני מס'!E34,(BH745-'[1]נתוני מס'!L31)*'[1]נתוני מס'!G34+'[1]נתוני מס'!F34)</f>
        <v>480.30020000000002</v>
      </c>
      <c r="BI744" s="27">
        <f>12*BH744</f>
        <v>5763.6023999999998</v>
      </c>
      <c r="BJ744" s="27"/>
      <c r="BK744" s="27"/>
      <c r="BL744" s="27">
        <v>9268038</v>
      </c>
      <c r="BM744" s="27"/>
      <c r="BN744" s="27"/>
      <c r="BO744" s="27"/>
      <c r="BP744" s="27"/>
      <c r="BQ744" s="27"/>
      <c r="BR744" s="27"/>
      <c r="BS744" s="27"/>
      <c r="BT744" s="27"/>
      <c r="BU744" s="27">
        <v>7</v>
      </c>
      <c r="BV744" s="27">
        <v>0.05</v>
      </c>
      <c r="BW744" s="27">
        <v>4510.1499999999996</v>
      </c>
      <c r="BX744" s="27">
        <v>4260.76</v>
      </c>
      <c r="BY744" s="27">
        <v>3976.69</v>
      </c>
      <c r="BZ744" s="27">
        <v>3800.03</v>
      </c>
      <c r="CA744" s="27">
        <v>3464.01</v>
      </c>
      <c r="CB744" s="27">
        <v>3464.01</v>
      </c>
      <c r="CC744" s="27">
        <v>3013.68</v>
      </c>
      <c r="CD744" s="27">
        <v>2823.16</v>
      </c>
      <c r="CE744" s="27">
        <v>2753.88</v>
      </c>
      <c r="CF744" s="27">
        <v>2667.27</v>
      </c>
      <c r="CG744" s="27">
        <v>3800.03</v>
      </c>
      <c r="CH744" s="27">
        <v>3533.32</v>
      </c>
      <c r="CI744" s="27">
        <v>3013.68</v>
      </c>
      <c r="CJ744" s="27">
        <v>3720.37</v>
      </c>
      <c r="CK744" s="27">
        <v>3800.03</v>
      </c>
      <c r="CL744" s="27"/>
      <c r="CM744" s="27"/>
      <c r="CN744" s="27"/>
      <c r="CO744" s="27"/>
      <c r="CP744" s="27"/>
      <c r="CQ744" s="27"/>
      <c r="CR744" s="27"/>
      <c r="CS744" s="27"/>
      <c r="CT744" s="27"/>
      <c r="CU744" s="27"/>
      <c r="CV744" s="27"/>
      <c r="CW744" s="27"/>
      <c r="CX744" s="27"/>
      <c r="CY744" s="27"/>
      <c r="CZ744" s="27"/>
      <c r="DA744" s="27"/>
      <c r="DB744" s="27"/>
      <c r="DC744" s="27"/>
      <c r="DD744" s="27"/>
      <c r="DE744" s="27"/>
      <c r="DF744" s="27"/>
      <c r="DG744" s="27"/>
      <c r="DH744" s="27"/>
      <c r="DI744" s="27"/>
      <c r="DJ744" s="27"/>
      <c r="DK744" s="27"/>
      <c r="DL744" s="27"/>
      <c r="DM744" s="27"/>
      <c r="DN744" s="27"/>
      <c r="DO744" s="27"/>
      <c r="DP744" s="27"/>
      <c r="DQ744" s="27"/>
      <c r="DR744" s="27"/>
      <c r="DS744" s="27"/>
      <c r="DT744" s="27"/>
    </row>
    <row r="745" spans="7:124" x14ac:dyDescent="0.2">
      <c r="G745" s="27"/>
      <c r="H745" s="27"/>
      <c r="I745" s="27"/>
      <c r="J745" s="27"/>
      <c r="K745" s="27"/>
      <c r="L745" s="27"/>
      <c r="M745" s="27"/>
      <c r="N745" s="27" t="s">
        <v>95</v>
      </c>
      <c r="O745" s="27"/>
      <c r="P745" s="27"/>
      <c r="Q745" s="27"/>
      <c r="R745" s="27"/>
      <c r="S745" s="27"/>
      <c r="T745" s="27" t="s">
        <v>353</v>
      </c>
      <c r="U745" s="27"/>
      <c r="V745" s="27">
        <v>0</v>
      </c>
      <c r="W745" s="27" t="s">
        <v>354</v>
      </c>
      <c r="X745" s="27"/>
      <c r="Y745" s="27"/>
      <c r="Z745" s="27"/>
      <c r="AA745" s="27" t="s">
        <v>8</v>
      </c>
      <c r="AB745" s="27" t="s">
        <v>355</v>
      </c>
      <c r="AC745" s="27" t="s">
        <v>356</v>
      </c>
      <c r="AD745" s="27"/>
      <c r="AE745" s="27"/>
      <c r="AF745" s="27"/>
      <c r="AG745" s="27"/>
      <c r="AH745" s="27">
        <v>40390</v>
      </c>
      <c r="AI745" s="27"/>
      <c r="AJ745" s="27">
        <f>ROUND((AF735-AJ744)/365.25,2)-1</f>
        <v>-0.92</v>
      </c>
      <c r="AK745" s="27"/>
      <c r="AL745" s="27"/>
      <c r="AM745" s="27"/>
      <c r="AN745" s="27">
        <v>18</v>
      </c>
      <c r="AO745" s="27">
        <v>39</v>
      </c>
      <c r="AP745" s="27"/>
      <c r="AQ745" s="27"/>
      <c r="AR745" s="27"/>
      <c r="AS745" s="27"/>
      <c r="AT745" s="27"/>
      <c r="AU745" s="27"/>
      <c r="AV745" s="27"/>
      <c r="AW745" s="27"/>
      <c r="AX745" s="27"/>
      <c r="AY745" s="27"/>
      <c r="AZ745" s="27"/>
      <c r="BA745" s="27"/>
      <c r="BB745" s="27"/>
      <c r="BC745" s="27"/>
      <c r="BD745" s="27"/>
      <c r="BE745" s="27"/>
      <c r="BF745" s="27"/>
      <c r="BG745" s="27"/>
      <c r="BH745" s="27">
        <f>BH723+BE812</f>
        <v>11500</v>
      </c>
      <c r="BI745" s="27"/>
      <c r="BJ745" s="27"/>
      <c r="BK745" s="27"/>
      <c r="BL745" s="27"/>
      <c r="BM745" s="27"/>
      <c r="BN745" s="27"/>
      <c r="BO745" s="27"/>
      <c r="BP745" s="27"/>
      <c r="BQ745" s="27"/>
      <c r="BR745" s="27"/>
      <c r="BS745" s="27"/>
      <c r="BT745" s="27"/>
      <c r="BU745" s="27"/>
      <c r="BV745" s="27"/>
      <c r="BW745" s="27"/>
      <c r="BX745" s="27"/>
      <c r="BY745" s="27"/>
      <c r="BZ745" s="27"/>
      <c r="CA745" s="27"/>
      <c r="CB745" s="27"/>
      <c r="CC745" s="27"/>
      <c r="CD745" s="27"/>
      <c r="CE745" s="27"/>
      <c r="CF745" s="27"/>
      <c r="CG745" s="27"/>
      <c r="CH745" s="27"/>
      <c r="CI745" s="27"/>
      <c r="CJ745" s="27"/>
      <c r="CK745" s="27"/>
      <c r="CL745" s="27"/>
      <c r="CM745" s="27"/>
      <c r="CN745" s="27"/>
      <c r="CO745" s="27"/>
      <c r="CP745" s="27"/>
      <c r="CQ745" s="27"/>
      <c r="CR745" s="27"/>
      <c r="CS745" s="27"/>
      <c r="CT745" s="27"/>
      <c r="CU745" s="27"/>
      <c r="CV745" s="27"/>
      <c r="CW745" s="27"/>
      <c r="CX745" s="27"/>
      <c r="CY745" s="27"/>
      <c r="CZ745" s="27"/>
      <c r="DA745" s="27"/>
      <c r="DB745" s="27"/>
      <c r="DC745" s="27"/>
      <c r="DD745" s="27"/>
      <c r="DE745" s="27"/>
      <c r="DF745" s="27"/>
      <c r="DG745" s="27"/>
      <c r="DH745" s="27"/>
      <c r="DI745" s="27"/>
      <c r="DJ745" s="27"/>
      <c r="DK745" s="27"/>
      <c r="DL745" s="27"/>
      <c r="DM745" s="27"/>
      <c r="DN745" s="27"/>
      <c r="DO745" s="27"/>
      <c r="DP745" s="27"/>
      <c r="DQ745" s="27"/>
      <c r="DR745" s="27"/>
      <c r="DS745" s="27"/>
      <c r="DT745" s="27"/>
    </row>
    <row r="746" spans="7:124" x14ac:dyDescent="0.2">
      <c r="G746" s="27"/>
      <c r="H746" s="27"/>
      <c r="I746" s="27"/>
      <c r="J746" s="27"/>
      <c r="K746" s="27"/>
      <c r="L746" s="27"/>
      <c r="M746" s="27"/>
      <c r="N746" s="27" t="s">
        <v>103</v>
      </c>
      <c r="O746" s="27"/>
      <c r="P746" s="27"/>
      <c r="Q746" s="27"/>
      <c r="R746" s="27"/>
      <c r="S746" s="27"/>
      <c r="T746" s="27" t="s">
        <v>357</v>
      </c>
      <c r="U746" s="27"/>
      <c r="V746" s="27" t="s">
        <v>358</v>
      </c>
      <c r="W746" s="27" t="s">
        <v>359</v>
      </c>
      <c r="X746" s="27"/>
      <c r="Y746" s="27"/>
      <c r="Z746" s="27"/>
      <c r="AA746" s="27" t="s">
        <v>71</v>
      </c>
      <c r="AB746" s="27">
        <f>IF(AX734&lt;AA739,AX734-INT(AX734),0)</f>
        <v>0</v>
      </c>
      <c r="AC746" s="27" t="s">
        <v>360</v>
      </c>
      <c r="AD746" s="27">
        <f>IF((AC747=2)*AND(AD747&lt;16),0,AE746)</f>
        <v>0</v>
      </c>
      <c r="AE746" s="27">
        <f>IF(AC747&gt;11,1,IF((AC747=11)*AND(AD747&gt;15),1,IF(AC747&gt;8,0.75,IF((AC747=8)*AND(AD747&gt;15),0.75,IF(AC747&gt;5,0.5,IF((AC747=5)*AND(AD747&gt;15),0.5,IF(AC747&gt;2,0.25,IF(AC747=2,                0.25,0))))))))</f>
        <v>0</v>
      </c>
      <c r="AF746" s="27"/>
      <c r="AG746" s="27"/>
      <c r="AH746" s="27">
        <v>40421</v>
      </c>
      <c r="AI746" s="27"/>
      <c r="AJ746" s="27">
        <f>AJ745*30*AX737</f>
        <v>-27.6</v>
      </c>
      <c r="AK746" s="27">
        <f ca="1">AJ745*22*AX737+AL746*AX737</f>
        <v>1.759999999999998</v>
      </c>
      <c r="AL746" s="27">
        <f ca="1">IF(YEAR(I775)=YEAR(AF735),0,22)</f>
        <v>22</v>
      </c>
      <c r="AM746" s="27"/>
      <c r="AN746" s="27" t="s">
        <v>361</v>
      </c>
      <c r="AO746" s="27" t="s">
        <v>362</v>
      </c>
      <c r="AP746" s="27"/>
      <c r="AQ746" s="27"/>
      <c r="AR746" s="27"/>
      <c r="AS746" s="27" t="s">
        <v>363</v>
      </c>
      <c r="AT746" s="27">
        <f ca="1">AT742/12</f>
        <v>-0.91666666666666663</v>
      </c>
      <c r="AU746" s="27"/>
      <c r="AV746" s="27"/>
      <c r="AW746" s="27"/>
      <c r="AX746" s="27"/>
      <c r="AY746" s="27"/>
      <c r="AZ746" s="27"/>
      <c r="BA746" s="27"/>
      <c r="BB746" s="27"/>
      <c r="BC746" s="27"/>
      <c r="BD746" s="27"/>
      <c r="BE746" s="27"/>
      <c r="BF746" s="27"/>
      <c r="BG746" s="27"/>
      <c r="BH746" s="27"/>
      <c r="BI746" s="27"/>
      <c r="BJ746" s="27"/>
      <c r="BK746" s="27"/>
      <c r="BL746" s="27">
        <v>9268137</v>
      </c>
      <c r="BM746" s="27"/>
      <c r="BN746" s="27"/>
      <c r="BO746" s="27"/>
      <c r="BP746" s="27"/>
      <c r="BQ746" s="27"/>
      <c r="BR746" s="27"/>
      <c r="BS746" s="27"/>
      <c r="BT746" s="27"/>
      <c r="BU746" s="27">
        <v>8</v>
      </c>
      <c r="BV746" s="27">
        <v>0.02</v>
      </c>
      <c r="BW746" s="27">
        <v>4600.3500000000004</v>
      </c>
      <c r="BX746" s="27">
        <v>4345.97</v>
      </c>
      <c r="BY746" s="27">
        <v>4056.22</v>
      </c>
      <c r="BZ746" s="27">
        <v>3876.03</v>
      </c>
      <c r="CA746" s="27">
        <v>3533.29</v>
      </c>
      <c r="CB746" s="27">
        <v>3533.29</v>
      </c>
      <c r="CC746" s="27">
        <v>3073.95</v>
      </c>
      <c r="CD746" s="27">
        <v>2879.62</v>
      </c>
      <c r="CE746" s="27">
        <v>2808.95</v>
      </c>
      <c r="CF746" s="27">
        <v>2720.61</v>
      </c>
      <c r="CG746" s="27">
        <v>3876.03</v>
      </c>
      <c r="CH746" s="27">
        <v>3603.98</v>
      </c>
      <c r="CI746" s="27">
        <v>3073.95</v>
      </c>
      <c r="CJ746" s="27">
        <v>3794.77</v>
      </c>
      <c r="CK746" s="27">
        <v>3876.03</v>
      </c>
      <c r="CL746" s="27"/>
      <c r="CM746" s="27"/>
      <c r="CN746" s="27"/>
      <c r="CO746" s="27"/>
      <c r="CP746" s="27"/>
      <c r="CQ746" s="27"/>
      <c r="CR746" s="27"/>
      <c r="CS746" s="27"/>
      <c r="CT746" s="27"/>
      <c r="CU746" s="27"/>
      <c r="CV746" s="27"/>
      <c r="CW746" s="27"/>
      <c r="CX746" s="27"/>
      <c r="CY746" s="27"/>
      <c r="CZ746" s="27"/>
      <c r="DA746" s="27"/>
      <c r="DB746" s="27"/>
      <c r="DC746" s="27"/>
      <c r="DD746" s="27"/>
      <c r="DE746" s="27"/>
      <c r="DF746" s="27"/>
      <c r="DG746" s="27"/>
      <c r="DH746" s="27"/>
      <c r="DI746" s="27"/>
      <c r="DJ746" s="27"/>
      <c r="DK746" s="27"/>
      <c r="DL746" s="27"/>
      <c r="DM746" s="27"/>
      <c r="DN746" s="27"/>
      <c r="DO746" s="27"/>
      <c r="DP746" s="27"/>
      <c r="DQ746" s="27"/>
      <c r="DR746" s="27"/>
      <c r="DS746" s="27"/>
      <c r="DT746" s="27"/>
    </row>
    <row r="747" spans="7:124" x14ac:dyDescent="0.2">
      <c r="G747" s="27"/>
      <c r="H747" s="27"/>
      <c r="I747" s="27"/>
      <c r="J747" s="27"/>
      <c r="K747" s="27"/>
      <c r="L747" s="27"/>
      <c r="M747" s="27">
        <f>VLOOKUP(INT(W752),horaa2,AM720+2,FALSE)*(1)*AX737</f>
        <v>6975.17</v>
      </c>
      <c r="N747" s="27" t="s">
        <v>113</v>
      </c>
      <c r="O747" s="27"/>
      <c r="P747" s="27"/>
      <c r="Q747" s="27"/>
      <c r="R747" s="27"/>
      <c r="S747" s="27" t="str">
        <f>V743</f>
        <v xml:space="preserve">גמול תואר </v>
      </c>
      <c r="T747" s="27">
        <v>0</v>
      </c>
      <c r="U747" s="27">
        <v>0</v>
      </c>
      <c r="V747" s="27" t="str">
        <f>S747</f>
        <v xml:space="preserve">גמול תואר </v>
      </c>
      <c r="W747" s="27">
        <v>0</v>
      </c>
      <c r="X747" s="27"/>
      <c r="Y747" s="27"/>
      <c r="Z747" s="27"/>
      <c r="AA747" s="27" t="s">
        <v>304</v>
      </c>
      <c r="AB747" s="27">
        <f>IF(AA738&lt;AA739,AA738-INT(AA738),0)</f>
        <v>0</v>
      </c>
      <c r="AC747" s="27">
        <f>MONTH(AF735)</f>
        <v>1</v>
      </c>
      <c r="AD747" s="27">
        <f>DAY(AF735)</f>
        <v>31</v>
      </c>
      <c r="AE747" s="27"/>
      <c r="AF747" s="27"/>
      <c r="AG747" s="27"/>
      <c r="AH747" s="27">
        <v>40451</v>
      </c>
      <c r="AI747" s="27"/>
      <c r="AJ747" s="27"/>
      <c r="AK747" s="27"/>
      <c r="AL747" s="27"/>
      <c r="AM747" s="27"/>
      <c r="AN747" s="27">
        <v>19</v>
      </c>
      <c r="AO747" s="27">
        <v>40</v>
      </c>
      <c r="AP747" s="27"/>
      <c r="AQ747" s="27"/>
      <c r="AR747" s="27"/>
      <c r="AS747" s="27"/>
      <c r="AT747" s="27"/>
      <c r="AU747" s="27"/>
      <c r="AV747" s="27" t="s">
        <v>365</v>
      </c>
      <c r="AW747" s="27" t="s">
        <v>366</v>
      </c>
      <c r="AX747" s="27"/>
      <c r="AY747" s="27"/>
      <c r="AZ747" s="27"/>
      <c r="BA747" s="27"/>
      <c r="BB747" s="27"/>
      <c r="BC747" s="27"/>
      <c r="BD747" s="27"/>
      <c r="BE747" s="27"/>
      <c r="BF747" s="27"/>
      <c r="BG747" s="27"/>
      <c r="BH747" s="27"/>
      <c r="BI747" s="27"/>
      <c r="BJ747" s="27"/>
      <c r="BK747" s="27"/>
      <c r="BL747" s="27"/>
      <c r="BM747" s="27"/>
      <c r="BN747" s="27"/>
      <c r="BO747" s="27"/>
      <c r="BP747" s="27"/>
      <c r="BQ747" s="27"/>
      <c r="BR747" s="27"/>
      <c r="BS747" s="27"/>
      <c r="BT747" s="27"/>
      <c r="BU747" s="27"/>
      <c r="BV747" s="27"/>
      <c r="BW747" s="27"/>
      <c r="BX747" s="27"/>
      <c r="BY747" s="27"/>
      <c r="BZ747" s="27"/>
      <c r="CA747" s="27"/>
      <c r="CB747" s="27"/>
      <c r="CC747" s="27"/>
      <c r="CD747" s="27"/>
      <c r="CE747" s="27"/>
      <c r="CF747" s="27"/>
      <c r="CG747" s="27"/>
      <c r="CH747" s="27"/>
      <c r="CI747" s="27"/>
      <c r="CJ747" s="27"/>
      <c r="CK747" s="27"/>
      <c r="CL747" s="27"/>
      <c r="CM747" s="27"/>
      <c r="CN747" s="27"/>
      <c r="CO747" s="27"/>
      <c r="CP747" s="27"/>
      <c r="CQ747" s="27"/>
      <c r="CR747" s="27"/>
      <c r="CS747" s="27"/>
      <c r="CT747" s="27"/>
      <c r="CU747" s="27"/>
      <c r="CV747" s="27"/>
      <c r="CW747" s="27"/>
      <c r="CX747" s="27"/>
      <c r="CY747" s="27"/>
      <c r="CZ747" s="27"/>
      <c r="DA747" s="27"/>
      <c r="DB747" s="27"/>
      <c r="DC747" s="27"/>
      <c r="DD747" s="27"/>
      <c r="DE747" s="27"/>
      <c r="DF747" s="27"/>
      <c r="DG747" s="27"/>
      <c r="DH747" s="27"/>
      <c r="DI747" s="27"/>
      <c r="DJ747" s="27"/>
      <c r="DK747" s="27"/>
      <c r="DL747" s="27"/>
      <c r="DM747" s="27"/>
      <c r="DN747" s="27"/>
      <c r="DO747" s="27"/>
      <c r="DP747" s="27"/>
      <c r="DQ747" s="27"/>
      <c r="DR747" s="27"/>
      <c r="DS747" s="27"/>
      <c r="DT747" s="27"/>
    </row>
    <row r="748" spans="7:124" x14ac:dyDescent="0.2">
      <c r="G748" s="27"/>
      <c r="H748" s="27"/>
      <c r="I748" s="27"/>
      <c r="J748" s="27"/>
      <c r="K748" s="27"/>
      <c r="L748" s="27"/>
      <c r="M748" s="27">
        <f>M747*S705</f>
        <v>209.2551</v>
      </c>
      <c r="N748" s="27" t="e">
        <f>#REF!</f>
        <v>#REF!</v>
      </c>
      <c r="O748" s="27"/>
      <c r="P748" s="27"/>
      <c r="Q748" s="27"/>
      <c r="R748" s="27"/>
      <c r="S748" s="27"/>
      <c r="T748" s="27"/>
      <c r="U748" s="27"/>
      <c r="V748" s="27"/>
      <c r="W748" s="27"/>
      <c r="X748" s="27"/>
      <c r="Y748" s="27"/>
      <c r="Z748" s="27" t="e">
        <f ca="1">35%*Z749</f>
        <v>#REF!</v>
      </c>
      <c r="AA748" s="27" t="s">
        <v>370</v>
      </c>
      <c r="AB748" s="27">
        <f ca="1">YEAR(AF735)-YEAR(I775)</f>
        <v>-13</v>
      </c>
      <c r="AC748" s="27"/>
      <c r="AD748" s="27"/>
      <c r="AE748" s="27"/>
      <c r="AF748" s="27"/>
      <c r="AG748" s="27"/>
      <c r="AH748" s="27">
        <v>40482</v>
      </c>
      <c r="AI748" s="27"/>
      <c r="AJ748" s="27"/>
      <c r="AK748" s="27"/>
      <c r="AL748" s="27"/>
      <c r="AM748" s="27"/>
      <c r="AN748" s="27" t="s">
        <v>371</v>
      </c>
      <c r="AO748" s="27" t="s">
        <v>372</v>
      </c>
      <c r="AP748" s="27"/>
      <c r="AQ748" s="27"/>
      <c r="AR748" s="27"/>
      <c r="AS748" s="27"/>
      <c r="AT748" s="27" t="s">
        <v>373</v>
      </c>
      <c r="AU748" s="27" t="e">
        <f>IF(W724=AE723,(VLOOKUP(INT(W752),__tav1,AN720+1,FALSE))*(1+AB746/100)*AX737,(VLOOKUP(INT(W752),__tmh1,AN720+1,FALSE))*(1+AB746/100)*AX737)</f>
        <v>#REF!</v>
      </c>
      <c r="AV748" s="27"/>
      <c r="AW748" s="27"/>
      <c r="AX748" s="27"/>
      <c r="AY748" s="27"/>
      <c r="AZ748" s="27"/>
      <c r="BA748" s="27"/>
      <c r="BB748" s="27"/>
      <c r="BC748" s="27"/>
      <c r="BD748" s="27"/>
      <c r="BE748" s="27"/>
      <c r="BF748" s="27"/>
      <c r="BG748" s="27"/>
      <c r="BH748" s="27"/>
      <c r="BI748" s="27"/>
      <c r="BJ748" s="27"/>
      <c r="BK748" s="27" t="s">
        <v>59</v>
      </c>
      <c r="BL748" s="27">
        <v>9268236</v>
      </c>
      <c r="BM748" s="27"/>
      <c r="BN748" s="27"/>
      <c r="BO748" s="27"/>
      <c r="BP748" s="27"/>
      <c r="BQ748" s="27"/>
      <c r="BR748" s="27"/>
      <c r="BS748" s="27"/>
      <c r="BT748" s="27"/>
      <c r="BU748" s="27">
        <v>9</v>
      </c>
      <c r="BV748" s="27">
        <v>0.02</v>
      </c>
      <c r="BW748" s="27">
        <v>4692.3500000000004</v>
      </c>
      <c r="BX748" s="27">
        <v>4432.88</v>
      </c>
      <c r="BY748" s="27">
        <v>4137.34</v>
      </c>
      <c r="BZ748" s="27">
        <v>3953.55</v>
      </c>
      <c r="CA748" s="27">
        <v>3603.95</v>
      </c>
      <c r="CB748" s="27">
        <v>3603.95</v>
      </c>
      <c r="CC748" s="27">
        <v>3135.42</v>
      </c>
      <c r="CD748" s="27">
        <v>2937.21</v>
      </c>
      <c r="CE748" s="27">
        <v>2865.12</v>
      </c>
      <c r="CF748" s="27">
        <v>2775.02</v>
      </c>
      <c r="CG748" s="27">
        <v>3953.55</v>
      </c>
      <c r="CH748" s="27">
        <v>3676.05</v>
      </c>
      <c r="CI748" s="27">
        <v>3135.42</v>
      </c>
      <c r="CJ748" s="27">
        <v>3870.66</v>
      </c>
      <c r="CK748" s="27">
        <v>3953.55</v>
      </c>
      <c r="CL748" s="27"/>
      <c r="CM748" s="27"/>
      <c r="CN748" s="27"/>
      <c r="CO748" s="27"/>
      <c r="CP748" s="27"/>
      <c r="CQ748" s="27"/>
      <c r="CR748" s="27"/>
      <c r="CS748" s="27"/>
      <c r="CT748" s="27"/>
      <c r="CU748" s="27"/>
      <c r="CV748" s="27"/>
      <c r="CW748" s="27"/>
      <c r="CX748" s="27"/>
      <c r="CY748" s="27"/>
      <c r="CZ748" s="27"/>
      <c r="DA748" s="27"/>
      <c r="DB748" s="27"/>
      <c r="DC748" s="27"/>
      <c r="DD748" s="27"/>
      <c r="DE748" s="27"/>
      <c r="DF748" s="27"/>
      <c r="DG748" s="27"/>
      <c r="DH748" s="27"/>
      <c r="DI748" s="27"/>
      <c r="DJ748" s="27"/>
      <c r="DK748" s="27"/>
      <c r="DL748" s="27"/>
      <c r="DM748" s="27"/>
      <c r="DN748" s="27"/>
      <c r="DO748" s="27"/>
      <c r="DP748" s="27"/>
      <c r="DQ748" s="27"/>
      <c r="DR748" s="27"/>
      <c r="DS748" s="27"/>
      <c r="DT748" s="27"/>
    </row>
    <row r="749" spans="7:124" x14ac:dyDescent="0.2">
      <c r="G749" s="27"/>
      <c r="H749" s="27"/>
      <c r="I749" s="27"/>
      <c r="J749" s="27"/>
      <c r="K749" s="27"/>
      <c r="L749" s="27"/>
      <c r="M749" s="27">
        <f>L786</f>
        <v>0</v>
      </c>
      <c r="N749" s="27" t="e">
        <f>#REF!</f>
        <v>#REF!</v>
      </c>
      <c r="O749" s="27"/>
      <c r="P749" s="27"/>
      <c r="Q749" s="27"/>
      <c r="R749" s="27"/>
      <c r="S749" s="27"/>
      <c r="T749" s="27"/>
      <c r="U749" s="27"/>
      <c r="V749" s="27" t="s">
        <v>376</v>
      </c>
      <c r="W749" s="27">
        <v>0</v>
      </c>
      <c r="X749" s="27"/>
      <c r="Y749" s="27"/>
      <c r="Z749" s="27" t="e">
        <f ca="1">IF(K909&gt;'[1]נתוני מס'!N16,'[1]נתוני מס'!N16,K909)</f>
        <v>#REF!</v>
      </c>
      <c r="AA749" s="27"/>
      <c r="AB749" s="27"/>
      <c r="AC749" s="27">
        <f>MONTH(AL723)</f>
        <v>3</v>
      </c>
      <c r="AD749" s="27">
        <f>DAY(AL723)</f>
        <v>18</v>
      </c>
      <c r="AE749" s="27"/>
      <c r="AF749" s="27"/>
      <c r="AG749" s="27"/>
      <c r="AH749" s="27">
        <v>40512</v>
      </c>
      <c r="AI749" s="27"/>
      <c r="AJ749" s="27" t="s">
        <v>377</v>
      </c>
      <c r="AK749" s="27"/>
      <c r="AL749" s="27"/>
      <c r="AM749" s="27"/>
      <c r="AN749" s="27">
        <v>20</v>
      </c>
      <c r="AO749" s="27">
        <v>41</v>
      </c>
      <c r="AP749" s="27"/>
      <c r="AQ749" s="27"/>
      <c r="AR749" s="27"/>
      <c r="AS749" s="27"/>
      <c r="AT749" s="27"/>
      <c r="AU749" s="27"/>
      <c r="AV749" s="27"/>
      <c r="AW749" s="27"/>
      <c r="AX749" s="27"/>
      <c r="AY749" s="27"/>
      <c r="AZ749" s="27"/>
      <c r="BA749" s="27"/>
      <c r="BB749" s="27"/>
      <c r="BC749" s="27"/>
      <c r="BD749" s="27"/>
      <c r="BE749" s="27">
        <f>AK720-F927</f>
        <v>14.130000000000003</v>
      </c>
      <c r="BF749" s="27" t="s">
        <v>378</v>
      </c>
      <c r="BG749" s="27" t="e">
        <f>#REF!</f>
        <v>#REF!</v>
      </c>
      <c r="BH749" s="27"/>
      <c r="BI749" s="27"/>
      <c r="BJ749" s="27"/>
      <c r="BK749" s="27"/>
      <c r="BL749" s="27"/>
      <c r="BM749" s="27"/>
      <c r="BN749" s="27"/>
      <c r="BO749" s="27"/>
      <c r="BP749" s="27"/>
      <c r="BQ749" s="27"/>
      <c r="BR749" s="27"/>
      <c r="BS749" s="27"/>
      <c r="BT749" s="27"/>
      <c r="BU749" s="27"/>
      <c r="BV749" s="27"/>
      <c r="BW749" s="27"/>
      <c r="BX749" s="27"/>
      <c r="BY749" s="27"/>
      <c r="BZ749" s="27"/>
      <c r="CA749" s="27"/>
      <c r="CB749" s="27"/>
      <c r="CC749" s="27"/>
      <c r="CD749" s="27"/>
      <c r="CE749" s="27"/>
      <c r="CF749" s="27"/>
      <c r="CG749" s="27"/>
      <c r="CH749" s="27"/>
      <c r="CI749" s="27"/>
      <c r="CJ749" s="27"/>
      <c r="CK749" s="27"/>
      <c r="CL749" s="27"/>
      <c r="CM749" s="27"/>
      <c r="CN749" s="27"/>
      <c r="CO749" s="27"/>
      <c r="CP749" s="27"/>
      <c r="CQ749" s="27"/>
      <c r="CR749" s="27"/>
      <c r="CS749" s="27"/>
      <c r="CT749" s="27"/>
      <c r="CU749" s="27"/>
      <c r="CV749" s="27"/>
      <c r="CW749" s="27"/>
      <c r="CX749" s="27"/>
      <c r="CY749" s="27"/>
      <c r="CZ749" s="27"/>
      <c r="DA749" s="27"/>
      <c r="DB749" s="27"/>
      <c r="DC749" s="27"/>
      <c r="DD749" s="27"/>
      <c r="DE749" s="27"/>
      <c r="DF749" s="27"/>
      <c r="DG749" s="27"/>
      <c r="DH749" s="27"/>
      <c r="DI749" s="27"/>
      <c r="DJ749" s="27"/>
      <c r="DK749" s="27"/>
      <c r="DL749" s="27"/>
      <c r="DM749" s="27"/>
      <c r="DN749" s="27"/>
      <c r="DO749" s="27"/>
      <c r="DP749" s="27"/>
      <c r="DQ749" s="27"/>
      <c r="DR749" s="27"/>
      <c r="DS749" s="27"/>
      <c r="DT749" s="27"/>
    </row>
    <row r="750" spans="7:124" x14ac:dyDescent="0.2">
      <c r="G750" s="27"/>
      <c r="H750" s="27"/>
      <c r="I750" s="27"/>
      <c r="J750" s="27"/>
      <c r="K750" s="27"/>
      <c r="L750" s="27"/>
      <c r="M750" s="27">
        <f>(M747+M748)*S706</f>
        <v>345.57084730999998</v>
      </c>
      <c r="N750" s="27" t="e">
        <f>#REF!</f>
        <v>#REF!</v>
      </c>
      <c r="O750" s="27"/>
      <c r="P750" s="27"/>
      <c r="Q750" s="27"/>
      <c r="R750" s="27"/>
      <c r="S750" s="27"/>
      <c r="T750" s="27"/>
      <c r="U750" s="27"/>
      <c r="V750" s="27" t="s">
        <v>379</v>
      </c>
      <c r="W750" s="27">
        <v>0</v>
      </c>
      <c r="X750" s="27"/>
      <c r="Y750" s="27"/>
      <c r="Z750" s="27"/>
      <c r="AA750" s="27"/>
      <c r="AB750" s="27"/>
      <c r="AC750" s="27" t="s">
        <v>360</v>
      </c>
      <c r="AD750" s="27">
        <f>IF((AC749=2)*AND(AD749&lt;16),0,AE750)</f>
        <v>0.25</v>
      </c>
      <c r="AE750" s="27">
        <f>IF(AC749&gt;11,1,IF((AC749=11)*AND(AD749&gt;15),1,IF(AC749&gt;8,0.75,IF((AC749=8)*AND(AD749&gt;15),0.75,IF(AC749&gt;5,0.5,IF((AC749=5)*AND(AD749&gt;15),0.5,IF(AC749&gt;2,0.25,IF(AC749=2,                0.25,0))))))))</f>
        <v>0.25</v>
      </c>
      <c r="AF750" s="27"/>
      <c r="AG750" s="27"/>
      <c r="AH750" s="27">
        <v>40543</v>
      </c>
      <c r="AI750" s="27"/>
      <c r="AJ750" s="27">
        <v>24.582999999999998</v>
      </c>
      <c r="AK750" s="27"/>
      <c r="AL750" s="27"/>
      <c r="AM750" s="27"/>
      <c r="AN750" s="27" t="s">
        <v>380</v>
      </c>
      <c r="AO750" s="27" t="s">
        <v>381</v>
      </c>
      <c r="AP750" s="27"/>
      <c r="AQ750" s="27"/>
      <c r="AR750" s="27"/>
      <c r="AS750" s="27"/>
      <c r="AT750" s="27"/>
      <c r="AU750" s="27"/>
      <c r="AV750" s="27"/>
      <c r="AW750" s="27"/>
      <c r="AX750" s="27"/>
      <c r="AY750" s="27"/>
      <c r="AZ750" s="27"/>
      <c r="BA750" s="27"/>
      <c r="BB750" s="27"/>
      <c r="BC750" s="27"/>
      <c r="BD750" s="27"/>
      <c r="BE750" s="27" t="s">
        <v>59</v>
      </c>
      <c r="BF750" s="27" t="s">
        <v>382</v>
      </c>
      <c r="BG750" s="27" t="e">
        <f>G974</f>
        <v>#REF!</v>
      </c>
      <c r="BH750" s="27"/>
      <c r="BI750" s="27"/>
      <c r="BJ750" s="27"/>
      <c r="BK750" s="27"/>
      <c r="BL750" s="27"/>
      <c r="BM750" s="27"/>
      <c r="BN750" s="27"/>
      <c r="BO750" s="27"/>
      <c r="BP750" s="27"/>
      <c r="BQ750" s="27"/>
      <c r="BR750" s="27"/>
      <c r="BS750" s="27"/>
      <c r="BT750" s="27"/>
      <c r="BU750" s="27">
        <v>10</v>
      </c>
      <c r="BV750" s="27">
        <v>0.02</v>
      </c>
      <c r="BW750" s="27">
        <v>4786.1899999999996</v>
      </c>
      <c r="BX750" s="27">
        <v>4521.53</v>
      </c>
      <c r="BY750" s="27">
        <v>4220.08</v>
      </c>
      <c r="BZ750" s="27">
        <v>4032.62</v>
      </c>
      <c r="CA750" s="27">
        <v>3676.02</v>
      </c>
      <c r="CB750" s="27">
        <v>3676.02</v>
      </c>
      <c r="CC750" s="27">
        <v>3198.12</v>
      </c>
      <c r="CD750" s="27">
        <v>2995.95</v>
      </c>
      <c r="CE750" s="27">
        <v>2922.42</v>
      </c>
      <c r="CF750" s="27">
        <v>2830.52</v>
      </c>
      <c r="CG750" s="27">
        <v>4032.62</v>
      </c>
      <c r="CH750" s="27">
        <v>3749.57</v>
      </c>
      <c r="CI750" s="27">
        <v>3198.12</v>
      </c>
      <c r="CJ750" s="27">
        <v>3948.07</v>
      </c>
      <c r="CK750" s="27">
        <v>4032.62</v>
      </c>
      <c r="CL750" s="27"/>
      <c r="CM750" s="27"/>
      <c r="CN750" s="27"/>
      <c r="CO750" s="27"/>
      <c r="CP750" s="27"/>
      <c r="CQ750" s="27"/>
      <c r="CR750" s="27"/>
      <c r="CS750" s="27"/>
      <c r="CT750" s="27"/>
      <c r="CU750" s="27"/>
      <c r="CV750" s="27"/>
      <c r="CW750" s="27"/>
      <c r="CX750" s="27"/>
      <c r="CY750" s="27"/>
      <c r="CZ750" s="27"/>
      <c r="DA750" s="27"/>
      <c r="DB750" s="27"/>
      <c r="DC750" s="27"/>
      <c r="DD750" s="27"/>
      <c r="DE750" s="27"/>
      <c r="DF750" s="27"/>
      <c r="DG750" s="27"/>
      <c r="DH750" s="27"/>
      <c r="DI750" s="27"/>
      <c r="DJ750" s="27"/>
      <c r="DK750" s="27"/>
      <c r="DL750" s="27"/>
      <c r="DM750" s="27"/>
      <c r="DN750" s="27"/>
      <c r="DO750" s="27"/>
      <c r="DP750" s="27"/>
      <c r="DQ750" s="27"/>
      <c r="DR750" s="27"/>
      <c r="DS750" s="27"/>
      <c r="DT750" s="27"/>
    </row>
    <row r="751" spans="7:124" x14ac:dyDescent="0.2">
      <c r="G751" s="27"/>
      <c r="H751" s="27"/>
      <c r="I751" s="27"/>
      <c r="J751" s="27"/>
      <c r="K751" s="27"/>
      <c r="L751" s="27"/>
      <c r="M751" s="27">
        <f>L788</f>
        <v>0</v>
      </c>
      <c r="N751" s="27" t="e">
        <f>#REF!</f>
        <v>#REF!</v>
      </c>
      <c r="O751" s="27"/>
      <c r="P751" s="27"/>
      <c r="Q751" s="27"/>
      <c r="R751" s="27"/>
      <c r="S751" s="27"/>
      <c r="T751" s="27"/>
      <c r="U751" s="27"/>
      <c r="V751" s="27"/>
      <c r="W751" s="27"/>
      <c r="X751" s="27"/>
      <c r="Y751" s="27"/>
      <c r="Z751" s="27" t="s">
        <v>383</v>
      </c>
      <c r="AA751" s="27" t="e">
        <f ca="1">K909/G966</f>
        <v>#REF!</v>
      </c>
      <c r="AB751" s="27"/>
      <c r="AC751" s="27"/>
      <c r="AD751" s="27"/>
      <c r="AE751" s="27"/>
      <c r="AF751" s="27"/>
      <c r="AG751" s="27"/>
      <c r="AH751" s="27">
        <v>40574</v>
      </c>
      <c r="AI751" s="27"/>
      <c r="AJ751" s="27">
        <f>DATE(YEAR(AF735),MONTH(AF735)-MONTH(AF735)+1,DAY(AF735)-DAY(AF735)+1)</f>
        <v>40544</v>
      </c>
      <c r="AK751" s="27"/>
      <c r="AL751" s="27"/>
      <c r="AM751" s="27"/>
      <c r="AN751" s="27">
        <v>21</v>
      </c>
      <c r="AO751" s="27">
        <v>42</v>
      </c>
      <c r="AP751" s="27"/>
      <c r="AQ751" s="27"/>
      <c r="AR751" s="27"/>
      <c r="AS751" s="27"/>
      <c r="AT751" s="27" t="s">
        <v>384</v>
      </c>
      <c r="AU751" s="27" t="s">
        <v>385</v>
      </c>
      <c r="AV751" s="27"/>
      <c r="AW751" s="27"/>
      <c r="AX751" s="27"/>
      <c r="AY751" s="27"/>
      <c r="AZ751" s="27"/>
      <c r="BA751" s="27"/>
      <c r="BB751" s="27"/>
      <c r="BC751" s="27"/>
      <c r="BD751" s="27"/>
      <c r="BE751" s="27"/>
      <c r="BF751" s="27" t="s">
        <v>386</v>
      </c>
      <c r="BG751" s="27" t="e">
        <f>BG749-BG750</f>
        <v>#REF!</v>
      </c>
      <c r="BH751" s="27"/>
      <c r="BI751" s="27"/>
      <c r="BJ751" s="27"/>
      <c r="BK751" s="27"/>
      <c r="BL751" s="27"/>
      <c r="BM751" s="27">
        <v>9268335</v>
      </c>
      <c r="BN751" s="27"/>
      <c r="BO751" s="27"/>
      <c r="BP751" s="27"/>
      <c r="BQ751" s="27"/>
      <c r="BR751" s="27"/>
      <c r="BS751" s="27"/>
      <c r="BT751" s="27"/>
      <c r="BU751" s="27"/>
      <c r="BV751" s="27"/>
      <c r="BW751" s="27"/>
      <c r="BX751" s="27"/>
      <c r="BY751" s="27"/>
      <c r="BZ751" s="27"/>
      <c r="CA751" s="27"/>
      <c r="CB751" s="27"/>
      <c r="CC751" s="27"/>
      <c r="CD751" s="27"/>
      <c r="CE751" s="27"/>
      <c r="CF751" s="27"/>
      <c r="CG751" s="27"/>
      <c r="CH751" s="27"/>
      <c r="CI751" s="27"/>
      <c r="CJ751" s="27"/>
      <c r="CK751" s="27"/>
      <c r="CL751" s="27"/>
      <c r="CM751" s="27"/>
      <c r="CN751" s="27"/>
      <c r="CO751" s="27"/>
      <c r="CP751" s="27"/>
      <c r="CQ751" s="27"/>
      <c r="CR751" s="27"/>
      <c r="CS751" s="27"/>
      <c r="CT751" s="27"/>
      <c r="CU751" s="27"/>
      <c r="CV751" s="27"/>
      <c r="CW751" s="27"/>
      <c r="CX751" s="27"/>
      <c r="CY751" s="27"/>
      <c r="CZ751" s="27"/>
      <c r="DA751" s="27"/>
      <c r="DB751" s="27"/>
      <c r="DC751" s="27"/>
      <c r="DD751" s="27"/>
      <c r="DE751" s="27"/>
      <c r="DF751" s="27"/>
      <c r="DG751" s="27"/>
      <c r="DH751" s="27"/>
      <c r="DI751" s="27"/>
      <c r="DJ751" s="27"/>
      <c r="DK751" s="27"/>
      <c r="DL751" s="27"/>
      <c r="DM751" s="27"/>
      <c r="DN751" s="27"/>
      <c r="DO751" s="27"/>
      <c r="DP751" s="27"/>
      <c r="DQ751" s="27"/>
      <c r="DR751" s="27"/>
      <c r="DS751" s="27"/>
      <c r="DT751" s="27"/>
    </row>
    <row r="752" spans="7:124" x14ac:dyDescent="0.2">
      <c r="G752" s="27"/>
      <c r="H752" s="27"/>
      <c r="I752" s="27"/>
      <c r="J752" s="27"/>
      <c r="K752" s="27"/>
      <c r="L752" s="27"/>
      <c r="M752" s="27">
        <f>SUM(M747:M750)*BB774</f>
        <v>0</v>
      </c>
      <c r="N752" s="27" t="str">
        <f>K789</f>
        <v>גמול חינוך מיוחד</v>
      </c>
      <c r="O752" s="27"/>
      <c r="P752" s="27"/>
      <c r="Q752" s="27"/>
      <c r="R752" s="27"/>
      <c r="S752" s="27"/>
      <c r="T752" s="27"/>
      <c r="U752" s="27"/>
      <c r="V752" s="27" t="s">
        <v>257</v>
      </c>
      <c r="W752" s="27">
        <f>BB771</f>
        <v>33</v>
      </c>
      <c r="X752" s="27"/>
      <c r="Y752" s="27"/>
      <c r="Z752" s="27" t="s">
        <v>387</v>
      </c>
      <c r="AA752" s="27" t="e">
        <f ca="1">G974*AA751</f>
        <v>#REF!</v>
      </c>
      <c r="AB752" s="27"/>
      <c r="AC752" s="27"/>
      <c r="AD752" s="27"/>
      <c r="AE752" s="27"/>
      <c r="AF752" s="27"/>
      <c r="AG752" s="27"/>
      <c r="AH752" s="27"/>
      <c r="AI752" s="27"/>
      <c r="AJ752" s="27">
        <f>ROUND((AF735-AJ751)/365.25,2)</f>
        <v>0.08</v>
      </c>
      <c r="AK752" s="27"/>
      <c r="AL752" s="27"/>
      <c r="AM752" s="27"/>
      <c r="AN752" s="27" t="s">
        <v>388</v>
      </c>
      <c r="AO752" s="27" t="s">
        <v>389</v>
      </c>
      <c r="AP752" s="27"/>
      <c r="AQ752" s="27"/>
      <c r="AR752" s="27"/>
      <c r="AS752" s="27" t="s">
        <v>390</v>
      </c>
      <c r="AT752" s="27"/>
      <c r="AU752" s="27" t="e">
        <f>E947</f>
        <v>#REF!</v>
      </c>
      <c r="AV752" s="27" t="s">
        <v>391</v>
      </c>
      <c r="AW752" s="27"/>
      <c r="AX752" s="27"/>
      <c r="AY752" s="27"/>
      <c r="AZ752" s="27"/>
      <c r="BA752" s="27"/>
      <c r="BB752" s="27"/>
      <c r="BC752" s="27"/>
      <c r="BD752" s="27"/>
      <c r="BE752" s="27"/>
      <c r="BF752" s="27"/>
      <c r="BG752" s="27" t="e">
        <f>BG751/BG749</f>
        <v>#REF!</v>
      </c>
      <c r="BH752" s="27"/>
      <c r="BI752" s="27"/>
      <c r="BJ752" s="27"/>
      <c r="BK752" s="27"/>
      <c r="BL752" s="27"/>
      <c r="BM752" s="27"/>
      <c r="BN752" s="27"/>
      <c r="BO752" s="27"/>
      <c r="BP752" s="27"/>
      <c r="BQ752" s="27"/>
      <c r="BR752" s="27"/>
      <c r="BS752" s="27"/>
      <c r="BT752" s="27"/>
      <c r="BU752" s="27">
        <v>11</v>
      </c>
      <c r="BV752" s="27">
        <v>0.02</v>
      </c>
      <c r="BW752" s="27">
        <v>4881.91</v>
      </c>
      <c r="BX752" s="27">
        <v>4611.96</v>
      </c>
      <c r="BY752" s="27">
        <v>4304.4799999999996</v>
      </c>
      <c r="BZ752" s="27">
        <v>4113.2700000000004</v>
      </c>
      <c r="CA752" s="27">
        <v>3749.54</v>
      </c>
      <c r="CB752" s="27">
        <v>3749.54</v>
      </c>
      <c r="CC752" s="27">
        <v>3262.08</v>
      </c>
      <c r="CD752" s="27">
        <v>3055.86</v>
      </c>
      <c r="CE752" s="27">
        <v>2980.86</v>
      </c>
      <c r="CF752" s="27">
        <v>2887.13</v>
      </c>
      <c r="CG752" s="27">
        <v>4113.2700000000004</v>
      </c>
      <c r="CH752" s="27">
        <v>3824.56</v>
      </c>
      <c r="CI752" s="27">
        <v>3262.08</v>
      </c>
      <c r="CJ752" s="27">
        <v>4027.03</v>
      </c>
      <c r="CK752" s="27">
        <v>4113.2700000000004</v>
      </c>
      <c r="CL752" s="27"/>
      <c r="CM752" s="27"/>
      <c r="CN752" s="27"/>
      <c r="CO752" s="27"/>
      <c r="CP752" s="27"/>
      <c r="CQ752" s="27"/>
      <c r="CR752" s="27"/>
      <c r="CS752" s="27"/>
      <c r="CT752" s="27"/>
      <c r="CU752" s="27"/>
      <c r="CV752" s="27"/>
      <c r="CW752" s="27"/>
      <c r="CX752" s="27"/>
      <c r="CY752" s="27"/>
      <c r="CZ752" s="27"/>
      <c r="DA752" s="27"/>
      <c r="DB752" s="27"/>
      <c r="DC752" s="27"/>
      <c r="DD752" s="27"/>
      <c r="DE752" s="27"/>
      <c r="DF752" s="27"/>
      <c r="DG752" s="27"/>
      <c r="DH752" s="27"/>
      <c r="DI752" s="27"/>
      <c r="DJ752" s="27"/>
      <c r="DK752" s="27"/>
      <c r="DL752" s="27"/>
      <c r="DM752" s="27"/>
      <c r="DN752" s="27"/>
      <c r="DO752" s="27"/>
      <c r="DP752" s="27"/>
      <c r="DQ752" s="27"/>
      <c r="DR752" s="27"/>
      <c r="DS752" s="27"/>
      <c r="DT752" s="27"/>
    </row>
    <row r="753" spans="7:124" x14ac:dyDescent="0.2">
      <c r="G753" s="27"/>
      <c r="H753" s="27"/>
      <c r="I753" s="27"/>
      <c r="J753" s="27"/>
      <c r="K753" s="27"/>
      <c r="L753" s="27"/>
      <c r="M753" s="27">
        <f>IF(BB775=S709,0,IF(BB775=S710,10%*(M742+SUM(M748:M750)),IF(BB775=S711,20%*(M742+SUM(M748:M750)),IF(BB775=S712,11.5%*(M742+SUM(M748:M750)),6%*SUM(M747:M750)))))</f>
        <v>0</v>
      </c>
      <c r="N753" s="27" t="e">
        <f>#REF!</f>
        <v>#REF!</v>
      </c>
      <c r="O753" s="27"/>
      <c r="P753" s="27"/>
      <c r="Q753" s="27"/>
      <c r="R753" s="27"/>
      <c r="S753" s="27"/>
      <c r="T753" s="27"/>
      <c r="U753" s="27"/>
      <c r="V753" s="27" t="s">
        <v>2</v>
      </c>
      <c r="W753" s="27" t="e">
        <f>IF(#REF!&gt;36,36,#REF!)</f>
        <v>#REF!</v>
      </c>
      <c r="X753" s="27"/>
      <c r="Y753" s="27"/>
      <c r="Z753" s="27" t="s">
        <v>392</v>
      </c>
      <c r="AA753" s="27"/>
      <c r="AB753" s="27"/>
      <c r="AC753" s="27"/>
      <c r="AD753" s="27" t="s">
        <v>393</v>
      </c>
      <c r="AE753" s="27" t="s">
        <v>394</v>
      </c>
      <c r="AF753" s="27"/>
      <c r="AG753" s="27"/>
      <c r="AH753" s="27"/>
      <c r="AI753" s="27"/>
      <c r="AJ753" s="27"/>
      <c r="AK753" s="27"/>
      <c r="AL753" s="27"/>
      <c r="AM753" s="27"/>
      <c r="AN753" s="27">
        <v>22</v>
      </c>
      <c r="AO753" s="27">
        <v>43</v>
      </c>
      <c r="AP753" s="27"/>
      <c r="AQ753" s="27"/>
      <c r="AR753" s="27"/>
      <c r="AS753" s="27" t="s">
        <v>59</v>
      </c>
      <c r="AT753" s="27">
        <v>12</v>
      </c>
      <c r="AU753" s="27" t="s">
        <v>395</v>
      </c>
      <c r="AV753" s="27" t="e">
        <f>12*AU752</f>
        <v>#REF!</v>
      </c>
      <c r="AW753" s="27"/>
      <c r="AX753" s="27"/>
      <c r="AY753" s="27"/>
      <c r="AZ753" s="27"/>
      <c r="BA753" s="27" t="s">
        <v>59</v>
      </c>
      <c r="BB753" s="27"/>
      <c r="BC753" s="27"/>
      <c r="BD753" s="27"/>
      <c r="BE753" s="27" t="s">
        <v>396</v>
      </c>
      <c r="BF753" s="27"/>
      <c r="BG753" s="27"/>
      <c r="BH753" s="27"/>
      <c r="BI753" s="27"/>
      <c r="BJ753" s="27"/>
      <c r="BK753" s="27"/>
      <c r="BL753" s="27" t="s">
        <v>397</v>
      </c>
      <c r="BM753" s="27"/>
      <c r="BN753" s="27"/>
      <c r="BO753" s="27"/>
      <c r="BP753" s="27"/>
      <c r="BQ753" s="27"/>
      <c r="BR753" s="27"/>
      <c r="BS753" s="27"/>
      <c r="BT753" s="27"/>
      <c r="BU753" s="27"/>
      <c r="BV753" s="27"/>
      <c r="BW753" s="27"/>
      <c r="BX753" s="27"/>
      <c r="BY753" s="27"/>
      <c r="BZ753" s="27"/>
      <c r="CA753" s="27"/>
      <c r="CB753" s="27"/>
      <c r="CC753" s="27"/>
      <c r="CD753" s="27"/>
      <c r="CE753" s="27"/>
      <c r="CF753" s="27"/>
      <c r="CG753" s="27"/>
      <c r="CH753" s="27"/>
      <c r="CI753" s="27"/>
      <c r="CJ753" s="27"/>
      <c r="CK753" s="27"/>
      <c r="CL753" s="27"/>
      <c r="CM753" s="27"/>
      <c r="CN753" s="27"/>
      <c r="CO753" s="27"/>
      <c r="CP753" s="27"/>
      <c r="CQ753" s="27"/>
      <c r="CR753" s="27"/>
      <c r="CS753" s="27"/>
      <c r="CT753" s="27"/>
      <c r="CU753" s="27"/>
      <c r="CV753" s="27"/>
      <c r="CW753" s="27"/>
      <c r="CX753" s="27"/>
      <c r="CY753" s="27"/>
      <c r="CZ753" s="27"/>
      <c r="DA753" s="27"/>
      <c r="DB753" s="27"/>
      <c r="DC753" s="27"/>
      <c r="DD753" s="27"/>
      <c r="DE753" s="27"/>
      <c r="DF753" s="27"/>
      <c r="DG753" s="27"/>
      <c r="DH753" s="27"/>
      <c r="DI753" s="27"/>
      <c r="DJ753" s="27"/>
      <c r="DK753" s="27"/>
      <c r="DL753" s="27"/>
      <c r="DM753" s="27"/>
      <c r="DN753" s="27"/>
      <c r="DO753" s="27"/>
      <c r="DP753" s="27"/>
      <c r="DQ753" s="27"/>
      <c r="DR753" s="27"/>
      <c r="DS753" s="27"/>
      <c r="DT753" s="27"/>
    </row>
    <row r="754" spans="7:124" x14ac:dyDescent="0.2">
      <c r="G754" s="27"/>
      <c r="H754" s="27"/>
      <c r="I754" s="27"/>
      <c r="J754" s="27"/>
      <c r="K754" s="27"/>
      <c r="L754" s="27"/>
      <c r="M754" s="27"/>
      <c r="N754" s="27"/>
      <c r="O754" s="27"/>
      <c r="P754" s="27"/>
      <c r="Q754" s="27"/>
      <c r="R754" s="27"/>
      <c r="S754" s="27"/>
      <c r="T754" s="27"/>
      <c r="U754" s="27"/>
      <c r="V754" s="27" t="s">
        <v>400</v>
      </c>
      <c r="W754" s="27">
        <v>1</v>
      </c>
      <c r="X754" s="27"/>
      <c r="Y754" s="27"/>
      <c r="Z754" s="27" t="e">
        <f>IF(#REF!&gt;0,#REF!/'[1]נתוני מס'!N16,0)</f>
        <v>#REF!</v>
      </c>
      <c r="AA754" s="27" t="s">
        <v>401</v>
      </c>
      <c r="AB754" s="27" t="s">
        <v>402</v>
      </c>
      <c r="AC754" s="27" t="s">
        <v>198</v>
      </c>
      <c r="AD754" s="27"/>
      <c r="AE754" s="27" t="e">
        <f>#REF!</f>
        <v>#REF!</v>
      </c>
      <c r="AF754" s="27"/>
      <c r="AG754" s="27"/>
      <c r="AH754" s="27"/>
      <c r="AI754" s="27"/>
      <c r="AJ754" s="27"/>
      <c r="AK754" s="27"/>
      <c r="AL754" s="27"/>
      <c r="AM754" s="27"/>
      <c r="AN754" s="27" t="s">
        <v>403</v>
      </c>
      <c r="AO754" s="27" t="s">
        <v>404</v>
      </c>
      <c r="AP754" s="27"/>
      <c r="AQ754" s="27"/>
      <c r="AR754" s="27"/>
      <c r="AS754" s="27" t="s">
        <v>405</v>
      </c>
      <c r="AT754" s="27"/>
      <c r="AU754" s="27"/>
      <c r="AV754" s="27" t="e">
        <f>AU752/2*G908</f>
        <v>#REF!</v>
      </c>
      <c r="AW754" s="27"/>
      <c r="AX754" s="27"/>
      <c r="AY754" s="27"/>
      <c r="AZ754" s="27"/>
      <c r="BA754" s="27">
        <f>IF((((60-F927)*2+(G908*2))/100+E110)&gt;70%,70%,(((60-F927)*2+(G908*2))/100+E110))</f>
        <v>0.7</v>
      </c>
      <c r="BB754" s="27"/>
      <c r="BC754" s="27"/>
      <c r="BD754" s="27"/>
      <c r="BE754" s="27"/>
      <c r="BF754" s="27"/>
      <c r="BG754" s="27"/>
      <c r="BH754" s="27"/>
      <c r="BI754" s="27"/>
      <c r="BJ754" s="27"/>
      <c r="BK754" s="27"/>
      <c r="BL754" s="27" t="s">
        <v>406</v>
      </c>
      <c r="BM754" s="27"/>
      <c r="BN754" s="27"/>
      <c r="BO754" s="27"/>
      <c r="BP754" s="27"/>
      <c r="BQ754" s="27"/>
      <c r="BR754" s="27"/>
      <c r="BS754" s="27"/>
      <c r="BT754" s="27"/>
      <c r="BU754" s="27">
        <v>12</v>
      </c>
      <c r="BV754" s="27">
        <v>0.02</v>
      </c>
      <c r="BW754" s="27">
        <v>4979.54</v>
      </c>
      <c r="BX754" s="27">
        <v>4704.1899999999996</v>
      </c>
      <c r="BY754" s="27">
        <v>4390.5600000000004</v>
      </c>
      <c r="BZ754" s="27">
        <v>4195.53</v>
      </c>
      <c r="CA754" s="27">
        <v>3824.53</v>
      </c>
      <c r="CB754" s="27">
        <v>3824.53</v>
      </c>
      <c r="CC754" s="27">
        <v>3327.32</v>
      </c>
      <c r="CD754" s="27">
        <v>3116.97</v>
      </c>
      <c r="CE754" s="27">
        <v>3040.47</v>
      </c>
      <c r="CF754" s="27">
        <v>2944.87</v>
      </c>
      <c r="CG754" s="27">
        <v>4195.53</v>
      </c>
      <c r="CH754" s="27">
        <v>3901.05</v>
      </c>
      <c r="CI754" s="27">
        <v>3327.32</v>
      </c>
      <c r="CJ754" s="27">
        <v>4107.57</v>
      </c>
      <c r="CK754" s="27">
        <v>4195.53</v>
      </c>
      <c r="CL754" s="27"/>
      <c r="CM754" s="27"/>
      <c r="CN754" s="27"/>
      <c r="CO754" s="27"/>
      <c r="CP754" s="27"/>
      <c r="CQ754" s="27"/>
      <c r="CR754" s="27"/>
      <c r="CS754" s="27"/>
      <c r="CT754" s="27"/>
      <c r="CU754" s="27"/>
      <c r="CV754" s="27"/>
      <c r="CW754" s="27"/>
      <c r="CX754" s="27"/>
      <c r="CY754" s="27"/>
      <c r="CZ754" s="27"/>
      <c r="DA754" s="27"/>
      <c r="DB754" s="27"/>
      <c r="DC754" s="27"/>
      <c r="DD754" s="27"/>
      <c r="DE754" s="27"/>
      <c r="DF754" s="27"/>
      <c r="DG754" s="27"/>
      <c r="DH754" s="27"/>
      <c r="DI754" s="27"/>
      <c r="DJ754" s="27"/>
      <c r="DK754" s="27"/>
      <c r="DL754" s="27"/>
      <c r="DM754" s="27"/>
      <c r="DN754" s="27"/>
      <c r="DO754" s="27"/>
      <c r="DP754" s="27"/>
      <c r="DQ754" s="27"/>
      <c r="DR754" s="27"/>
      <c r="DS754" s="27"/>
      <c r="DT754" s="27"/>
    </row>
    <row r="755" spans="7:124" x14ac:dyDescent="0.2">
      <c r="G755" s="27"/>
      <c r="H755" s="27"/>
      <c r="I755" s="27"/>
      <c r="J755" s="27"/>
      <c r="K755" s="27"/>
      <c r="L755" s="27"/>
      <c r="M755" s="27">
        <f>L792</f>
        <v>0</v>
      </c>
      <c r="N755" s="27" t="str">
        <f>K792</f>
        <v>גמול הכנה לבגרות</v>
      </c>
      <c r="O755" s="27"/>
      <c r="P755" s="27"/>
      <c r="Q755" s="27"/>
      <c r="R755" s="27"/>
      <c r="S755" s="27"/>
      <c r="T755" s="27"/>
      <c r="U755" s="27"/>
      <c r="V755" s="27"/>
      <c r="W755" s="27"/>
      <c r="X755" s="27"/>
      <c r="Y755" s="27"/>
      <c r="Z755" s="27"/>
      <c r="AA755" s="27" t="s">
        <v>407</v>
      </c>
      <c r="AB755" s="27" t="s">
        <v>408</v>
      </c>
      <c r="AC755" s="27" t="s">
        <v>71</v>
      </c>
      <c r="AD755" s="27"/>
      <c r="AE755" s="27"/>
      <c r="AF755" s="27" t="s">
        <v>409</v>
      </c>
      <c r="AG755" s="27">
        <f>IF(AF707=AC754,0.01%,0)</f>
        <v>0</v>
      </c>
      <c r="AH755" s="27"/>
      <c r="AI755" s="27"/>
      <c r="AJ755" s="27" t="s">
        <v>351</v>
      </c>
      <c r="AK755" s="27"/>
      <c r="AL755" s="27"/>
      <c r="AM755" s="27"/>
      <c r="AN755" s="27">
        <v>23</v>
      </c>
      <c r="AO755" s="27">
        <v>44</v>
      </c>
      <c r="AP755" s="27"/>
      <c r="AQ755" s="27"/>
      <c r="AR755" s="27"/>
      <c r="AS755" s="27"/>
      <c r="AT755" s="27"/>
      <c r="AU755" s="27" t="s">
        <v>410</v>
      </c>
      <c r="AV755" s="27" t="e">
        <f ca="1">BA758</f>
        <v>#REF!</v>
      </c>
      <c r="AW755" s="27"/>
      <c r="AX755" s="27" t="s">
        <v>411</v>
      </c>
      <c r="AY755" s="27"/>
      <c r="AZ755" s="27"/>
      <c r="BA755" s="27" t="e">
        <f ca="1">O737*BA754</f>
        <v>#REF!</v>
      </c>
      <c r="BB755" s="27"/>
      <c r="BC755" s="27"/>
      <c r="BD755" s="27"/>
      <c r="BE755" s="27"/>
      <c r="BF755" s="27"/>
      <c r="BG755" s="27"/>
      <c r="BH755" s="27"/>
      <c r="BI755" s="27"/>
      <c r="BJ755" s="27"/>
      <c r="BK755" s="27"/>
      <c r="BL755" s="27"/>
      <c r="BM755" s="27"/>
      <c r="BN755" s="27"/>
      <c r="BO755" s="27"/>
      <c r="BP755" s="27"/>
      <c r="BQ755" s="27"/>
      <c r="BR755" s="27"/>
      <c r="BS755" s="27"/>
      <c r="BT755" s="27"/>
      <c r="BU755" s="27"/>
      <c r="BV755" s="27"/>
      <c r="BW755" s="27"/>
      <c r="BX755" s="27"/>
      <c r="BY755" s="27"/>
      <c r="BZ755" s="27"/>
      <c r="CA755" s="27"/>
      <c r="CB755" s="27"/>
      <c r="CC755" s="27"/>
      <c r="CD755" s="27"/>
      <c r="CE755" s="27"/>
      <c r="CF755" s="27"/>
      <c r="CG755" s="27"/>
      <c r="CH755" s="27"/>
      <c r="CI755" s="27"/>
      <c r="CJ755" s="27"/>
      <c r="CK755" s="27"/>
      <c r="CL755" s="27"/>
      <c r="CM755" s="27"/>
      <c r="CN755" s="27"/>
      <c r="CO755" s="27"/>
      <c r="CP755" s="27"/>
      <c r="CQ755" s="27"/>
      <c r="CR755" s="27"/>
      <c r="CS755" s="27"/>
      <c r="CT755" s="27"/>
      <c r="CU755" s="27"/>
      <c r="CV755" s="27"/>
      <c r="CW755" s="27"/>
      <c r="CX755" s="27"/>
      <c r="CY755" s="27"/>
      <c r="CZ755" s="27"/>
      <c r="DA755" s="27"/>
      <c r="DB755" s="27"/>
      <c r="DC755" s="27"/>
      <c r="DD755" s="27"/>
      <c r="DE755" s="27"/>
      <c r="DF755" s="27"/>
      <c r="DG755" s="27"/>
      <c r="DH755" s="27"/>
      <c r="DI755" s="27"/>
      <c r="DJ755" s="27"/>
      <c r="DK755" s="27"/>
      <c r="DL755" s="27"/>
      <c r="DM755" s="27"/>
      <c r="DN755" s="27"/>
      <c r="DO755" s="27"/>
      <c r="DP755" s="27"/>
      <c r="DQ755" s="27"/>
      <c r="DR755" s="27"/>
      <c r="DS755" s="27"/>
      <c r="DT755" s="27"/>
    </row>
    <row r="756" spans="7:124" x14ac:dyDescent="0.2">
      <c r="G756" s="27"/>
      <c r="H756" s="27"/>
      <c r="I756" s="27"/>
      <c r="J756" s="27"/>
      <c r="K756" s="27"/>
      <c r="L756" s="27"/>
      <c r="M756" s="27">
        <f>Y714*M742</f>
        <v>0</v>
      </c>
      <c r="N756" s="27" t="str">
        <f>K793</f>
        <v xml:space="preserve">גמול יעוץ </v>
      </c>
      <c r="O756" s="27"/>
      <c r="P756" s="27"/>
      <c r="Q756" s="27"/>
      <c r="R756" s="27"/>
      <c r="S756" s="27"/>
      <c r="T756" s="27"/>
      <c r="U756" s="27"/>
      <c r="V756" s="27" t="s">
        <v>412</v>
      </c>
      <c r="W756" s="27"/>
      <c r="X756" s="27"/>
      <c r="Y756" s="27"/>
      <c r="Z756" s="27"/>
      <c r="AA756" s="27"/>
      <c r="AB756" s="27"/>
      <c r="AC756" s="27"/>
      <c r="AD756" s="27"/>
      <c r="AE756" s="27"/>
      <c r="AF756" s="27"/>
      <c r="AG756" s="27">
        <f>IF(AF707=AC754,0.21%,0)</f>
        <v>0</v>
      </c>
      <c r="AH756" s="27"/>
      <c r="AI756" s="27"/>
      <c r="AJ756" s="27" t="e">
        <f>IF(G971-'[1]נתוני מס'!J42&lt;0,0,G971-'[1]נתוני מס'!J42)</f>
        <v>#REF!</v>
      </c>
      <c r="AK756" s="27"/>
      <c r="AL756" s="27"/>
      <c r="AM756" s="27"/>
      <c r="AN756" s="27" t="s">
        <v>413</v>
      </c>
      <c r="AO756" s="27" t="s">
        <v>414</v>
      </c>
      <c r="AP756" s="27"/>
      <c r="AQ756" s="27"/>
      <c r="AR756" s="27"/>
      <c r="AS756" s="27"/>
      <c r="AT756" s="27"/>
      <c r="AU756" s="27"/>
      <c r="AV756" s="27"/>
      <c r="AW756" s="27"/>
      <c r="AX756" s="27" t="s">
        <v>415</v>
      </c>
      <c r="AY756" s="27"/>
      <c r="AZ756" s="27"/>
      <c r="BA756" s="27" t="e">
        <f>E947*G960</f>
        <v>#REF!</v>
      </c>
      <c r="BB756" s="27"/>
      <c r="BC756" s="27"/>
      <c r="BD756" s="27"/>
      <c r="BE756" s="27"/>
      <c r="BF756" s="27"/>
      <c r="BG756" s="27"/>
      <c r="BH756" s="27"/>
      <c r="BI756" s="27"/>
      <c r="BJ756" s="27"/>
      <c r="BK756" s="27"/>
      <c r="BL756" s="27"/>
      <c r="BM756" s="27"/>
      <c r="BN756" s="27"/>
      <c r="BO756" s="27"/>
      <c r="BP756" s="27"/>
      <c r="BQ756" s="27"/>
      <c r="BR756" s="27"/>
      <c r="BS756" s="27"/>
      <c r="BT756" s="27"/>
      <c r="BU756" s="27">
        <v>13</v>
      </c>
      <c r="BV756" s="27">
        <v>0.02</v>
      </c>
      <c r="BW756" s="27">
        <v>5079.13</v>
      </c>
      <c r="BX756" s="27">
        <v>4798.2700000000004</v>
      </c>
      <c r="BY756" s="27">
        <v>4478.37</v>
      </c>
      <c r="BZ756" s="27">
        <v>4279.4399999999996</v>
      </c>
      <c r="CA756" s="27">
        <v>3901.02</v>
      </c>
      <c r="CB756" s="27">
        <v>3901.02</v>
      </c>
      <c r="CC756" s="27">
        <v>3393.86</v>
      </c>
      <c r="CD756" s="27">
        <v>3179.3</v>
      </c>
      <c r="CE756" s="27">
        <v>3101.27</v>
      </c>
      <c r="CF756" s="27">
        <v>3003.76</v>
      </c>
      <c r="CG756" s="27">
        <v>4279.4399999999996</v>
      </c>
      <c r="CH756" s="27">
        <v>3979.07</v>
      </c>
      <c r="CI756" s="27">
        <v>3393.86</v>
      </c>
      <c r="CJ756" s="27">
        <v>4189.72</v>
      </c>
      <c r="CK756" s="27">
        <v>4279.4399999999996</v>
      </c>
      <c r="CL756" s="27"/>
      <c r="CM756" s="27"/>
      <c r="CN756" s="27"/>
      <c r="CO756" s="27"/>
      <c r="CP756" s="27"/>
      <c r="CQ756" s="27"/>
      <c r="CR756" s="27"/>
      <c r="CS756" s="27"/>
      <c r="CT756" s="27"/>
      <c r="CU756" s="27"/>
      <c r="CV756" s="27"/>
      <c r="CW756" s="27"/>
      <c r="CX756" s="27"/>
      <c r="CY756" s="27"/>
      <c r="CZ756" s="27"/>
      <c r="DA756" s="27"/>
      <c r="DB756" s="27"/>
      <c r="DC756" s="27"/>
      <c r="DD756" s="27"/>
      <c r="DE756" s="27"/>
      <c r="DF756" s="27"/>
      <c r="DG756" s="27"/>
      <c r="DH756" s="27"/>
      <c r="DI756" s="27"/>
      <c r="DJ756" s="27"/>
      <c r="DK756" s="27"/>
      <c r="DL756" s="27"/>
      <c r="DM756" s="27"/>
      <c r="DN756" s="27"/>
      <c r="DO756" s="27"/>
      <c r="DP756" s="27"/>
      <c r="DQ756" s="27"/>
      <c r="DR756" s="27"/>
      <c r="DS756" s="27"/>
      <c r="DT756" s="27"/>
    </row>
    <row r="757" spans="7:124" x14ac:dyDescent="0.2">
      <c r="G757" s="27"/>
      <c r="H757" s="27"/>
      <c r="I757" s="27"/>
      <c r="J757" s="27"/>
      <c r="K757" s="27"/>
      <c r="L757" s="27"/>
      <c r="M757" s="27">
        <f>SUM(M747:M750)*BB778</f>
        <v>0</v>
      </c>
      <c r="N757" s="27" t="str">
        <f>K794</f>
        <v>גמול ניהול /סגנות/גננות</v>
      </c>
      <c r="O757" s="27"/>
      <c r="P757" s="27"/>
      <c r="Q757" s="27" t="s">
        <v>59</v>
      </c>
      <c r="R757" s="27"/>
      <c r="S757" s="27" t="e">
        <f>(1-#REF!/#REF!)*#REF!</f>
        <v>#REF!</v>
      </c>
      <c r="T757" s="27"/>
      <c r="U757" s="27" t="s">
        <v>417</v>
      </c>
      <c r="V757" s="27"/>
      <c r="W757" s="27"/>
      <c r="X757" s="27"/>
      <c r="Y757" s="27"/>
      <c r="Z757" s="27"/>
      <c r="AA757" s="27" t="s">
        <v>418</v>
      </c>
      <c r="AB757" s="27">
        <f>'[1]נתוני מס'!I15</f>
        <v>11650</v>
      </c>
      <c r="AC757" s="27"/>
      <c r="AD757" s="27"/>
      <c r="AE757" s="27"/>
      <c r="AF757" s="27"/>
      <c r="AG757" s="27"/>
      <c r="AH757" s="27"/>
      <c r="AI757" s="27"/>
      <c r="AJ757" s="27"/>
      <c r="AK757" s="27"/>
      <c r="AL757" s="27"/>
      <c r="AM757" s="27"/>
      <c r="AN757" s="27"/>
      <c r="AO757" s="27"/>
      <c r="AP757" s="27"/>
      <c r="AQ757" s="27"/>
      <c r="AR757" s="27"/>
      <c r="AS757" s="27"/>
      <c r="AT757" s="27"/>
      <c r="AU757" s="27"/>
      <c r="AV757" s="27"/>
      <c r="AW757" s="27"/>
      <c r="AX757" s="27" t="s">
        <v>386</v>
      </c>
      <c r="AY757" s="27"/>
      <c r="AZ757" s="27"/>
      <c r="BA757" s="27" t="e">
        <f ca="1">IF(BA755-BA756&lt;0,0,BA755-BA756)</f>
        <v>#REF!</v>
      </c>
      <c r="BB757" s="27"/>
      <c r="BC757" s="27"/>
      <c r="BD757" s="27"/>
      <c r="BE757" s="27"/>
      <c r="BF757" s="27"/>
      <c r="BG757" s="27"/>
      <c r="BH757" s="27"/>
      <c r="BI757" s="27"/>
      <c r="BJ757" s="27"/>
      <c r="BK757" s="27"/>
      <c r="BL757" s="27"/>
      <c r="BM757" s="27"/>
      <c r="BN757" s="27"/>
      <c r="BO757" s="27"/>
      <c r="BP757" s="27"/>
      <c r="BQ757" s="27"/>
      <c r="BR757" s="27"/>
      <c r="BS757" s="27"/>
      <c r="BT757" s="27"/>
      <c r="BU757" s="27"/>
      <c r="BV757" s="27"/>
      <c r="BW757" s="27"/>
      <c r="BX757" s="27"/>
      <c r="BY757" s="27"/>
      <c r="BZ757" s="27"/>
      <c r="CA757" s="27"/>
      <c r="CB757" s="27"/>
      <c r="CC757" s="27"/>
      <c r="CD757" s="27"/>
      <c r="CE757" s="27"/>
      <c r="CF757" s="27"/>
      <c r="CG757" s="27"/>
      <c r="CH757" s="27"/>
      <c r="CI757" s="27"/>
      <c r="CJ757" s="27"/>
      <c r="CK757" s="27"/>
      <c r="CL757" s="27"/>
      <c r="CM757" s="27"/>
      <c r="CN757" s="27"/>
      <c r="CO757" s="27"/>
      <c r="CP757" s="27"/>
      <c r="CQ757" s="27"/>
      <c r="CR757" s="27"/>
      <c r="CS757" s="27"/>
      <c r="CT757" s="27"/>
      <c r="CU757" s="27"/>
      <c r="CV757" s="27"/>
      <c r="CW757" s="27"/>
      <c r="CX757" s="27"/>
      <c r="CY757" s="27"/>
      <c r="CZ757" s="27"/>
      <c r="DA757" s="27"/>
      <c r="DB757" s="27"/>
      <c r="DC757" s="27"/>
      <c r="DD757" s="27"/>
      <c r="DE757" s="27"/>
      <c r="DF757" s="27"/>
      <c r="DG757" s="27"/>
      <c r="DH757" s="27"/>
      <c r="DI757" s="27"/>
      <c r="DJ757" s="27"/>
      <c r="DK757" s="27"/>
      <c r="DL757" s="27"/>
      <c r="DM757" s="27"/>
      <c r="DN757" s="27"/>
      <c r="DO757" s="27"/>
      <c r="DP757" s="27"/>
      <c r="DQ757" s="27"/>
      <c r="DR757" s="27"/>
      <c r="DS757" s="27"/>
      <c r="DT757" s="27"/>
    </row>
    <row r="758" spans="7:124" x14ac:dyDescent="0.2">
      <c r="G758" s="27"/>
      <c r="H758" s="27"/>
      <c r="I758" s="27"/>
      <c r="J758" s="27"/>
      <c r="K758" s="27"/>
      <c r="L758" s="27"/>
      <c r="M758" s="27">
        <f>AW722*M757</f>
        <v>0</v>
      </c>
      <c r="N758" s="27" t="str">
        <f>K795</f>
        <v>ותק בניהול למנהל ולסגנו/גננת</v>
      </c>
      <c r="O758" s="27"/>
      <c r="P758" s="27"/>
      <c r="Q758" s="27"/>
      <c r="R758" s="27"/>
      <c r="S758" s="27" t="e">
        <f>IF(E947&lt;AB757,E947,AB757)</f>
        <v>#REF!</v>
      </c>
      <c r="T758" s="27"/>
      <c r="U758" s="27"/>
      <c r="V758" s="27" t="s">
        <v>419</v>
      </c>
      <c r="W758" s="27" t="e">
        <f ca="1">E947+(E963+E964+E965)/12</f>
        <v>#REF!</v>
      </c>
      <c r="X758" s="27"/>
      <c r="Y758" s="27"/>
      <c r="Z758" s="27"/>
      <c r="AA758" s="27"/>
      <c r="AB758" s="27" t="s">
        <v>59</v>
      </c>
      <c r="AC758" s="27"/>
      <c r="AD758" s="27"/>
      <c r="AE758" s="27"/>
      <c r="AF758" s="27"/>
      <c r="AG758" s="27"/>
      <c r="AH758" s="27"/>
      <c r="AI758" s="27"/>
      <c r="AJ758" s="27"/>
      <c r="AK758" s="27"/>
      <c r="AL758" s="27"/>
      <c r="AM758" s="27"/>
      <c r="AN758" s="27">
        <v>24</v>
      </c>
      <c r="AO758" s="27">
        <v>45</v>
      </c>
      <c r="AP758" s="27"/>
      <c r="AQ758" s="27"/>
      <c r="AR758" s="27"/>
      <c r="AS758" s="27"/>
      <c r="AT758" s="27"/>
      <c r="AU758" s="27"/>
      <c r="AV758" s="27"/>
      <c r="AW758" s="27"/>
      <c r="AX758" s="27"/>
      <c r="AY758" s="27"/>
      <c r="AZ758" s="27"/>
      <c r="BA758" s="27" t="e">
        <f ca="1">BA757*12*BA761</f>
        <v>#REF!</v>
      </c>
      <c r="BB758" s="27"/>
      <c r="BC758" s="27"/>
      <c r="BD758" s="27"/>
      <c r="BE758" s="27"/>
      <c r="BF758" s="27"/>
      <c r="BG758" s="27"/>
      <c r="BH758" s="27"/>
      <c r="BI758" s="27"/>
      <c r="BJ758" s="27"/>
      <c r="BK758" s="27"/>
      <c r="BL758" s="27"/>
      <c r="BM758" s="27"/>
      <c r="BN758" s="27"/>
      <c r="BO758" s="27"/>
      <c r="BP758" s="27"/>
      <c r="BQ758" s="27"/>
      <c r="BR758" s="27"/>
      <c r="BS758" s="27"/>
      <c r="BT758" s="27"/>
      <c r="BU758" s="27">
        <v>14</v>
      </c>
      <c r="BV758" s="27">
        <v>0.02</v>
      </c>
      <c r="BW758" s="27">
        <v>5180.71</v>
      </c>
      <c r="BX758" s="27">
        <v>4894.2299999999996</v>
      </c>
      <c r="BY758" s="27">
        <v>4567.93</v>
      </c>
      <c r="BZ758" s="27">
        <v>4365.0200000000004</v>
      </c>
      <c r="CA758" s="27">
        <v>3979.04</v>
      </c>
      <c r="CB758" s="27">
        <v>3979.04</v>
      </c>
      <c r="CC758" s="27">
        <v>3461.73</v>
      </c>
      <c r="CD758" s="27">
        <v>3242.88</v>
      </c>
      <c r="CE758" s="27">
        <v>3163.29</v>
      </c>
      <c r="CF758" s="27">
        <v>3063.83</v>
      </c>
      <c r="CG758" s="27">
        <v>4365.0200000000004</v>
      </c>
      <c r="CH758" s="27">
        <v>4058.65</v>
      </c>
      <c r="CI758" s="27">
        <v>3461.73</v>
      </c>
      <c r="CJ758" s="27">
        <v>4273.51</v>
      </c>
      <c r="CK758" s="27">
        <v>4365.0200000000004</v>
      </c>
      <c r="CL758" s="27"/>
      <c r="CM758" s="27"/>
      <c r="CN758" s="27"/>
      <c r="CO758" s="27"/>
      <c r="CP758" s="27"/>
      <c r="CQ758" s="27"/>
      <c r="CR758" s="27"/>
      <c r="CS758" s="27"/>
      <c r="CT758" s="27"/>
      <c r="CU758" s="27"/>
      <c r="CV758" s="27"/>
      <c r="CW758" s="27"/>
      <c r="CX758" s="27"/>
      <c r="CY758" s="27"/>
      <c r="CZ758" s="27"/>
      <c r="DA758" s="27"/>
      <c r="DB758" s="27"/>
      <c r="DC758" s="27"/>
      <c r="DD758" s="27"/>
      <c r="DE758" s="27"/>
      <c r="DF758" s="27"/>
      <c r="DG758" s="27"/>
      <c r="DH758" s="27"/>
      <c r="DI758" s="27"/>
      <c r="DJ758" s="27"/>
      <c r="DK758" s="27"/>
      <c r="DL758" s="27"/>
      <c r="DM758" s="27"/>
      <c r="DN758" s="27"/>
      <c r="DO758" s="27"/>
      <c r="DP758" s="27"/>
      <c r="DQ758" s="27"/>
      <c r="DR758" s="27"/>
      <c r="DS758" s="27"/>
      <c r="DT758" s="27"/>
    </row>
    <row r="759" spans="7:124" x14ac:dyDescent="0.2">
      <c r="G759" s="27"/>
      <c r="H759" s="27"/>
      <c r="I759" s="27"/>
      <c r="J759" s="27"/>
      <c r="K759" s="27"/>
      <c r="L759" s="27"/>
      <c r="M759" s="27"/>
      <c r="N759" s="27"/>
      <c r="O759" s="27"/>
      <c r="P759" s="27"/>
      <c r="Q759" s="27" t="s">
        <v>59</v>
      </c>
      <c r="R759" s="27"/>
      <c r="S759" s="27" t="e">
        <f>S758*2</f>
        <v>#REF!</v>
      </c>
      <c r="T759" s="27"/>
      <c r="U759" s="27"/>
      <c r="V759" s="27" t="s">
        <v>421</v>
      </c>
      <c r="W759" s="27" t="e">
        <f ca="1">E947+(E964+E965)/12</f>
        <v>#REF!</v>
      </c>
      <c r="X759" s="27"/>
      <c r="Y759" s="27"/>
      <c r="Z759" s="27"/>
      <c r="AA759" s="27"/>
      <c r="AB759" s="27" t="s">
        <v>59</v>
      </c>
      <c r="AC759" s="27"/>
      <c r="AD759" s="27"/>
      <c r="AE759" s="27"/>
      <c r="AF759" s="27"/>
      <c r="AG759" s="27"/>
      <c r="AH759" s="27"/>
      <c r="AI759" s="27"/>
      <c r="AJ759" s="27"/>
      <c r="AK759" s="27"/>
      <c r="AL759" s="27"/>
      <c r="AM759" s="27"/>
      <c r="AN759" s="27" t="s">
        <v>422</v>
      </c>
      <c r="AO759" s="27" t="s">
        <v>423</v>
      </c>
      <c r="AP759" s="27"/>
      <c r="AQ759" s="27"/>
      <c r="AR759" s="27"/>
      <c r="AS759" s="27"/>
      <c r="AT759" s="27"/>
      <c r="AU759" s="27"/>
      <c r="AV759" s="27"/>
      <c r="AW759" s="27"/>
      <c r="AX759" s="27"/>
      <c r="AY759" s="27"/>
      <c r="AZ759" s="27"/>
      <c r="BA759" s="27"/>
      <c r="BB759" s="27"/>
      <c r="BC759" s="27"/>
      <c r="BD759" s="27"/>
      <c r="BE759" s="27"/>
      <c r="BF759" s="27"/>
      <c r="BG759" s="27"/>
      <c r="BH759" s="27"/>
      <c r="BI759" s="27"/>
      <c r="BJ759" s="27"/>
      <c r="BK759" s="27"/>
      <c r="BL759" s="27"/>
      <c r="BM759" s="27"/>
      <c r="BN759" s="27"/>
      <c r="BO759" s="27"/>
      <c r="BP759" s="27"/>
      <c r="BQ759" s="27"/>
      <c r="BR759" s="27"/>
      <c r="BS759" s="27"/>
      <c r="BT759" s="27"/>
      <c r="BU759" s="27"/>
      <c r="BV759" s="27"/>
      <c r="BW759" s="27"/>
      <c r="BX759" s="27"/>
      <c r="BY759" s="27"/>
      <c r="BZ759" s="27"/>
      <c r="CA759" s="27"/>
      <c r="CB759" s="27"/>
      <c r="CC759" s="27"/>
      <c r="CD759" s="27"/>
      <c r="CE759" s="27"/>
      <c r="CF759" s="27"/>
      <c r="CG759" s="27"/>
      <c r="CH759" s="27"/>
      <c r="CI759" s="27"/>
      <c r="CJ759" s="27"/>
      <c r="CK759" s="27"/>
      <c r="CL759" s="27"/>
      <c r="CM759" s="27"/>
      <c r="CN759" s="27"/>
      <c r="CO759" s="27"/>
      <c r="CP759" s="27"/>
      <c r="CQ759" s="27"/>
      <c r="CR759" s="27"/>
      <c r="CS759" s="27"/>
      <c r="CT759" s="27"/>
      <c r="CU759" s="27"/>
      <c r="CV759" s="27"/>
      <c r="CW759" s="27"/>
      <c r="CX759" s="27"/>
      <c r="CY759" s="27"/>
      <c r="CZ759" s="27"/>
      <c r="DA759" s="27"/>
      <c r="DB759" s="27"/>
      <c r="DC759" s="27"/>
      <c r="DD759" s="27"/>
      <c r="DE759" s="27"/>
      <c r="DF759" s="27"/>
      <c r="DG759" s="27"/>
      <c r="DH759" s="27"/>
      <c r="DI759" s="27"/>
      <c r="DJ759" s="27"/>
      <c r="DK759" s="27"/>
      <c r="DL759" s="27"/>
      <c r="DM759" s="27"/>
      <c r="DN759" s="27"/>
      <c r="DO759" s="27"/>
      <c r="DP759" s="27"/>
      <c r="DQ759" s="27"/>
      <c r="DR759" s="27"/>
      <c r="DS759" s="27"/>
      <c r="DT759" s="27"/>
    </row>
    <row r="760" spans="7:124" x14ac:dyDescent="0.2">
      <c r="G760" s="27"/>
      <c r="H760" s="27"/>
      <c r="I760" s="27"/>
      <c r="J760" s="27"/>
      <c r="K760" s="27"/>
      <c r="L760" s="27"/>
      <c r="M760" s="27"/>
      <c r="N760" s="27"/>
      <c r="O760" s="27"/>
      <c r="P760" s="27"/>
      <c r="Q760" s="27"/>
      <c r="R760" s="27"/>
      <c r="S760" s="27"/>
      <c r="T760" s="27"/>
      <c r="U760" s="27"/>
      <c r="V760" s="27" t="s">
        <v>424</v>
      </c>
      <c r="W760" s="27" t="e">
        <f>E947</f>
        <v>#REF!</v>
      </c>
      <c r="X760" s="27"/>
      <c r="Y760" s="27"/>
      <c r="Z760" s="27"/>
      <c r="AA760" s="27"/>
      <c r="AB760" s="27" t="s">
        <v>59</v>
      </c>
      <c r="AC760" s="27"/>
      <c r="AD760" s="27"/>
      <c r="AE760" s="27"/>
      <c r="AF760" s="27"/>
      <c r="AG760" s="27"/>
      <c r="AH760" s="27"/>
      <c r="AI760" s="27"/>
      <c r="AJ760" s="27"/>
      <c r="AK760" s="27"/>
      <c r="AL760" s="27"/>
      <c r="AM760" s="27"/>
      <c r="AN760" s="27">
        <v>25</v>
      </c>
      <c r="AO760" s="27">
        <v>46</v>
      </c>
      <c r="AP760" s="27"/>
      <c r="AQ760" s="27"/>
      <c r="AR760" s="27"/>
      <c r="AS760" s="27"/>
      <c r="AT760" s="27"/>
      <c r="AU760" s="27"/>
      <c r="AV760" s="27"/>
      <c r="AW760" s="27"/>
      <c r="AX760" s="27"/>
      <c r="AY760" s="27"/>
      <c r="AZ760" s="27" t="str">
        <f>AL724</f>
        <v>אשה נשואה</v>
      </c>
      <c r="BA760" s="27">
        <f>F927</f>
        <v>52.87</v>
      </c>
      <c r="BB760" s="27"/>
      <c r="BC760" s="27"/>
      <c r="BD760" s="27"/>
      <c r="BE760" s="27"/>
      <c r="BF760" s="27"/>
      <c r="BG760" s="27"/>
      <c r="BH760" s="27"/>
      <c r="BI760" s="27"/>
      <c r="BJ760" s="27"/>
      <c r="BK760" s="27"/>
      <c r="BL760" s="27"/>
      <c r="BM760" s="27"/>
      <c r="BN760" s="27"/>
      <c r="BO760" s="27"/>
      <c r="BP760" s="27"/>
      <c r="BQ760" s="27"/>
      <c r="BR760" s="27"/>
      <c r="BS760" s="27"/>
      <c r="BT760" s="27"/>
      <c r="BU760" s="27">
        <v>15</v>
      </c>
      <c r="BV760" s="27">
        <v>0.02</v>
      </c>
      <c r="BW760" s="27">
        <v>5284.32</v>
      </c>
      <c r="BX760" s="27">
        <v>4992.1099999999997</v>
      </c>
      <c r="BY760" s="27">
        <v>4659.28</v>
      </c>
      <c r="BZ760" s="27">
        <v>4452.32</v>
      </c>
      <c r="CA760" s="27">
        <v>4058.62</v>
      </c>
      <c r="CB760" s="27">
        <v>4058.62</v>
      </c>
      <c r="CC760" s="27">
        <v>3530.96</v>
      </c>
      <c r="CD760" s="27">
        <v>3307.73</v>
      </c>
      <c r="CE760" s="27">
        <v>3226.55</v>
      </c>
      <c r="CF760" s="27">
        <v>3125.1</v>
      </c>
      <c r="CG760" s="27">
        <v>4452.32</v>
      </c>
      <c r="CH760" s="27">
        <v>4139.82</v>
      </c>
      <c r="CI760" s="27">
        <v>3530.96</v>
      </c>
      <c r="CJ760" s="27">
        <v>4358.9799999999996</v>
      </c>
      <c r="CK760" s="27">
        <v>4452.32</v>
      </c>
      <c r="CL760" s="27"/>
      <c r="CM760" s="27"/>
      <c r="CN760" s="27"/>
      <c r="CO760" s="27"/>
      <c r="CP760" s="27"/>
      <c r="CQ760" s="27"/>
      <c r="CR760" s="27"/>
      <c r="CS760" s="27"/>
      <c r="CT760" s="27"/>
      <c r="CU760" s="27"/>
      <c r="CV760" s="27"/>
      <c r="CW760" s="27"/>
      <c r="CX760" s="27"/>
      <c r="CY760" s="27"/>
      <c r="CZ760" s="27"/>
      <c r="DA760" s="27"/>
      <c r="DB760" s="27"/>
      <c r="DC760" s="27"/>
      <c r="DD760" s="27"/>
      <c r="DE760" s="27"/>
      <c r="DF760" s="27"/>
      <c r="DG760" s="27"/>
      <c r="DH760" s="27"/>
      <c r="DI760" s="27"/>
      <c r="DJ760" s="27"/>
      <c r="DK760" s="27"/>
      <c r="DL760" s="27"/>
      <c r="DM760" s="27"/>
      <c r="DN760" s="27"/>
      <c r="DO760" s="27"/>
      <c r="DP760" s="27"/>
      <c r="DQ760" s="27"/>
      <c r="DR760" s="27"/>
      <c r="DS760" s="27"/>
      <c r="DT760" s="27"/>
    </row>
    <row r="761" spans="7:124" x14ac:dyDescent="0.2">
      <c r="G761" s="27"/>
      <c r="H761" s="27"/>
      <c r="I761" s="27"/>
      <c r="J761" s="27"/>
      <c r="K761" s="27"/>
      <c r="L761" s="27"/>
      <c r="M761" s="27"/>
      <c r="N761" s="27"/>
      <c r="O761" s="27"/>
      <c r="P761" s="27"/>
      <c r="Q761" s="27"/>
      <c r="R761" s="27"/>
      <c r="S761" s="27"/>
      <c r="T761" s="27"/>
      <c r="U761" s="27"/>
      <c r="V761" s="27" t="s">
        <v>59</v>
      </c>
      <c r="W761" s="27"/>
      <c r="X761" s="27"/>
      <c r="Y761" s="27"/>
      <c r="Z761" s="27"/>
      <c r="AA761" s="27"/>
      <c r="AB761" s="27" t="s">
        <v>59</v>
      </c>
      <c r="AC761" s="27"/>
      <c r="AD761" s="27"/>
      <c r="AE761" s="27"/>
      <c r="AF761" s="27"/>
      <c r="AG761" s="27"/>
      <c r="AH761" s="27"/>
      <c r="AI761" s="27"/>
      <c r="AJ761" s="27"/>
      <c r="AK761" s="27"/>
      <c r="AL761" s="27"/>
      <c r="AM761" s="27"/>
      <c r="AN761" s="27" t="s">
        <v>425</v>
      </c>
      <c r="AO761" s="27" t="s">
        <v>426</v>
      </c>
      <c r="AP761" s="27"/>
      <c r="AQ761" s="27"/>
      <c r="AR761" s="27"/>
      <c r="AS761" s="27"/>
      <c r="AT761" s="27"/>
      <c r="AU761" s="27"/>
      <c r="AV761" s="27"/>
      <c r="AW761" s="27"/>
      <c r="AX761" s="27"/>
      <c r="AY761" s="27"/>
      <c r="AZ761" s="27" t="s">
        <v>427</v>
      </c>
      <c r="BA761" s="27">
        <v>0</v>
      </c>
      <c r="BB761" s="27"/>
      <c r="BC761" s="27"/>
      <c r="BD761" s="27"/>
      <c r="BE761" s="27"/>
      <c r="BF761" s="27"/>
      <c r="BG761" s="27"/>
      <c r="BH761" s="27"/>
      <c r="BI761" s="27"/>
      <c r="BJ761" s="27"/>
      <c r="BK761" s="27"/>
      <c r="BL761" s="27"/>
      <c r="BM761" s="27"/>
      <c r="BN761" s="27"/>
      <c r="BO761" s="27"/>
      <c r="BP761" s="27"/>
      <c r="BQ761" s="27"/>
      <c r="BR761" s="27"/>
      <c r="BS761" s="27"/>
      <c r="BT761" s="27"/>
      <c r="BU761" s="27"/>
      <c r="BV761" s="27"/>
      <c r="BW761" s="27"/>
      <c r="BX761" s="27"/>
      <c r="BY761" s="27"/>
      <c r="BZ761" s="27"/>
      <c r="CA761" s="27"/>
      <c r="CB761" s="27"/>
      <c r="CC761" s="27"/>
      <c r="CD761" s="27"/>
      <c r="CE761" s="27"/>
      <c r="CF761" s="27"/>
      <c r="CG761" s="27"/>
      <c r="CH761" s="27"/>
      <c r="CI761" s="27"/>
      <c r="CJ761" s="27"/>
      <c r="CK761" s="27"/>
      <c r="CL761" s="27"/>
      <c r="CM761" s="27"/>
      <c r="CN761" s="27"/>
      <c r="CO761" s="27"/>
      <c r="CP761" s="27"/>
      <c r="CQ761" s="27"/>
      <c r="CR761" s="27"/>
      <c r="CS761" s="27"/>
      <c r="CT761" s="27"/>
      <c r="CU761" s="27"/>
      <c r="CV761" s="27"/>
      <c r="CW761" s="27"/>
      <c r="CX761" s="27"/>
      <c r="CY761" s="27"/>
      <c r="CZ761" s="27"/>
      <c r="DA761" s="27"/>
      <c r="DB761" s="27"/>
      <c r="DC761" s="27"/>
      <c r="DD761" s="27"/>
      <c r="DE761" s="27"/>
      <c r="DF761" s="27"/>
      <c r="DG761" s="27"/>
      <c r="DH761" s="27"/>
      <c r="DI761" s="27"/>
      <c r="DJ761" s="27"/>
      <c r="DK761" s="27"/>
      <c r="DL761" s="27"/>
      <c r="DM761" s="27"/>
      <c r="DN761" s="27"/>
      <c r="DO761" s="27"/>
      <c r="DP761" s="27"/>
      <c r="DQ761" s="27"/>
      <c r="DR761" s="27"/>
      <c r="DS761" s="27"/>
      <c r="DT761" s="27"/>
    </row>
    <row r="762" spans="7:124" x14ac:dyDescent="0.2">
      <c r="G762" s="27"/>
      <c r="H762" s="27"/>
      <c r="I762" s="27"/>
      <c r="J762" s="27"/>
      <c r="K762" s="27"/>
      <c r="L762" s="27"/>
      <c r="M762" s="27"/>
      <c r="N762" s="27"/>
      <c r="O762" s="27"/>
      <c r="P762" s="27"/>
      <c r="Q762" s="27"/>
      <c r="R762" s="27"/>
      <c r="S762" s="27"/>
      <c r="T762" s="27"/>
      <c r="U762" s="27"/>
      <c r="V762" s="27"/>
      <c r="W762" s="27"/>
      <c r="X762" s="27"/>
      <c r="Y762" s="27"/>
      <c r="Z762" s="27"/>
      <c r="AA762" s="27"/>
      <c r="AB762" s="27"/>
      <c r="AC762" s="27"/>
      <c r="AD762" s="27"/>
      <c r="AE762" s="27"/>
      <c r="AF762" s="27"/>
      <c r="AG762" s="27"/>
      <c r="AH762" s="27"/>
      <c r="AI762" s="27"/>
      <c r="AJ762" s="27"/>
      <c r="AK762" s="27"/>
      <c r="AL762" s="27"/>
      <c r="AM762" s="27"/>
      <c r="AN762" s="27"/>
      <c r="AO762" s="27"/>
      <c r="AP762" s="27"/>
      <c r="AQ762" s="27"/>
      <c r="AR762" s="27"/>
      <c r="AS762" s="27"/>
      <c r="AT762" s="27"/>
      <c r="AU762" s="27"/>
      <c r="AV762" s="27"/>
      <c r="AW762" s="27"/>
      <c r="AX762" s="27"/>
      <c r="AY762" s="27"/>
      <c r="AZ762" s="27"/>
      <c r="BA762" s="27"/>
      <c r="BB762" s="27"/>
      <c r="BC762" s="27"/>
      <c r="BD762" s="27"/>
      <c r="BE762" s="27"/>
      <c r="BF762" s="27"/>
      <c r="BG762" s="27"/>
      <c r="BH762" s="27"/>
      <c r="BI762" s="27"/>
      <c r="BJ762" s="27"/>
      <c r="BK762" s="27"/>
      <c r="BL762" s="27"/>
      <c r="BM762" s="27"/>
      <c r="BN762" s="27"/>
      <c r="BO762" s="27"/>
      <c r="BP762" s="27"/>
      <c r="BQ762" s="27"/>
      <c r="BR762" s="27"/>
      <c r="BS762" s="27"/>
      <c r="BT762" s="27"/>
      <c r="BU762" s="27">
        <v>16</v>
      </c>
      <c r="BV762" s="27">
        <v>0.02</v>
      </c>
      <c r="BW762" s="27">
        <v>5390</v>
      </c>
      <c r="BX762" s="27">
        <v>5091.95</v>
      </c>
      <c r="BY762" s="27">
        <v>4752.46</v>
      </c>
      <c r="BZ762" s="27">
        <v>4541.3599999999997</v>
      </c>
      <c r="CA762" s="27">
        <v>4139.79</v>
      </c>
      <c r="CB762" s="27">
        <v>4139.79</v>
      </c>
      <c r="CC762" s="27">
        <v>3601.57</v>
      </c>
      <c r="CD762" s="27">
        <v>3373.88</v>
      </c>
      <c r="CE762" s="27">
        <v>3291.08</v>
      </c>
      <c r="CF762" s="27">
        <v>3187.6</v>
      </c>
      <c r="CG762" s="27">
        <v>4541.3599999999997</v>
      </c>
      <c r="CH762" s="27">
        <v>4222.6099999999997</v>
      </c>
      <c r="CI762" s="27">
        <v>3601.57</v>
      </c>
      <c r="CJ762" s="27">
        <v>4446.1499999999996</v>
      </c>
      <c r="CK762" s="27">
        <v>4541.3599999999997</v>
      </c>
      <c r="CL762" s="27"/>
      <c r="CM762" s="27"/>
      <c r="CN762" s="27"/>
      <c r="CO762" s="27"/>
      <c r="CP762" s="27"/>
      <c r="CQ762" s="27"/>
      <c r="CR762" s="27"/>
      <c r="CS762" s="27"/>
      <c r="CT762" s="27"/>
      <c r="CU762" s="27"/>
      <c r="CV762" s="27"/>
      <c r="CW762" s="27"/>
      <c r="CX762" s="27"/>
      <c r="CY762" s="27"/>
      <c r="CZ762" s="27"/>
      <c r="DA762" s="27"/>
      <c r="DB762" s="27"/>
      <c r="DC762" s="27"/>
      <c r="DD762" s="27"/>
      <c r="DE762" s="27"/>
      <c r="DF762" s="27"/>
      <c r="DG762" s="27"/>
      <c r="DH762" s="27"/>
      <c r="DI762" s="27"/>
      <c r="DJ762" s="27"/>
      <c r="DK762" s="27"/>
      <c r="DL762" s="27"/>
      <c r="DM762" s="27"/>
      <c r="DN762" s="27"/>
      <c r="DO762" s="27"/>
      <c r="DP762" s="27"/>
      <c r="DQ762" s="27"/>
      <c r="DR762" s="27"/>
      <c r="DS762" s="27"/>
      <c r="DT762" s="27"/>
    </row>
    <row r="763" spans="7:124" x14ac:dyDescent="0.2">
      <c r="G763" s="27"/>
      <c r="H763" s="27"/>
      <c r="I763" s="27"/>
      <c r="J763" s="27"/>
      <c r="K763" s="27"/>
      <c r="L763" s="27"/>
      <c r="M763" s="27"/>
      <c r="N763" s="27"/>
      <c r="O763" s="27"/>
      <c r="P763" s="27"/>
      <c r="Q763" s="27"/>
      <c r="R763" s="27"/>
      <c r="S763" s="27"/>
      <c r="T763" s="27"/>
      <c r="U763" s="27"/>
      <c r="V763" s="27" t="s">
        <v>430</v>
      </c>
      <c r="W763" s="27"/>
      <c r="X763" s="27" t="s">
        <v>424</v>
      </c>
      <c r="Y763" s="27"/>
      <c r="Z763" s="27"/>
      <c r="AA763" s="27"/>
      <c r="AB763" s="27"/>
      <c r="AC763" s="27"/>
      <c r="AD763" s="27"/>
      <c r="AE763" s="27"/>
      <c r="AF763" s="27"/>
      <c r="AG763" s="27"/>
      <c r="AH763" s="27"/>
      <c r="AI763" s="27"/>
      <c r="AJ763" s="27"/>
      <c r="AK763" s="27"/>
      <c r="AL763" s="27"/>
      <c r="AM763" s="27"/>
      <c r="AN763" s="27"/>
      <c r="AO763" s="27"/>
      <c r="AP763" s="27"/>
      <c r="AQ763" s="27"/>
      <c r="AR763" s="27"/>
      <c r="AS763" s="27"/>
      <c r="AT763" s="27"/>
      <c r="AU763" s="27"/>
      <c r="AV763" s="27"/>
      <c r="AW763" s="27"/>
      <c r="AX763" s="27"/>
      <c r="AY763" s="27"/>
      <c r="AZ763" s="27"/>
      <c r="BA763" s="27"/>
      <c r="BB763" s="27"/>
      <c r="BC763" s="27"/>
      <c r="BD763" s="27"/>
      <c r="BE763" s="27"/>
      <c r="BF763" s="27"/>
      <c r="BG763" s="27"/>
      <c r="BH763" s="27"/>
      <c r="BI763" s="27"/>
      <c r="BJ763" s="27"/>
      <c r="BK763" s="27"/>
      <c r="BL763" s="27"/>
      <c r="BM763" s="27"/>
      <c r="BN763" s="27"/>
      <c r="BO763" s="27"/>
      <c r="BP763" s="27"/>
      <c r="BQ763" s="27"/>
      <c r="BR763" s="27"/>
      <c r="BS763" s="27"/>
      <c r="BT763" s="27"/>
      <c r="BU763" s="27"/>
      <c r="BV763" s="27"/>
      <c r="BW763" s="27"/>
      <c r="BX763" s="27"/>
      <c r="BY763" s="27"/>
      <c r="BZ763" s="27"/>
      <c r="CA763" s="27"/>
      <c r="CB763" s="27"/>
      <c r="CC763" s="27"/>
      <c r="CD763" s="27"/>
      <c r="CE763" s="27"/>
      <c r="CF763" s="27"/>
      <c r="CG763" s="27"/>
      <c r="CH763" s="27"/>
      <c r="CI763" s="27"/>
      <c r="CJ763" s="27"/>
      <c r="CK763" s="27"/>
      <c r="CL763" s="27"/>
      <c r="CM763" s="27"/>
      <c r="CN763" s="27"/>
      <c r="CO763" s="27"/>
      <c r="CP763" s="27"/>
      <c r="CQ763" s="27"/>
      <c r="CR763" s="27"/>
      <c r="CS763" s="27"/>
      <c r="CT763" s="27"/>
      <c r="CU763" s="27"/>
      <c r="CV763" s="27"/>
      <c r="CW763" s="27"/>
      <c r="CX763" s="27"/>
      <c r="CY763" s="27"/>
      <c r="CZ763" s="27"/>
      <c r="DA763" s="27"/>
      <c r="DB763" s="27"/>
      <c r="DC763" s="27"/>
      <c r="DD763" s="27"/>
      <c r="DE763" s="27"/>
      <c r="DF763" s="27"/>
      <c r="DG763" s="27"/>
      <c r="DH763" s="27"/>
      <c r="DI763" s="27"/>
      <c r="DJ763" s="27"/>
      <c r="DK763" s="27"/>
      <c r="DL763" s="27"/>
      <c r="DM763" s="27"/>
      <c r="DN763" s="27"/>
      <c r="DO763" s="27"/>
      <c r="DP763" s="27"/>
      <c r="DQ763" s="27"/>
      <c r="DR763" s="27"/>
      <c r="DS763" s="27"/>
      <c r="DT763" s="27"/>
    </row>
    <row r="764" spans="7:124" x14ac:dyDescent="0.2">
      <c r="G764" s="27"/>
      <c r="H764" s="27"/>
      <c r="I764" s="27"/>
      <c r="J764" s="27"/>
      <c r="K764" s="27"/>
      <c r="L764" s="27"/>
      <c r="M764" s="27"/>
      <c r="N764" s="27"/>
      <c r="O764" s="27"/>
      <c r="P764" s="27"/>
      <c r="Q764" s="27"/>
      <c r="R764" s="27"/>
      <c r="S764" s="27"/>
      <c r="T764" s="27"/>
      <c r="U764" s="27"/>
      <c r="V764" s="27"/>
      <c r="W764" s="27"/>
      <c r="X764" s="27"/>
      <c r="Y764" s="27"/>
      <c r="Z764" s="27"/>
      <c r="AA764" s="27"/>
      <c r="AB764" s="27"/>
      <c r="AC764" s="27"/>
      <c r="AD764" s="27"/>
      <c r="AE764" s="27"/>
      <c r="AF764" s="27"/>
      <c r="AG764" s="27"/>
      <c r="AH764" s="27"/>
      <c r="AI764" s="27"/>
      <c r="AJ764" s="27"/>
      <c r="AK764" s="27"/>
      <c r="AL764" s="27"/>
      <c r="AM764" s="27"/>
      <c r="AN764" s="27"/>
      <c r="AO764" s="27"/>
      <c r="AP764" s="27"/>
      <c r="AQ764" s="27"/>
      <c r="AR764" s="27"/>
      <c r="AS764" s="27"/>
      <c r="AT764" s="27"/>
      <c r="AU764" s="27"/>
      <c r="AV764" s="27"/>
      <c r="AW764" s="27"/>
      <c r="AX764" s="27"/>
      <c r="AY764" s="27"/>
      <c r="AZ764" s="27"/>
      <c r="BA764" s="27"/>
      <c r="BB764" s="27"/>
      <c r="BC764" s="27"/>
      <c r="BD764" s="27"/>
      <c r="BE764" s="27"/>
      <c r="BF764" s="27"/>
      <c r="BG764" s="27"/>
      <c r="BH764" s="27"/>
      <c r="BI764" s="27"/>
      <c r="BJ764" s="27"/>
      <c r="BK764" s="27"/>
      <c r="BL764" s="27"/>
      <c r="BM764" s="27"/>
      <c r="BN764" s="27"/>
      <c r="BO764" s="27"/>
      <c r="BP764" s="27"/>
      <c r="BQ764" s="27"/>
      <c r="BR764" s="27"/>
      <c r="BS764" s="27"/>
      <c r="BT764" s="27"/>
      <c r="BU764" s="27">
        <v>17</v>
      </c>
      <c r="BV764" s="27">
        <v>0.02</v>
      </c>
      <c r="BW764" s="27">
        <v>5497.8</v>
      </c>
      <c r="BX764" s="27">
        <v>5193.78</v>
      </c>
      <c r="BY764" s="27">
        <v>4847.5</v>
      </c>
      <c r="BZ764" s="27">
        <v>4632.18</v>
      </c>
      <c r="CA764" s="27">
        <v>4222.58</v>
      </c>
      <c r="CB764" s="27">
        <v>4222.58</v>
      </c>
      <c r="CC764" s="27">
        <v>3673.6</v>
      </c>
      <c r="CD764" s="27">
        <v>3441.35</v>
      </c>
      <c r="CE764" s="27">
        <v>3356.9</v>
      </c>
      <c r="CF764" s="27">
        <v>3251.35</v>
      </c>
      <c r="CG764" s="27">
        <v>4632.18</v>
      </c>
      <c r="CH764" s="27">
        <v>4307.0600000000004</v>
      </c>
      <c r="CI764" s="27">
        <v>3673.6</v>
      </c>
      <c r="CJ764" s="27">
        <v>4535.07</v>
      </c>
      <c r="CK764" s="27">
        <v>4632.18</v>
      </c>
      <c r="CL764" s="27"/>
      <c r="CM764" s="27"/>
      <c r="CN764" s="27"/>
      <c r="CO764" s="27"/>
      <c r="CP764" s="27"/>
      <c r="CQ764" s="27"/>
      <c r="CR764" s="27"/>
      <c r="CS764" s="27"/>
      <c r="CT764" s="27"/>
      <c r="CU764" s="27"/>
      <c r="CV764" s="27"/>
      <c r="CW764" s="27"/>
      <c r="CX764" s="27"/>
      <c r="CY764" s="27"/>
      <c r="CZ764" s="27"/>
      <c r="DA764" s="27"/>
      <c r="DB764" s="27"/>
      <c r="DC764" s="27"/>
      <c r="DD764" s="27"/>
      <c r="DE764" s="27"/>
      <c r="DF764" s="27"/>
      <c r="DG764" s="27"/>
      <c r="DH764" s="27"/>
      <c r="DI764" s="27"/>
      <c r="DJ764" s="27"/>
      <c r="DK764" s="27"/>
      <c r="DL764" s="27"/>
      <c r="DM764" s="27"/>
      <c r="DN764" s="27"/>
      <c r="DO764" s="27"/>
      <c r="DP764" s="27"/>
      <c r="DQ764" s="27"/>
      <c r="DR764" s="27"/>
      <c r="DS764" s="27"/>
      <c r="DT764" s="27"/>
    </row>
    <row r="765" spans="7:124" x14ac:dyDescent="0.2">
      <c r="G765" s="27"/>
      <c r="H765" s="27"/>
      <c r="I765" s="27"/>
      <c r="J765" s="27"/>
      <c r="K765" s="27"/>
      <c r="L765" s="27"/>
      <c r="M765" s="27"/>
      <c r="N765" s="27"/>
      <c r="O765" s="27"/>
      <c r="P765" s="27"/>
      <c r="Q765" s="27"/>
      <c r="R765" s="27"/>
      <c r="S765" s="27"/>
      <c r="T765" s="27"/>
      <c r="U765" s="27"/>
      <c r="V765" s="27"/>
      <c r="W765" s="27"/>
      <c r="X765" s="27"/>
      <c r="Y765" s="27"/>
      <c r="Z765" s="27"/>
      <c r="AA765" s="27"/>
      <c r="AB765" s="27"/>
      <c r="AC765" s="27"/>
      <c r="AD765" s="27"/>
      <c r="AE765" s="27"/>
      <c r="AF765" s="27"/>
      <c r="AG765" s="27"/>
      <c r="AH765" s="27"/>
      <c r="AI765" s="27"/>
      <c r="AJ765" s="27"/>
      <c r="AK765" s="27"/>
      <c r="AL765" s="27"/>
      <c r="AM765" s="27"/>
      <c r="AN765" s="27"/>
      <c r="AO765" s="27"/>
      <c r="AP765" s="27"/>
      <c r="AQ765" s="27"/>
      <c r="AR765" s="27"/>
      <c r="AS765" s="27"/>
      <c r="AT765" s="27"/>
      <c r="AU765" s="27"/>
      <c r="AV765" s="27"/>
      <c r="AW765" s="27"/>
      <c r="AX765" s="27"/>
      <c r="AY765" s="27"/>
      <c r="AZ765" s="27"/>
      <c r="BA765" s="27"/>
      <c r="BB765" s="27"/>
      <c r="BC765" s="27"/>
      <c r="BD765" s="27"/>
      <c r="BE765" s="27"/>
      <c r="BF765" s="27"/>
      <c r="BG765" s="27"/>
      <c r="BH765" s="27"/>
      <c r="BI765" s="27"/>
      <c r="BJ765" s="27"/>
      <c r="BK765" s="27"/>
      <c r="BL765" s="27"/>
      <c r="BM765" s="27"/>
      <c r="BN765" s="27"/>
      <c r="BO765" s="27"/>
      <c r="BP765" s="27"/>
      <c r="BQ765" s="27"/>
      <c r="BR765" s="27"/>
      <c r="BS765" s="27"/>
      <c r="BT765" s="27"/>
      <c r="BU765" s="27"/>
      <c r="BV765" s="27"/>
      <c r="BW765" s="27"/>
      <c r="BX765" s="27"/>
      <c r="BY765" s="27"/>
      <c r="BZ765" s="27"/>
      <c r="CA765" s="27"/>
      <c r="CB765" s="27"/>
      <c r="CC765" s="27"/>
      <c r="CD765" s="27"/>
      <c r="CE765" s="27"/>
      <c r="CF765" s="27"/>
      <c r="CG765" s="27"/>
      <c r="CH765" s="27"/>
      <c r="CI765" s="27"/>
      <c r="CJ765" s="27"/>
      <c r="CK765" s="27"/>
      <c r="CL765" s="27"/>
      <c r="CM765" s="27"/>
      <c r="CN765" s="27"/>
      <c r="CO765" s="27"/>
      <c r="CP765" s="27"/>
      <c r="CQ765" s="27"/>
      <c r="CR765" s="27"/>
      <c r="CS765" s="27"/>
      <c r="CT765" s="27"/>
      <c r="CU765" s="27"/>
      <c r="CV765" s="27"/>
      <c r="CW765" s="27"/>
      <c r="CX765" s="27"/>
      <c r="CY765" s="27"/>
      <c r="CZ765" s="27"/>
      <c r="DA765" s="27"/>
      <c r="DB765" s="27"/>
      <c r="DC765" s="27"/>
      <c r="DD765" s="27"/>
      <c r="DE765" s="27"/>
      <c r="DF765" s="27"/>
      <c r="DG765" s="27"/>
      <c r="DH765" s="27"/>
      <c r="DI765" s="27"/>
      <c r="DJ765" s="27"/>
      <c r="DK765" s="27"/>
      <c r="DL765" s="27"/>
      <c r="DM765" s="27"/>
      <c r="DN765" s="27"/>
      <c r="DO765" s="27"/>
      <c r="DP765" s="27"/>
      <c r="DQ765" s="27"/>
      <c r="DR765" s="27"/>
      <c r="DS765" s="27"/>
      <c r="DT765" s="27"/>
    </row>
    <row r="766" spans="7:124" x14ac:dyDescent="0.2">
      <c r="G766" s="27"/>
      <c r="H766" s="27"/>
      <c r="I766" s="27"/>
      <c r="J766" s="27"/>
      <c r="K766" s="27"/>
      <c r="L766" s="27"/>
      <c r="M766" s="27">
        <f>W719*M747</f>
        <v>0</v>
      </c>
      <c r="N766" s="27" t="str">
        <f>K803</f>
        <v>ותק הדרכה לגמול פיקוח/הדרכה</v>
      </c>
      <c r="O766" s="27"/>
      <c r="P766" s="27"/>
      <c r="Q766" s="27"/>
      <c r="R766" s="27"/>
      <c r="S766" s="27"/>
      <c r="T766" s="27"/>
      <c r="U766" s="27"/>
      <c r="V766" s="27"/>
      <c r="W766" s="27"/>
      <c r="X766" s="27"/>
      <c r="Y766" s="27"/>
      <c r="Z766" s="27"/>
      <c r="AA766" s="27"/>
      <c r="AB766" s="27"/>
      <c r="AC766" s="27"/>
      <c r="AD766" s="27"/>
      <c r="AE766" s="27"/>
      <c r="AF766" s="27"/>
      <c r="AG766" s="27"/>
      <c r="AH766" s="27"/>
      <c r="AI766" s="27"/>
      <c r="AJ766" s="27"/>
      <c r="AK766" s="27"/>
      <c r="AL766" s="27"/>
      <c r="AM766" s="27"/>
      <c r="AN766" s="27"/>
      <c r="AO766" s="27"/>
      <c r="AP766" s="27"/>
      <c r="AQ766" s="27"/>
      <c r="AR766" s="27"/>
      <c r="AS766" s="27"/>
      <c r="AT766" s="27"/>
      <c r="AU766" s="27"/>
      <c r="AV766" s="27"/>
      <c r="AW766" s="27"/>
      <c r="AX766" s="27"/>
      <c r="AY766" s="27"/>
      <c r="AZ766" s="27"/>
      <c r="BA766" s="27"/>
      <c r="BB766" s="27"/>
      <c r="BC766" s="27"/>
      <c r="BD766" s="27"/>
      <c r="BE766" s="27"/>
      <c r="BF766" s="27"/>
      <c r="BG766" s="27"/>
      <c r="BH766" s="27"/>
      <c r="BI766" s="27"/>
      <c r="BJ766" s="27"/>
      <c r="BK766" s="27"/>
      <c r="BL766" s="27"/>
      <c r="BM766" s="27"/>
      <c r="BN766" s="27"/>
      <c r="BO766" s="27"/>
      <c r="BP766" s="27"/>
      <c r="BQ766" s="27"/>
      <c r="BR766" s="27"/>
      <c r="BS766" s="27"/>
      <c r="BT766" s="27"/>
      <c r="BU766" s="27">
        <v>18</v>
      </c>
      <c r="BV766" s="27">
        <v>0.02</v>
      </c>
      <c r="BW766" s="27">
        <v>5607.75</v>
      </c>
      <c r="BX766" s="27">
        <v>5297.65</v>
      </c>
      <c r="BY766" s="27">
        <v>4944.45</v>
      </c>
      <c r="BZ766" s="27">
        <v>4724.82</v>
      </c>
      <c r="CA766" s="27">
        <v>4307.03</v>
      </c>
      <c r="CB766" s="27">
        <v>4307.03</v>
      </c>
      <c r="CC766" s="27">
        <v>3747.07</v>
      </c>
      <c r="CD766" s="27">
        <v>3510.17</v>
      </c>
      <c r="CE766" s="27">
        <v>3424.03</v>
      </c>
      <c r="CF766" s="27">
        <v>3316.37</v>
      </c>
      <c r="CG766" s="27">
        <v>4724.82</v>
      </c>
      <c r="CH766" s="27">
        <v>4393.2</v>
      </c>
      <c r="CI766" s="27">
        <v>3747.07</v>
      </c>
      <c r="CJ766" s="27">
        <v>4625.7700000000004</v>
      </c>
      <c r="CK766" s="27">
        <v>4724.82</v>
      </c>
      <c r="CL766" s="27"/>
      <c r="CM766" s="27"/>
      <c r="CN766" s="27"/>
      <c r="CO766" s="27"/>
      <c r="CP766" s="27"/>
      <c r="CQ766" s="27"/>
      <c r="CR766" s="27"/>
      <c r="CS766" s="27"/>
      <c r="CT766" s="27"/>
      <c r="CU766" s="27"/>
      <c r="CV766" s="27"/>
      <c r="CW766" s="27"/>
      <c r="CX766" s="27"/>
      <c r="CY766" s="27"/>
      <c r="CZ766" s="27"/>
      <c r="DA766" s="27"/>
      <c r="DB766" s="27"/>
      <c r="DC766" s="27"/>
      <c r="DD766" s="27"/>
      <c r="DE766" s="27"/>
      <c r="DF766" s="27"/>
      <c r="DG766" s="27"/>
      <c r="DH766" s="27"/>
      <c r="DI766" s="27"/>
      <c r="DJ766" s="27"/>
      <c r="DK766" s="27"/>
      <c r="DL766" s="27"/>
      <c r="DM766" s="27"/>
      <c r="DN766" s="27"/>
      <c r="DO766" s="27"/>
      <c r="DP766" s="27"/>
      <c r="DQ766" s="27"/>
      <c r="DR766" s="27"/>
      <c r="DS766" s="27"/>
      <c r="DT766" s="27"/>
    </row>
    <row r="767" spans="7:124" x14ac:dyDescent="0.2">
      <c r="G767" s="27"/>
      <c r="H767" s="27"/>
      <c r="I767" s="27"/>
      <c r="J767" s="27"/>
      <c r="K767" s="27"/>
      <c r="L767" s="27"/>
      <c r="M767" s="27">
        <f>SUM(M747:M750)*W739</f>
        <v>0</v>
      </c>
      <c r="N767" s="27" t="str">
        <f>C941</f>
        <v>תוספת סמינרים  12%</v>
      </c>
      <c r="O767" s="27"/>
      <c r="P767" s="27"/>
      <c r="Q767" s="27"/>
      <c r="R767" s="27"/>
      <c r="S767" s="27"/>
      <c r="T767" s="27"/>
      <c r="U767" s="27"/>
      <c r="V767" s="27"/>
      <c r="W767" s="27"/>
      <c r="X767" s="27"/>
      <c r="Y767" s="27"/>
      <c r="Z767" s="27"/>
      <c r="AA767" s="27"/>
      <c r="AB767" s="27"/>
      <c r="AC767" s="27"/>
      <c r="AD767" s="27"/>
      <c r="AE767" s="27"/>
      <c r="AF767" s="27"/>
      <c r="AG767" s="27"/>
      <c r="AH767" s="27"/>
      <c r="AI767" s="27"/>
      <c r="AJ767" s="27"/>
      <c r="AK767" s="27"/>
      <c r="AL767" s="27"/>
      <c r="AM767" s="27"/>
      <c r="AN767" s="27"/>
      <c r="AO767" s="27"/>
      <c r="AP767" s="27"/>
      <c r="AQ767" s="27"/>
      <c r="AR767" s="27"/>
      <c r="AS767" s="27"/>
      <c r="AT767" s="27"/>
      <c r="AU767" s="27"/>
      <c r="AV767" s="27"/>
      <c r="AW767" s="27"/>
      <c r="AX767" s="27"/>
      <c r="AY767" s="27"/>
      <c r="AZ767" s="27"/>
      <c r="BA767" s="27"/>
      <c r="BB767" s="27"/>
      <c r="BC767" s="27"/>
      <c r="BD767" s="27"/>
      <c r="BE767" s="27"/>
      <c r="BF767" s="27"/>
      <c r="BG767" s="27"/>
      <c r="BH767" s="27"/>
      <c r="BI767" s="27"/>
      <c r="BJ767" s="27"/>
      <c r="BK767" s="27"/>
      <c r="BL767" s="27"/>
      <c r="BM767" s="27"/>
      <c r="BN767" s="27"/>
      <c r="BO767" s="27"/>
      <c r="BP767" s="27"/>
      <c r="BQ767" s="27"/>
      <c r="BR767" s="27"/>
      <c r="BS767" s="27"/>
      <c r="BT767" s="27"/>
      <c r="BU767" s="27"/>
      <c r="BV767" s="27"/>
      <c r="BW767" s="27"/>
      <c r="BX767" s="27"/>
      <c r="BY767" s="27"/>
      <c r="BZ767" s="27"/>
      <c r="CA767" s="27"/>
      <c r="CB767" s="27"/>
      <c r="CC767" s="27"/>
      <c r="CD767" s="27"/>
      <c r="CE767" s="27"/>
      <c r="CF767" s="27"/>
      <c r="CG767" s="27"/>
      <c r="CH767" s="27"/>
      <c r="CI767" s="27"/>
      <c r="CJ767" s="27"/>
      <c r="CK767" s="27"/>
      <c r="CL767" s="27"/>
      <c r="CM767" s="27"/>
      <c r="CN767" s="27"/>
      <c r="CO767" s="27"/>
      <c r="CP767" s="27"/>
      <c r="CQ767" s="27"/>
      <c r="CR767" s="27"/>
      <c r="CS767" s="27"/>
      <c r="CT767" s="27"/>
      <c r="CU767" s="27"/>
      <c r="CV767" s="27"/>
      <c r="CW767" s="27"/>
      <c r="CX767" s="27"/>
      <c r="CY767" s="27"/>
      <c r="CZ767" s="27"/>
      <c r="DA767" s="27"/>
      <c r="DB767" s="27"/>
      <c r="DC767" s="27"/>
      <c r="DD767" s="27"/>
      <c r="DE767" s="27"/>
      <c r="DF767" s="27"/>
      <c r="DG767" s="27"/>
      <c r="DH767" s="27"/>
      <c r="DI767" s="27"/>
      <c r="DJ767" s="27"/>
      <c r="DK767" s="27"/>
      <c r="DL767" s="27"/>
      <c r="DM767" s="27"/>
      <c r="DN767" s="27"/>
      <c r="DO767" s="27"/>
      <c r="DP767" s="27"/>
      <c r="DQ767" s="27"/>
      <c r="DR767" s="27"/>
      <c r="DS767" s="27"/>
      <c r="DT767" s="27"/>
    </row>
    <row r="768" spans="7:124" x14ac:dyDescent="0.2">
      <c r="G768" s="27"/>
      <c r="H768" s="27"/>
      <c r="I768" s="27"/>
      <c r="J768" s="27"/>
      <c r="K768" s="27"/>
      <c r="L768" s="27"/>
      <c r="M768" s="27">
        <f>L806</f>
        <v>0</v>
      </c>
      <c r="N768" s="27" t="s">
        <v>251</v>
      </c>
      <c r="O768" s="27"/>
      <c r="P768" s="27"/>
      <c r="Q768" s="27"/>
      <c r="R768" s="27"/>
      <c r="S768" s="27"/>
      <c r="T768" s="27"/>
      <c r="U768" s="27"/>
      <c r="V768" s="27"/>
      <c r="W768" s="27"/>
      <c r="X768" s="27"/>
      <c r="Y768" s="27"/>
      <c r="Z768" s="27"/>
      <c r="AA768" s="27"/>
      <c r="AB768" s="27"/>
      <c r="AC768" s="27"/>
      <c r="AD768" s="27"/>
      <c r="AE768" s="27"/>
      <c r="AF768" s="27"/>
      <c r="AG768" s="27"/>
      <c r="AH768" s="27"/>
      <c r="AI768" s="27"/>
      <c r="AJ768" s="27"/>
      <c r="AK768" s="27"/>
      <c r="AL768" s="27"/>
      <c r="AM768" s="27"/>
      <c r="AN768" s="27"/>
      <c r="AO768" s="27"/>
      <c r="AP768" s="27"/>
      <c r="AQ768" s="27"/>
      <c r="AR768" s="27"/>
      <c r="AS768" s="27"/>
      <c r="AT768" s="27"/>
      <c r="AU768" s="27"/>
      <c r="AV768" s="27"/>
      <c r="AW768" s="27"/>
      <c r="AX768" s="27"/>
      <c r="AY768" s="27"/>
      <c r="AZ768" s="27"/>
      <c r="BA768" s="27" t="s">
        <v>431</v>
      </c>
      <c r="BB768" s="27"/>
      <c r="BC768" s="27"/>
      <c r="BD768" s="27"/>
      <c r="BE768" s="27"/>
      <c r="BF768" s="27"/>
      <c r="BG768" s="27"/>
      <c r="BH768" s="27"/>
      <c r="BI768" s="27"/>
      <c r="BJ768" s="27"/>
      <c r="BK768" s="27"/>
      <c r="BL768" s="27"/>
      <c r="BM768" s="27"/>
      <c r="BN768" s="27"/>
      <c r="BO768" s="27"/>
      <c r="BP768" s="27"/>
      <c r="BQ768" s="27"/>
      <c r="BR768" s="27"/>
      <c r="BS768" s="27"/>
      <c r="BT768" s="27"/>
      <c r="BU768" s="27">
        <v>19</v>
      </c>
      <c r="BV768" s="27">
        <v>0.02</v>
      </c>
      <c r="BW768" s="27">
        <v>5719.9</v>
      </c>
      <c r="BX768" s="27">
        <v>5403.6</v>
      </c>
      <c r="BY768" s="27">
        <v>5043.33</v>
      </c>
      <c r="BZ768" s="27">
        <v>4819.3100000000004</v>
      </c>
      <c r="CA768" s="27">
        <v>4393.17</v>
      </c>
      <c r="CB768" s="27">
        <v>4393.17</v>
      </c>
      <c r="CC768" s="27">
        <v>3822.01</v>
      </c>
      <c r="CD768" s="27">
        <v>3580.37</v>
      </c>
      <c r="CE768" s="27">
        <v>3492.51</v>
      </c>
      <c r="CF768" s="27">
        <v>3382.69</v>
      </c>
      <c r="CG768" s="27">
        <v>4819.3100000000004</v>
      </c>
      <c r="CH768" s="27">
        <v>4481.0600000000004</v>
      </c>
      <c r="CI768" s="27">
        <v>3822.01</v>
      </c>
      <c r="CJ768" s="27">
        <v>4718.28</v>
      </c>
      <c r="CK768" s="27">
        <v>4819.3100000000004</v>
      </c>
      <c r="CL768" s="27"/>
      <c r="CM768" s="27"/>
      <c r="CN768" s="27"/>
      <c r="CO768" s="27"/>
      <c r="CP768" s="27"/>
      <c r="CQ768" s="27"/>
      <c r="CR768" s="27"/>
      <c r="CS768" s="27"/>
      <c r="CT768" s="27"/>
      <c r="CU768" s="27"/>
      <c r="CV768" s="27"/>
      <c r="CW768" s="27"/>
      <c r="CX768" s="27"/>
      <c r="CY768" s="27"/>
      <c r="CZ768" s="27"/>
      <c r="DA768" s="27"/>
      <c r="DB768" s="27"/>
      <c r="DC768" s="27"/>
      <c r="DD768" s="27"/>
      <c r="DE768" s="27"/>
      <c r="DF768" s="27"/>
      <c r="DG768" s="27"/>
      <c r="DH768" s="27"/>
      <c r="DI768" s="27"/>
      <c r="DJ768" s="27"/>
      <c r="DK768" s="27"/>
      <c r="DL768" s="27"/>
      <c r="DM768" s="27"/>
      <c r="DN768" s="27"/>
      <c r="DO768" s="27"/>
      <c r="DP768" s="27"/>
      <c r="DQ768" s="27"/>
      <c r="DR768" s="27"/>
      <c r="DS768" s="27"/>
      <c r="DT768" s="27"/>
    </row>
    <row r="769" spans="7:124" x14ac:dyDescent="0.2">
      <c r="G769" s="27"/>
      <c r="H769" s="27"/>
      <c r="I769" s="27"/>
      <c r="J769" s="27"/>
      <c r="K769" s="27"/>
      <c r="L769" s="27"/>
      <c r="M769" s="27">
        <f>SUM(M747:M768)*'[1]נתוני מס'!L23</f>
        <v>271.07985410316002</v>
      </c>
      <c r="N769" s="27" t="str">
        <f>K806</f>
        <v>תוספת ערבה</v>
      </c>
      <c r="O769" s="27"/>
      <c r="P769" s="27"/>
      <c r="Q769" s="27"/>
      <c r="R769" s="27"/>
      <c r="S769" s="27"/>
      <c r="T769" s="27"/>
      <c r="U769" s="27"/>
      <c r="V769" s="27"/>
      <c r="W769" s="27"/>
      <c r="X769" s="27"/>
      <c r="Y769" s="27"/>
      <c r="Z769" s="27"/>
      <c r="AA769" s="27"/>
      <c r="AB769" s="27"/>
      <c r="AC769" s="27"/>
      <c r="AD769" s="27"/>
      <c r="AE769" s="27"/>
      <c r="AF769" s="27"/>
      <c r="AG769" s="27"/>
      <c r="AH769" s="27"/>
      <c r="AI769" s="27"/>
      <c r="AJ769" s="27"/>
      <c r="AK769" s="27"/>
      <c r="AL769" s="27"/>
      <c r="AM769" s="27"/>
      <c r="AN769" s="27"/>
      <c r="AO769" s="27"/>
      <c r="AP769" s="27"/>
      <c r="AQ769" s="27"/>
      <c r="AR769" s="27"/>
      <c r="AS769" s="27"/>
      <c r="AT769" s="27"/>
      <c r="AU769" s="27"/>
      <c r="AV769" s="27"/>
      <c r="AW769" s="27"/>
      <c r="AX769" s="27"/>
      <c r="AY769" s="27"/>
      <c r="AZ769" s="27"/>
      <c r="BA769" s="27" t="s">
        <v>0</v>
      </c>
      <c r="BB769" s="27" t="s">
        <v>10</v>
      </c>
      <c r="BC769" s="27"/>
      <c r="BD769" s="27"/>
      <c r="BE769" s="27"/>
      <c r="BF769" s="27"/>
      <c r="BG769" s="27"/>
      <c r="BH769" s="27"/>
      <c r="BI769" s="27"/>
      <c r="BJ769" s="27"/>
      <c r="BK769" s="27"/>
      <c r="BL769" s="27"/>
      <c r="BM769" s="27"/>
      <c r="BN769" s="27"/>
      <c r="BO769" s="27"/>
      <c r="BP769" s="27"/>
      <c r="BQ769" s="27"/>
      <c r="BR769" s="27"/>
      <c r="BS769" s="27"/>
      <c r="BT769" s="27"/>
      <c r="BU769" s="27"/>
      <c r="BV769" s="27"/>
      <c r="BW769" s="27"/>
      <c r="BX769" s="27"/>
      <c r="BY769" s="27"/>
      <c r="BZ769" s="27"/>
      <c r="CA769" s="27"/>
      <c r="CB769" s="27"/>
      <c r="CC769" s="27"/>
      <c r="CD769" s="27"/>
      <c r="CE769" s="27"/>
      <c r="CF769" s="27"/>
      <c r="CG769" s="27"/>
      <c r="CH769" s="27"/>
      <c r="CI769" s="27"/>
      <c r="CJ769" s="27"/>
      <c r="CK769" s="27"/>
      <c r="CL769" s="27"/>
      <c r="CM769" s="27"/>
      <c r="CN769" s="27"/>
      <c r="CO769" s="27"/>
      <c r="CP769" s="27"/>
      <c r="CQ769" s="27"/>
      <c r="CR769" s="27"/>
      <c r="CS769" s="27"/>
      <c r="CT769" s="27"/>
      <c r="CU769" s="27"/>
      <c r="CV769" s="27"/>
      <c r="CW769" s="27"/>
      <c r="CX769" s="27"/>
      <c r="CY769" s="27"/>
      <c r="CZ769" s="27"/>
      <c r="DA769" s="27"/>
      <c r="DB769" s="27"/>
      <c r="DC769" s="27"/>
      <c r="DD769" s="27"/>
      <c r="DE769" s="27"/>
      <c r="DF769" s="27"/>
      <c r="DG769" s="27"/>
      <c r="DH769" s="27"/>
      <c r="DI769" s="27"/>
      <c r="DJ769" s="27"/>
      <c r="DK769" s="27"/>
      <c r="DL769" s="27"/>
      <c r="DM769" s="27"/>
      <c r="DN769" s="27"/>
      <c r="DO769" s="27"/>
      <c r="DP769" s="27"/>
      <c r="DQ769" s="27"/>
      <c r="DR769" s="27"/>
      <c r="DS769" s="27"/>
      <c r="DT769" s="27"/>
    </row>
    <row r="770" spans="7:124" x14ac:dyDescent="0.2">
      <c r="G770" s="27"/>
      <c r="H770" s="27"/>
      <c r="I770" s="27"/>
      <c r="J770" s="27"/>
      <c r="K770" s="27"/>
      <c r="L770" s="27"/>
      <c r="M770" s="27">
        <f>SUM(M747:M768)*'[1]נתוני מס'!L22*(1+'[1]נתוני מס'!L23)</f>
        <v>366.65056266641858</v>
      </c>
      <c r="N770" s="27" t="s">
        <v>271</v>
      </c>
      <c r="O770" s="27"/>
      <c r="P770" s="27"/>
      <c r="Q770" s="27"/>
      <c r="R770" s="27" t="s">
        <v>432</v>
      </c>
      <c r="S770" s="27"/>
      <c r="T770" s="27"/>
      <c r="U770" s="27"/>
      <c r="V770" s="27"/>
      <c r="W770" s="27"/>
      <c r="X770" s="27"/>
      <c r="Y770" s="27"/>
      <c r="Z770" s="27"/>
      <c r="AA770" s="27"/>
      <c r="AB770" s="27"/>
      <c r="AC770" s="27"/>
      <c r="AD770" s="27"/>
      <c r="AE770" s="27"/>
      <c r="AF770" s="27"/>
      <c r="AG770" s="27"/>
      <c r="AH770" s="27"/>
      <c r="AI770" s="27"/>
      <c r="AJ770" s="27"/>
      <c r="AK770" s="27"/>
      <c r="AL770" s="27"/>
      <c r="AM770" s="27"/>
      <c r="AN770" s="27"/>
      <c r="AO770" s="27"/>
      <c r="AP770" s="27"/>
      <c r="AQ770" s="27"/>
      <c r="AR770" s="27"/>
      <c r="AS770" s="27"/>
      <c r="AT770" s="27"/>
      <c r="AU770" s="27"/>
      <c r="AV770" s="27"/>
      <c r="AW770" s="27"/>
      <c r="AX770" s="27"/>
      <c r="AY770" s="27"/>
      <c r="AZ770" s="27"/>
      <c r="BA770" s="27" t="s">
        <v>433</v>
      </c>
      <c r="BB770" s="27">
        <v>6</v>
      </c>
      <c r="BC770" s="27"/>
      <c r="BD770" s="27"/>
      <c r="BE770" s="27"/>
      <c r="BF770" s="27"/>
      <c r="BG770" s="27"/>
      <c r="BH770" s="27"/>
      <c r="BI770" s="27"/>
      <c r="BJ770" s="27"/>
      <c r="BK770" s="27"/>
      <c r="BL770" s="27"/>
      <c r="BM770" s="27"/>
      <c r="BN770" s="27"/>
      <c r="BO770" s="27"/>
      <c r="BP770" s="27"/>
      <c r="BQ770" s="27"/>
      <c r="BR770" s="27"/>
      <c r="BS770" s="27"/>
      <c r="BT770" s="27"/>
      <c r="BU770" s="27">
        <v>20</v>
      </c>
      <c r="BV770" s="27">
        <v>0.02</v>
      </c>
      <c r="BW770" s="27">
        <v>5834.29</v>
      </c>
      <c r="BX770" s="27">
        <v>5511.67</v>
      </c>
      <c r="BY770" s="27">
        <v>5144.1899999999996</v>
      </c>
      <c r="BZ770" s="27">
        <v>4915.6899999999996</v>
      </c>
      <c r="CA770" s="27">
        <v>4481.03</v>
      </c>
      <c r="CB770" s="27">
        <v>4481.03</v>
      </c>
      <c r="CC770" s="27">
        <v>3898.45</v>
      </c>
      <c r="CD770" s="27">
        <v>3651.97</v>
      </c>
      <c r="CE770" s="27">
        <v>3562.36</v>
      </c>
      <c r="CF770" s="27">
        <v>3450.34</v>
      </c>
      <c r="CG770" s="27">
        <v>4915.6899999999996</v>
      </c>
      <c r="CH770" s="27">
        <v>4570.68</v>
      </c>
      <c r="CI770" s="27">
        <v>3898.45</v>
      </c>
      <c r="CJ770" s="27">
        <v>4812.6400000000003</v>
      </c>
      <c r="CK770" s="27">
        <v>4915.6899999999996</v>
      </c>
      <c r="CL770" s="27"/>
      <c r="CM770" s="27"/>
      <c r="CN770" s="27"/>
      <c r="CO770" s="27"/>
      <c r="CP770" s="27"/>
      <c r="CQ770" s="27"/>
      <c r="CR770" s="27"/>
      <c r="CS770" s="27"/>
      <c r="CT770" s="27"/>
      <c r="CU770" s="27"/>
      <c r="CV770" s="27"/>
      <c r="CW770" s="27"/>
      <c r="CX770" s="27"/>
      <c r="CY770" s="27"/>
      <c r="CZ770" s="27"/>
      <c r="DA770" s="27"/>
      <c r="DB770" s="27"/>
      <c r="DC770" s="27"/>
      <c r="DD770" s="27"/>
      <c r="DE770" s="27"/>
      <c r="DF770" s="27"/>
      <c r="DG770" s="27"/>
      <c r="DH770" s="27"/>
      <c r="DI770" s="27"/>
      <c r="DJ770" s="27"/>
      <c r="DK770" s="27"/>
      <c r="DL770" s="27"/>
      <c r="DM770" s="27"/>
      <c r="DN770" s="27"/>
      <c r="DO770" s="27"/>
      <c r="DP770" s="27"/>
      <c r="DQ770" s="27"/>
      <c r="DR770" s="27"/>
      <c r="DS770" s="27"/>
      <c r="DT770" s="27"/>
    </row>
    <row r="771" spans="7:124" x14ac:dyDescent="0.2">
      <c r="G771" s="27"/>
      <c r="H771" s="27"/>
      <c r="I771" s="27"/>
      <c r="J771" s="27"/>
      <c r="K771" s="27"/>
      <c r="L771" s="27"/>
      <c r="M771" s="27">
        <f>SUM(M747:M770)</f>
        <v>8167.7263640795791</v>
      </c>
      <c r="N771" s="27" t="s">
        <v>279</v>
      </c>
      <c r="O771" s="27"/>
      <c r="P771" s="27"/>
      <c r="Q771" s="27"/>
      <c r="R771" s="27" t="s">
        <v>59</v>
      </c>
      <c r="S771" s="27"/>
      <c r="T771" s="27"/>
      <c r="U771" s="27"/>
      <c r="V771" s="27"/>
      <c r="W771" s="27"/>
      <c r="X771" s="27"/>
      <c r="Y771" s="27"/>
      <c r="Z771" s="27"/>
      <c r="AA771" s="27"/>
      <c r="AB771" s="27"/>
      <c r="AC771" s="27"/>
      <c r="AD771" s="27"/>
      <c r="AE771" s="27"/>
      <c r="AF771" s="27"/>
      <c r="AG771" s="27"/>
      <c r="AH771" s="27"/>
      <c r="AI771" s="27"/>
      <c r="AJ771" s="27"/>
      <c r="AK771" s="27"/>
      <c r="AL771" s="27"/>
      <c r="AM771" s="27"/>
      <c r="AN771" s="27"/>
      <c r="AO771" s="27"/>
      <c r="AP771" s="27"/>
      <c r="AQ771" s="27"/>
      <c r="AR771" s="27"/>
      <c r="AS771" s="27"/>
      <c r="AT771" s="27"/>
      <c r="AU771" s="27"/>
      <c r="AV771" s="27"/>
      <c r="AW771" s="27"/>
      <c r="AX771" s="27"/>
      <c r="AY771" s="27"/>
      <c r="AZ771" s="27"/>
      <c r="BA771" s="27" t="s">
        <v>2</v>
      </c>
      <c r="BB771" s="27">
        <v>33</v>
      </c>
      <c r="BC771" s="27"/>
      <c r="BD771" s="27"/>
      <c r="BE771" s="27"/>
      <c r="BF771" s="27"/>
      <c r="BG771" s="27"/>
      <c r="BH771" s="27"/>
      <c r="BI771" s="27"/>
      <c r="BJ771" s="27"/>
      <c r="BK771" s="27"/>
      <c r="BL771" s="27"/>
      <c r="BM771" s="27"/>
      <c r="BN771" s="27"/>
      <c r="BO771" s="27"/>
      <c r="BP771" s="27"/>
      <c r="BQ771" s="27"/>
      <c r="BR771" s="27"/>
      <c r="BS771" s="27"/>
      <c r="BT771" s="27"/>
      <c r="BU771" s="27"/>
      <c r="BV771" s="27"/>
      <c r="BW771" s="27"/>
      <c r="BX771" s="27"/>
      <c r="BY771" s="27"/>
      <c r="BZ771" s="27"/>
      <c r="CA771" s="27"/>
      <c r="CB771" s="27"/>
      <c r="CC771" s="27"/>
      <c r="CD771" s="27"/>
      <c r="CE771" s="27"/>
      <c r="CF771" s="27"/>
      <c r="CG771" s="27"/>
      <c r="CH771" s="27"/>
      <c r="CI771" s="27"/>
      <c r="CJ771" s="27"/>
      <c r="CK771" s="27"/>
      <c r="CL771" s="27"/>
      <c r="CM771" s="27"/>
      <c r="CN771" s="27"/>
      <c r="CO771" s="27"/>
      <c r="CP771" s="27"/>
      <c r="CQ771" s="27"/>
      <c r="CR771" s="27"/>
      <c r="CS771" s="27"/>
      <c r="CT771" s="27"/>
      <c r="CU771" s="27"/>
      <c r="CV771" s="27"/>
      <c r="CW771" s="27"/>
      <c r="CX771" s="27"/>
      <c r="CY771" s="27"/>
      <c r="CZ771" s="27"/>
      <c r="DA771" s="27"/>
      <c r="DB771" s="27"/>
      <c r="DC771" s="27"/>
      <c r="DD771" s="27"/>
      <c r="DE771" s="27"/>
      <c r="DF771" s="27"/>
      <c r="DG771" s="27"/>
      <c r="DH771" s="27"/>
      <c r="DI771" s="27"/>
      <c r="DJ771" s="27"/>
      <c r="DK771" s="27"/>
      <c r="DL771" s="27"/>
      <c r="DM771" s="27"/>
      <c r="DN771" s="27"/>
      <c r="DO771" s="27"/>
      <c r="DP771" s="27"/>
      <c r="DQ771" s="27"/>
      <c r="DR771" s="27"/>
      <c r="DS771" s="27"/>
      <c r="DT771" s="27"/>
    </row>
    <row r="772" spans="7:124" x14ac:dyDescent="0.2">
      <c r="G772" s="27"/>
      <c r="H772" s="27"/>
      <c r="I772" s="27"/>
      <c r="J772" s="27"/>
      <c r="K772" s="27"/>
      <c r="L772" s="27"/>
      <c r="M772" s="27"/>
      <c r="N772" s="27"/>
      <c r="O772" s="27"/>
      <c r="P772" s="27"/>
      <c r="Q772" s="27"/>
      <c r="R772" s="27"/>
      <c r="S772" s="27"/>
      <c r="T772" s="27"/>
      <c r="U772" s="27"/>
      <c r="V772" s="27"/>
      <c r="W772" s="27"/>
      <c r="X772" s="27"/>
      <c r="Y772" s="27"/>
      <c r="Z772" s="27"/>
      <c r="AA772" s="27"/>
      <c r="AB772" s="27"/>
      <c r="AC772" s="27"/>
      <c r="AD772" s="27"/>
      <c r="AE772" s="27"/>
      <c r="AF772" s="27"/>
      <c r="AG772" s="27"/>
      <c r="AH772" s="27"/>
      <c r="AI772" s="27"/>
      <c r="AJ772" s="27"/>
      <c r="AK772" s="27"/>
      <c r="AL772" s="27"/>
      <c r="AM772" s="27"/>
      <c r="AN772" s="27"/>
      <c r="AO772" s="27"/>
      <c r="AP772" s="27"/>
      <c r="AQ772" s="27"/>
      <c r="AR772" s="27"/>
      <c r="AS772" s="27"/>
      <c r="AT772" s="27"/>
      <c r="AU772" s="27"/>
      <c r="AV772" s="27"/>
      <c r="AW772" s="27"/>
      <c r="AX772" s="27"/>
      <c r="AY772" s="27"/>
      <c r="AZ772" s="27"/>
      <c r="BA772" s="27" t="s">
        <v>434</v>
      </c>
      <c r="BB772" s="27">
        <v>0</v>
      </c>
      <c r="BC772" s="27"/>
      <c r="BD772" s="27"/>
      <c r="BE772" s="27"/>
      <c r="BF772" s="27"/>
      <c r="BG772" s="27"/>
      <c r="BH772" s="27"/>
      <c r="BI772" s="27"/>
      <c r="BJ772" s="27"/>
      <c r="BK772" s="27"/>
      <c r="BL772" s="27"/>
      <c r="BM772" s="27"/>
      <c r="BN772" s="27"/>
      <c r="BO772" s="27"/>
      <c r="BP772" s="27"/>
      <c r="BQ772" s="27"/>
      <c r="BR772" s="27"/>
      <c r="BS772" s="27"/>
      <c r="BT772" s="27"/>
      <c r="BU772" s="27">
        <v>21</v>
      </c>
      <c r="BV772" s="27">
        <v>0.02</v>
      </c>
      <c r="BW772" s="27">
        <v>5950.97</v>
      </c>
      <c r="BX772" s="27">
        <v>5621.9</v>
      </c>
      <c r="BY772" s="27">
        <v>5247.07</v>
      </c>
      <c r="BZ772" s="27">
        <v>5014</v>
      </c>
      <c r="CA772" s="27">
        <v>4570.6499999999996</v>
      </c>
      <c r="CB772" s="27">
        <v>4570.6499999999996</v>
      </c>
      <c r="CC772" s="27">
        <v>3976.41</v>
      </c>
      <c r="CD772" s="27">
        <v>3725</v>
      </c>
      <c r="CE772" s="27">
        <v>3633.6</v>
      </c>
      <c r="CF772" s="27">
        <v>3519.34</v>
      </c>
      <c r="CG772" s="27">
        <v>5014</v>
      </c>
      <c r="CH772" s="27">
        <v>4662.09</v>
      </c>
      <c r="CI772" s="27">
        <v>3976.41</v>
      </c>
      <c r="CJ772" s="27">
        <v>4908.8900000000003</v>
      </c>
      <c r="CK772" s="27">
        <v>5014</v>
      </c>
      <c r="CL772" s="27"/>
      <c r="CM772" s="27"/>
      <c r="CN772" s="27"/>
      <c r="CO772" s="27"/>
      <c r="CP772" s="27"/>
      <c r="CQ772" s="27"/>
      <c r="CR772" s="27"/>
      <c r="CS772" s="27"/>
      <c r="CT772" s="27"/>
      <c r="CU772" s="27"/>
      <c r="CV772" s="27"/>
      <c r="CW772" s="27"/>
      <c r="CX772" s="27"/>
      <c r="CY772" s="27"/>
      <c r="CZ772" s="27"/>
      <c r="DA772" s="27"/>
      <c r="DB772" s="27"/>
      <c r="DC772" s="27"/>
      <c r="DD772" s="27"/>
      <c r="DE772" s="27"/>
      <c r="DF772" s="27"/>
      <c r="DG772" s="27"/>
      <c r="DH772" s="27"/>
      <c r="DI772" s="27"/>
      <c r="DJ772" s="27"/>
      <c r="DK772" s="27"/>
      <c r="DL772" s="27"/>
      <c r="DM772" s="27"/>
      <c r="DN772" s="27"/>
      <c r="DO772" s="27"/>
      <c r="DP772" s="27"/>
      <c r="DQ772" s="27"/>
      <c r="DR772" s="27"/>
      <c r="DS772" s="27"/>
      <c r="DT772" s="27"/>
    </row>
    <row r="773" spans="7:124" x14ac:dyDescent="0.2">
      <c r="G773" s="27"/>
      <c r="H773" s="27"/>
      <c r="I773" s="27"/>
      <c r="J773" s="27"/>
      <c r="K773" s="27"/>
      <c r="L773" s="27"/>
      <c r="M773" s="27"/>
      <c r="N773" s="27"/>
      <c r="O773" s="27"/>
      <c r="P773" s="27"/>
      <c r="Q773" s="27"/>
      <c r="R773" s="27"/>
      <c r="S773" s="27"/>
      <c r="T773" s="27"/>
      <c r="U773" s="27"/>
      <c r="V773" s="27"/>
      <c r="W773" s="27"/>
      <c r="X773" s="27"/>
      <c r="Y773" s="27"/>
      <c r="Z773" s="27"/>
      <c r="AA773" s="27"/>
      <c r="AB773" s="27"/>
      <c r="AC773" s="27"/>
      <c r="AD773" s="27"/>
      <c r="AE773" s="27"/>
      <c r="AF773" s="27"/>
      <c r="AG773" s="27"/>
      <c r="AH773" s="27"/>
      <c r="AI773" s="27"/>
      <c r="AJ773" s="27"/>
      <c r="AK773" s="27"/>
      <c r="AL773" s="27"/>
      <c r="AM773" s="27"/>
      <c r="AN773" s="27"/>
      <c r="AO773" s="27"/>
      <c r="AP773" s="27"/>
      <c r="AQ773" s="27"/>
      <c r="AR773" s="27"/>
      <c r="AS773" s="27"/>
      <c r="AT773" s="27"/>
      <c r="AU773" s="27"/>
      <c r="AV773" s="27"/>
      <c r="AW773" s="27"/>
      <c r="AX773" s="27"/>
      <c r="AY773" s="27"/>
      <c r="AZ773" s="27"/>
      <c r="BA773" s="27" t="s">
        <v>275</v>
      </c>
      <c r="BB773" s="27">
        <v>33</v>
      </c>
      <c r="BC773" s="27"/>
      <c r="BD773" s="27"/>
      <c r="BE773" s="27"/>
      <c r="BF773" s="27"/>
      <c r="BG773" s="27"/>
      <c r="BH773" s="27"/>
      <c r="BI773" s="27"/>
      <c r="BJ773" s="27"/>
      <c r="BK773" s="27"/>
      <c r="BL773" s="27"/>
      <c r="BM773" s="27"/>
      <c r="BN773" s="27"/>
      <c r="BO773" s="27"/>
      <c r="BP773" s="27"/>
      <c r="BQ773" s="27"/>
      <c r="BR773" s="27"/>
      <c r="BS773" s="27"/>
      <c r="BT773" s="27"/>
      <c r="BU773" s="27"/>
      <c r="BV773" s="27"/>
      <c r="BW773" s="27"/>
      <c r="BX773" s="27"/>
      <c r="BY773" s="27"/>
      <c r="BZ773" s="27"/>
      <c r="CA773" s="27"/>
      <c r="CB773" s="27"/>
      <c r="CC773" s="27"/>
      <c r="CD773" s="27"/>
      <c r="CE773" s="27"/>
      <c r="CF773" s="27"/>
      <c r="CG773" s="27"/>
      <c r="CH773" s="27"/>
      <c r="CI773" s="27"/>
      <c r="CJ773" s="27"/>
      <c r="CK773" s="27"/>
      <c r="CL773" s="27"/>
      <c r="CM773" s="27"/>
      <c r="CN773" s="27"/>
      <c r="CO773" s="27"/>
      <c r="CP773" s="27"/>
      <c r="CQ773" s="27"/>
      <c r="CR773" s="27"/>
      <c r="CS773" s="27"/>
      <c r="CT773" s="27"/>
      <c r="CU773" s="27"/>
      <c r="CV773" s="27"/>
      <c r="CW773" s="27"/>
      <c r="CX773" s="27"/>
      <c r="CY773" s="27"/>
      <c r="CZ773" s="27"/>
      <c r="DA773" s="27"/>
      <c r="DB773" s="27"/>
      <c r="DC773" s="27"/>
      <c r="DD773" s="27"/>
      <c r="DE773" s="27"/>
      <c r="DF773" s="27"/>
      <c r="DG773" s="27"/>
      <c r="DH773" s="27"/>
      <c r="DI773" s="27"/>
      <c r="DJ773" s="27"/>
      <c r="DK773" s="27"/>
      <c r="DL773" s="27"/>
      <c r="DM773" s="27"/>
      <c r="DN773" s="27"/>
      <c r="DO773" s="27"/>
      <c r="DP773" s="27"/>
      <c r="DQ773" s="27"/>
      <c r="DR773" s="27"/>
      <c r="DS773" s="27"/>
      <c r="DT773" s="27"/>
    </row>
    <row r="774" spans="7:124" x14ac:dyDescent="0.2">
      <c r="G774" s="27"/>
      <c r="H774" s="27"/>
      <c r="I774" s="27"/>
      <c r="J774" s="27"/>
      <c r="K774" s="27"/>
      <c r="L774" s="27"/>
      <c r="M774" s="27"/>
      <c r="N774" s="27"/>
      <c r="O774" s="27"/>
      <c r="P774" s="27"/>
      <c r="Q774" s="27"/>
      <c r="R774" s="27"/>
      <c r="S774" s="27"/>
      <c r="T774" s="27"/>
      <c r="U774" s="27"/>
      <c r="V774" s="27"/>
      <c r="W774" s="27"/>
      <c r="X774" s="27"/>
      <c r="Y774" s="27"/>
      <c r="Z774" s="27"/>
      <c r="AA774" s="27"/>
      <c r="AB774" s="27"/>
      <c r="AC774" s="27"/>
      <c r="AD774" s="27"/>
      <c r="AE774" s="27"/>
      <c r="AF774" s="27"/>
      <c r="AG774" s="27"/>
      <c r="AH774" s="27"/>
      <c r="AI774" s="27"/>
      <c r="AJ774" s="27"/>
      <c r="AK774" s="27"/>
      <c r="AL774" s="27"/>
      <c r="AM774" s="27"/>
      <c r="AN774" s="27"/>
      <c r="AO774" s="27"/>
      <c r="AP774" s="27"/>
      <c r="AQ774" s="27"/>
      <c r="AR774" s="27"/>
      <c r="AS774" s="27"/>
      <c r="AT774" s="27"/>
      <c r="AU774" s="27"/>
      <c r="AV774" s="27"/>
      <c r="AW774" s="27"/>
      <c r="AX774" s="27"/>
      <c r="AY774" s="27"/>
      <c r="AZ774" s="27"/>
      <c r="BA774" s="27" t="s">
        <v>32</v>
      </c>
      <c r="BB774" s="27">
        <v>0</v>
      </c>
      <c r="BC774" s="27"/>
      <c r="BD774" s="27"/>
      <c r="BE774" s="27"/>
      <c r="BF774" s="27"/>
      <c r="BG774" s="27"/>
      <c r="BH774" s="27"/>
      <c r="BI774" s="27"/>
      <c r="BJ774" s="27"/>
      <c r="BK774" s="27"/>
      <c r="BL774" s="27"/>
      <c r="BM774" s="27"/>
      <c r="BN774" s="27"/>
      <c r="BO774" s="27"/>
      <c r="BP774" s="27"/>
      <c r="BQ774" s="27"/>
      <c r="BR774" s="27"/>
      <c r="BS774" s="27"/>
      <c r="BT774" s="27"/>
      <c r="BU774" s="27">
        <v>22</v>
      </c>
      <c r="BV774" s="27">
        <v>0.02</v>
      </c>
      <c r="BW774" s="27">
        <v>6069.98</v>
      </c>
      <c r="BX774" s="27">
        <v>5734.33</v>
      </c>
      <c r="BY774" s="27">
        <v>5352.01</v>
      </c>
      <c r="BZ774" s="27">
        <v>5114.28</v>
      </c>
      <c r="CA774" s="27">
        <v>4662.0600000000004</v>
      </c>
      <c r="CB774" s="27">
        <v>4662.0600000000004</v>
      </c>
      <c r="CC774" s="27">
        <v>4055.93</v>
      </c>
      <c r="CD774" s="27">
        <v>3799.5</v>
      </c>
      <c r="CE774" s="27">
        <v>3706.27</v>
      </c>
      <c r="CF774" s="27">
        <v>3589.72</v>
      </c>
      <c r="CG774" s="27">
        <v>5114.28</v>
      </c>
      <c r="CH774" s="27">
        <v>4755.33</v>
      </c>
      <c r="CI774" s="27">
        <v>4055.93</v>
      </c>
      <c r="CJ774" s="27">
        <v>5007.0600000000004</v>
      </c>
      <c r="CK774" s="27">
        <v>5114.28</v>
      </c>
      <c r="CL774" s="27"/>
      <c r="CM774" s="27"/>
      <c r="CN774" s="27"/>
      <c r="CO774" s="27"/>
      <c r="CP774" s="27"/>
      <c r="CQ774" s="27"/>
      <c r="CR774" s="27"/>
      <c r="CS774" s="27"/>
      <c r="CT774" s="27"/>
      <c r="CU774" s="27"/>
      <c r="CV774" s="27"/>
      <c r="CW774" s="27"/>
      <c r="CX774" s="27"/>
      <c r="CY774" s="27"/>
      <c r="CZ774" s="27"/>
      <c r="DA774" s="27"/>
      <c r="DB774" s="27"/>
      <c r="DC774" s="27"/>
      <c r="DD774" s="27"/>
      <c r="DE774" s="27"/>
      <c r="DF774" s="27"/>
      <c r="DG774" s="27"/>
      <c r="DH774" s="27"/>
      <c r="DI774" s="27"/>
      <c r="DJ774" s="27"/>
      <c r="DK774" s="27"/>
      <c r="DL774" s="27"/>
      <c r="DM774" s="27"/>
      <c r="DN774" s="27"/>
      <c r="DO774" s="27"/>
      <c r="DP774" s="27"/>
      <c r="DQ774" s="27"/>
      <c r="DR774" s="27"/>
      <c r="DS774" s="27"/>
      <c r="DT774" s="27"/>
    </row>
    <row r="775" spans="7:124" x14ac:dyDescent="0.2">
      <c r="G775" s="27"/>
      <c r="H775" s="27" t="s">
        <v>575</v>
      </c>
      <c r="I775" s="27">
        <f ca="1">TODAY()</f>
        <v>45310</v>
      </c>
      <c r="J775" s="27"/>
      <c r="K775" s="27">
        <f ca="1">IF(YEAR(I775)&lt;2011,0,IF(YEAR(I775)&lt;2012,2.25%,IF(YEAR(I775)&lt;2013,4.25%,6.25%)))</f>
        <v>6.25E-2</v>
      </c>
      <c r="L775" s="27">
        <f ca="1">1+K775</f>
        <v>1.0625</v>
      </c>
      <c r="M775" s="27"/>
      <c r="N775" s="27"/>
      <c r="O775" s="27"/>
      <c r="P775" s="27"/>
      <c r="Q775" s="27"/>
      <c r="R775" s="27"/>
      <c r="S775" s="27"/>
      <c r="T775" s="27"/>
      <c r="U775" s="27"/>
      <c r="V775" s="27"/>
      <c r="W775" s="27"/>
      <c r="X775" s="27"/>
      <c r="Y775" s="27"/>
      <c r="Z775" s="27"/>
      <c r="AA775" s="27"/>
      <c r="AB775" s="27"/>
      <c r="AC775" s="27"/>
      <c r="AD775" s="27"/>
      <c r="AE775" s="27"/>
      <c r="AF775" s="27"/>
      <c r="AG775" s="27"/>
      <c r="AH775" s="27"/>
      <c r="AI775" s="27"/>
      <c r="AJ775" s="27"/>
      <c r="AK775" s="27"/>
      <c r="AL775" s="27"/>
      <c r="AM775" s="27"/>
      <c r="AN775" s="27"/>
      <c r="AO775" s="27"/>
      <c r="AP775" s="27"/>
      <c r="AQ775" s="27"/>
      <c r="AR775" s="27"/>
      <c r="AS775" s="27"/>
      <c r="AT775" s="27"/>
      <c r="AU775" s="27"/>
      <c r="AV775" s="27"/>
      <c r="AW775" s="27"/>
      <c r="AX775" s="27"/>
      <c r="AY775" s="27"/>
      <c r="AZ775" s="27"/>
      <c r="BA775" s="27" t="s">
        <v>436</v>
      </c>
      <c r="BB775" s="27" t="s">
        <v>84</v>
      </c>
      <c r="BC775" s="27"/>
      <c r="BD775" s="27"/>
      <c r="BE775" s="27"/>
      <c r="BF775" s="27"/>
      <c r="BG775" s="27"/>
      <c r="BH775" s="27"/>
      <c r="BI775" s="27"/>
      <c r="BJ775" s="27"/>
      <c r="BK775" s="27"/>
      <c r="BL775" s="27"/>
      <c r="BM775" s="27"/>
      <c r="BN775" s="27"/>
      <c r="BO775" s="27"/>
      <c r="BP775" s="27"/>
      <c r="BQ775" s="27"/>
      <c r="BR775" s="27"/>
      <c r="BS775" s="27"/>
      <c r="BT775" s="27"/>
      <c r="BU775" s="27"/>
      <c r="BV775" s="27"/>
      <c r="BW775" s="27"/>
      <c r="BX775" s="27"/>
      <c r="BY775" s="27"/>
      <c r="BZ775" s="27"/>
      <c r="CA775" s="27"/>
      <c r="CB775" s="27"/>
      <c r="CC775" s="27"/>
      <c r="CD775" s="27"/>
      <c r="CE775" s="27"/>
      <c r="CF775" s="27"/>
      <c r="CG775" s="27"/>
      <c r="CH775" s="27"/>
      <c r="CI775" s="27"/>
      <c r="CJ775" s="27"/>
      <c r="CK775" s="27"/>
      <c r="CL775" s="27"/>
      <c r="CM775" s="27"/>
      <c r="CN775" s="27"/>
      <c r="CO775" s="27"/>
      <c r="CP775" s="27"/>
      <c r="CQ775" s="27"/>
      <c r="CR775" s="27"/>
      <c r="CS775" s="27"/>
      <c r="CT775" s="27"/>
      <c r="CU775" s="27"/>
      <c r="CV775" s="27"/>
      <c r="CW775" s="27"/>
      <c r="CX775" s="27"/>
      <c r="CY775" s="27"/>
      <c r="CZ775" s="27"/>
      <c r="DA775" s="27"/>
      <c r="DB775" s="27"/>
      <c r="DC775" s="27"/>
      <c r="DD775" s="27"/>
      <c r="DE775" s="27"/>
      <c r="DF775" s="27"/>
      <c r="DG775" s="27"/>
      <c r="DH775" s="27"/>
      <c r="DI775" s="27"/>
      <c r="DJ775" s="27"/>
      <c r="DK775" s="27"/>
      <c r="DL775" s="27"/>
      <c r="DM775" s="27"/>
      <c r="DN775" s="27"/>
      <c r="DO775" s="27"/>
      <c r="DP775" s="27"/>
      <c r="DQ775" s="27"/>
      <c r="DR775" s="27"/>
      <c r="DS775" s="27"/>
      <c r="DT775" s="27"/>
    </row>
    <row r="776" spans="7:124" x14ac:dyDescent="0.2">
      <c r="G776" s="27"/>
      <c r="H776" s="27" t="s">
        <v>576</v>
      </c>
      <c r="I776" s="27" t="s">
        <v>577</v>
      </c>
      <c r="J776" s="27"/>
      <c r="K776" s="27" t="e">
        <f>VLOOKUP(L776,טור,1,1)</f>
        <v>#N/A</v>
      </c>
      <c r="L776" s="27" t="str">
        <f>IF(I30&lt;N28,M28,IF(I30&lt;N29,M29,IF(I30&lt;N30,M30,IF(I30&lt;N31,M31,IF(I30&lt;N32,M32,IF(I30&lt;N33,M33,IF(I30&lt;N34,M34,IF(I30&lt;AP705,AO705,M739))))))))</f>
        <v xml:space="preserve"> </v>
      </c>
      <c r="M776" s="27"/>
      <c r="N776" s="27"/>
      <c r="O776" s="27"/>
      <c r="P776" s="27"/>
      <c r="Q776" s="27"/>
      <c r="R776" s="27"/>
      <c r="S776" s="27"/>
      <c r="T776" s="27"/>
      <c r="U776" s="27"/>
      <c r="V776" s="27"/>
      <c r="W776" s="27"/>
      <c r="X776" s="27"/>
      <c r="Y776" s="27"/>
      <c r="Z776" s="27"/>
      <c r="AA776" s="27"/>
      <c r="AB776" s="27"/>
      <c r="AC776" s="27"/>
      <c r="AD776" s="27"/>
      <c r="AE776" s="27"/>
      <c r="AF776" s="27"/>
      <c r="AG776" s="27"/>
      <c r="AH776" s="27"/>
      <c r="AI776" s="27"/>
      <c r="AJ776" s="27"/>
      <c r="AK776" s="27"/>
      <c r="AL776" s="27"/>
      <c r="AM776" s="27"/>
      <c r="AN776" s="27"/>
      <c r="AO776" s="27"/>
      <c r="AP776" s="27"/>
      <c r="AQ776" s="27"/>
      <c r="AR776" s="27"/>
      <c r="AS776" s="27"/>
      <c r="AT776" s="27"/>
      <c r="AU776" s="27"/>
      <c r="AV776" s="27"/>
      <c r="AW776" s="27"/>
      <c r="AX776" s="27"/>
      <c r="AY776" s="27"/>
      <c r="AZ776" s="27"/>
      <c r="BA776" s="27" t="s">
        <v>379</v>
      </c>
      <c r="BB776" s="27">
        <v>0</v>
      </c>
      <c r="BC776" s="27"/>
      <c r="BD776" s="27"/>
      <c r="BE776" s="27"/>
      <c r="BF776" s="27"/>
      <c r="BG776" s="27"/>
      <c r="BH776" s="27"/>
      <c r="BI776" s="27"/>
      <c r="BJ776" s="27"/>
      <c r="BK776" s="27"/>
      <c r="BL776" s="27"/>
      <c r="BM776" s="27"/>
      <c r="BN776" s="27"/>
      <c r="BO776" s="27"/>
      <c r="BP776" s="27"/>
      <c r="BQ776" s="27"/>
      <c r="BR776" s="27"/>
      <c r="BS776" s="27"/>
      <c r="BT776" s="27"/>
      <c r="BU776" s="27">
        <v>23</v>
      </c>
      <c r="BV776" s="27">
        <v>0.02</v>
      </c>
      <c r="BW776" s="27">
        <v>6191.37</v>
      </c>
      <c r="BX776" s="27">
        <v>5849.01</v>
      </c>
      <c r="BY776" s="27">
        <v>5459.05</v>
      </c>
      <c r="BZ776" s="27">
        <v>5216.5600000000004</v>
      </c>
      <c r="CA776" s="27">
        <v>4755.3</v>
      </c>
      <c r="CB776" s="27">
        <v>4755.3</v>
      </c>
      <c r="CC776" s="27">
        <v>4137.04</v>
      </c>
      <c r="CD776" s="27">
        <v>3875.49</v>
      </c>
      <c r="CE776" s="27">
        <v>3780.39</v>
      </c>
      <c r="CF776" s="27">
        <v>3661.51</v>
      </c>
      <c r="CG776" s="27">
        <v>5216.5600000000004</v>
      </c>
      <c r="CH776" s="27">
        <v>4850.43</v>
      </c>
      <c r="CI776" s="27">
        <v>4137.04</v>
      </c>
      <c r="CJ776" s="27">
        <v>5107.2</v>
      </c>
      <c r="CK776" s="27">
        <v>5216.5600000000004</v>
      </c>
      <c r="CL776" s="27"/>
      <c r="CM776" s="27"/>
      <c r="CN776" s="27"/>
      <c r="CO776" s="27"/>
      <c r="CP776" s="27"/>
      <c r="CQ776" s="27"/>
      <c r="CR776" s="27"/>
      <c r="CS776" s="27"/>
      <c r="CT776" s="27"/>
      <c r="CU776" s="27"/>
      <c r="CV776" s="27"/>
      <c r="CW776" s="27"/>
      <c r="CX776" s="27"/>
      <c r="CY776" s="27"/>
      <c r="CZ776" s="27"/>
      <c r="DA776" s="27"/>
      <c r="DB776" s="27"/>
      <c r="DC776" s="27"/>
      <c r="DD776" s="27"/>
      <c r="DE776" s="27"/>
      <c r="DF776" s="27"/>
      <c r="DG776" s="27"/>
      <c r="DH776" s="27"/>
      <c r="DI776" s="27"/>
      <c r="DJ776" s="27"/>
      <c r="DK776" s="27"/>
      <c r="DL776" s="27"/>
      <c r="DM776" s="27"/>
      <c r="DN776" s="27"/>
      <c r="DO776" s="27"/>
      <c r="DP776" s="27"/>
      <c r="DQ776" s="27"/>
      <c r="DR776" s="27"/>
      <c r="DS776" s="27"/>
      <c r="DT776" s="27"/>
    </row>
    <row r="777" spans="7:124" x14ac:dyDescent="0.2">
      <c r="G777" s="27"/>
      <c r="H777" s="27"/>
      <c r="I777" s="27"/>
      <c r="J777" s="27"/>
      <c r="K777" s="27"/>
      <c r="L777" s="27" t="s">
        <v>69</v>
      </c>
      <c r="M777" s="27"/>
      <c r="N777" s="27"/>
      <c r="O777" s="27"/>
      <c r="P777" s="27"/>
      <c r="Q777" s="27"/>
      <c r="R777" s="27"/>
      <c r="S777" s="27"/>
      <c r="T777" s="27"/>
      <c r="U777" s="27"/>
      <c r="V777" s="27"/>
      <c r="W777" s="27"/>
      <c r="X777" s="27"/>
      <c r="Y777" s="27"/>
      <c r="Z777" s="27"/>
      <c r="AA777" s="27"/>
      <c r="AB777" s="27"/>
      <c r="AC777" s="27"/>
      <c r="AD777" s="27"/>
      <c r="AE777" s="27"/>
      <c r="AF777" s="27"/>
      <c r="AG777" s="27"/>
      <c r="AH777" s="27"/>
      <c r="AI777" s="27"/>
      <c r="AJ777" s="27"/>
      <c r="AK777" s="27"/>
      <c r="AL777" s="27"/>
      <c r="AM777" s="27"/>
      <c r="AN777" s="27"/>
      <c r="AO777" s="27"/>
      <c r="AP777" s="27"/>
      <c r="AQ777" s="27"/>
      <c r="AR777" s="27"/>
      <c r="AS777" s="27"/>
      <c r="AT777" s="27"/>
      <c r="AU777" s="27"/>
      <c r="AV777" s="27"/>
      <c r="AW777" s="27"/>
      <c r="AX777" s="27"/>
      <c r="AY777" s="27"/>
      <c r="AZ777" s="27"/>
      <c r="BA777" s="27" t="s">
        <v>437</v>
      </c>
      <c r="BB777" s="27" t="s">
        <v>115</v>
      </c>
      <c r="BC777" s="27"/>
      <c r="BD777" s="27"/>
      <c r="BE777" s="27"/>
      <c r="BF777" s="27"/>
      <c r="BG777" s="27"/>
      <c r="BH777" s="27"/>
      <c r="BI777" s="27"/>
      <c r="BJ777" s="27"/>
      <c r="BK777" s="27"/>
      <c r="BL777" s="27"/>
      <c r="BM777" s="27"/>
      <c r="BN777" s="27"/>
      <c r="BO777" s="27"/>
      <c r="BP777" s="27"/>
      <c r="BQ777" s="27"/>
      <c r="BR777" s="27"/>
      <c r="BS777" s="27"/>
      <c r="BT777" s="27"/>
      <c r="BU777" s="27"/>
      <c r="BV777" s="27"/>
      <c r="BW777" s="27"/>
      <c r="BX777" s="27"/>
      <c r="BY777" s="27"/>
      <c r="BZ777" s="27"/>
      <c r="CA777" s="27"/>
      <c r="CB777" s="27"/>
      <c r="CC777" s="27"/>
      <c r="CD777" s="27"/>
      <c r="CE777" s="27"/>
      <c r="CF777" s="27"/>
      <c r="CG777" s="27"/>
      <c r="CH777" s="27"/>
      <c r="CI777" s="27"/>
      <c r="CJ777" s="27"/>
      <c r="CK777" s="27"/>
      <c r="CL777" s="27"/>
      <c r="CM777" s="27"/>
      <c r="CN777" s="27"/>
      <c r="CO777" s="27"/>
      <c r="CP777" s="27"/>
      <c r="CQ777" s="27"/>
      <c r="CR777" s="27"/>
      <c r="CS777" s="27"/>
      <c r="CT777" s="27"/>
      <c r="CU777" s="27"/>
      <c r="CV777" s="27"/>
      <c r="CW777" s="27"/>
      <c r="CX777" s="27"/>
      <c r="CY777" s="27"/>
      <c r="CZ777" s="27"/>
      <c r="DA777" s="27"/>
      <c r="DB777" s="27"/>
      <c r="DC777" s="27"/>
      <c r="DD777" s="27"/>
      <c r="DE777" s="27"/>
      <c r="DF777" s="27"/>
      <c r="DG777" s="27"/>
      <c r="DH777" s="27"/>
      <c r="DI777" s="27"/>
      <c r="DJ777" s="27"/>
      <c r="DK777" s="27"/>
      <c r="DL777" s="27"/>
      <c r="DM777" s="27"/>
      <c r="DN777" s="27"/>
      <c r="DO777" s="27"/>
      <c r="DP777" s="27"/>
      <c r="DQ777" s="27"/>
      <c r="DR777" s="27"/>
      <c r="DS777" s="27"/>
      <c r="DT777" s="27"/>
    </row>
    <row r="778" spans="7:124" x14ac:dyDescent="0.2">
      <c r="G778" s="27"/>
      <c r="H778" s="27" t="s">
        <v>578</v>
      </c>
      <c r="I778" s="27"/>
      <c r="J778" s="27"/>
      <c r="K778" s="27"/>
      <c r="L778" s="27"/>
      <c r="M778" s="27"/>
      <c r="N778" s="27"/>
      <c r="O778" s="27"/>
      <c r="P778" s="27"/>
      <c r="Q778" s="27"/>
      <c r="R778" s="27"/>
      <c r="S778" s="27"/>
      <c r="T778" s="27"/>
      <c r="U778" s="27"/>
      <c r="V778" s="27"/>
      <c r="W778" s="27"/>
      <c r="X778" s="27"/>
      <c r="Y778" s="27"/>
      <c r="Z778" s="27"/>
      <c r="AA778" s="27"/>
      <c r="AB778" s="27"/>
      <c r="AC778" s="27"/>
      <c r="AD778" s="27"/>
      <c r="AE778" s="27"/>
      <c r="AF778" s="27"/>
      <c r="AG778" s="27"/>
      <c r="AH778" s="27"/>
      <c r="AI778" s="27"/>
      <c r="AJ778" s="27"/>
      <c r="AK778" s="27"/>
      <c r="AL778" s="27"/>
      <c r="AM778" s="27"/>
      <c r="AN778" s="27"/>
      <c r="AO778" s="27"/>
      <c r="AP778" s="27"/>
      <c r="AQ778" s="27"/>
      <c r="AR778" s="27"/>
      <c r="AS778" s="27"/>
      <c r="AT778" s="27"/>
      <c r="AU778" s="27"/>
      <c r="AV778" s="27"/>
      <c r="AW778" s="27"/>
      <c r="AX778" s="27"/>
      <c r="AY778" s="27"/>
      <c r="AZ778" s="27"/>
      <c r="BA778" s="27" t="s">
        <v>438</v>
      </c>
      <c r="BB778" s="27">
        <v>0</v>
      </c>
      <c r="BC778" s="27"/>
      <c r="BD778" s="27"/>
      <c r="BE778" s="27"/>
      <c r="BF778" s="27"/>
      <c r="BG778" s="27"/>
      <c r="BH778" s="27"/>
      <c r="BI778" s="27"/>
      <c r="BJ778" s="27"/>
      <c r="BK778" s="27"/>
      <c r="BL778" s="27"/>
      <c r="BM778" s="27"/>
      <c r="BN778" s="27"/>
      <c r="BO778" s="27"/>
      <c r="BP778" s="27"/>
      <c r="BQ778" s="27"/>
      <c r="BR778" s="27"/>
      <c r="BS778" s="27"/>
      <c r="BT778" s="27"/>
      <c r="BU778" s="27">
        <v>24</v>
      </c>
      <c r="BV778" s="27">
        <v>0.02</v>
      </c>
      <c r="BW778" s="27">
        <v>6315.19</v>
      </c>
      <c r="BX778" s="27">
        <v>5965.99</v>
      </c>
      <c r="BY778" s="27">
        <v>5568.23</v>
      </c>
      <c r="BZ778" s="27">
        <v>5320.89</v>
      </c>
      <c r="CA778" s="27">
        <v>4850.3999999999996</v>
      </c>
      <c r="CB778" s="27">
        <v>4850.3999999999996</v>
      </c>
      <c r="CC778" s="27">
        <v>4219.78</v>
      </c>
      <c r="CD778" s="27">
        <v>3952.99</v>
      </c>
      <c r="CE778" s="27">
        <v>3855.99</v>
      </c>
      <c r="CF778" s="27">
        <v>3734.74</v>
      </c>
      <c r="CG778" s="27">
        <v>5320.89</v>
      </c>
      <c r="CH778" s="27">
        <v>4947.43</v>
      </c>
      <c r="CI778" s="27">
        <v>4219.78</v>
      </c>
      <c r="CJ778" s="27">
        <v>5209.34</v>
      </c>
      <c r="CK778" s="27">
        <v>5320.89</v>
      </c>
      <c r="CL778" s="27"/>
      <c r="CM778" s="27"/>
      <c r="CN778" s="27"/>
      <c r="CO778" s="27"/>
      <c r="CP778" s="27"/>
      <c r="CQ778" s="27"/>
      <c r="CR778" s="27"/>
      <c r="CS778" s="27"/>
      <c r="CT778" s="27"/>
      <c r="CU778" s="27"/>
      <c r="CV778" s="27"/>
      <c r="CW778" s="27"/>
      <c r="CX778" s="27"/>
      <c r="CY778" s="27"/>
      <c r="CZ778" s="27"/>
      <c r="DA778" s="27"/>
      <c r="DB778" s="27"/>
      <c r="DC778" s="27"/>
      <c r="DD778" s="27"/>
      <c r="DE778" s="27"/>
      <c r="DF778" s="27"/>
      <c r="DG778" s="27"/>
      <c r="DH778" s="27"/>
      <c r="DI778" s="27"/>
      <c r="DJ778" s="27"/>
      <c r="DK778" s="27"/>
      <c r="DL778" s="27"/>
      <c r="DM778" s="27"/>
      <c r="DN778" s="27"/>
      <c r="DO778" s="27"/>
      <c r="DP778" s="27"/>
      <c r="DQ778" s="27"/>
      <c r="DR778" s="27"/>
      <c r="DS778" s="27"/>
      <c r="DT778" s="27"/>
    </row>
    <row r="779" spans="7:124" x14ac:dyDescent="0.2">
      <c r="G779" s="27"/>
      <c r="H779" s="27">
        <f t="shared" ref="H779:H790" si="18">G47*$C$59</f>
        <v>0</v>
      </c>
      <c r="I779" s="27">
        <f>VLOOKUP(INT(1),horaa2,$AJ$711+2,FALSE)*$AB$747</f>
        <v>0</v>
      </c>
      <c r="J779" s="27"/>
      <c r="K779" s="27" t="s">
        <v>79</v>
      </c>
      <c r="L779" s="27">
        <f>VLOOKUP(INT(G946),ofek4,BB770+2,FALSE)*(1+AB746/100)*T719*T705</f>
        <v>14401.146916299316</v>
      </c>
      <c r="M779" s="27"/>
      <c r="N779" s="27"/>
      <c r="O779" s="27"/>
      <c r="P779" s="27"/>
      <c r="Q779" s="27"/>
      <c r="R779" s="27" t="s">
        <v>407</v>
      </c>
      <c r="S779" s="27"/>
      <c r="T779" s="27"/>
      <c r="U779" s="27"/>
      <c r="V779" s="27"/>
      <c r="W779" s="27"/>
      <c r="X779" s="27"/>
      <c r="Y779" s="27"/>
      <c r="Z779" s="27"/>
      <c r="AA779" s="27"/>
      <c r="AB779" s="27"/>
      <c r="AC779" s="27"/>
      <c r="AD779" s="27"/>
      <c r="AE779" s="27"/>
      <c r="AF779" s="27"/>
      <c r="AG779" s="27"/>
      <c r="AH779" s="27"/>
      <c r="AI779" s="27"/>
      <c r="AJ779" s="27"/>
      <c r="AK779" s="27"/>
      <c r="AL779" s="27"/>
      <c r="AM779" s="27"/>
      <c r="AN779" s="27"/>
      <c r="AO779" s="27"/>
      <c r="AP779" s="27"/>
      <c r="AQ779" s="27"/>
      <c r="AR779" s="27"/>
      <c r="AS779" s="27"/>
      <c r="AT779" s="27"/>
      <c r="AU779" s="27"/>
      <c r="AV779" s="27"/>
      <c r="AW779" s="27"/>
      <c r="AX779" s="27"/>
      <c r="AY779" s="27"/>
      <c r="AZ779" s="27"/>
      <c r="BA779" s="27" t="s">
        <v>439</v>
      </c>
      <c r="BB779" s="27">
        <v>0</v>
      </c>
      <c r="BC779" s="27"/>
      <c r="BD779" s="27"/>
      <c r="BE779" s="27"/>
      <c r="BF779" s="27"/>
      <c r="BG779" s="27"/>
      <c r="BH779" s="27"/>
      <c r="BI779" s="27"/>
      <c r="BJ779" s="27"/>
      <c r="BK779" s="27"/>
      <c r="BL779" s="27"/>
      <c r="BM779" s="27"/>
      <c r="BN779" s="27"/>
      <c r="BO779" s="27"/>
      <c r="BP779" s="27"/>
      <c r="BQ779" s="27"/>
      <c r="BR779" s="27"/>
      <c r="BS779" s="27"/>
      <c r="BT779" s="27"/>
      <c r="BU779" s="27"/>
      <c r="BV779" s="27"/>
      <c r="BW779" s="27"/>
      <c r="BX779" s="27"/>
      <c r="BY779" s="27"/>
      <c r="BZ779" s="27"/>
      <c r="CA779" s="27"/>
      <c r="CB779" s="27"/>
      <c r="CC779" s="27"/>
      <c r="CD779" s="27"/>
      <c r="CE779" s="27"/>
      <c r="CF779" s="27"/>
      <c r="CG779" s="27"/>
      <c r="CH779" s="27"/>
      <c r="CI779" s="27"/>
      <c r="CJ779" s="27"/>
      <c r="CK779" s="27"/>
      <c r="CL779" s="27"/>
      <c r="CM779" s="27"/>
      <c r="CN779" s="27"/>
      <c r="CO779" s="27"/>
      <c r="CP779" s="27"/>
      <c r="CQ779" s="27"/>
      <c r="CR779" s="27"/>
      <c r="CS779" s="27"/>
      <c r="CT779" s="27"/>
      <c r="CU779" s="27"/>
      <c r="CV779" s="27"/>
      <c r="CW779" s="27"/>
      <c r="CX779" s="27"/>
      <c r="CY779" s="27"/>
      <c r="CZ779" s="27"/>
      <c r="DA779" s="27"/>
      <c r="DB779" s="27"/>
      <c r="DC779" s="27"/>
      <c r="DD779" s="27"/>
      <c r="DE779" s="27"/>
      <c r="DF779" s="27"/>
      <c r="DG779" s="27"/>
      <c r="DH779" s="27"/>
      <c r="DI779" s="27"/>
      <c r="DJ779" s="27"/>
      <c r="DK779" s="27"/>
      <c r="DL779" s="27"/>
      <c r="DM779" s="27"/>
      <c r="DN779" s="27"/>
      <c r="DO779" s="27"/>
      <c r="DP779" s="27"/>
      <c r="DQ779" s="27"/>
      <c r="DR779" s="27"/>
      <c r="DS779" s="27"/>
      <c r="DT779" s="27"/>
    </row>
    <row r="780" spans="7:124" x14ac:dyDescent="0.2">
      <c r="G780" s="27"/>
      <c r="H780" s="27">
        <f t="shared" si="18"/>
        <v>0</v>
      </c>
      <c r="I780" s="27"/>
      <c r="J780" s="27"/>
      <c r="K780" s="27"/>
      <c r="L780" s="27"/>
      <c r="M780" s="27"/>
      <c r="N780" s="27"/>
      <c r="O780" s="27"/>
      <c r="P780" s="27"/>
      <c r="Q780" s="27"/>
      <c r="R780" s="27"/>
      <c r="S780" s="27"/>
      <c r="T780" s="27"/>
      <c r="U780" s="27"/>
      <c r="V780" s="27"/>
      <c r="W780" s="27"/>
      <c r="X780" s="27"/>
      <c r="Y780" s="27"/>
      <c r="Z780" s="27"/>
      <c r="AA780" s="27"/>
      <c r="AB780" s="27"/>
      <c r="AC780" s="27"/>
      <c r="AD780" s="27"/>
      <c r="AE780" s="27"/>
      <c r="AF780" s="27"/>
      <c r="AG780" s="27"/>
      <c r="AH780" s="27"/>
      <c r="AI780" s="27"/>
      <c r="AJ780" s="27"/>
      <c r="AK780" s="27"/>
      <c r="AL780" s="27"/>
      <c r="AM780" s="27"/>
      <c r="AN780" s="27"/>
      <c r="AO780" s="27"/>
      <c r="AP780" s="27"/>
      <c r="AQ780" s="27"/>
      <c r="AR780" s="27"/>
      <c r="AS780" s="27"/>
      <c r="AT780" s="27"/>
      <c r="AU780" s="27"/>
      <c r="AV780" s="27"/>
      <c r="AW780" s="27"/>
      <c r="AX780" s="27"/>
      <c r="AY780" s="27"/>
      <c r="AZ780" s="27"/>
      <c r="BA780" s="27" t="s">
        <v>441</v>
      </c>
      <c r="BB780" s="27">
        <v>0</v>
      </c>
      <c r="BC780" s="27"/>
      <c r="BD780" s="27"/>
      <c r="BE780" s="27"/>
      <c r="BF780" s="27"/>
      <c r="BG780" s="27"/>
      <c r="BH780" s="27"/>
      <c r="BI780" s="27"/>
      <c r="BJ780" s="27"/>
      <c r="BK780" s="27"/>
      <c r="BL780" s="27"/>
      <c r="BM780" s="27"/>
      <c r="BN780" s="27"/>
      <c r="BO780" s="27"/>
      <c r="BP780" s="27"/>
      <c r="BQ780" s="27"/>
      <c r="BR780" s="27"/>
      <c r="BS780" s="27"/>
      <c r="BT780" s="27"/>
      <c r="BU780" s="27">
        <v>25</v>
      </c>
      <c r="BV780" s="27">
        <v>0.02</v>
      </c>
      <c r="BW780" s="27">
        <v>6441.49</v>
      </c>
      <c r="BX780" s="27">
        <v>6085.3</v>
      </c>
      <c r="BY780" s="27">
        <v>5679.59</v>
      </c>
      <c r="BZ780" s="27">
        <v>5427.3</v>
      </c>
      <c r="CA780" s="27">
        <v>4947.3999999999996</v>
      </c>
      <c r="CB780" s="27">
        <v>4947.3999999999996</v>
      </c>
      <c r="CC780" s="27">
        <v>4304.17</v>
      </c>
      <c r="CD780" s="27">
        <v>4032.04</v>
      </c>
      <c r="CE780" s="27">
        <v>3933.1</v>
      </c>
      <c r="CF780" s="27">
        <v>3809.43</v>
      </c>
      <c r="CG780" s="27">
        <v>5427.3</v>
      </c>
      <c r="CH780" s="27">
        <v>5046.37</v>
      </c>
      <c r="CI780" s="27">
        <v>4304.17</v>
      </c>
      <c r="CJ780" s="27">
        <v>5313.52</v>
      </c>
      <c r="CK780" s="27">
        <v>5427.3</v>
      </c>
      <c r="CL780" s="27"/>
      <c r="CM780" s="27"/>
      <c r="CN780" s="27"/>
      <c r="CO780" s="27"/>
      <c r="CP780" s="27"/>
      <c r="CQ780" s="27"/>
      <c r="CR780" s="27"/>
      <c r="CS780" s="27"/>
      <c r="CT780" s="27"/>
      <c r="CU780" s="27"/>
      <c r="CV780" s="27"/>
      <c r="CW780" s="27"/>
      <c r="CX780" s="27"/>
      <c r="CY780" s="27"/>
      <c r="CZ780" s="27"/>
      <c r="DA780" s="27"/>
      <c r="DB780" s="27"/>
      <c r="DC780" s="27"/>
      <c r="DD780" s="27"/>
      <c r="DE780" s="27"/>
      <c r="DF780" s="27"/>
      <c r="DG780" s="27"/>
      <c r="DH780" s="27"/>
      <c r="DI780" s="27"/>
      <c r="DJ780" s="27"/>
      <c r="DK780" s="27"/>
      <c r="DL780" s="27"/>
      <c r="DM780" s="27"/>
      <c r="DN780" s="27"/>
      <c r="DO780" s="27"/>
      <c r="DP780" s="27"/>
      <c r="DQ780" s="27"/>
      <c r="DR780" s="27"/>
      <c r="DS780" s="27"/>
      <c r="DT780" s="27"/>
    </row>
    <row r="781" spans="7:124" x14ac:dyDescent="0.2">
      <c r="G781" s="27"/>
      <c r="H781" s="27">
        <f t="shared" si="18"/>
        <v>0</v>
      </c>
      <c r="I781" s="27"/>
      <c r="J781" s="27"/>
      <c r="K781" s="27" t="str">
        <f ca="1">IF(OR((AP719=TRUE),L781=0),"מענק יובל  מ  "&amp;AX720,"מענק יובל")</f>
        <v>מענק יובל</v>
      </c>
      <c r="L781" s="27">
        <f>IF(BB771+BB772+G905&gt;=AJ750,'[1]נתוני מס'!I16*L807,0)</f>
        <v>8640.6881497795894</v>
      </c>
      <c r="M781" s="27"/>
      <c r="N781" s="27"/>
      <c r="O781" s="27"/>
      <c r="P781" s="27"/>
      <c r="Q781" s="27"/>
      <c r="R781" s="27" t="s">
        <v>446</v>
      </c>
      <c r="S781" s="27"/>
      <c r="T781" s="27"/>
      <c r="U781" s="27"/>
      <c r="V781" s="27"/>
      <c r="W781" s="27"/>
      <c r="X781" s="27"/>
      <c r="Y781" s="27"/>
      <c r="Z781" s="27"/>
      <c r="AA781" s="27"/>
      <c r="AB781" s="27"/>
      <c r="AC781" s="27"/>
      <c r="AD781" s="27"/>
      <c r="AE781" s="27"/>
      <c r="AF781" s="27"/>
      <c r="AG781" s="27"/>
      <c r="AH781" s="27"/>
      <c r="AI781" s="27"/>
      <c r="AJ781" s="27"/>
      <c r="AK781" s="27"/>
      <c r="AL781" s="27"/>
      <c r="AM781" s="27"/>
      <c r="AN781" s="27"/>
      <c r="AO781" s="27"/>
      <c r="AP781" s="27"/>
      <c r="AQ781" s="27"/>
      <c r="AR781" s="27"/>
      <c r="AS781" s="27"/>
      <c r="AT781" s="27"/>
      <c r="AU781" s="27"/>
      <c r="AV781" s="27"/>
      <c r="AW781" s="27"/>
      <c r="AX781" s="27"/>
      <c r="AY781" s="27"/>
      <c r="AZ781" s="27"/>
      <c r="BA781" s="27" t="s">
        <v>447</v>
      </c>
      <c r="BB781" s="27" t="s">
        <v>27</v>
      </c>
      <c r="BC781" s="27"/>
      <c r="BD781" s="27"/>
      <c r="BE781" s="27"/>
      <c r="BF781" s="27"/>
      <c r="BG781" s="27"/>
      <c r="BH781" s="27"/>
      <c r="BI781" s="27"/>
      <c r="BJ781" s="27"/>
      <c r="BK781" s="27"/>
      <c r="BL781" s="27"/>
      <c r="BM781" s="27"/>
      <c r="BN781" s="27"/>
      <c r="BO781" s="27"/>
      <c r="BP781" s="27"/>
      <c r="BQ781" s="27"/>
      <c r="BR781" s="27"/>
      <c r="BS781" s="27"/>
      <c r="BT781" s="27"/>
      <c r="BU781" s="27"/>
      <c r="BV781" s="27"/>
      <c r="BW781" s="27"/>
      <c r="BX781" s="27"/>
      <c r="BY781" s="27"/>
      <c r="BZ781" s="27"/>
      <c r="CA781" s="27"/>
      <c r="CB781" s="27"/>
      <c r="CC781" s="27"/>
      <c r="CD781" s="27"/>
      <c r="CE781" s="27"/>
      <c r="CF781" s="27"/>
      <c r="CG781" s="27"/>
      <c r="CH781" s="27"/>
      <c r="CI781" s="27"/>
      <c r="CJ781" s="27"/>
      <c r="CK781" s="27"/>
      <c r="CL781" s="27"/>
      <c r="CM781" s="27"/>
      <c r="CN781" s="27"/>
      <c r="CO781" s="27"/>
      <c r="CP781" s="27"/>
      <c r="CQ781" s="27"/>
      <c r="CR781" s="27"/>
      <c r="CS781" s="27"/>
      <c r="CT781" s="27"/>
      <c r="CU781" s="27"/>
      <c r="CV781" s="27"/>
      <c r="CW781" s="27"/>
      <c r="CX781" s="27"/>
      <c r="CY781" s="27"/>
      <c r="CZ781" s="27"/>
      <c r="DA781" s="27"/>
      <c r="DB781" s="27"/>
      <c r="DC781" s="27"/>
      <c r="DD781" s="27"/>
      <c r="DE781" s="27"/>
      <c r="DF781" s="27"/>
      <c r="DG781" s="27"/>
      <c r="DH781" s="27"/>
      <c r="DI781" s="27"/>
      <c r="DJ781" s="27"/>
      <c r="DK781" s="27"/>
      <c r="DL781" s="27"/>
      <c r="DM781" s="27"/>
      <c r="DN781" s="27"/>
      <c r="DO781" s="27"/>
      <c r="DP781" s="27"/>
      <c r="DQ781" s="27"/>
      <c r="DR781" s="27"/>
      <c r="DS781" s="27"/>
      <c r="DT781" s="27"/>
    </row>
    <row r="782" spans="7:124" x14ac:dyDescent="0.2">
      <c r="G782" s="27"/>
      <c r="H782" s="27">
        <f t="shared" si="18"/>
        <v>0</v>
      </c>
      <c r="I782" s="27"/>
      <c r="J782" s="27"/>
      <c r="K782" s="27" t="s">
        <v>94</v>
      </c>
      <c r="L782" s="27">
        <f>IF(BB771&lt;26,'[1]נתוני מס'!I18*AX737,'[1]נתוני מס'!I19*AX737)</f>
        <v>2014</v>
      </c>
      <c r="M782" s="27"/>
      <c r="N782" s="27"/>
      <c r="O782" s="27"/>
      <c r="P782" s="27"/>
      <c r="Q782" s="27"/>
      <c r="R782" s="27">
        <f>BB770</f>
        <v>6</v>
      </c>
      <c r="S782" s="27"/>
      <c r="T782" s="27"/>
      <c r="U782" s="27"/>
      <c r="V782" s="27"/>
      <c r="W782" s="27"/>
      <c r="X782" s="27"/>
      <c r="Y782" s="27"/>
      <c r="Z782" s="27"/>
      <c r="AA782" s="27"/>
      <c r="AB782" s="27"/>
      <c r="AC782" s="27"/>
      <c r="AD782" s="27"/>
      <c r="AE782" s="27"/>
      <c r="AF782" s="27"/>
      <c r="AG782" s="27"/>
      <c r="AH782" s="27"/>
      <c r="AI782" s="27"/>
      <c r="AJ782" s="27"/>
      <c r="AK782" s="27"/>
      <c r="AL782" s="27"/>
      <c r="AM782" s="27"/>
      <c r="AN782" s="27"/>
      <c r="AO782" s="27"/>
      <c r="AP782" s="27"/>
      <c r="AQ782" s="27"/>
      <c r="AR782" s="27"/>
      <c r="AS782" s="27"/>
      <c r="AT782" s="27"/>
      <c r="AU782" s="27"/>
      <c r="AV782" s="27"/>
      <c r="AW782" s="27"/>
      <c r="AX782" s="27"/>
      <c r="AY782" s="27"/>
      <c r="AZ782" s="27"/>
      <c r="BA782" s="27" t="s">
        <v>251</v>
      </c>
      <c r="BB782" s="27">
        <v>0</v>
      </c>
      <c r="BC782" s="27"/>
      <c r="BD782" s="27"/>
      <c r="BE782" s="27"/>
      <c r="BF782" s="27"/>
      <c r="BG782" s="27"/>
      <c r="BH782" s="27"/>
      <c r="BI782" s="27"/>
      <c r="BJ782" s="27"/>
      <c r="BK782" s="27"/>
      <c r="BL782" s="27"/>
      <c r="BM782" s="27"/>
      <c r="BN782" s="27"/>
      <c r="BO782" s="27"/>
      <c r="BP782" s="27"/>
      <c r="BQ782" s="27"/>
      <c r="BR782" s="27"/>
      <c r="BS782" s="27"/>
      <c r="BT782" s="27"/>
      <c r="BU782" s="27">
        <v>26</v>
      </c>
      <c r="BV782" s="27">
        <v>0.01</v>
      </c>
      <c r="BW782" s="27">
        <v>6505.9</v>
      </c>
      <c r="BX782" s="27">
        <v>6146.15</v>
      </c>
      <c r="BY782" s="27">
        <v>5736.38</v>
      </c>
      <c r="BZ782" s="27">
        <v>5481.57</v>
      </c>
      <c r="CA782" s="27">
        <v>4996.87</v>
      </c>
      <c r="CB782" s="27">
        <v>4996.87</v>
      </c>
      <c r="CC782" s="27">
        <v>4347.21</v>
      </c>
      <c r="CD782" s="27">
        <v>4072.36</v>
      </c>
      <c r="CE782" s="27">
        <v>3972.43</v>
      </c>
      <c r="CF782" s="27">
        <v>3847.52</v>
      </c>
      <c r="CG782" s="27">
        <v>5481.57</v>
      </c>
      <c r="CH782" s="27">
        <v>5096.83</v>
      </c>
      <c r="CI782" s="27">
        <v>4347.21</v>
      </c>
      <c r="CJ782" s="27">
        <v>5366.65</v>
      </c>
      <c r="CK782" s="27">
        <v>5481.57</v>
      </c>
      <c r="CL782" s="27"/>
      <c r="CM782" s="27"/>
      <c r="CN782" s="27"/>
      <c r="CO782" s="27"/>
      <c r="CP782" s="27"/>
      <c r="CQ782" s="27"/>
      <c r="CR782" s="27"/>
      <c r="CS782" s="27"/>
      <c r="CT782" s="27"/>
      <c r="CU782" s="27"/>
      <c r="CV782" s="27"/>
      <c r="CW782" s="27"/>
      <c r="CX782" s="27"/>
      <c r="CY782" s="27"/>
      <c r="CZ782" s="27"/>
      <c r="DA782" s="27"/>
      <c r="DB782" s="27"/>
      <c r="DC782" s="27"/>
      <c r="DD782" s="27"/>
      <c r="DE782" s="27"/>
      <c r="DF782" s="27"/>
      <c r="DG782" s="27"/>
      <c r="DH782" s="27"/>
      <c r="DI782" s="27"/>
      <c r="DJ782" s="27"/>
      <c r="DK782" s="27"/>
      <c r="DL782" s="27"/>
      <c r="DM782" s="27"/>
      <c r="DN782" s="27"/>
      <c r="DO782" s="27"/>
      <c r="DP782" s="27"/>
      <c r="DQ782" s="27"/>
      <c r="DR782" s="27"/>
      <c r="DS782" s="27"/>
      <c r="DT782" s="27"/>
    </row>
    <row r="783" spans="7:124" x14ac:dyDescent="0.2">
      <c r="G783" s="27"/>
      <c r="H783" s="27">
        <f t="shared" si="18"/>
        <v>0</v>
      </c>
      <c r="I783" s="27"/>
      <c r="J783" s="27"/>
      <c r="K783" s="27" t="s">
        <v>102</v>
      </c>
      <c r="L783" s="27" t="e">
        <f>#REF!</f>
        <v>#REF!</v>
      </c>
      <c r="M783" s="27"/>
      <c r="N783" s="27"/>
      <c r="O783" s="27"/>
      <c r="P783" s="27"/>
      <c r="Q783" s="27"/>
      <c r="R783" s="27">
        <f>INT(L784)</f>
        <v>14401</v>
      </c>
      <c r="S783" s="27"/>
      <c r="T783" s="27"/>
      <c r="U783" s="27"/>
      <c r="V783" s="27"/>
      <c r="W783" s="27"/>
      <c r="X783" s="27"/>
      <c r="Y783" s="27"/>
      <c r="Z783" s="27"/>
      <c r="AA783" s="27"/>
      <c r="AB783" s="27"/>
      <c r="AC783" s="27"/>
      <c r="AD783" s="27"/>
      <c r="AE783" s="27"/>
      <c r="AF783" s="27"/>
      <c r="AG783" s="27"/>
      <c r="AH783" s="27"/>
      <c r="AI783" s="27"/>
      <c r="AJ783" s="27"/>
      <c r="AK783" s="27"/>
      <c r="AL783" s="27"/>
      <c r="AM783" s="27"/>
      <c r="AN783" s="27"/>
      <c r="AO783" s="27"/>
      <c r="AP783" s="27"/>
      <c r="AQ783" s="27"/>
      <c r="AR783" s="27"/>
      <c r="AS783" s="27"/>
      <c r="AT783" s="27"/>
      <c r="AU783" s="27"/>
      <c r="AV783" s="27"/>
      <c r="AW783" s="27"/>
      <c r="AX783" s="27"/>
      <c r="AY783" s="27"/>
      <c r="AZ783" s="27"/>
      <c r="BA783" s="27" t="s">
        <v>376</v>
      </c>
      <c r="BB783" s="27">
        <v>0</v>
      </c>
      <c r="BC783" s="27"/>
      <c r="BD783" s="27"/>
      <c r="BE783" s="27"/>
      <c r="BF783" s="27"/>
      <c r="BG783" s="27"/>
      <c r="BH783" s="27"/>
      <c r="BI783" s="27"/>
      <c r="BJ783" s="27"/>
      <c r="BK783" s="27"/>
      <c r="BL783" s="27"/>
      <c r="BM783" s="27"/>
      <c r="BN783" s="27"/>
      <c r="BO783" s="27"/>
      <c r="BP783" s="27"/>
      <c r="BQ783" s="27"/>
      <c r="BR783" s="27"/>
      <c r="BS783" s="27"/>
      <c r="BT783" s="27"/>
      <c r="BU783" s="27"/>
      <c r="BV783" s="27"/>
      <c r="BW783" s="27"/>
      <c r="BX783" s="27"/>
      <c r="BY783" s="27"/>
      <c r="BZ783" s="27"/>
      <c r="CA783" s="27"/>
      <c r="CB783" s="27"/>
      <c r="CC783" s="27"/>
      <c r="CD783" s="27"/>
      <c r="CE783" s="27"/>
      <c r="CF783" s="27"/>
      <c r="CG783" s="27"/>
      <c r="CH783" s="27"/>
      <c r="CI783" s="27"/>
      <c r="CJ783" s="27"/>
      <c r="CK783" s="27"/>
      <c r="CL783" s="27"/>
      <c r="CM783" s="27"/>
      <c r="CN783" s="27"/>
      <c r="CO783" s="27"/>
      <c r="CP783" s="27"/>
      <c r="CQ783" s="27"/>
      <c r="CR783" s="27"/>
      <c r="CS783" s="27"/>
      <c r="CT783" s="27"/>
      <c r="CU783" s="27"/>
      <c r="CV783" s="27"/>
      <c r="CW783" s="27"/>
      <c r="CX783" s="27"/>
      <c r="CY783" s="27"/>
      <c r="CZ783" s="27"/>
      <c r="DA783" s="27"/>
      <c r="DB783" s="27"/>
      <c r="DC783" s="27"/>
      <c r="DD783" s="27"/>
      <c r="DE783" s="27"/>
      <c r="DF783" s="27"/>
      <c r="DG783" s="27"/>
      <c r="DH783" s="27"/>
      <c r="DI783" s="27"/>
      <c r="DJ783" s="27"/>
      <c r="DK783" s="27"/>
      <c r="DL783" s="27"/>
      <c r="DM783" s="27"/>
      <c r="DN783" s="27"/>
      <c r="DO783" s="27"/>
      <c r="DP783" s="27"/>
      <c r="DQ783" s="27"/>
      <c r="DR783" s="27"/>
      <c r="DS783" s="27"/>
      <c r="DT783" s="27"/>
    </row>
    <row r="784" spans="7:124" x14ac:dyDescent="0.2">
      <c r="G784" s="27"/>
      <c r="H784" s="27">
        <f t="shared" si="18"/>
        <v>0</v>
      </c>
      <c r="I784" s="27"/>
      <c r="J784" s="27"/>
      <c r="K784" s="27" t="s">
        <v>87</v>
      </c>
      <c r="L784" s="27">
        <f>F926</f>
        <v>14401.146916299316</v>
      </c>
      <c r="M784" s="27"/>
      <c r="N784" s="27"/>
      <c r="O784" s="27"/>
      <c r="P784" s="27"/>
      <c r="Q784" s="27"/>
      <c r="R784" s="27"/>
      <c r="S784" s="27"/>
      <c r="T784" s="27"/>
      <c r="U784" s="27"/>
      <c r="V784" s="27"/>
      <c r="W784" s="27"/>
      <c r="X784" s="27"/>
      <c r="Y784" s="27"/>
      <c r="Z784" s="27"/>
      <c r="AA784" s="27"/>
      <c r="AB784" s="27"/>
      <c r="AC784" s="27"/>
      <c r="AD784" s="27"/>
      <c r="AE784" s="27"/>
      <c r="AF784" s="27"/>
      <c r="AG784" s="27"/>
      <c r="AH784" s="27"/>
      <c r="AI784" s="27"/>
      <c r="AJ784" s="27"/>
      <c r="AK784" s="27"/>
      <c r="AL784" s="27"/>
      <c r="AM784" s="27"/>
      <c r="AN784" s="27"/>
      <c r="AO784" s="27"/>
      <c r="AP784" s="27"/>
      <c r="AQ784" s="27"/>
      <c r="AR784" s="27"/>
      <c r="AS784" s="27"/>
      <c r="AT784" s="27"/>
      <c r="AU784" s="27"/>
      <c r="AV784" s="27"/>
      <c r="AW784" s="27"/>
      <c r="AX784" s="27"/>
      <c r="AY784" s="27"/>
      <c r="AZ784" s="27"/>
      <c r="BA784" s="27" t="str">
        <f>IF(BB784&lt;0,"ימי מחלה לפדיון","יתרת ימי מחלה")</f>
        <v>יתרת ימי מחלה</v>
      </c>
      <c r="BB784" s="27">
        <v>0</v>
      </c>
      <c r="BC784" s="27"/>
      <c r="BD784" s="27"/>
      <c r="BE784" s="27"/>
      <c r="BF784" s="27"/>
      <c r="BG784" s="27"/>
      <c r="BH784" s="27"/>
      <c r="BI784" s="27"/>
      <c r="BJ784" s="27"/>
      <c r="BK784" s="27"/>
      <c r="BL784" s="27"/>
      <c r="BM784" s="27"/>
      <c r="BN784" s="27"/>
      <c r="BO784" s="27"/>
      <c r="BP784" s="27"/>
      <c r="BQ784" s="27"/>
      <c r="BR784" s="27"/>
      <c r="BS784" s="27"/>
      <c r="BT784" s="27"/>
      <c r="BU784" s="27">
        <v>27</v>
      </c>
      <c r="BV784" s="27">
        <v>0.01</v>
      </c>
      <c r="BW784" s="27">
        <v>6570.95</v>
      </c>
      <c r="BX784" s="27">
        <v>6207.61</v>
      </c>
      <c r="BY784" s="27">
        <v>5793.74</v>
      </c>
      <c r="BZ784" s="27">
        <v>5536.38</v>
      </c>
      <c r="CA784" s="27">
        <v>5046.83</v>
      </c>
      <c r="CB784" s="27">
        <v>5046.83</v>
      </c>
      <c r="CC784" s="27">
        <v>4390.68</v>
      </c>
      <c r="CD784" s="27">
        <v>4113.08</v>
      </c>
      <c r="CE784" s="27">
        <v>4012.15</v>
      </c>
      <c r="CF784" s="27">
        <v>3885.99</v>
      </c>
      <c r="CG784" s="27">
        <v>5536.38</v>
      </c>
      <c r="CH784" s="27">
        <v>5147.79</v>
      </c>
      <c r="CI784" s="27">
        <v>4390.68</v>
      </c>
      <c r="CJ784" s="27">
        <v>5420.31</v>
      </c>
      <c r="CK784" s="27">
        <v>5536.38</v>
      </c>
      <c r="CL784" s="27"/>
      <c r="CM784" s="27"/>
      <c r="CN784" s="27"/>
      <c r="CO784" s="27"/>
      <c r="CP784" s="27"/>
      <c r="CQ784" s="27"/>
      <c r="CR784" s="27"/>
      <c r="CS784" s="27"/>
      <c r="CT784" s="27"/>
      <c r="CU784" s="27"/>
      <c r="CV784" s="27"/>
      <c r="CW784" s="27"/>
      <c r="CX784" s="27"/>
      <c r="CY784" s="27"/>
      <c r="CZ784" s="27"/>
      <c r="DA784" s="27"/>
      <c r="DB784" s="27"/>
      <c r="DC784" s="27"/>
      <c r="DD784" s="27"/>
      <c r="DE784" s="27"/>
      <c r="DF784" s="27"/>
      <c r="DG784" s="27"/>
      <c r="DH784" s="27"/>
      <c r="DI784" s="27"/>
      <c r="DJ784" s="27"/>
      <c r="DK784" s="27"/>
      <c r="DL784" s="27"/>
      <c r="DM784" s="27"/>
      <c r="DN784" s="27"/>
      <c r="DO784" s="27"/>
      <c r="DP784" s="27"/>
      <c r="DQ784" s="27"/>
      <c r="DR784" s="27"/>
      <c r="DS784" s="27"/>
      <c r="DT784" s="27"/>
    </row>
    <row r="785" spans="7:124" x14ac:dyDescent="0.2">
      <c r="G785" s="27"/>
      <c r="H785" s="27">
        <f t="shared" si="18"/>
        <v>0</v>
      </c>
      <c r="I785" s="27"/>
      <c r="J785" s="27"/>
      <c r="K785" s="27" t="str">
        <f>IF(S705=0," = הזן  נתונים מימין ==&gt;",R705)</f>
        <v>ת.שכר 2001</v>
      </c>
      <c r="L785" s="27">
        <v>0</v>
      </c>
      <c r="M785" s="27"/>
      <c r="N785" s="27"/>
      <c r="O785" s="27"/>
      <c r="P785" s="27"/>
      <c r="Q785" s="27"/>
      <c r="R785" s="27"/>
      <c r="S785" s="27"/>
      <c r="T785" s="27"/>
      <c r="U785" s="27"/>
      <c r="V785" s="27"/>
      <c r="W785" s="27"/>
      <c r="X785" s="27"/>
      <c r="Y785" s="27"/>
      <c r="Z785" s="27"/>
      <c r="AA785" s="27"/>
      <c r="AB785" s="27"/>
      <c r="AC785" s="27"/>
      <c r="AD785" s="27"/>
      <c r="AE785" s="27"/>
      <c r="AF785" s="27"/>
      <c r="AG785" s="27"/>
      <c r="AH785" s="27"/>
      <c r="AI785" s="27"/>
      <c r="AJ785" s="27"/>
      <c r="AK785" s="27"/>
      <c r="AL785" s="27"/>
      <c r="AM785" s="27"/>
      <c r="AN785" s="27"/>
      <c r="AO785" s="27"/>
      <c r="AP785" s="27"/>
      <c r="AQ785" s="27"/>
      <c r="AR785" s="27"/>
      <c r="AS785" s="27"/>
      <c r="AT785" s="27"/>
      <c r="AU785" s="27"/>
      <c r="AV785" s="27"/>
      <c r="AW785" s="27"/>
      <c r="AX785" s="27"/>
      <c r="AY785" s="27"/>
      <c r="AZ785" s="27"/>
      <c r="BA785" s="27" t="str">
        <f>IF(BB785&lt;0,"ימי חופש לפדיון","יתרת ימי חופש")</f>
        <v>יתרת ימי חופש</v>
      </c>
      <c r="BB785" s="27">
        <v>0</v>
      </c>
      <c r="BC785" s="27"/>
      <c r="BD785" s="27"/>
      <c r="BE785" s="27"/>
      <c r="BF785" s="27"/>
      <c r="BG785" s="27"/>
      <c r="BH785" s="27"/>
      <c r="BI785" s="27"/>
      <c r="BJ785" s="27"/>
      <c r="BK785" s="27"/>
      <c r="BL785" s="27"/>
      <c r="BM785" s="27"/>
      <c r="BN785" s="27"/>
      <c r="BO785" s="27"/>
      <c r="BP785" s="27"/>
      <c r="BQ785" s="27"/>
      <c r="BR785" s="27"/>
      <c r="BS785" s="27"/>
      <c r="BT785" s="27"/>
      <c r="BU785" s="27"/>
      <c r="BV785" s="27"/>
      <c r="BW785" s="27"/>
      <c r="BX785" s="27"/>
      <c r="BY785" s="27"/>
      <c r="BZ785" s="27"/>
      <c r="CA785" s="27"/>
      <c r="CB785" s="27"/>
      <c r="CC785" s="27"/>
      <c r="CD785" s="27"/>
      <c r="CE785" s="27"/>
      <c r="CF785" s="27"/>
      <c r="CG785" s="27"/>
      <c r="CH785" s="27"/>
      <c r="CI785" s="27"/>
      <c r="CJ785" s="27"/>
      <c r="CK785" s="27"/>
      <c r="CL785" s="27"/>
      <c r="CM785" s="27"/>
      <c r="CN785" s="27"/>
      <c r="CO785" s="27"/>
      <c r="CP785" s="27"/>
      <c r="CQ785" s="27"/>
      <c r="CR785" s="27"/>
      <c r="CS785" s="27"/>
      <c r="CT785" s="27"/>
      <c r="CU785" s="27"/>
      <c r="CV785" s="27"/>
      <c r="CW785" s="27"/>
      <c r="CX785" s="27"/>
      <c r="CY785" s="27"/>
      <c r="CZ785" s="27"/>
      <c r="DA785" s="27"/>
      <c r="DB785" s="27"/>
      <c r="DC785" s="27"/>
      <c r="DD785" s="27"/>
      <c r="DE785" s="27"/>
      <c r="DF785" s="27"/>
      <c r="DG785" s="27"/>
      <c r="DH785" s="27"/>
      <c r="DI785" s="27"/>
      <c r="DJ785" s="27"/>
      <c r="DK785" s="27"/>
      <c r="DL785" s="27"/>
      <c r="DM785" s="27"/>
      <c r="DN785" s="27"/>
      <c r="DO785" s="27"/>
      <c r="DP785" s="27"/>
      <c r="DQ785" s="27"/>
      <c r="DR785" s="27"/>
      <c r="DS785" s="27"/>
      <c r="DT785" s="27"/>
    </row>
    <row r="786" spans="7:124" x14ac:dyDescent="0.2">
      <c r="G786" s="27"/>
      <c r="H786" s="27">
        <f t="shared" si="18"/>
        <v>0</v>
      </c>
      <c r="I786" s="27"/>
      <c r="J786" s="27"/>
      <c r="K786" s="27" t="e">
        <f>IF(#REF!=0," = הזן  נתונים  מימין ==&gt;",#REF!)</f>
        <v>#REF!</v>
      </c>
      <c r="L786" s="27">
        <v>0</v>
      </c>
      <c r="M786" s="27"/>
      <c r="N786" s="27"/>
      <c r="O786" s="27"/>
      <c r="P786" s="27"/>
      <c r="Q786" s="27"/>
      <c r="R786" s="27"/>
      <c r="S786" s="27"/>
      <c r="T786" s="27"/>
      <c r="U786" s="27"/>
      <c r="V786" s="27"/>
      <c r="W786" s="27"/>
      <c r="X786" s="27"/>
      <c r="Y786" s="27"/>
      <c r="Z786" s="27"/>
      <c r="AA786" s="27"/>
      <c r="AB786" s="27"/>
      <c r="AC786" s="27"/>
      <c r="AD786" s="27"/>
      <c r="AE786" s="27"/>
      <c r="AF786" s="27"/>
      <c r="AG786" s="27"/>
      <c r="AH786" s="27"/>
      <c r="AI786" s="27"/>
      <c r="AJ786" s="27"/>
      <c r="AK786" s="27"/>
      <c r="AL786" s="27"/>
      <c r="AM786" s="27"/>
      <c r="AN786" s="27"/>
      <c r="AO786" s="27"/>
      <c r="AP786" s="27"/>
      <c r="AQ786" s="27"/>
      <c r="AR786" s="27"/>
      <c r="AS786" s="27"/>
      <c r="AT786" s="27"/>
      <c r="AU786" s="27"/>
      <c r="AV786" s="27"/>
      <c r="AW786" s="27"/>
      <c r="AX786" s="27"/>
      <c r="AY786" s="27"/>
      <c r="AZ786" s="27"/>
      <c r="BA786" s="27" t="s">
        <v>449</v>
      </c>
      <c r="BB786" s="27">
        <v>2.75</v>
      </c>
      <c r="BC786" s="27"/>
      <c r="BD786" s="27"/>
      <c r="BE786" s="27"/>
      <c r="BF786" s="27"/>
      <c r="BG786" s="27"/>
      <c r="BH786" s="27"/>
      <c r="BI786" s="27"/>
      <c r="BJ786" s="27"/>
      <c r="BK786" s="27"/>
      <c r="BL786" s="27"/>
      <c r="BM786" s="27"/>
      <c r="BN786" s="27"/>
      <c r="BO786" s="27"/>
      <c r="BP786" s="27"/>
      <c r="BQ786" s="27"/>
      <c r="BR786" s="27"/>
      <c r="BS786" s="27"/>
      <c r="BT786" s="27"/>
      <c r="BU786" s="27">
        <v>28</v>
      </c>
      <c r="BV786" s="27">
        <v>0.01</v>
      </c>
      <c r="BW786" s="27">
        <v>6636.65</v>
      </c>
      <c r="BX786" s="27">
        <v>6269.68</v>
      </c>
      <c r="BY786" s="27">
        <v>5851.67</v>
      </c>
      <c r="BZ786" s="27">
        <v>5591.74</v>
      </c>
      <c r="CA786" s="27">
        <v>5097.29</v>
      </c>
      <c r="CB786" s="27">
        <v>5097.29</v>
      </c>
      <c r="CC786" s="27">
        <v>4434.58</v>
      </c>
      <c r="CD786" s="27">
        <v>4154.21</v>
      </c>
      <c r="CE786" s="27">
        <v>4052.27</v>
      </c>
      <c r="CF786" s="27">
        <v>3924.84</v>
      </c>
      <c r="CG786" s="27">
        <v>5591.74</v>
      </c>
      <c r="CH786" s="27">
        <v>5199.26</v>
      </c>
      <c r="CI786" s="27">
        <v>4434.58</v>
      </c>
      <c r="CJ786" s="27">
        <v>5474.51</v>
      </c>
      <c r="CK786" s="27">
        <v>5591.74</v>
      </c>
      <c r="CL786" s="27"/>
      <c r="CM786" s="27"/>
      <c r="CN786" s="27"/>
      <c r="CO786" s="27"/>
      <c r="CP786" s="27"/>
      <c r="CQ786" s="27"/>
      <c r="CR786" s="27"/>
      <c r="CS786" s="27"/>
      <c r="CT786" s="27"/>
      <c r="CU786" s="27"/>
      <c r="CV786" s="27"/>
      <c r="CW786" s="27"/>
      <c r="CX786" s="27"/>
      <c r="CY786" s="27"/>
      <c r="CZ786" s="27"/>
      <c r="DA786" s="27"/>
      <c r="DB786" s="27"/>
      <c r="DC786" s="27"/>
      <c r="DD786" s="27"/>
      <c r="DE786" s="27"/>
      <c r="DF786" s="27"/>
      <c r="DG786" s="27"/>
      <c r="DH786" s="27"/>
      <c r="DI786" s="27"/>
      <c r="DJ786" s="27"/>
      <c r="DK786" s="27"/>
      <c r="DL786" s="27"/>
      <c r="DM786" s="27"/>
      <c r="DN786" s="27"/>
      <c r="DO786" s="27"/>
      <c r="DP786" s="27"/>
      <c r="DQ786" s="27"/>
      <c r="DR786" s="27"/>
      <c r="DS786" s="27"/>
      <c r="DT786" s="27"/>
    </row>
    <row r="787" spans="7:124" x14ac:dyDescent="0.2">
      <c r="G787" s="27"/>
      <c r="H787" s="27">
        <f t="shared" si="18"/>
        <v>0</v>
      </c>
      <c r="I787" s="27"/>
      <c r="J787" s="27"/>
      <c r="K787" s="27" t="str">
        <f>IF(S706=0," = הזן  נתונים מימין ==&gt;",R706)</f>
        <v xml:space="preserve">ת.שכר 2008 </v>
      </c>
      <c r="L787" s="27">
        <v>0</v>
      </c>
      <c r="M787" s="27"/>
      <c r="N787" s="27"/>
      <c r="O787" s="27"/>
      <c r="P787" s="27"/>
      <c r="Q787" s="27"/>
      <c r="R787" s="27"/>
      <c r="S787" s="27"/>
      <c r="T787" s="27"/>
      <c r="U787" s="27"/>
      <c r="V787" s="27"/>
      <c r="W787" s="27"/>
      <c r="X787" s="27"/>
      <c r="Y787" s="27"/>
      <c r="Z787" s="27"/>
      <c r="AA787" s="27"/>
      <c r="AB787" s="27"/>
      <c r="AC787" s="27"/>
      <c r="AD787" s="27"/>
      <c r="AE787" s="27"/>
      <c r="AF787" s="27"/>
      <c r="AG787" s="27"/>
      <c r="AH787" s="27"/>
      <c r="AI787" s="27"/>
      <c r="AJ787" s="27"/>
      <c r="AK787" s="27"/>
      <c r="AL787" s="27"/>
      <c r="AM787" s="27"/>
      <c r="AN787" s="27"/>
      <c r="AO787" s="27"/>
      <c r="AP787" s="27"/>
      <c r="AQ787" s="27"/>
      <c r="AR787" s="27"/>
      <c r="AS787" s="27"/>
      <c r="AT787" s="27"/>
      <c r="AU787" s="27"/>
      <c r="AV787" s="27"/>
      <c r="AW787" s="27"/>
      <c r="AX787" s="27"/>
      <c r="AY787" s="27"/>
      <c r="AZ787" s="27"/>
      <c r="BA787" s="27" t="s">
        <v>451</v>
      </c>
      <c r="BB787" s="27">
        <v>138000</v>
      </c>
      <c r="BC787" s="27"/>
      <c r="BD787" s="27"/>
      <c r="BE787" s="27"/>
      <c r="BF787" s="27"/>
      <c r="BG787" s="27"/>
      <c r="BH787" s="27"/>
      <c r="BI787" s="27"/>
      <c r="BJ787" s="27"/>
      <c r="BK787" s="27"/>
      <c r="BL787" s="27"/>
      <c r="BM787" s="27"/>
      <c r="BN787" s="27"/>
      <c r="BO787" s="27"/>
      <c r="BP787" s="27"/>
      <c r="BQ787" s="27"/>
      <c r="BR787" s="27"/>
      <c r="BS787" s="27"/>
      <c r="BT787" s="27"/>
      <c r="BU787" s="27"/>
      <c r="BV787" s="27"/>
      <c r="BW787" s="27"/>
      <c r="BX787" s="27"/>
      <c r="BY787" s="27"/>
      <c r="BZ787" s="27"/>
      <c r="CA787" s="27"/>
      <c r="CB787" s="27"/>
      <c r="CC787" s="27"/>
      <c r="CD787" s="27"/>
      <c r="CE787" s="27"/>
      <c r="CF787" s="27"/>
      <c r="CG787" s="27"/>
      <c r="CH787" s="27"/>
      <c r="CI787" s="27"/>
      <c r="CJ787" s="27"/>
      <c r="CK787" s="27"/>
      <c r="CL787" s="27"/>
      <c r="CM787" s="27"/>
      <c r="CN787" s="27"/>
      <c r="CO787" s="27"/>
      <c r="CP787" s="27"/>
      <c r="CQ787" s="27"/>
      <c r="CR787" s="27"/>
      <c r="CS787" s="27"/>
      <c r="CT787" s="27"/>
      <c r="CU787" s="27"/>
      <c r="CV787" s="27"/>
      <c r="CW787" s="27"/>
      <c r="CX787" s="27"/>
      <c r="CY787" s="27"/>
      <c r="CZ787" s="27"/>
      <c r="DA787" s="27"/>
      <c r="DB787" s="27"/>
      <c r="DC787" s="27"/>
      <c r="DD787" s="27"/>
      <c r="DE787" s="27"/>
      <c r="DF787" s="27"/>
      <c r="DG787" s="27"/>
      <c r="DH787" s="27"/>
      <c r="DI787" s="27"/>
      <c r="DJ787" s="27"/>
      <c r="DK787" s="27"/>
      <c r="DL787" s="27"/>
      <c r="DM787" s="27"/>
      <c r="DN787" s="27"/>
      <c r="DO787" s="27"/>
      <c r="DP787" s="27"/>
      <c r="DQ787" s="27"/>
      <c r="DR787" s="27"/>
      <c r="DS787" s="27"/>
      <c r="DT787" s="27"/>
    </row>
    <row r="788" spans="7:124" x14ac:dyDescent="0.2">
      <c r="G788" s="27"/>
      <c r="H788" s="27">
        <f t="shared" si="18"/>
        <v>0</v>
      </c>
      <c r="I788" s="27"/>
      <c r="J788" s="27"/>
      <c r="K788" s="27" t="e">
        <f>IF(#REF!=0," = הזן  נתונים  מימין ==&gt;",#REF!)</f>
        <v>#REF!</v>
      </c>
      <c r="L788" s="27">
        <v>0</v>
      </c>
      <c r="M788" s="27"/>
      <c r="N788" s="27"/>
      <c r="O788" s="27"/>
      <c r="P788" s="27"/>
      <c r="Q788" s="27"/>
      <c r="R788" s="27">
        <f>INT(BB783)</f>
        <v>0</v>
      </c>
      <c r="S788" s="27"/>
      <c r="T788" s="27"/>
      <c r="U788" s="27"/>
      <c r="V788" s="27"/>
      <c r="W788" s="27"/>
      <c r="X788" s="27"/>
      <c r="Y788" s="27"/>
      <c r="Z788" s="27"/>
      <c r="AA788" s="27"/>
      <c r="AB788" s="27"/>
      <c r="AC788" s="27"/>
      <c r="AD788" s="27"/>
      <c r="AE788" s="27"/>
      <c r="AF788" s="27"/>
      <c r="AG788" s="27"/>
      <c r="AH788" s="27"/>
      <c r="AI788" s="27"/>
      <c r="AJ788" s="27"/>
      <c r="AK788" s="27"/>
      <c r="AL788" s="27"/>
      <c r="AM788" s="27"/>
      <c r="AN788" s="27"/>
      <c r="AO788" s="27"/>
      <c r="AP788" s="27"/>
      <c r="AQ788" s="27"/>
      <c r="AR788" s="27"/>
      <c r="AS788" s="27"/>
      <c r="AT788" s="27"/>
      <c r="AU788" s="27"/>
      <c r="AV788" s="27"/>
      <c r="AW788" s="27"/>
      <c r="AX788" s="27"/>
      <c r="AY788" s="27"/>
      <c r="AZ788" s="27"/>
      <c r="BA788" s="27"/>
      <c r="BB788" s="27"/>
      <c r="BC788" s="27"/>
      <c r="BD788" s="27"/>
      <c r="BE788" s="27"/>
      <c r="BF788" s="27"/>
      <c r="BG788" s="27"/>
      <c r="BH788" s="27"/>
      <c r="BI788" s="27"/>
      <c r="BJ788" s="27"/>
      <c r="BK788" s="27"/>
      <c r="BL788" s="27"/>
      <c r="BM788" s="27"/>
      <c r="BN788" s="27"/>
      <c r="BO788" s="27"/>
      <c r="BP788" s="27"/>
      <c r="BQ788" s="27"/>
      <c r="BR788" s="27"/>
      <c r="BS788" s="27"/>
      <c r="BT788" s="27"/>
      <c r="BU788" s="27">
        <v>29</v>
      </c>
      <c r="BV788" s="27">
        <v>0.01</v>
      </c>
      <c r="BW788" s="27">
        <v>6703.01</v>
      </c>
      <c r="BX788" s="27">
        <v>6332.37</v>
      </c>
      <c r="BY788" s="27">
        <v>5910.18</v>
      </c>
      <c r="BZ788" s="27">
        <v>5647.65</v>
      </c>
      <c r="CA788" s="27">
        <v>5148.26</v>
      </c>
      <c r="CB788" s="27">
        <v>5148.26</v>
      </c>
      <c r="CC788" s="27">
        <v>4478.92</v>
      </c>
      <c r="CD788" s="27">
        <v>4195.75</v>
      </c>
      <c r="CE788" s="27">
        <v>4092.79</v>
      </c>
      <c r="CF788" s="27">
        <v>3964.08</v>
      </c>
      <c r="CG788" s="27">
        <v>5647.65</v>
      </c>
      <c r="CH788" s="27">
        <v>5251.25</v>
      </c>
      <c r="CI788" s="27">
        <v>4478.92</v>
      </c>
      <c r="CJ788" s="27">
        <v>5529.25</v>
      </c>
      <c r="CK788" s="27">
        <v>5647.65</v>
      </c>
      <c r="CL788" s="27"/>
      <c r="CM788" s="27"/>
      <c r="CN788" s="27"/>
      <c r="CO788" s="27"/>
      <c r="CP788" s="27"/>
      <c r="CQ788" s="27"/>
      <c r="CR788" s="27"/>
      <c r="CS788" s="27"/>
      <c r="CT788" s="27"/>
      <c r="CU788" s="27"/>
      <c r="CV788" s="27"/>
      <c r="CW788" s="27"/>
      <c r="CX788" s="27"/>
      <c r="CY788" s="27"/>
      <c r="CZ788" s="27"/>
      <c r="DA788" s="27"/>
      <c r="DB788" s="27"/>
      <c r="DC788" s="27"/>
      <c r="DD788" s="27"/>
      <c r="DE788" s="27"/>
      <c r="DF788" s="27"/>
      <c r="DG788" s="27"/>
      <c r="DH788" s="27"/>
      <c r="DI788" s="27"/>
      <c r="DJ788" s="27"/>
      <c r="DK788" s="27"/>
      <c r="DL788" s="27"/>
      <c r="DM788" s="27"/>
      <c r="DN788" s="27"/>
      <c r="DO788" s="27"/>
      <c r="DP788" s="27"/>
      <c r="DQ788" s="27"/>
      <c r="DR788" s="27"/>
      <c r="DS788" s="27"/>
      <c r="DT788" s="27"/>
    </row>
    <row r="789" spans="7:124" x14ac:dyDescent="0.2">
      <c r="G789" s="27"/>
      <c r="H789" s="27">
        <f t="shared" si="18"/>
        <v>0</v>
      </c>
      <c r="I789" s="27"/>
      <c r="J789" s="27"/>
      <c r="K789" s="27" t="str">
        <f>BA774</f>
        <v>גמול חינוך מיוחד</v>
      </c>
      <c r="L789" s="27">
        <f>SUM(L784:L787)*BB774</f>
        <v>0</v>
      </c>
      <c r="M789" s="27"/>
      <c r="N789" s="27"/>
      <c r="O789" s="27"/>
      <c r="P789" s="27"/>
      <c r="Q789" s="27"/>
      <c r="R789" s="27">
        <f>INT(L790)</f>
        <v>0</v>
      </c>
      <c r="S789" s="27"/>
      <c r="T789" s="27"/>
      <c r="U789" s="27"/>
      <c r="V789" s="27"/>
      <c r="W789" s="27"/>
      <c r="X789" s="27"/>
      <c r="Y789" s="27"/>
      <c r="Z789" s="27"/>
      <c r="AA789" s="27"/>
      <c r="AB789" s="27"/>
      <c r="AC789" s="27"/>
      <c r="AD789" s="27"/>
      <c r="AE789" s="27"/>
      <c r="AF789" s="27"/>
      <c r="AG789" s="27"/>
      <c r="AH789" s="27"/>
      <c r="AI789" s="27"/>
      <c r="AJ789" s="27"/>
      <c r="AK789" s="27"/>
      <c r="AL789" s="27"/>
      <c r="AM789" s="27"/>
      <c r="AN789" s="27"/>
      <c r="AO789" s="27"/>
      <c r="AP789" s="27"/>
      <c r="AQ789" s="27"/>
      <c r="AR789" s="27"/>
      <c r="AS789" s="27"/>
      <c r="AT789" s="27"/>
      <c r="AU789" s="27"/>
      <c r="AV789" s="27"/>
      <c r="AW789" s="27"/>
      <c r="AX789" s="27"/>
      <c r="AY789" s="27"/>
      <c r="AZ789" s="27"/>
      <c r="BA789" s="27"/>
      <c r="BB789" s="27"/>
      <c r="BC789" s="27"/>
      <c r="BD789" s="27"/>
      <c r="BE789" s="27"/>
      <c r="BF789" s="27"/>
      <c r="BG789" s="27"/>
      <c r="BH789" s="27"/>
      <c r="BI789" s="27"/>
      <c r="BJ789" s="27"/>
      <c r="BK789" s="27"/>
      <c r="BL789" s="27"/>
      <c r="BM789" s="27"/>
      <c r="BN789" s="27"/>
      <c r="BO789" s="27"/>
      <c r="BP789" s="27"/>
      <c r="BQ789" s="27"/>
      <c r="BR789" s="27"/>
      <c r="BS789" s="27"/>
      <c r="BT789" s="27"/>
      <c r="BU789" s="27"/>
      <c r="BV789" s="27"/>
      <c r="BW789" s="27"/>
      <c r="BX789" s="27"/>
      <c r="BY789" s="27"/>
      <c r="BZ789" s="27"/>
      <c r="CA789" s="27"/>
      <c r="CB789" s="27"/>
      <c r="CC789" s="27"/>
      <c r="CD789" s="27"/>
      <c r="CE789" s="27"/>
      <c r="CF789" s="27"/>
      <c r="CG789" s="27"/>
      <c r="CH789" s="27"/>
      <c r="CI789" s="27"/>
      <c r="CJ789" s="27"/>
      <c r="CK789" s="27"/>
      <c r="CL789" s="27"/>
      <c r="CM789" s="27"/>
      <c r="CN789" s="27"/>
      <c r="CO789" s="27"/>
      <c r="CP789" s="27"/>
      <c r="CQ789" s="27"/>
      <c r="CR789" s="27"/>
      <c r="CS789" s="27"/>
      <c r="CT789" s="27"/>
      <c r="CU789" s="27"/>
      <c r="CV789" s="27"/>
      <c r="CW789" s="27"/>
      <c r="CX789" s="27"/>
      <c r="CY789" s="27"/>
      <c r="CZ789" s="27"/>
      <c r="DA789" s="27"/>
      <c r="DB789" s="27"/>
      <c r="DC789" s="27"/>
      <c r="DD789" s="27"/>
      <c r="DE789" s="27"/>
      <c r="DF789" s="27"/>
      <c r="DG789" s="27"/>
      <c r="DH789" s="27"/>
      <c r="DI789" s="27"/>
      <c r="DJ789" s="27"/>
      <c r="DK789" s="27"/>
      <c r="DL789" s="27"/>
      <c r="DM789" s="27"/>
      <c r="DN789" s="27"/>
      <c r="DO789" s="27"/>
      <c r="DP789" s="27"/>
      <c r="DQ789" s="27"/>
      <c r="DR789" s="27"/>
      <c r="DS789" s="27"/>
      <c r="DT789" s="27"/>
    </row>
    <row r="790" spans="7:124" x14ac:dyDescent="0.2">
      <c r="G790" s="27"/>
      <c r="H790" s="27">
        <f t="shared" si="18"/>
        <v>0</v>
      </c>
      <c r="I790" s="27"/>
      <c r="J790" s="27"/>
      <c r="K790" s="27" t="str">
        <f>BA775</f>
        <v>גמול חינוך כתה</v>
      </c>
      <c r="L790" s="27">
        <f>IF(BB775=S709,0,IF(BB775=S710,10%*(L779+SUM(L785:L787)),IF(BB775=S711,20%*(L779+SUM(L785:L787)),IF(BB775=S712,11.5%*(L779+SUM(L785:L787)),6%*SUM(L784:L787)))))</f>
        <v>0</v>
      </c>
      <c r="M790" s="27"/>
      <c r="N790" s="27"/>
      <c r="O790" s="27"/>
      <c r="P790" s="27"/>
      <c r="Q790" s="27"/>
      <c r="R790" s="27">
        <f>INT(BB776)</f>
        <v>0</v>
      </c>
      <c r="S790" s="27"/>
      <c r="T790" s="27"/>
      <c r="U790" s="27"/>
      <c r="V790" s="27"/>
      <c r="W790" s="27"/>
      <c r="X790" s="27"/>
      <c r="Y790" s="27"/>
      <c r="Z790" s="27"/>
      <c r="AA790" s="27"/>
      <c r="AB790" s="27"/>
      <c r="AC790" s="27"/>
      <c r="AD790" s="27"/>
      <c r="AE790" s="27"/>
      <c r="AF790" s="27"/>
      <c r="AG790" s="27"/>
      <c r="AH790" s="27"/>
      <c r="AI790" s="27"/>
      <c r="AJ790" s="27"/>
      <c r="AK790" s="27"/>
      <c r="AL790" s="27"/>
      <c r="AM790" s="27"/>
      <c r="AN790" s="27"/>
      <c r="AO790" s="27"/>
      <c r="AP790" s="27"/>
      <c r="AQ790" s="27"/>
      <c r="AR790" s="27"/>
      <c r="AS790" s="27"/>
      <c r="AT790" s="27"/>
      <c r="AU790" s="27"/>
      <c r="AV790" s="27"/>
      <c r="AW790" s="27"/>
      <c r="AX790" s="27"/>
      <c r="AY790" s="27"/>
      <c r="AZ790" s="27"/>
      <c r="BA790" s="27"/>
      <c r="BB790" s="27"/>
      <c r="BC790" s="27"/>
      <c r="BD790" s="27"/>
      <c r="BE790" s="27"/>
      <c r="BF790" s="27"/>
      <c r="BG790" s="27"/>
      <c r="BH790" s="27"/>
      <c r="BI790" s="27"/>
      <c r="BJ790" s="27"/>
      <c r="BK790" s="27"/>
      <c r="BL790" s="27"/>
      <c r="BM790" s="27"/>
      <c r="BN790" s="27"/>
      <c r="BO790" s="27"/>
      <c r="BP790" s="27"/>
      <c r="BQ790" s="27"/>
      <c r="BR790" s="27"/>
      <c r="BS790" s="27"/>
      <c r="BT790" s="27"/>
      <c r="BU790" s="27">
        <v>30</v>
      </c>
      <c r="BV790" s="27">
        <v>0.01</v>
      </c>
      <c r="BW790" s="27">
        <v>6770.04</v>
      </c>
      <c r="BX790" s="27">
        <v>6395.69</v>
      </c>
      <c r="BY790" s="27">
        <v>5969.28</v>
      </c>
      <c r="BZ790" s="27">
        <v>5704.12</v>
      </c>
      <c r="CA790" s="27">
        <v>5199.74</v>
      </c>
      <c r="CB790" s="27">
        <v>5199.74</v>
      </c>
      <c r="CC790" s="27">
        <v>4523.7</v>
      </c>
      <c r="CD790" s="27">
        <v>4237.7</v>
      </c>
      <c r="CE790" s="27">
        <v>4133.71</v>
      </c>
      <c r="CF790" s="27">
        <v>4003.72</v>
      </c>
      <c r="CG790" s="27">
        <v>5704.12</v>
      </c>
      <c r="CH790" s="27">
        <v>5303.76</v>
      </c>
      <c r="CI790" s="27">
        <v>4523.7</v>
      </c>
      <c r="CJ790" s="27">
        <v>5584.54</v>
      </c>
      <c r="CK790" s="27">
        <v>5704.12</v>
      </c>
      <c r="CL790" s="27"/>
      <c r="CM790" s="27"/>
      <c r="CN790" s="27"/>
      <c r="CO790" s="27"/>
      <c r="CP790" s="27"/>
      <c r="CQ790" s="27"/>
      <c r="CR790" s="27"/>
      <c r="CS790" s="27"/>
      <c r="CT790" s="27"/>
      <c r="CU790" s="27"/>
      <c r="CV790" s="27"/>
      <c r="CW790" s="27"/>
      <c r="CX790" s="27"/>
      <c r="CY790" s="27"/>
      <c r="CZ790" s="27"/>
      <c r="DA790" s="27"/>
      <c r="DB790" s="27"/>
      <c r="DC790" s="27"/>
      <c r="DD790" s="27"/>
      <c r="DE790" s="27"/>
      <c r="DF790" s="27"/>
      <c r="DG790" s="27"/>
      <c r="DH790" s="27"/>
      <c r="DI790" s="27"/>
      <c r="DJ790" s="27"/>
      <c r="DK790" s="27"/>
      <c r="DL790" s="27"/>
      <c r="DM790" s="27"/>
      <c r="DN790" s="27"/>
      <c r="DO790" s="27"/>
      <c r="DP790" s="27"/>
      <c r="DQ790" s="27"/>
      <c r="DR790" s="27"/>
      <c r="DS790" s="27"/>
      <c r="DT790" s="27"/>
    </row>
    <row r="791" spans="7:124" x14ac:dyDescent="0.2">
      <c r="G791" s="27"/>
      <c r="H791" s="27">
        <f>C58</f>
        <v>0</v>
      </c>
      <c r="I791" s="27"/>
      <c r="J791" s="27"/>
      <c r="K791" s="27"/>
      <c r="L791" s="27"/>
      <c r="M791" s="27"/>
      <c r="N791" s="27"/>
      <c r="O791" s="27"/>
      <c r="P791" s="27"/>
      <c r="Q791" s="27"/>
      <c r="R791" s="27">
        <f>INT(L793)</f>
        <v>0</v>
      </c>
      <c r="S791" s="27"/>
      <c r="T791" s="27"/>
      <c r="U791" s="27"/>
      <c r="V791" s="27"/>
      <c r="W791" s="27"/>
      <c r="X791" s="27"/>
      <c r="Y791" s="27"/>
      <c r="Z791" s="27"/>
      <c r="AA791" s="27"/>
      <c r="AB791" s="27"/>
      <c r="AC791" s="27"/>
      <c r="AD791" s="27"/>
      <c r="AE791" s="27"/>
      <c r="AF791" s="27"/>
      <c r="AG791" s="27"/>
      <c r="AH791" s="27"/>
      <c r="AI791" s="27"/>
      <c r="AJ791" s="27"/>
      <c r="AK791" s="27"/>
      <c r="AL791" s="27"/>
      <c r="AM791" s="27"/>
      <c r="AN791" s="27"/>
      <c r="AO791" s="27"/>
      <c r="AP791" s="27"/>
      <c r="AQ791" s="27"/>
      <c r="AR791" s="27"/>
      <c r="AS791" s="27"/>
      <c r="AT791" s="27"/>
      <c r="AU791" s="27"/>
      <c r="AV791" s="27"/>
      <c r="AW791" s="27"/>
      <c r="AX791" s="27"/>
      <c r="AY791" s="27"/>
      <c r="AZ791" s="27"/>
      <c r="BA791" s="27"/>
      <c r="BB791" s="27"/>
      <c r="BC791" s="27"/>
      <c r="BD791" s="27"/>
      <c r="BE791" s="27"/>
      <c r="BF791" s="27"/>
      <c r="BG791" s="27"/>
      <c r="BH791" s="27"/>
      <c r="BI791" s="27"/>
      <c r="BJ791" s="27"/>
      <c r="BK791" s="27"/>
      <c r="BL791" s="27"/>
      <c r="BM791" s="27"/>
      <c r="BN791" s="27"/>
      <c r="BO791" s="27"/>
      <c r="BP791" s="27"/>
      <c r="BQ791" s="27"/>
      <c r="BR791" s="27"/>
      <c r="BS791" s="27"/>
      <c r="BT791" s="27"/>
      <c r="BU791" s="27"/>
      <c r="BV791" s="27"/>
      <c r="BW791" s="27"/>
      <c r="BX791" s="27"/>
      <c r="BY791" s="27"/>
      <c r="BZ791" s="27"/>
      <c r="CA791" s="27"/>
      <c r="CB791" s="27"/>
      <c r="CC791" s="27"/>
      <c r="CD791" s="27"/>
      <c r="CE791" s="27"/>
      <c r="CF791" s="27"/>
      <c r="CG791" s="27"/>
      <c r="CH791" s="27"/>
      <c r="CI791" s="27"/>
      <c r="CJ791" s="27"/>
      <c r="CK791" s="27"/>
      <c r="CL791" s="27"/>
      <c r="CM791" s="27"/>
      <c r="CN791" s="27"/>
      <c r="CO791" s="27"/>
      <c r="CP791" s="27"/>
      <c r="CQ791" s="27"/>
      <c r="CR791" s="27"/>
      <c r="CS791" s="27"/>
      <c r="CT791" s="27"/>
      <c r="CU791" s="27"/>
      <c r="CV791" s="27"/>
      <c r="CW791" s="27"/>
      <c r="CX791" s="27"/>
      <c r="CY791" s="27"/>
      <c r="CZ791" s="27"/>
      <c r="DA791" s="27"/>
      <c r="DB791" s="27"/>
      <c r="DC791" s="27"/>
      <c r="DD791" s="27"/>
      <c r="DE791" s="27"/>
      <c r="DF791" s="27"/>
      <c r="DG791" s="27"/>
      <c r="DH791" s="27"/>
      <c r="DI791" s="27"/>
      <c r="DJ791" s="27"/>
      <c r="DK791" s="27"/>
      <c r="DL791" s="27"/>
      <c r="DM791" s="27"/>
      <c r="DN791" s="27"/>
      <c r="DO791" s="27"/>
      <c r="DP791" s="27"/>
      <c r="DQ791" s="27"/>
      <c r="DR791" s="27"/>
      <c r="DS791" s="27"/>
      <c r="DT791" s="27"/>
    </row>
    <row r="792" spans="7:124" x14ac:dyDescent="0.2">
      <c r="G792" s="27"/>
      <c r="H792" s="27">
        <f>G60*$C$59</f>
        <v>0</v>
      </c>
      <c r="I792" s="27"/>
      <c r="J792" s="27"/>
      <c r="K792" s="27" t="str">
        <f>BA776</f>
        <v>גמול הכנה לבגרות</v>
      </c>
      <c r="L792" s="27">
        <f>BB776</f>
        <v>0</v>
      </c>
      <c r="M792" s="27"/>
      <c r="N792" s="27"/>
      <c r="O792" s="27"/>
      <c r="P792" s="27"/>
      <c r="Q792" s="27"/>
      <c r="R792" s="27">
        <f>INT(L794)</f>
        <v>0</v>
      </c>
      <c r="S792" s="27"/>
      <c r="T792" s="27"/>
      <c r="U792" s="27"/>
      <c r="V792" s="27"/>
      <c r="W792" s="27"/>
      <c r="X792" s="27"/>
      <c r="Y792" s="27"/>
      <c r="Z792" s="27"/>
      <c r="AA792" s="27"/>
      <c r="AB792" s="27"/>
      <c r="AC792" s="27"/>
      <c r="AD792" s="27"/>
      <c r="AE792" s="27"/>
      <c r="AF792" s="27"/>
      <c r="AG792" s="27"/>
      <c r="AH792" s="27"/>
      <c r="AI792" s="27"/>
      <c r="AJ792" s="27"/>
      <c r="AK792" s="27"/>
      <c r="AL792" s="27"/>
      <c r="AM792" s="27"/>
      <c r="AN792" s="27"/>
      <c r="AO792" s="27"/>
      <c r="AP792" s="27"/>
      <c r="AQ792" s="27"/>
      <c r="AR792" s="27"/>
      <c r="AS792" s="27"/>
      <c r="AT792" s="27"/>
      <c r="AU792" s="27"/>
      <c r="AV792" s="27"/>
      <c r="AW792" s="27"/>
      <c r="AX792" s="27"/>
      <c r="AY792" s="27"/>
      <c r="AZ792" s="27"/>
      <c r="BA792" s="27"/>
      <c r="BB792" s="27"/>
      <c r="BC792" s="27"/>
      <c r="BD792" s="27"/>
      <c r="BE792" s="27"/>
      <c r="BF792" s="27"/>
      <c r="BG792" s="27"/>
      <c r="BH792" s="27"/>
      <c r="BI792" s="27"/>
      <c r="BJ792" s="27"/>
      <c r="BK792" s="27"/>
      <c r="BL792" s="27"/>
      <c r="BM792" s="27"/>
      <c r="BN792" s="27"/>
      <c r="BO792" s="27"/>
      <c r="BP792" s="27"/>
      <c r="BQ792" s="27"/>
      <c r="BR792" s="27"/>
      <c r="BS792" s="27"/>
      <c r="BT792" s="27"/>
      <c r="BU792" s="27">
        <v>31</v>
      </c>
      <c r="BV792" s="27">
        <v>0.01</v>
      </c>
      <c r="BW792" s="27">
        <v>6837.74</v>
      </c>
      <c r="BX792" s="27">
        <v>6459.64</v>
      </c>
      <c r="BY792" s="27">
        <v>6028.97</v>
      </c>
      <c r="BZ792" s="27">
        <v>5761.16</v>
      </c>
      <c r="CA792" s="27">
        <v>5251.73</v>
      </c>
      <c r="CB792" s="27">
        <v>5251.73</v>
      </c>
      <c r="CC792" s="27">
        <v>4568.93</v>
      </c>
      <c r="CD792" s="27">
        <v>4280.07</v>
      </c>
      <c r="CE792" s="27">
        <v>4175.04</v>
      </c>
      <c r="CF792" s="27">
        <v>4043.75</v>
      </c>
      <c r="CG792" s="27">
        <v>5761.16</v>
      </c>
      <c r="CH792" s="27">
        <v>5356.79</v>
      </c>
      <c r="CI792" s="27">
        <v>4568.93</v>
      </c>
      <c r="CJ792" s="27">
        <v>5640.38</v>
      </c>
      <c r="CK792" s="27">
        <v>5761.16</v>
      </c>
      <c r="CL792" s="27"/>
      <c r="CM792" s="27"/>
      <c r="CN792" s="27"/>
      <c r="CO792" s="27"/>
      <c r="CP792" s="27"/>
      <c r="CQ792" s="27"/>
      <c r="CR792" s="27"/>
      <c r="CS792" s="27"/>
      <c r="CT792" s="27"/>
      <c r="CU792" s="27"/>
      <c r="CV792" s="27"/>
      <c r="CW792" s="27"/>
      <c r="CX792" s="27"/>
      <c r="CY792" s="27"/>
      <c r="CZ792" s="27"/>
      <c r="DA792" s="27"/>
      <c r="DB792" s="27"/>
      <c r="DC792" s="27"/>
      <c r="DD792" s="27"/>
      <c r="DE792" s="27"/>
      <c r="DF792" s="27"/>
      <c r="DG792" s="27"/>
      <c r="DH792" s="27"/>
      <c r="DI792" s="27"/>
      <c r="DJ792" s="27"/>
      <c r="DK792" s="27"/>
      <c r="DL792" s="27"/>
      <c r="DM792" s="27"/>
      <c r="DN792" s="27"/>
      <c r="DO792" s="27"/>
      <c r="DP792" s="27"/>
      <c r="DQ792" s="27"/>
      <c r="DR792" s="27"/>
      <c r="DS792" s="27"/>
      <c r="DT792" s="27"/>
    </row>
    <row r="793" spans="7:124" x14ac:dyDescent="0.2">
      <c r="G793" s="27"/>
      <c r="H793" s="27">
        <f>G61*$C$59</f>
        <v>0</v>
      </c>
      <c r="I793" s="27"/>
      <c r="J793" s="27"/>
      <c r="K793" s="27" t="str">
        <f>BA777</f>
        <v xml:space="preserve">גמול יעוץ </v>
      </c>
      <c r="L793" s="27">
        <f>Y714*L779</f>
        <v>0</v>
      </c>
      <c r="M793" s="27"/>
      <c r="N793" s="27"/>
      <c r="O793" s="27"/>
      <c r="P793" s="27"/>
      <c r="Q793" s="27"/>
      <c r="R793" s="27">
        <f>INT(L795)</f>
        <v>0</v>
      </c>
      <c r="S793" s="27"/>
      <c r="T793" s="27"/>
      <c r="U793" s="27"/>
      <c r="V793" s="27"/>
      <c r="W793" s="27"/>
      <c r="X793" s="27"/>
      <c r="Y793" s="27"/>
      <c r="Z793" s="27"/>
      <c r="AA793" s="27"/>
      <c r="AB793" s="27"/>
      <c r="AC793" s="27"/>
      <c r="AD793" s="27"/>
      <c r="AE793" s="27"/>
      <c r="AF793" s="27"/>
      <c r="AG793" s="27"/>
      <c r="AH793" s="27"/>
      <c r="AI793" s="27"/>
      <c r="AJ793" s="27"/>
      <c r="AK793" s="27"/>
      <c r="AL793" s="27"/>
      <c r="AM793" s="27"/>
      <c r="AN793" s="27"/>
      <c r="AO793" s="27"/>
      <c r="AP793" s="27"/>
      <c r="AQ793" s="27"/>
      <c r="AR793" s="27"/>
      <c r="AS793" s="27"/>
      <c r="AT793" s="27"/>
      <c r="AU793" s="27"/>
      <c r="AV793" s="27"/>
      <c r="AW793" s="27"/>
      <c r="AX793" s="27"/>
      <c r="AY793" s="27"/>
      <c r="AZ793" s="27"/>
      <c r="BA793" s="27"/>
      <c r="BB793" s="27"/>
      <c r="BC793" s="27"/>
      <c r="BD793" s="27"/>
      <c r="BE793" s="27"/>
      <c r="BF793" s="27"/>
      <c r="BG793" s="27"/>
      <c r="BH793" s="27"/>
      <c r="BI793" s="27"/>
      <c r="BJ793" s="27"/>
      <c r="BK793" s="27"/>
      <c r="BL793" s="27"/>
      <c r="BM793" s="27"/>
      <c r="BN793" s="27"/>
      <c r="BO793" s="27"/>
      <c r="BP793" s="27"/>
      <c r="BQ793" s="27"/>
      <c r="BR793" s="27"/>
      <c r="BS793" s="27"/>
      <c r="BT793" s="27"/>
      <c r="BU793" s="27"/>
      <c r="BV793" s="27"/>
      <c r="BW793" s="27"/>
      <c r="BX793" s="27"/>
      <c r="BY793" s="27"/>
      <c r="BZ793" s="27"/>
      <c r="CA793" s="27"/>
      <c r="CB793" s="27"/>
      <c r="CC793" s="27"/>
      <c r="CD793" s="27"/>
      <c r="CE793" s="27"/>
      <c r="CF793" s="27"/>
      <c r="CG793" s="27"/>
      <c r="CH793" s="27"/>
      <c r="CI793" s="27"/>
      <c r="CJ793" s="27"/>
      <c r="CK793" s="27"/>
      <c r="CL793" s="27"/>
      <c r="CM793" s="27"/>
      <c r="CN793" s="27"/>
      <c r="CO793" s="27"/>
      <c r="CP793" s="27"/>
      <c r="CQ793" s="27"/>
      <c r="CR793" s="27"/>
      <c r="CS793" s="27"/>
      <c r="CT793" s="27"/>
      <c r="CU793" s="27"/>
      <c r="CV793" s="27"/>
      <c r="CW793" s="27"/>
      <c r="CX793" s="27"/>
      <c r="CY793" s="27"/>
      <c r="CZ793" s="27"/>
      <c r="DA793" s="27"/>
      <c r="DB793" s="27"/>
      <c r="DC793" s="27"/>
      <c r="DD793" s="27"/>
      <c r="DE793" s="27"/>
      <c r="DF793" s="27"/>
      <c r="DG793" s="27"/>
      <c r="DH793" s="27"/>
      <c r="DI793" s="27"/>
      <c r="DJ793" s="27"/>
      <c r="DK793" s="27"/>
      <c r="DL793" s="27"/>
      <c r="DM793" s="27"/>
      <c r="DN793" s="27"/>
      <c r="DO793" s="27"/>
      <c r="DP793" s="27"/>
      <c r="DQ793" s="27"/>
      <c r="DR793" s="27"/>
      <c r="DS793" s="27"/>
      <c r="DT793" s="27"/>
    </row>
    <row r="794" spans="7:124" x14ac:dyDescent="0.2">
      <c r="G794" s="27"/>
      <c r="H794" s="27">
        <f>G62*$C$59</f>
        <v>0</v>
      </c>
      <c r="I794" s="27"/>
      <c r="J794" s="27"/>
      <c r="K794" s="27" t="str">
        <f>BA778</f>
        <v>גמול ניהול /סגנות/גננות</v>
      </c>
      <c r="L794" s="27">
        <f>SUM(L784:L787)*BB778</f>
        <v>0</v>
      </c>
      <c r="M794" s="27"/>
      <c r="N794" s="27"/>
      <c r="O794" s="27"/>
      <c r="P794" s="27"/>
      <c r="Q794" s="27"/>
      <c r="R794" s="27">
        <f>INT(W719*L784)</f>
        <v>0</v>
      </c>
      <c r="S794" s="27"/>
      <c r="T794" s="27"/>
      <c r="U794" s="27"/>
      <c r="V794" s="27"/>
      <c r="W794" s="27"/>
      <c r="X794" s="27"/>
      <c r="Y794" s="27"/>
      <c r="Z794" s="27"/>
      <c r="AA794" s="27"/>
      <c r="AB794" s="27"/>
      <c r="AC794" s="27"/>
      <c r="AD794" s="27"/>
      <c r="AE794" s="27"/>
      <c r="AF794" s="27"/>
      <c r="AG794" s="27"/>
      <c r="AH794" s="27"/>
      <c r="AI794" s="27"/>
      <c r="AJ794" s="27"/>
      <c r="AK794" s="27"/>
      <c r="AL794" s="27"/>
      <c r="AM794" s="27"/>
      <c r="AN794" s="27"/>
      <c r="AO794" s="27"/>
      <c r="AP794" s="27"/>
      <c r="AQ794" s="27"/>
      <c r="AR794" s="27"/>
      <c r="AS794" s="27"/>
      <c r="AT794" s="27"/>
      <c r="AU794" s="27"/>
      <c r="AV794" s="27"/>
      <c r="AW794" s="27"/>
      <c r="AX794" s="27"/>
      <c r="AY794" s="27"/>
      <c r="AZ794" s="27"/>
      <c r="BA794" s="27"/>
      <c r="BB794" s="27"/>
      <c r="BC794" s="27"/>
      <c r="BD794" s="27"/>
      <c r="BE794" s="27"/>
      <c r="BF794" s="27"/>
      <c r="BG794" s="27"/>
      <c r="BH794" s="27"/>
      <c r="BI794" s="27"/>
      <c r="BJ794" s="27"/>
      <c r="BK794" s="27"/>
      <c r="BL794" s="27"/>
      <c r="BM794" s="27"/>
      <c r="BN794" s="27"/>
      <c r="BO794" s="27"/>
      <c r="BP794" s="27"/>
      <c r="BQ794" s="27"/>
      <c r="BR794" s="27"/>
      <c r="BS794" s="27"/>
      <c r="BT794" s="27"/>
      <c r="BU794" s="27">
        <v>32</v>
      </c>
      <c r="BV794" s="27">
        <v>0.01</v>
      </c>
      <c r="BW794" s="27">
        <v>6906.11</v>
      </c>
      <c r="BX794" s="27">
        <v>6524.23</v>
      </c>
      <c r="BY794" s="27">
        <v>6089.25</v>
      </c>
      <c r="BZ794" s="27">
        <v>5818.77</v>
      </c>
      <c r="CA794" s="27">
        <v>5304.24</v>
      </c>
      <c r="CB794" s="27">
        <v>5304.24</v>
      </c>
      <c r="CC794" s="27">
        <v>4614.6099999999997</v>
      </c>
      <c r="CD794" s="27">
        <v>4322.87</v>
      </c>
      <c r="CE794" s="27">
        <v>4216.79</v>
      </c>
      <c r="CF794" s="27">
        <v>4084.18</v>
      </c>
      <c r="CG794" s="27">
        <v>5818.77</v>
      </c>
      <c r="CH794" s="27">
        <v>5410.35</v>
      </c>
      <c r="CI794" s="27">
        <v>4614.6099999999997</v>
      </c>
      <c r="CJ794" s="27">
        <v>5696.78</v>
      </c>
      <c r="CK794" s="27">
        <v>5818.77</v>
      </c>
      <c r="CL794" s="27"/>
      <c r="CM794" s="27"/>
      <c r="CN794" s="27"/>
      <c r="CO794" s="27"/>
      <c r="CP794" s="27"/>
      <c r="CQ794" s="27"/>
      <c r="CR794" s="27"/>
      <c r="CS794" s="27"/>
      <c r="CT794" s="27"/>
      <c r="CU794" s="27"/>
      <c r="CV794" s="27"/>
      <c r="CW794" s="27"/>
      <c r="CX794" s="27"/>
      <c r="CY794" s="27"/>
      <c r="CZ794" s="27"/>
      <c r="DA794" s="27"/>
      <c r="DB794" s="27"/>
      <c r="DC794" s="27"/>
      <c r="DD794" s="27"/>
      <c r="DE794" s="27"/>
      <c r="DF794" s="27"/>
      <c r="DG794" s="27"/>
      <c r="DH794" s="27"/>
      <c r="DI794" s="27"/>
      <c r="DJ794" s="27"/>
      <c r="DK794" s="27"/>
      <c r="DL794" s="27"/>
      <c r="DM794" s="27"/>
      <c r="DN794" s="27"/>
      <c r="DO794" s="27"/>
      <c r="DP794" s="27"/>
      <c r="DQ794" s="27"/>
      <c r="DR794" s="27"/>
      <c r="DS794" s="27"/>
      <c r="DT794" s="27"/>
    </row>
    <row r="795" spans="7:124" x14ac:dyDescent="0.2">
      <c r="G795" s="27"/>
      <c r="H795" s="27">
        <f>G63*$C$59</f>
        <v>0</v>
      </c>
      <c r="I795" s="27"/>
      <c r="J795" s="27"/>
      <c r="K795" s="27" t="str">
        <f>BA779</f>
        <v>ותק בניהול למנהל ולסגנו/גננת</v>
      </c>
      <c r="L795" s="27">
        <f>AW722*L794</f>
        <v>0</v>
      </c>
      <c r="M795" s="27"/>
      <c r="N795" s="27"/>
      <c r="O795" s="27"/>
      <c r="P795" s="27"/>
      <c r="Q795" s="27"/>
      <c r="R795" s="27">
        <f xml:space="preserve">  INT(L804)</f>
        <v>0</v>
      </c>
      <c r="S795" s="27"/>
      <c r="T795" s="27"/>
      <c r="U795" s="27"/>
      <c r="V795" s="27"/>
      <c r="W795" s="27"/>
      <c r="X795" s="27"/>
      <c r="Y795" s="27"/>
      <c r="Z795" s="27"/>
      <c r="AA795" s="27"/>
      <c r="AB795" s="27"/>
      <c r="AC795" s="27"/>
      <c r="AD795" s="27"/>
      <c r="AE795" s="27"/>
      <c r="AF795" s="27"/>
      <c r="AG795" s="27"/>
      <c r="AH795" s="27"/>
      <c r="AI795" s="27"/>
      <c r="AJ795" s="27"/>
      <c r="AK795" s="27"/>
      <c r="AL795" s="27"/>
      <c r="AM795" s="27"/>
      <c r="AN795" s="27"/>
      <c r="AO795" s="27"/>
      <c r="AP795" s="27"/>
      <c r="AQ795" s="27"/>
      <c r="AR795" s="27"/>
      <c r="AS795" s="27"/>
      <c r="AT795" s="27"/>
      <c r="AU795" s="27"/>
      <c r="AV795" s="27"/>
      <c r="AW795" s="27"/>
      <c r="AX795" s="27"/>
      <c r="AY795" s="27"/>
      <c r="AZ795" s="27"/>
      <c r="BA795" s="27"/>
      <c r="BB795" s="27"/>
      <c r="BC795" s="27"/>
      <c r="BD795" s="27"/>
      <c r="BE795" s="27"/>
      <c r="BF795" s="27"/>
      <c r="BG795" s="27"/>
      <c r="BH795" s="27"/>
      <c r="BI795" s="27"/>
      <c r="BJ795" s="27"/>
      <c r="BK795" s="27"/>
      <c r="BL795" s="27"/>
      <c r="BM795" s="27"/>
      <c r="BN795" s="27"/>
      <c r="BO795" s="27"/>
      <c r="BP795" s="27"/>
      <c r="BQ795" s="27"/>
      <c r="BR795" s="27"/>
      <c r="BS795" s="27"/>
      <c r="BT795" s="27"/>
      <c r="BU795" s="27"/>
      <c r="BV795" s="27"/>
      <c r="BW795" s="27"/>
      <c r="BX795" s="27"/>
      <c r="BY795" s="27"/>
      <c r="BZ795" s="27"/>
      <c r="CA795" s="27"/>
      <c r="CB795" s="27"/>
      <c r="CC795" s="27"/>
      <c r="CD795" s="27"/>
      <c r="CE795" s="27"/>
      <c r="CF795" s="27"/>
      <c r="CG795" s="27"/>
      <c r="CH795" s="27"/>
      <c r="CI795" s="27"/>
      <c r="CJ795" s="27"/>
      <c r="CK795" s="27"/>
      <c r="CL795" s="27"/>
      <c r="CM795" s="27"/>
      <c r="CN795" s="27"/>
      <c r="CO795" s="27"/>
      <c r="CP795" s="27"/>
      <c r="CQ795" s="27"/>
      <c r="CR795" s="27"/>
      <c r="CS795" s="27"/>
      <c r="CT795" s="27"/>
      <c r="CU795" s="27"/>
      <c r="CV795" s="27"/>
      <c r="CW795" s="27"/>
      <c r="CX795" s="27"/>
      <c r="CY795" s="27"/>
      <c r="CZ795" s="27"/>
      <c r="DA795" s="27"/>
      <c r="DB795" s="27"/>
      <c r="DC795" s="27"/>
      <c r="DD795" s="27"/>
      <c r="DE795" s="27"/>
      <c r="DF795" s="27"/>
      <c r="DG795" s="27"/>
      <c r="DH795" s="27"/>
      <c r="DI795" s="27"/>
      <c r="DJ795" s="27"/>
      <c r="DK795" s="27"/>
      <c r="DL795" s="27"/>
      <c r="DM795" s="27"/>
      <c r="DN795" s="27"/>
      <c r="DO795" s="27"/>
      <c r="DP795" s="27"/>
      <c r="DQ795" s="27"/>
      <c r="DR795" s="27"/>
      <c r="DS795" s="27"/>
      <c r="DT795" s="27"/>
    </row>
    <row r="796" spans="7:124" x14ac:dyDescent="0.2">
      <c r="G796" s="27"/>
      <c r="H796" s="27">
        <f>G64*$C$59</f>
        <v>0</v>
      </c>
      <c r="I796" s="27"/>
      <c r="J796" s="27"/>
      <c r="K796" s="27"/>
      <c r="L796" s="27"/>
      <c r="M796" s="27"/>
      <c r="N796" s="27"/>
      <c r="O796" s="27"/>
      <c r="P796" s="27"/>
      <c r="Q796" s="27"/>
      <c r="R796" s="27">
        <f>R783*BB782</f>
        <v>0</v>
      </c>
      <c r="S796" s="27"/>
      <c r="T796" s="27"/>
      <c r="U796" s="27"/>
      <c r="V796" s="27"/>
      <c r="W796" s="27"/>
      <c r="X796" s="27"/>
      <c r="Y796" s="27"/>
      <c r="Z796" s="27"/>
      <c r="AA796" s="27"/>
      <c r="AB796" s="27" t="s">
        <v>59</v>
      </c>
      <c r="AC796" s="27"/>
      <c r="AD796" s="27"/>
      <c r="AE796" s="27"/>
      <c r="AF796" s="27"/>
      <c r="AG796" s="27"/>
      <c r="AH796" s="27"/>
      <c r="AI796" s="27"/>
      <c r="AJ796" s="27"/>
      <c r="AK796" s="27"/>
      <c r="AL796" s="27"/>
      <c r="AM796" s="27"/>
      <c r="AN796" s="27"/>
      <c r="AO796" s="27"/>
      <c r="AP796" s="27"/>
      <c r="AQ796" s="27"/>
      <c r="AR796" s="27"/>
      <c r="AS796" s="27"/>
      <c r="AT796" s="27"/>
      <c r="AU796" s="27"/>
      <c r="AV796" s="27"/>
      <c r="AW796" s="27"/>
      <c r="AX796" s="27"/>
      <c r="AY796" s="27"/>
      <c r="AZ796" s="27"/>
      <c r="BA796" s="27"/>
      <c r="BB796" s="27"/>
      <c r="BC796" s="27"/>
      <c r="BD796" s="27"/>
      <c r="BE796" s="27"/>
      <c r="BF796" s="27"/>
      <c r="BG796" s="27"/>
      <c r="BH796" s="27"/>
      <c r="BI796" s="27"/>
      <c r="BJ796" s="27"/>
      <c r="BK796" s="27"/>
      <c r="BL796" s="27"/>
      <c r="BM796" s="27"/>
      <c r="BN796" s="27"/>
      <c r="BO796" s="27"/>
      <c r="BP796" s="27"/>
      <c r="BQ796" s="27"/>
      <c r="BR796" s="27"/>
      <c r="BS796" s="27"/>
      <c r="BT796" s="27"/>
      <c r="BU796" s="27">
        <v>33</v>
      </c>
      <c r="BV796" s="27">
        <v>0.01</v>
      </c>
      <c r="BW796" s="27">
        <v>6975.17</v>
      </c>
      <c r="BX796" s="27">
        <v>6589.47</v>
      </c>
      <c r="BY796" s="27">
        <v>6150.14</v>
      </c>
      <c r="BZ796" s="27">
        <v>5876.95</v>
      </c>
      <c r="CA796" s="27">
        <v>5357.28</v>
      </c>
      <c r="CB796" s="27">
        <v>5357.28</v>
      </c>
      <c r="CC796" s="27">
        <v>4660.75</v>
      </c>
      <c r="CD796" s="27">
        <v>4366.09</v>
      </c>
      <c r="CE796" s="27">
        <v>4258.95</v>
      </c>
      <c r="CF796" s="27">
        <v>4125.0200000000004</v>
      </c>
      <c r="CG796" s="27">
        <v>5876.95</v>
      </c>
      <c r="CH796" s="27">
        <v>5464.45</v>
      </c>
      <c r="CI796" s="27">
        <v>4660.75</v>
      </c>
      <c r="CJ796" s="27">
        <v>5753.74</v>
      </c>
      <c r="CK796" s="27">
        <v>5876.95</v>
      </c>
      <c r="CL796" s="27"/>
      <c r="CM796" s="27"/>
      <c r="CN796" s="27"/>
      <c r="CO796" s="27"/>
      <c r="CP796" s="27"/>
      <c r="CQ796" s="27"/>
      <c r="CR796" s="27"/>
      <c r="CS796" s="27"/>
      <c r="CT796" s="27"/>
      <c r="CU796" s="27"/>
      <c r="CV796" s="27"/>
      <c r="CW796" s="27"/>
      <c r="CX796" s="27"/>
      <c r="CY796" s="27"/>
      <c r="CZ796" s="27"/>
      <c r="DA796" s="27"/>
      <c r="DB796" s="27"/>
      <c r="DC796" s="27"/>
      <c r="DD796" s="27"/>
      <c r="DE796" s="27"/>
      <c r="DF796" s="27"/>
      <c r="DG796" s="27"/>
      <c r="DH796" s="27"/>
      <c r="DI796" s="27"/>
      <c r="DJ796" s="27"/>
      <c r="DK796" s="27"/>
      <c r="DL796" s="27"/>
      <c r="DM796" s="27"/>
      <c r="DN796" s="27"/>
      <c r="DO796" s="27"/>
      <c r="DP796" s="27"/>
      <c r="DQ796" s="27"/>
      <c r="DR796" s="27"/>
      <c r="DS796" s="27"/>
      <c r="DT796" s="27"/>
    </row>
    <row r="797" spans="7:124" x14ac:dyDescent="0.2">
      <c r="G797" s="27"/>
      <c r="H797" s="27" t="s">
        <v>277</v>
      </c>
      <c r="I797" s="27">
        <f>IF(BD711=AC754,SUM(G47:G58)+Y729+C58,SUM(G47:G59))</f>
        <v>0</v>
      </c>
      <c r="J797" s="27">
        <f>SUM(H779:H791)</f>
        <v>0</v>
      </c>
      <c r="K797" s="27"/>
      <c r="L797" s="27"/>
      <c r="M797" s="27"/>
      <c r="N797" s="27"/>
      <c r="O797" s="27"/>
      <c r="P797" s="27"/>
      <c r="Q797" s="27"/>
      <c r="R797" s="27">
        <f>INT(L789)</f>
        <v>0</v>
      </c>
      <c r="S797" s="27"/>
      <c r="T797" s="27"/>
      <c r="U797" s="27"/>
      <c r="V797" s="27"/>
      <c r="W797" s="27"/>
      <c r="X797" s="27"/>
      <c r="Y797" s="27"/>
      <c r="Z797" s="27"/>
      <c r="AA797" s="27"/>
      <c r="AB797" s="27"/>
      <c r="AC797" s="27"/>
      <c r="AD797" s="27"/>
      <c r="AE797" s="27"/>
      <c r="AF797" s="27"/>
      <c r="AG797" s="27"/>
      <c r="AH797" s="27"/>
      <c r="AI797" s="27"/>
      <c r="AJ797" s="27"/>
      <c r="AK797" s="27"/>
      <c r="AL797" s="27"/>
      <c r="AM797" s="27"/>
      <c r="AN797" s="27"/>
      <c r="AO797" s="27"/>
      <c r="AP797" s="27"/>
      <c r="AQ797" s="27"/>
      <c r="AR797" s="27"/>
      <c r="AS797" s="27"/>
      <c r="AT797" s="27"/>
      <c r="AU797" s="27"/>
      <c r="AV797" s="27"/>
      <c r="AW797" s="27"/>
      <c r="AX797" s="27"/>
      <c r="AY797" s="27"/>
      <c r="AZ797" s="27"/>
      <c r="BA797" s="27"/>
      <c r="BB797" s="27"/>
      <c r="BC797" s="27"/>
      <c r="BD797" s="27"/>
      <c r="BE797" s="27"/>
      <c r="BF797" s="27"/>
      <c r="BG797" s="27"/>
      <c r="BH797" s="27"/>
      <c r="BI797" s="27"/>
      <c r="BJ797" s="27"/>
      <c r="BK797" s="27"/>
      <c r="BL797" s="27"/>
      <c r="BM797" s="27"/>
      <c r="BN797" s="27"/>
      <c r="BO797" s="27"/>
      <c r="BP797" s="27"/>
      <c r="BQ797" s="27"/>
      <c r="BR797" s="27"/>
      <c r="BS797" s="27"/>
      <c r="BT797" s="27"/>
      <c r="BU797" s="27"/>
      <c r="BV797" s="27"/>
      <c r="BW797" s="27"/>
      <c r="BX797" s="27"/>
      <c r="BY797" s="27"/>
      <c r="BZ797" s="27"/>
      <c r="CA797" s="27"/>
      <c r="CB797" s="27"/>
      <c r="CC797" s="27"/>
      <c r="CD797" s="27"/>
      <c r="CE797" s="27"/>
      <c r="CF797" s="27"/>
      <c r="CG797" s="27"/>
      <c r="CH797" s="27"/>
      <c r="CI797" s="27"/>
      <c r="CJ797" s="27"/>
      <c r="CK797" s="27"/>
      <c r="CL797" s="27"/>
      <c r="CM797" s="27"/>
      <c r="CN797" s="27"/>
      <c r="CO797" s="27"/>
      <c r="CP797" s="27"/>
      <c r="CQ797" s="27"/>
      <c r="CR797" s="27"/>
      <c r="CS797" s="27"/>
      <c r="CT797" s="27"/>
      <c r="CU797" s="27"/>
      <c r="CV797" s="27"/>
      <c r="CW797" s="27"/>
      <c r="CX797" s="27"/>
      <c r="CY797" s="27"/>
      <c r="CZ797" s="27"/>
      <c r="DA797" s="27"/>
      <c r="DB797" s="27"/>
      <c r="DC797" s="27"/>
      <c r="DD797" s="27"/>
      <c r="DE797" s="27"/>
      <c r="DF797" s="27"/>
      <c r="DG797" s="27"/>
      <c r="DH797" s="27"/>
      <c r="DI797" s="27"/>
      <c r="DJ797" s="27"/>
      <c r="DK797" s="27"/>
      <c r="DL797" s="27"/>
      <c r="DM797" s="27"/>
      <c r="DN797" s="27"/>
      <c r="DO797" s="27"/>
      <c r="DP797" s="27"/>
      <c r="DQ797" s="27"/>
      <c r="DR797" s="27"/>
      <c r="DS797" s="27"/>
      <c r="DT797" s="27"/>
    </row>
    <row r="798" spans="7:124" x14ac:dyDescent="0.2">
      <c r="G798" s="27"/>
      <c r="H798" s="27"/>
      <c r="I798" s="27"/>
      <c r="J798" s="27"/>
      <c r="K798" s="27"/>
      <c r="L798" s="27"/>
      <c r="M798" s="27"/>
      <c r="N798" s="27"/>
      <c r="O798" s="27"/>
      <c r="P798" s="27"/>
      <c r="Q798" s="27"/>
      <c r="R798" s="27"/>
      <c r="S798" s="27"/>
      <c r="T798" s="27"/>
      <c r="U798" s="27"/>
      <c r="V798" s="27"/>
      <c r="W798" s="27"/>
      <c r="X798" s="27"/>
      <c r="Y798" s="27"/>
      <c r="Z798" s="27"/>
      <c r="AA798" s="27"/>
      <c r="AB798" s="27"/>
      <c r="AC798" s="27"/>
      <c r="AD798" s="27"/>
      <c r="AE798" s="27"/>
      <c r="AF798" s="27"/>
      <c r="AG798" s="27"/>
      <c r="AH798" s="27"/>
      <c r="AI798" s="27"/>
      <c r="AJ798" s="27"/>
      <c r="AK798" s="27"/>
      <c r="AL798" s="27"/>
      <c r="AM798" s="27"/>
      <c r="AN798" s="27"/>
      <c r="AO798" s="27"/>
      <c r="AP798" s="27"/>
      <c r="AQ798" s="27"/>
      <c r="AR798" s="27"/>
      <c r="AS798" s="27"/>
      <c r="AT798" s="27"/>
      <c r="AU798" s="27"/>
      <c r="AV798" s="27"/>
      <c r="AW798" s="27" t="e">
        <f>((L807*12+#REF!+#REF!+AE743))</f>
        <v>#REF!</v>
      </c>
      <c r="AX798" s="27"/>
      <c r="AY798" s="27"/>
      <c r="AZ798" s="27"/>
      <c r="BA798" s="27"/>
      <c r="BB798" s="27"/>
      <c r="BC798" s="27"/>
      <c r="BD798" s="27"/>
      <c r="BE798" s="27"/>
      <c r="BF798" s="27"/>
      <c r="BG798" s="27"/>
      <c r="BH798" s="27"/>
      <c r="BI798" s="27"/>
      <c r="BJ798" s="27"/>
      <c r="BK798" s="27"/>
      <c r="BL798" s="27"/>
      <c r="BM798" s="27"/>
      <c r="BN798" s="27"/>
      <c r="BO798" s="27"/>
      <c r="BP798" s="27"/>
      <c r="BQ798" s="27"/>
      <c r="BR798" s="27"/>
      <c r="BS798" s="27"/>
      <c r="BT798" s="27"/>
      <c r="BU798" s="27">
        <v>34</v>
      </c>
      <c r="BV798" s="27">
        <v>0.01</v>
      </c>
      <c r="BW798" s="27">
        <v>7044.92</v>
      </c>
      <c r="BX798" s="27">
        <v>6655.36</v>
      </c>
      <c r="BY798" s="27">
        <v>6211.64</v>
      </c>
      <c r="BZ798" s="27">
        <v>5935.71</v>
      </c>
      <c r="CA798" s="27">
        <v>5410.85</v>
      </c>
      <c r="CB798" s="27">
        <v>5410.85</v>
      </c>
      <c r="CC798" s="27">
        <v>4707.3500000000004</v>
      </c>
      <c r="CD798" s="27">
        <v>4409.75</v>
      </c>
      <c r="CE798" s="27">
        <v>4301.53</v>
      </c>
      <c r="CF798" s="27">
        <v>4166.2700000000004</v>
      </c>
      <c r="CG798" s="27">
        <v>5935.71</v>
      </c>
      <c r="CH798" s="27">
        <v>5519.09</v>
      </c>
      <c r="CI798" s="27">
        <v>4707.3500000000004</v>
      </c>
      <c r="CJ798" s="27">
        <v>5811.27</v>
      </c>
      <c r="CK798" s="27">
        <v>5935.71</v>
      </c>
      <c r="CL798" s="27"/>
      <c r="CM798" s="27"/>
      <c r="CN798" s="27"/>
      <c r="CO798" s="27"/>
      <c r="CP798" s="27"/>
      <c r="CQ798" s="27"/>
      <c r="CR798" s="27"/>
      <c r="CS798" s="27"/>
      <c r="CT798" s="27"/>
      <c r="CU798" s="27"/>
      <c r="CV798" s="27"/>
      <c r="CW798" s="27"/>
      <c r="CX798" s="27"/>
      <c r="CY798" s="27"/>
      <c r="CZ798" s="27"/>
      <c r="DA798" s="27"/>
      <c r="DB798" s="27"/>
      <c r="DC798" s="27"/>
      <c r="DD798" s="27"/>
      <c r="DE798" s="27"/>
      <c r="DF798" s="27"/>
      <c r="DG798" s="27"/>
      <c r="DH798" s="27"/>
      <c r="DI798" s="27"/>
      <c r="DJ798" s="27"/>
      <c r="DK798" s="27"/>
      <c r="DL798" s="27"/>
      <c r="DM798" s="27"/>
      <c r="DN798" s="27"/>
      <c r="DO798" s="27"/>
      <c r="DP798" s="27"/>
      <c r="DQ798" s="27"/>
      <c r="DR798" s="27"/>
      <c r="DS798" s="27"/>
      <c r="DT798" s="27"/>
    </row>
    <row r="799" spans="7:124" x14ac:dyDescent="0.2">
      <c r="G799" s="27"/>
      <c r="H799" s="27"/>
      <c r="I799" s="27"/>
      <c r="J799" s="27"/>
      <c r="K799" s="27"/>
      <c r="L799" s="27"/>
      <c r="M799" s="27"/>
      <c r="N799" s="27"/>
      <c r="O799" s="27"/>
      <c r="P799" s="27"/>
      <c r="Q799" s="27"/>
      <c r="R799" s="27"/>
      <c r="S799" s="27"/>
      <c r="T799" s="27"/>
      <c r="U799" s="27"/>
      <c r="V799" s="27"/>
      <c r="W799" s="27"/>
      <c r="X799" s="27"/>
      <c r="Y799" s="27"/>
      <c r="Z799" s="27"/>
      <c r="AA799" s="27"/>
      <c r="AB799" s="27"/>
      <c r="AC799" s="27"/>
      <c r="AD799" s="27"/>
      <c r="AE799" s="27"/>
      <c r="AF799" s="27"/>
      <c r="AG799" s="27"/>
      <c r="AH799" s="27"/>
      <c r="AI799" s="27"/>
      <c r="AJ799" s="27"/>
      <c r="AK799" s="27"/>
      <c r="AL799" s="27"/>
      <c r="AM799" s="27"/>
      <c r="AN799" s="27"/>
      <c r="AO799" s="27"/>
      <c r="AP799" s="27"/>
      <c r="AQ799" s="27"/>
      <c r="AR799" s="27"/>
      <c r="AS799" s="27"/>
      <c r="AT799" s="27" t="s">
        <v>454</v>
      </c>
      <c r="AU799" s="27"/>
      <c r="AV799" s="27"/>
      <c r="AW799" s="27" t="e">
        <f>((L807*12+#REF!+#REF!+AE743)*'[1]נתוני מס'!L27)/12</f>
        <v>#REF!</v>
      </c>
      <c r="AX799" s="27"/>
      <c r="AY799" s="27"/>
      <c r="AZ799" s="27"/>
      <c r="BA799" s="27"/>
      <c r="BB799" s="27"/>
      <c r="BC799" s="27"/>
      <c r="BD799" s="27"/>
      <c r="BE799" s="27"/>
      <c r="BF799" s="27"/>
      <c r="BG799" s="27"/>
      <c r="BH799" s="27"/>
      <c r="BI799" s="27"/>
      <c r="BJ799" s="27"/>
      <c r="BK799" s="27"/>
      <c r="BL799" s="27"/>
      <c r="BM799" s="27"/>
      <c r="BN799" s="27"/>
      <c r="BO799" s="27"/>
      <c r="BP799" s="27"/>
      <c r="BQ799" s="27"/>
      <c r="BR799" s="27"/>
      <c r="BS799" s="27"/>
      <c r="BT799" s="27"/>
      <c r="BU799" s="27"/>
      <c r="BV799" s="27"/>
      <c r="BW799" s="27"/>
      <c r="BX799" s="27"/>
      <c r="BY799" s="27"/>
      <c r="BZ799" s="27"/>
      <c r="CA799" s="27"/>
      <c r="CB799" s="27"/>
      <c r="CC799" s="27"/>
      <c r="CD799" s="27"/>
      <c r="CE799" s="27"/>
      <c r="CF799" s="27"/>
      <c r="CG799" s="27"/>
      <c r="CH799" s="27"/>
      <c r="CI799" s="27"/>
      <c r="CJ799" s="27"/>
      <c r="CK799" s="27"/>
      <c r="CL799" s="27"/>
      <c r="CM799" s="27"/>
      <c r="CN799" s="27"/>
      <c r="CO799" s="27"/>
      <c r="CP799" s="27"/>
      <c r="CQ799" s="27"/>
      <c r="CR799" s="27"/>
      <c r="CS799" s="27"/>
      <c r="CT799" s="27"/>
      <c r="CU799" s="27"/>
      <c r="CV799" s="27"/>
      <c r="CW799" s="27"/>
      <c r="CX799" s="27"/>
      <c r="CY799" s="27"/>
      <c r="CZ799" s="27"/>
      <c r="DA799" s="27"/>
      <c r="DB799" s="27"/>
      <c r="DC799" s="27"/>
      <c r="DD799" s="27"/>
      <c r="DE799" s="27"/>
      <c r="DF799" s="27"/>
      <c r="DG799" s="27"/>
      <c r="DH799" s="27"/>
      <c r="DI799" s="27"/>
      <c r="DJ799" s="27"/>
      <c r="DK799" s="27"/>
      <c r="DL799" s="27"/>
      <c r="DM799" s="27"/>
      <c r="DN799" s="27"/>
      <c r="DO799" s="27"/>
      <c r="DP799" s="27"/>
      <c r="DQ799" s="27"/>
      <c r="DR799" s="27"/>
      <c r="DS799" s="27"/>
      <c r="DT799" s="27"/>
    </row>
    <row r="800" spans="7:124" x14ac:dyDescent="0.2">
      <c r="G800" s="27"/>
      <c r="H800" s="27"/>
      <c r="I800" s="27"/>
      <c r="J800" s="27"/>
      <c r="K800" s="27"/>
      <c r="L800" s="27"/>
      <c r="M800" s="27"/>
      <c r="N800" s="27"/>
      <c r="O800" s="27"/>
      <c r="P800" s="27"/>
      <c r="Q800" s="27"/>
      <c r="R800" s="27">
        <f>L807</f>
        <v>14401.146916299316</v>
      </c>
      <c r="S800" s="27"/>
      <c r="T800" s="27"/>
      <c r="U800" s="27"/>
      <c r="V800" s="27"/>
      <c r="W800" s="27"/>
      <c r="X800" s="27"/>
      <c r="Y800" s="27"/>
      <c r="Z800" s="27"/>
      <c r="AA800" s="27"/>
      <c r="AB800" s="27"/>
      <c r="AC800" s="27"/>
      <c r="AD800" s="27"/>
      <c r="AE800" s="27"/>
      <c r="AF800" s="27" t="s">
        <v>59</v>
      </c>
      <c r="AG800" s="27"/>
      <c r="AH800" s="27"/>
      <c r="AI800" s="27"/>
      <c r="AJ800" s="27"/>
      <c r="AK800" s="27"/>
      <c r="AL800" s="27"/>
      <c r="AM800" s="27"/>
      <c r="AN800" s="27"/>
      <c r="AO800" s="27"/>
      <c r="AP800" s="27"/>
      <c r="AQ800" s="27"/>
      <c r="AR800" s="27"/>
      <c r="AS800" s="27"/>
      <c r="AT800" s="27" t="s">
        <v>455</v>
      </c>
      <c r="AU800" s="27"/>
      <c r="AV800" s="27"/>
      <c r="AW800" s="27" t="e">
        <f>IF(AX800&gt;'[1]נתוני מס'!L28*'[1]נתוני מס'!M28,'[1]נתוני מס'!L28*'[1]נתוני מס'!M28,AX800)</f>
        <v>#REF!</v>
      </c>
      <c r="AX800" s="27" t="e">
        <f>((BB787-(L807*AE740*12+AE743+#REF!+#REF!))*'[1]נתוני מס'!L28)/12</f>
        <v>#REF!</v>
      </c>
      <c r="AY800" s="27"/>
      <c r="AZ800" s="27"/>
      <c r="BA800" s="27"/>
      <c r="BB800" s="27"/>
      <c r="BC800" s="27" t="s">
        <v>456</v>
      </c>
      <c r="BD800" s="27"/>
      <c r="BE800" s="27"/>
      <c r="BF800" s="27"/>
      <c r="BG800" s="27"/>
      <c r="BH800" s="27"/>
      <c r="BI800" s="27"/>
      <c r="BJ800" s="27"/>
      <c r="BK800" s="27"/>
      <c r="BL800" s="27"/>
      <c r="BM800" s="27"/>
      <c r="BN800" s="27"/>
      <c r="BO800" s="27"/>
      <c r="BP800" s="27"/>
      <c r="BQ800" s="27"/>
      <c r="BR800" s="27"/>
      <c r="BS800" s="27"/>
      <c r="BT800" s="27"/>
      <c r="BU800" s="27">
        <v>35</v>
      </c>
      <c r="BV800" s="27">
        <v>0.01</v>
      </c>
      <c r="BW800" s="27">
        <v>7115.36</v>
      </c>
      <c r="BX800" s="27">
        <v>6721.91</v>
      </c>
      <c r="BY800" s="27">
        <v>6273.75</v>
      </c>
      <c r="BZ800" s="27">
        <v>5995.06</v>
      </c>
      <c r="CA800" s="27">
        <v>5464.95</v>
      </c>
      <c r="CB800" s="27">
        <v>5464.95</v>
      </c>
      <c r="CC800" s="27">
        <v>4754.42</v>
      </c>
      <c r="CD800" s="27">
        <v>4453.84</v>
      </c>
      <c r="CE800" s="27">
        <v>4344.54</v>
      </c>
      <c r="CF800" s="27">
        <v>4207.93</v>
      </c>
      <c r="CG800" s="27">
        <v>5995.06</v>
      </c>
      <c r="CH800" s="27">
        <v>5574.28</v>
      </c>
      <c r="CI800" s="27">
        <v>4754.42</v>
      </c>
      <c r="CJ800" s="27">
        <v>5869.38</v>
      </c>
      <c r="CK800" s="27">
        <v>5995.06</v>
      </c>
      <c r="CL800" s="27"/>
      <c r="CM800" s="27"/>
      <c r="CN800" s="27"/>
      <c r="CO800" s="27"/>
      <c r="CP800" s="27"/>
      <c r="CQ800" s="27"/>
      <c r="CR800" s="27"/>
      <c r="CS800" s="27"/>
      <c r="CT800" s="27"/>
      <c r="CU800" s="27"/>
      <c r="CV800" s="27"/>
      <c r="CW800" s="27"/>
      <c r="CX800" s="27"/>
      <c r="CY800" s="27"/>
      <c r="CZ800" s="27"/>
      <c r="DA800" s="27"/>
      <c r="DB800" s="27"/>
      <c r="DC800" s="27"/>
      <c r="DD800" s="27"/>
      <c r="DE800" s="27"/>
      <c r="DF800" s="27"/>
      <c r="DG800" s="27"/>
      <c r="DH800" s="27"/>
      <c r="DI800" s="27"/>
      <c r="DJ800" s="27"/>
      <c r="DK800" s="27"/>
      <c r="DL800" s="27"/>
      <c r="DM800" s="27"/>
      <c r="DN800" s="27"/>
      <c r="DO800" s="27"/>
      <c r="DP800" s="27"/>
      <c r="DQ800" s="27"/>
      <c r="DR800" s="27"/>
      <c r="DS800" s="27"/>
      <c r="DT800" s="27"/>
    </row>
    <row r="801" spans="7:124" x14ac:dyDescent="0.2">
      <c r="G801" s="27"/>
      <c r="H801" s="27"/>
      <c r="I801" s="27"/>
      <c r="J801" s="27"/>
      <c r="K801" s="27"/>
      <c r="L801" s="27"/>
      <c r="M801" s="27"/>
      <c r="N801" s="27"/>
      <c r="O801" s="27"/>
      <c r="P801" s="27"/>
      <c r="Q801" s="27"/>
      <c r="R801" s="27"/>
      <c r="S801" s="27"/>
      <c r="T801" s="27"/>
      <c r="U801" s="27"/>
      <c r="V801" s="27"/>
      <c r="W801" s="27"/>
      <c r="X801" s="27"/>
      <c r="Y801" s="27"/>
      <c r="Z801" s="27"/>
      <c r="AA801" s="27"/>
      <c r="AB801" s="27"/>
      <c r="AC801" s="27"/>
      <c r="AD801" s="27"/>
      <c r="AE801" s="27"/>
      <c r="AF801" s="27"/>
      <c r="AG801" s="27"/>
      <c r="AH801" s="27"/>
      <c r="AI801" s="27"/>
      <c r="AJ801" s="27"/>
      <c r="AK801" s="27"/>
      <c r="AL801" s="27"/>
      <c r="AM801" s="27"/>
      <c r="AN801" s="27"/>
      <c r="AO801" s="27"/>
      <c r="AP801" s="27"/>
      <c r="AQ801" s="27"/>
      <c r="AR801" s="27"/>
      <c r="AS801" s="27"/>
      <c r="AT801" s="27"/>
      <c r="AU801" s="27"/>
      <c r="AV801" s="27"/>
      <c r="AW801" s="27" t="s">
        <v>457</v>
      </c>
      <c r="AX801" s="27"/>
      <c r="AY801" s="27"/>
      <c r="AZ801" s="27"/>
      <c r="BA801" s="27"/>
      <c r="BB801" s="27"/>
      <c r="BC801" s="27" t="s">
        <v>27</v>
      </c>
      <c r="BD801" s="27">
        <v>0</v>
      </c>
      <c r="BE801" s="27">
        <v>0</v>
      </c>
      <c r="BF801" s="27"/>
      <c r="BG801" s="27"/>
      <c r="BH801" s="27"/>
      <c r="BI801" s="27"/>
      <c r="BJ801" s="27"/>
      <c r="BK801" s="27"/>
      <c r="BL801" s="27"/>
      <c r="BM801" s="27"/>
      <c r="BN801" s="27"/>
      <c r="BO801" s="27"/>
      <c r="BP801" s="27"/>
      <c r="BQ801" s="27"/>
      <c r="BR801" s="27" t="s">
        <v>59</v>
      </c>
      <c r="BS801" s="27"/>
      <c r="BT801" s="27"/>
      <c r="BU801" s="27"/>
      <c r="BV801" s="27"/>
      <c r="BW801" s="27"/>
      <c r="BX801" s="27"/>
      <c r="BY801" s="27"/>
      <c r="BZ801" s="27"/>
      <c r="CA801" s="27"/>
      <c r="CB801" s="27"/>
      <c r="CC801" s="27"/>
      <c r="CD801" s="27"/>
      <c r="CE801" s="27"/>
      <c r="CF801" s="27"/>
      <c r="CG801" s="27"/>
      <c r="CH801" s="27"/>
      <c r="CI801" s="27"/>
      <c r="CJ801" s="27"/>
      <c r="CK801" s="27"/>
      <c r="CL801" s="27"/>
      <c r="CM801" s="27"/>
      <c r="CN801" s="27"/>
      <c r="CO801" s="27"/>
      <c r="CP801" s="27"/>
      <c r="CQ801" s="27"/>
      <c r="CR801" s="27"/>
      <c r="CS801" s="27"/>
      <c r="CT801" s="27"/>
      <c r="CU801" s="27"/>
      <c r="CV801" s="27"/>
      <c r="CW801" s="27"/>
      <c r="CX801" s="27"/>
      <c r="CY801" s="27"/>
      <c r="CZ801" s="27"/>
      <c r="DA801" s="27"/>
      <c r="DB801" s="27"/>
      <c r="DC801" s="27"/>
      <c r="DD801" s="27"/>
      <c r="DE801" s="27"/>
      <c r="DF801" s="27"/>
      <c r="DG801" s="27"/>
      <c r="DH801" s="27"/>
      <c r="DI801" s="27"/>
      <c r="DJ801" s="27"/>
      <c r="DK801" s="27"/>
      <c r="DL801" s="27"/>
      <c r="DM801" s="27"/>
      <c r="DN801" s="27"/>
      <c r="DO801" s="27"/>
      <c r="DP801" s="27"/>
      <c r="DQ801" s="27"/>
      <c r="DR801" s="27"/>
      <c r="DS801" s="27"/>
      <c r="DT801" s="27"/>
    </row>
    <row r="802" spans="7:124" x14ac:dyDescent="0.2">
      <c r="G802" s="27"/>
      <c r="H802" s="27"/>
      <c r="I802" s="27"/>
      <c r="J802" s="27"/>
      <c r="K802" s="27"/>
      <c r="L802" s="27"/>
      <c r="M802" s="27"/>
      <c r="N802" s="27"/>
      <c r="O802" s="27"/>
      <c r="P802" s="27"/>
      <c r="Q802" s="27"/>
      <c r="R802" s="27"/>
      <c r="S802" s="27"/>
      <c r="T802" s="27"/>
      <c r="U802" s="27"/>
      <c r="V802" s="27"/>
      <c r="W802" s="27"/>
      <c r="X802" s="27"/>
      <c r="Y802" s="27"/>
      <c r="Z802" s="27"/>
      <c r="AA802" s="27"/>
      <c r="AB802" s="27"/>
      <c r="AC802" s="27"/>
      <c r="AD802" s="27"/>
      <c r="AE802" s="27"/>
      <c r="AF802" s="27"/>
      <c r="AG802" s="27"/>
      <c r="AH802" s="27"/>
      <c r="AI802" s="27"/>
      <c r="AJ802" s="27"/>
      <c r="AK802" s="27"/>
      <c r="AL802" s="27"/>
      <c r="AM802" s="27"/>
      <c r="AN802" s="27"/>
      <c r="AO802" s="27"/>
      <c r="AP802" s="27"/>
      <c r="AQ802" s="27"/>
      <c r="AR802" s="27"/>
      <c r="AS802" s="27"/>
      <c r="AT802" s="27"/>
      <c r="AU802" s="27"/>
      <c r="AV802" s="27"/>
      <c r="AW802" s="27"/>
      <c r="AX802" s="27"/>
      <c r="AY802" s="27"/>
      <c r="AZ802" s="27"/>
      <c r="BA802" s="27"/>
      <c r="BB802" s="27"/>
      <c r="BC802" s="27" t="s">
        <v>458</v>
      </c>
      <c r="BD802" s="27">
        <f>'[1]נתוני מס'!B17</f>
        <v>0.13</v>
      </c>
      <c r="BE802" s="27">
        <f>'[1]נתוני מס'!C17</f>
        <v>227640</v>
      </c>
      <c r="BF802" s="27"/>
      <c r="BG802" s="27"/>
      <c r="BH802" s="27"/>
      <c r="BI802" s="27"/>
      <c r="BJ802" s="27"/>
      <c r="BK802" s="27"/>
      <c r="BL802" s="27"/>
      <c r="BM802" s="27"/>
      <c r="BN802" s="27"/>
      <c r="BO802" s="27"/>
      <c r="BP802" s="27"/>
      <c r="BQ802" s="27"/>
      <c r="BR802" s="27"/>
      <c r="BS802" s="27"/>
      <c r="BT802" s="27"/>
      <c r="BU802" s="27">
        <v>36</v>
      </c>
      <c r="BV802" s="27">
        <v>0.01</v>
      </c>
      <c r="BW802" s="27">
        <v>7186.51</v>
      </c>
      <c r="BX802" s="27">
        <v>6789.12</v>
      </c>
      <c r="BY802" s="27">
        <v>6336.48</v>
      </c>
      <c r="BZ802" s="27">
        <v>6055.01</v>
      </c>
      <c r="CA802" s="27">
        <v>5519.59</v>
      </c>
      <c r="CB802" s="27">
        <v>5519.59</v>
      </c>
      <c r="CC802" s="27">
        <v>4801.96</v>
      </c>
      <c r="CD802" s="27">
        <v>4498.37</v>
      </c>
      <c r="CE802" s="27">
        <v>4387.9799999999996</v>
      </c>
      <c r="CF802" s="27">
        <v>4250</v>
      </c>
      <c r="CG802" s="27">
        <v>6055.01</v>
      </c>
      <c r="CH802" s="27">
        <v>5630.02</v>
      </c>
      <c r="CI802" s="27">
        <v>4801.96</v>
      </c>
      <c r="CJ802" s="27">
        <v>5928.07</v>
      </c>
      <c r="CK802" s="27">
        <v>6055.01</v>
      </c>
      <c r="CL802" s="27"/>
      <c r="CM802" s="27"/>
      <c r="CN802" s="27"/>
      <c r="CO802" s="27"/>
      <c r="CP802" s="27"/>
      <c r="CQ802" s="27"/>
      <c r="CR802" s="27"/>
      <c r="CS802" s="27"/>
      <c r="CT802" s="27"/>
      <c r="CU802" s="27"/>
      <c r="CV802" s="27"/>
      <c r="CW802" s="27"/>
      <c r="CX802" s="27"/>
      <c r="CY802" s="27"/>
      <c r="CZ802" s="27"/>
      <c r="DA802" s="27"/>
      <c r="DB802" s="27"/>
      <c r="DC802" s="27"/>
      <c r="DD802" s="27"/>
      <c r="DE802" s="27"/>
      <c r="DF802" s="27"/>
      <c r="DG802" s="27"/>
      <c r="DH802" s="27"/>
      <c r="DI802" s="27"/>
      <c r="DJ802" s="27"/>
      <c r="DK802" s="27"/>
      <c r="DL802" s="27"/>
      <c r="DM802" s="27"/>
      <c r="DN802" s="27"/>
      <c r="DO802" s="27"/>
      <c r="DP802" s="27"/>
      <c r="DQ802" s="27"/>
      <c r="DR802" s="27"/>
      <c r="DS802" s="27"/>
      <c r="DT802" s="27"/>
    </row>
    <row r="803" spans="7:124" x14ac:dyDescent="0.2">
      <c r="G803" s="27"/>
      <c r="H803" s="27"/>
      <c r="I803" s="27"/>
      <c r="J803" s="27"/>
      <c r="K803" s="27" t="str">
        <f>BA780</f>
        <v>ותק הדרכה לגמול פיקוח/הדרכה</v>
      </c>
      <c r="L803" s="27">
        <f>W719*L784</f>
        <v>0</v>
      </c>
      <c r="M803" s="27"/>
      <c r="N803" s="27"/>
      <c r="O803" s="27"/>
      <c r="P803" s="27"/>
      <c r="Q803" s="27"/>
      <c r="R803" s="27"/>
      <c r="S803" s="27"/>
      <c r="T803" s="27"/>
      <c r="U803" s="27"/>
      <c r="V803" s="27"/>
      <c r="W803" s="27"/>
      <c r="X803" s="27"/>
      <c r="Y803" s="27"/>
      <c r="Z803" s="27"/>
      <c r="AA803" s="27"/>
      <c r="AB803" s="27"/>
      <c r="AC803" s="27"/>
      <c r="AD803" s="27"/>
      <c r="AE803" s="27"/>
      <c r="AF803" s="27"/>
      <c r="AG803" s="27"/>
      <c r="AH803" s="27"/>
      <c r="AI803" s="27"/>
      <c r="AJ803" s="27"/>
      <c r="AK803" s="27"/>
      <c r="AL803" s="27"/>
      <c r="AM803" s="27"/>
      <c r="AN803" s="27"/>
      <c r="AO803" s="27"/>
      <c r="AP803" s="27"/>
      <c r="AQ803" s="27"/>
      <c r="AR803" s="27"/>
      <c r="AS803" s="27"/>
      <c r="AT803" s="27"/>
      <c r="AU803" s="27"/>
      <c r="AV803" s="27"/>
      <c r="AW803" s="27"/>
      <c r="AX803" s="27"/>
      <c r="AY803" s="27"/>
      <c r="AZ803" s="27"/>
      <c r="BA803" s="27"/>
      <c r="BB803" s="27"/>
      <c r="BC803" s="27" t="s">
        <v>459</v>
      </c>
      <c r="BD803" s="27">
        <f>'[1]נתוני מס'!B18</f>
        <v>0.25</v>
      </c>
      <c r="BE803" s="27">
        <f>'[1]נתוני מס'!C18</f>
        <v>227640</v>
      </c>
      <c r="BF803" s="27"/>
      <c r="BG803" s="27"/>
      <c r="BH803" s="27"/>
      <c r="BI803" s="27"/>
      <c r="BJ803" s="27"/>
      <c r="BK803" s="27"/>
      <c r="BL803" s="27"/>
      <c r="BM803" s="27"/>
      <c r="BN803" s="27"/>
      <c r="BO803" s="27"/>
      <c r="BP803" s="27"/>
      <c r="BQ803" s="27"/>
      <c r="BR803" s="27"/>
      <c r="BS803" s="27"/>
      <c r="BT803" s="27"/>
      <c r="BU803" s="27"/>
      <c r="BV803" s="27"/>
      <c r="BW803" s="27"/>
      <c r="BX803" s="27"/>
      <c r="BY803" s="27"/>
      <c r="BZ803" s="27"/>
      <c r="CA803" s="27"/>
      <c r="CB803" s="27"/>
      <c r="CC803" s="27"/>
      <c r="CD803" s="27"/>
      <c r="CE803" s="27"/>
      <c r="CF803" s="27"/>
      <c r="CG803" s="27"/>
      <c r="CH803" s="27"/>
      <c r="CI803" s="27"/>
      <c r="CJ803" s="27"/>
      <c r="CK803" s="27"/>
      <c r="CL803" s="27"/>
      <c r="CM803" s="27"/>
      <c r="CN803" s="27"/>
      <c r="CO803" s="27"/>
      <c r="CP803" s="27"/>
      <c r="CQ803" s="27"/>
      <c r="CR803" s="27"/>
      <c r="CS803" s="27"/>
      <c r="CT803" s="27"/>
      <c r="CU803" s="27"/>
      <c r="CV803" s="27"/>
      <c r="CW803" s="27"/>
      <c r="CX803" s="27"/>
      <c r="CY803" s="27"/>
      <c r="CZ803" s="27"/>
      <c r="DA803" s="27"/>
      <c r="DB803" s="27"/>
      <c r="DC803" s="27"/>
      <c r="DD803" s="27"/>
      <c r="DE803" s="27"/>
      <c r="DF803" s="27"/>
      <c r="DG803" s="27"/>
      <c r="DH803" s="27"/>
      <c r="DI803" s="27"/>
      <c r="DJ803" s="27"/>
      <c r="DK803" s="27"/>
      <c r="DL803" s="27"/>
      <c r="DM803" s="27"/>
      <c r="DN803" s="27"/>
      <c r="DO803" s="27"/>
      <c r="DP803" s="27"/>
      <c r="DQ803" s="27"/>
      <c r="DR803" s="27"/>
      <c r="DS803" s="27"/>
      <c r="DT803" s="27"/>
    </row>
    <row r="804" spans="7:124" x14ac:dyDescent="0.2">
      <c r="G804" s="27"/>
      <c r="H804" s="27"/>
      <c r="I804" s="27"/>
      <c r="J804" s="27"/>
      <c r="K804" s="27" t="str">
        <f>V739</f>
        <v>תוספת סמינרים  12%</v>
      </c>
      <c r="L804" s="27">
        <f>SUM(L784:L787)*W739</f>
        <v>0</v>
      </c>
      <c r="M804" s="27"/>
      <c r="N804" s="27"/>
      <c r="O804" s="27"/>
      <c r="P804" s="27"/>
      <c r="Q804" s="27"/>
      <c r="R804" s="27"/>
      <c r="S804" s="27"/>
      <c r="T804" s="27"/>
      <c r="U804" s="27"/>
      <c r="V804" s="27"/>
      <c r="W804" s="27"/>
      <c r="X804" s="27"/>
      <c r="Y804" s="27"/>
      <c r="Z804" s="27"/>
      <c r="AA804" s="27"/>
      <c r="AB804" s="27"/>
      <c r="AC804" s="27"/>
      <c r="AD804" s="27"/>
      <c r="AE804" s="27"/>
      <c r="AF804" s="27"/>
      <c r="AG804" s="27"/>
      <c r="AH804" s="27"/>
      <c r="AI804" s="27"/>
      <c r="AJ804" s="27"/>
      <c r="AK804" s="27"/>
      <c r="AL804" s="27"/>
      <c r="AM804" s="27"/>
      <c r="AN804" s="27"/>
      <c r="AO804" s="27"/>
      <c r="AP804" s="27"/>
      <c r="AQ804" s="27"/>
      <c r="AR804" s="27"/>
      <c r="AS804" s="27"/>
      <c r="AT804" s="27"/>
      <c r="AU804" s="27"/>
      <c r="AV804" s="27"/>
      <c r="AW804" s="27"/>
      <c r="AX804" s="27"/>
      <c r="AY804" s="27"/>
      <c r="AZ804" s="27"/>
      <c r="BA804" s="27"/>
      <c r="BB804" s="27"/>
      <c r="BC804" s="27" t="s">
        <v>460</v>
      </c>
      <c r="BD804" s="27">
        <f>'[1]נתוני מס'!B19</f>
        <v>0.2</v>
      </c>
      <c r="BE804" s="27">
        <f>'[1]נתוני מס'!C19</f>
        <v>227640</v>
      </c>
      <c r="BF804" s="27"/>
      <c r="BG804" s="27"/>
      <c r="BH804" s="27"/>
      <c r="BI804" s="27"/>
      <c r="BJ804" s="27"/>
      <c r="BK804" s="27"/>
      <c r="BL804" s="27"/>
      <c r="BM804" s="27"/>
      <c r="BN804" s="27"/>
      <c r="BO804" s="27"/>
      <c r="BP804" s="27"/>
      <c r="BQ804" s="27"/>
      <c r="BR804" s="27"/>
      <c r="BS804" s="27"/>
      <c r="BT804" s="27"/>
      <c r="BU804" s="27"/>
      <c r="BV804" s="27"/>
      <c r="BW804" s="27"/>
      <c r="BX804" s="27"/>
      <c r="BY804" s="27"/>
      <c r="BZ804" s="27"/>
      <c r="CA804" s="27"/>
      <c r="CB804" s="27"/>
      <c r="CC804" s="27"/>
      <c r="CD804" s="27"/>
      <c r="CE804" s="27"/>
      <c r="CF804" s="27"/>
      <c r="CG804" s="27"/>
      <c r="CH804" s="27"/>
      <c r="CI804" s="27"/>
      <c r="CJ804" s="27"/>
      <c r="CK804" s="27"/>
      <c r="CL804" s="27"/>
      <c r="CM804" s="27"/>
      <c r="CN804" s="27"/>
      <c r="CO804" s="27"/>
      <c r="CP804" s="27"/>
      <c r="CQ804" s="27"/>
      <c r="CR804" s="27"/>
      <c r="CS804" s="27"/>
      <c r="CT804" s="27"/>
      <c r="CU804" s="27"/>
      <c r="CV804" s="27"/>
      <c r="CW804" s="27"/>
      <c r="CX804" s="27"/>
      <c r="CY804" s="27"/>
      <c r="CZ804" s="27"/>
      <c r="DA804" s="27"/>
      <c r="DB804" s="27"/>
      <c r="DC804" s="27"/>
      <c r="DD804" s="27"/>
      <c r="DE804" s="27"/>
      <c r="DF804" s="27"/>
      <c r="DG804" s="27"/>
      <c r="DH804" s="27"/>
      <c r="DI804" s="27"/>
      <c r="DJ804" s="27"/>
      <c r="DK804" s="27"/>
      <c r="DL804" s="27"/>
      <c r="DM804" s="27"/>
      <c r="DN804" s="27"/>
      <c r="DO804" s="27"/>
      <c r="DP804" s="27"/>
      <c r="DQ804" s="27"/>
      <c r="DR804" s="27"/>
      <c r="DS804" s="27"/>
      <c r="DT804" s="27"/>
    </row>
    <row r="805" spans="7:124" x14ac:dyDescent="0.2">
      <c r="G805" s="27"/>
      <c r="H805" s="27"/>
      <c r="I805" s="27"/>
      <c r="J805" s="27"/>
      <c r="K805" s="27"/>
      <c r="L805" s="27">
        <f>L779*BB782</f>
        <v>0</v>
      </c>
      <c r="M805" s="27"/>
      <c r="N805" s="27"/>
      <c r="O805" s="27"/>
      <c r="P805" s="27" t="s">
        <v>59</v>
      </c>
      <c r="Q805" s="27"/>
      <c r="R805" s="27"/>
      <c r="S805" s="27"/>
      <c r="T805" s="27"/>
      <c r="U805" s="27"/>
      <c r="V805" s="27"/>
      <c r="W805" s="27"/>
      <c r="X805" s="27"/>
      <c r="Y805" s="27"/>
      <c r="Z805" s="27"/>
      <c r="AA805" s="27"/>
      <c r="AB805" s="27"/>
      <c r="AC805" s="27"/>
      <c r="AD805" s="27"/>
      <c r="AE805" s="27"/>
      <c r="AF805" s="27"/>
      <c r="AG805" s="27"/>
      <c r="AH805" s="27"/>
      <c r="AI805" s="27"/>
      <c r="AJ805" s="27"/>
      <c r="AK805" s="27"/>
      <c r="AL805" s="27"/>
      <c r="AM805" s="27"/>
      <c r="AN805" s="27"/>
      <c r="AO805" s="27"/>
      <c r="AP805" s="27"/>
      <c r="AQ805" s="27"/>
      <c r="AR805" s="27"/>
      <c r="AS805" s="27"/>
      <c r="AT805" s="27"/>
      <c r="AU805" s="27"/>
      <c r="AV805" s="27"/>
      <c r="AW805" s="27"/>
      <c r="AX805" s="27"/>
      <c r="AY805" s="27"/>
      <c r="AZ805" s="27"/>
      <c r="BA805" s="27"/>
      <c r="BB805" s="27"/>
      <c r="BC805" s="27" t="s">
        <v>461</v>
      </c>
      <c r="BD805" s="27">
        <f>'[1]נתוני מס'!B20</f>
        <v>0.16</v>
      </c>
      <c r="BE805" s="27">
        <f>'[1]נתוני מס'!C20</f>
        <v>151680</v>
      </c>
      <c r="BF805" s="27"/>
      <c r="BG805" s="27"/>
      <c r="BH805" s="27"/>
      <c r="BI805" s="27"/>
      <c r="BJ805" s="27"/>
      <c r="BK805" s="27"/>
      <c r="BL805" s="27"/>
      <c r="BM805" s="27"/>
      <c r="BN805" s="27"/>
      <c r="BO805" s="27"/>
      <c r="BP805" s="27"/>
      <c r="BQ805" s="27"/>
      <c r="BR805" s="27"/>
      <c r="BS805" s="27"/>
      <c r="BT805" s="27"/>
      <c r="BU805" s="27"/>
      <c r="BV805" s="27"/>
      <c r="BW805" s="27"/>
      <c r="BX805" s="27"/>
      <c r="BY805" s="27"/>
      <c r="BZ805" s="27"/>
      <c r="CA805" s="27"/>
      <c r="CB805" s="27"/>
      <c r="CC805" s="27"/>
      <c r="CD805" s="27"/>
      <c r="CE805" s="27"/>
      <c r="CF805" s="27"/>
      <c r="CG805" s="27"/>
      <c r="CH805" s="27"/>
      <c r="CI805" s="27"/>
      <c r="CJ805" s="27"/>
      <c r="CK805" s="27"/>
      <c r="CL805" s="27"/>
      <c r="CM805" s="27"/>
      <c r="CN805" s="27"/>
      <c r="CO805" s="27"/>
      <c r="CP805" s="27"/>
      <c r="CQ805" s="27"/>
      <c r="CR805" s="27"/>
      <c r="CS805" s="27"/>
      <c r="CT805" s="27"/>
      <c r="CU805" s="27"/>
      <c r="CV805" s="27"/>
      <c r="CW805" s="27"/>
      <c r="CX805" s="27"/>
      <c r="CY805" s="27"/>
      <c r="CZ805" s="27"/>
      <c r="DA805" s="27"/>
      <c r="DB805" s="27"/>
      <c r="DC805" s="27"/>
      <c r="DD805" s="27"/>
      <c r="DE805" s="27"/>
      <c r="DF805" s="27"/>
      <c r="DG805" s="27"/>
      <c r="DH805" s="27"/>
      <c r="DI805" s="27"/>
      <c r="DJ805" s="27"/>
      <c r="DK805" s="27"/>
      <c r="DL805" s="27"/>
      <c r="DM805" s="27"/>
      <c r="DN805" s="27"/>
      <c r="DO805" s="27"/>
      <c r="DP805" s="27"/>
      <c r="DQ805" s="27"/>
      <c r="DR805" s="27"/>
      <c r="DS805" s="27"/>
      <c r="DT805" s="27"/>
    </row>
    <row r="806" spans="7:124" x14ac:dyDescent="0.2">
      <c r="G806" s="27"/>
      <c r="H806" s="27"/>
      <c r="I806" s="27"/>
      <c r="J806" s="27"/>
      <c r="K806" s="27" t="str">
        <f>BA783</f>
        <v>תוספת ערבה</v>
      </c>
      <c r="L806" s="27">
        <f>BB783</f>
        <v>0</v>
      </c>
      <c r="M806" s="27"/>
      <c r="N806" s="27"/>
      <c r="O806" s="27"/>
      <c r="P806" s="27"/>
      <c r="Q806" s="27"/>
      <c r="R806" s="27"/>
      <c r="S806" s="27"/>
      <c r="T806" s="27"/>
      <c r="U806" s="27"/>
      <c r="V806" s="27"/>
      <c r="W806" s="27"/>
      <c r="X806" s="27"/>
      <c r="Y806" s="27"/>
      <c r="Z806" s="27"/>
      <c r="AA806" s="27"/>
      <c r="AB806" s="27"/>
      <c r="AC806" s="27"/>
      <c r="AD806" s="27"/>
      <c r="AE806" s="27"/>
      <c r="AF806" s="27"/>
      <c r="AG806" s="27"/>
      <c r="AH806" s="27"/>
      <c r="AI806" s="27"/>
      <c r="AJ806" s="27"/>
      <c r="AK806" s="27"/>
      <c r="AL806" s="27"/>
      <c r="AM806" s="27"/>
      <c r="AN806" s="27"/>
      <c r="AO806" s="27"/>
      <c r="AP806" s="27"/>
      <c r="AQ806" s="27"/>
      <c r="AR806" s="27"/>
      <c r="AS806" s="27"/>
      <c r="AT806" s="27"/>
      <c r="AU806" s="27"/>
      <c r="AV806" s="27"/>
      <c r="AW806" s="27"/>
      <c r="AX806" s="27"/>
      <c r="AY806" s="27"/>
      <c r="AZ806" s="27"/>
      <c r="BA806" s="27"/>
      <c r="BB806" s="27"/>
      <c r="BC806" s="27" t="s">
        <v>462</v>
      </c>
      <c r="BD806" s="27">
        <f>'[1]נתוני מס'!B21</f>
        <v>0.25</v>
      </c>
      <c r="BE806" s="27">
        <f>'[1]נתוני מס'!C21</f>
        <v>151680</v>
      </c>
      <c r="BF806" s="27"/>
      <c r="BG806" s="27"/>
      <c r="BH806" s="27"/>
      <c r="BI806" s="27"/>
      <c r="BJ806" s="27"/>
      <c r="BK806" s="27"/>
      <c r="BL806" s="27"/>
      <c r="BM806" s="27"/>
      <c r="BN806" s="27"/>
      <c r="BO806" s="27"/>
      <c r="BP806" s="27"/>
      <c r="BQ806" s="27"/>
      <c r="BR806" s="27"/>
      <c r="BS806" s="27"/>
      <c r="BT806" s="27"/>
      <c r="BU806" s="27"/>
      <c r="BV806" s="27"/>
      <c r="BW806" s="27"/>
      <c r="BX806" s="27"/>
      <c r="BY806" s="27"/>
      <c r="BZ806" s="27"/>
      <c r="CA806" s="27"/>
      <c r="CB806" s="27"/>
      <c r="CC806" s="27"/>
      <c r="CD806" s="27"/>
      <c r="CE806" s="27"/>
      <c r="CF806" s="27"/>
      <c r="CG806" s="27"/>
      <c r="CH806" s="27"/>
      <c r="CI806" s="27"/>
      <c r="CJ806" s="27"/>
      <c r="CK806" s="27"/>
      <c r="CL806" s="27"/>
      <c r="CM806" s="27"/>
      <c r="CN806" s="27"/>
      <c r="CO806" s="27"/>
      <c r="CP806" s="27"/>
      <c r="CQ806" s="27"/>
      <c r="CR806" s="27"/>
      <c r="CS806" s="27"/>
      <c r="CT806" s="27"/>
      <c r="CU806" s="27"/>
      <c r="CV806" s="27"/>
      <c r="CW806" s="27"/>
      <c r="CX806" s="27"/>
      <c r="CY806" s="27"/>
      <c r="CZ806" s="27"/>
      <c r="DA806" s="27"/>
      <c r="DB806" s="27"/>
      <c r="DC806" s="27"/>
      <c r="DD806" s="27"/>
      <c r="DE806" s="27"/>
      <c r="DF806" s="27"/>
      <c r="DG806" s="27"/>
      <c r="DH806" s="27"/>
      <c r="DI806" s="27"/>
      <c r="DJ806" s="27"/>
      <c r="DK806" s="27"/>
      <c r="DL806" s="27"/>
      <c r="DM806" s="27"/>
      <c r="DN806" s="27"/>
      <c r="DO806" s="27"/>
      <c r="DP806" s="27"/>
      <c r="DQ806" s="27"/>
      <c r="DR806" s="27"/>
      <c r="DS806" s="27"/>
      <c r="DT806" s="27"/>
    </row>
    <row r="807" spans="7:124" x14ac:dyDescent="0.2">
      <c r="G807" s="27"/>
      <c r="H807" s="27"/>
      <c r="I807" s="27"/>
      <c r="J807" s="27"/>
      <c r="K807" s="27" t="s">
        <v>579</v>
      </c>
      <c r="L807" s="27">
        <f>SUM(L784:L806)</f>
        <v>14401.146916299316</v>
      </c>
      <c r="M807" s="27"/>
      <c r="N807" s="27"/>
      <c r="O807" s="27"/>
      <c r="P807" s="27"/>
      <c r="Q807" s="27"/>
      <c r="R807" s="27"/>
      <c r="S807" s="27"/>
      <c r="T807" s="27"/>
      <c r="U807" s="27"/>
      <c r="V807" s="27"/>
      <c r="W807" s="27"/>
      <c r="X807" s="27"/>
      <c r="Y807" s="27"/>
      <c r="Z807" s="27"/>
      <c r="AA807" s="27"/>
      <c r="AB807" s="27"/>
      <c r="AC807" s="27"/>
      <c r="AD807" s="27"/>
      <c r="AE807" s="27"/>
      <c r="AF807" s="27"/>
      <c r="AG807" s="27"/>
      <c r="AH807" s="27"/>
      <c r="AI807" s="27"/>
      <c r="AJ807" s="27"/>
      <c r="AK807" s="27"/>
      <c r="AL807" s="27"/>
      <c r="AM807" s="27"/>
      <c r="AN807" s="27"/>
      <c r="AO807" s="27"/>
      <c r="AP807" s="27"/>
      <c r="AQ807" s="27"/>
      <c r="AR807" s="27"/>
      <c r="AS807" s="27"/>
      <c r="AT807" s="27"/>
      <c r="AU807" s="27"/>
      <c r="AV807" s="27"/>
      <c r="AW807" s="27"/>
      <c r="AX807" s="27"/>
      <c r="AY807" s="27"/>
      <c r="AZ807" s="27"/>
      <c r="BA807" s="27"/>
      <c r="BB807" s="27"/>
      <c r="BC807" s="27" t="s">
        <v>463</v>
      </c>
      <c r="BD807" s="27">
        <f>'[1]נתוני מס'!B22</f>
        <v>0.2</v>
      </c>
      <c r="BE807" s="27">
        <f>'[1]נתוני מס'!C22</f>
        <v>151680</v>
      </c>
      <c r="BF807" s="27"/>
      <c r="BG807" s="27"/>
      <c r="BH807" s="27"/>
      <c r="BI807" s="27"/>
      <c r="BJ807" s="27"/>
      <c r="BK807" s="27"/>
      <c r="BL807" s="27"/>
      <c r="BM807" s="27"/>
      <c r="BN807" s="27"/>
      <c r="BO807" s="27"/>
      <c r="BP807" s="27"/>
      <c r="BQ807" s="27"/>
      <c r="BR807" s="27"/>
      <c r="BS807" s="27"/>
      <c r="BT807" s="27"/>
      <c r="BU807" s="27"/>
      <c r="BV807" s="27"/>
      <c r="BW807" s="27"/>
      <c r="BX807" s="27"/>
      <c r="BY807" s="27"/>
      <c r="BZ807" s="27"/>
      <c r="CA807" s="27"/>
      <c r="CB807" s="27"/>
      <c r="CC807" s="27"/>
      <c r="CD807" s="27"/>
      <c r="CE807" s="27"/>
      <c r="CF807" s="27"/>
      <c r="CG807" s="27"/>
      <c r="CH807" s="27"/>
      <c r="CI807" s="27"/>
      <c r="CJ807" s="27"/>
      <c r="CK807" s="27"/>
      <c r="CL807" s="27"/>
      <c r="CM807" s="27"/>
      <c r="CN807" s="27"/>
      <c r="CO807" s="27"/>
      <c r="CP807" s="27"/>
      <c r="CQ807" s="27"/>
      <c r="CR807" s="27"/>
      <c r="CS807" s="27"/>
      <c r="CT807" s="27"/>
      <c r="CU807" s="27"/>
      <c r="CV807" s="27"/>
      <c r="CW807" s="27"/>
      <c r="CX807" s="27"/>
      <c r="CY807" s="27"/>
      <c r="CZ807" s="27"/>
      <c r="DA807" s="27"/>
      <c r="DB807" s="27"/>
      <c r="DC807" s="27"/>
      <c r="DD807" s="27"/>
      <c r="DE807" s="27"/>
      <c r="DF807" s="27"/>
      <c r="DG807" s="27"/>
      <c r="DH807" s="27"/>
      <c r="DI807" s="27"/>
      <c r="DJ807" s="27"/>
      <c r="DK807" s="27"/>
      <c r="DL807" s="27"/>
      <c r="DM807" s="27"/>
      <c r="DN807" s="27"/>
      <c r="DO807" s="27"/>
      <c r="DP807" s="27"/>
      <c r="DQ807" s="27"/>
      <c r="DR807" s="27"/>
      <c r="DS807" s="27"/>
      <c r="DT807" s="27"/>
    </row>
    <row r="808" spans="7:124" x14ac:dyDescent="0.2">
      <c r="G808" s="27"/>
      <c r="H808" s="27"/>
      <c r="I808" s="27"/>
      <c r="J808" s="27"/>
      <c r="K808" s="27"/>
      <c r="L808" s="27"/>
      <c r="M808" s="27"/>
      <c r="N808" s="27"/>
      <c r="O808" s="27"/>
      <c r="P808" s="27" t="s">
        <v>59</v>
      </c>
      <c r="Q808" s="27"/>
      <c r="R808" s="27"/>
      <c r="S808" s="27"/>
      <c r="T808" s="27"/>
      <c r="U808" s="27"/>
      <c r="V808" s="27"/>
      <c r="W808" s="27"/>
      <c r="X808" s="27"/>
      <c r="Y808" s="27"/>
      <c r="Z808" s="27"/>
      <c r="AA808" s="27"/>
      <c r="AB808" s="27"/>
      <c r="AC808" s="27"/>
      <c r="AD808" s="27"/>
      <c r="AE808" s="27"/>
      <c r="AF808" s="27"/>
      <c r="AG808" s="27"/>
      <c r="AH808" s="27"/>
      <c r="AI808" s="27"/>
      <c r="AJ808" s="27"/>
      <c r="AK808" s="27"/>
      <c r="AL808" s="27"/>
      <c r="AM808" s="27"/>
      <c r="AN808" s="27"/>
      <c r="AO808" s="27"/>
      <c r="AP808" s="27"/>
      <c r="AQ808" s="27"/>
      <c r="AR808" s="27"/>
      <c r="AS808" s="27"/>
      <c r="AT808" s="27"/>
      <c r="AU808" s="27"/>
      <c r="AV808" s="27"/>
      <c r="AW808" s="27"/>
      <c r="AX808" s="27"/>
      <c r="AY808" s="27"/>
      <c r="AZ808" s="27"/>
      <c r="BA808" s="27"/>
      <c r="BB808" s="27"/>
      <c r="BC808" s="27" t="s">
        <v>464</v>
      </c>
      <c r="BD808" s="27">
        <f>IF(BC802=P705,BD802+BD814,IF(BC803=P705,BD803+BD814,IF(BC804=P705,BD804+BD814,IF(BC805=P705,BD805+BD814,IF(BC806=P705,BD806+BD814,IF(BC807=P705,BD807+BD814,BD814))))))</f>
        <v>0</v>
      </c>
      <c r="BE808" s="27">
        <f>IF(BC802=P705,BE802,IF(BC803=P705,BE803,IF(BC804=P705,BE804,IF(BC805=P705,BE805,IF(BC806=P705,BE806,IF(BC807=P705,BE807,0))))))</f>
        <v>0</v>
      </c>
      <c r="BF808" s="27"/>
      <c r="BG808" s="27"/>
      <c r="BH808" s="27"/>
      <c r="BI808" s="27"/>
      <c r="BJ808" s="27"/>
      <c r="BK808" s="27"/>
      <c r="BL808" s="27"/>
      <c r="BM808" s="27"/>
      <c r="BN808" s="27"/>
      <c r="BO808" s="27"/>
      <c r="BP808" s="27"/>
      <c r="BQ808" s="27"/>
      <c r="BR808" s="27"/>
      <c r="BS808" s="27"/>
      <c r="BT808" s="27"/>
      <c r="BU808" s="27"/>
      <c r="BV808" s="27"/>
      <c r="BW808" s="27"/>
      <c r="BX808" s="27"/>
      <c r="BY808" s="27"/>
      <c r="BZ808" s="27"/>
      <c r="CA808" s="27"/>
      <c r="CB808" s="27"/>
      <c r="CC808" s="27"/>
      <c r="CD808" s="27"/>
      <c r="CE808" s="27"/>
      <c r="CF808" s="27"/>
      <c r="CG808" s="27"/>
      <c r="CH808" s="27"/>
      <c r="CI808" s="27"/>
      <c r="CJ808" s="27"/>
      <c r="CK808" s="27"/>
      <c r="CL808" s="27"/>
      <c r="CM808" s="27"/>
      <c r="CN808" s="27"/>
      <c r="CO808" s="27"/>
      <c r="CP808" s="27"/>
      <c r="CQ808" s="27"/>
      <c r="CR808" s="27"/>
      <c r="CS808" s="27"/>
      <c r="CT808" s="27"/>
      <c r="CU808" s="27"/>
      <c r="CV808" s="27"/>
      <c r="CW808" s="27"/>
      <c r="CX808" s="27"/>
      <c r="CY808" s="27"/>
      <c r="CZ808" s="27"/>
      <c r="DA808" s="27"/>
      <c r="DB808" s="27"/>
      <c r="DC808" s="27"/>
      <c r="DD808" s="27"/>
      <c r="DE808" s="27"/>
      <c r="DF808" s="27"/>
      <c r="DG808" s="27"/>
      <c r="DH808" s="27"/>
      <c r="DI808" s="27"/>
      <c r="DJ808" s="27"/>
      <c r="DK808" s="27"/>
      <c r="DL808" s="27"/>
      <c r="DM808" s="27"/>
      <c r="DN808" s="27"/>
      <c r="DO808" s="27"/>
      <c r="DP808" s="27"/>
      <c r="DQ808" s="27"/>
      <c r="DR808" s="27"/>
      <c r="DS808" s="27"/>
      <c r="DT808" s="27"/>
    </row>
    <row r="809" spans="7:124" x14ac:dyDescent="0.2">
      <c r="G809" s="27"/>
      <c r="H809" s="27"/>
      <c r="I809" s="27"/>
      <c r="J809" s="27"/>
      <c r="K809" s="27"/>
      <c r="L809" s="27"/>
      <c r="M809" s="27"/>
      <c r="N809" s="27"/>
      <c r="O809" s="27"/>
      <c r="P809" s="27"/>
      <c r="Q809" s="27"/>
      <c r="R809" s="27"/>
      <c r="S809" s="27"/>
      <c r="T809" s="27"/>
      <c r="U809" s="27"/>
      <c r="V809" s="27"/>
      <c r="W809" s="27"/>
      <c r="X809" s="27"/>
      <c r="Y809" s="27"/>
      <c r="Z809" s="27"/>
      <c r="AA809" s="27"/>
      <c r="AB809" s="27"/>
      <c r="AC809" s="27"/>
      <c r="AD809" s="27"/>
      <c r="AE809" s="27"/>
      <c r="AF809" s="27"/>
      <c r="AG809" s="27"/>
      <c r="AH809" s="27"/>
      <c r="AI809" s="27"/>
      <c r="AJ809" s="27"/>
      <c r="AK809" s="27"/>
      <c r="AL809" s="27"/>
      <c r="AM809" s="27"/>
      <c r="AN809" s="27"/>
      <c r="AO809" s="27"/>
      <c r="AP809" s="27"/>
      <c r="AQ809" s="27"/>
      <c r="AR809" s="27"/>
      <c r="AS809" s="27"/>
      <c r="AT809" s="27"/>
      <c r="AU809" s="27"/>
      <c r="AV809" s="27"/>
      <c r="AW809" s="27"/>
      <c r="AX809" s="27"/>
      <c r="AY809" s="27"/>
      <c r="AZ809" s="27"/>
      <c r="BA809" s="27"/>
      <c r="BB809" s="27"/>
      <c r="BC809" s="27" t="s">
        <v>285</v>
      </c>
      <c r="BD809" s="27">
        <f>100%-BD808</f>
        <v>1</v>
      </c>
      <c r="BE809" s="27">
        <f>BE808/12</f>
        <v>0</v>
      </c>
      <c r="BF809" s="27"/>
      <c r="BG809" s="27"/>
      <c r="BH809" s="27"/>
      <c r="BI809" s="27"/>
      <c r="BJ809" s="27"/>
      <c r="BK809" s="27"/>
      <c r="BL809" s="27"/>
      <c r="BM809" s="27"/>
      <c r="BN809" s="27"/>
      <c r="BO809" s="27"/>
      <c r="BP809" s="27"/>
      <c r="BQ809" s="27"/>
      <c r="BR809" s="27"/>
      <c r="BS809" s="27"/>
      <c r="BT809" s="27"/>
      <c r="BU809" s="27"/>
      <c r="BV809" s="27"/>
      <c r="BW809" s="27"/>
      <c r="BX809" s="27"/>
      <c r="BY809" s="27"/>
      <c r="BZ809" s="27"/>
      <c r="CA809" s="27"/>
      <c r="CB809" s="27"/>
      <c r="CC809" s="27"/>
      <c r="CD809" s="27"/>
      <c r="CE809" s="27"/>
      <c r="CF809" s="27"/>
      <c r="CG809" s="27"/>
      <c r="CH809" s="27"/>
      <c r="CI809" s="27"/>
      <c r="CJ809" s="27"/>
      <c r="CK809" s="27"/>
      <c r="CL809" s="27"/>
      <c r="CM809" s="27"/>
      <c r="CN809" s="27"/>
      <c r="CO809" s="27"/>
      <c r="CP809" s="27"/>
      <c r="CQ809" s="27"/>
      <c r="CR809" s="27"/>
      <c r="CS809" s="27"/>
      <c r="CT809" s="27"/>
      <c r="CU809" s="27"/>
      <c r="CV809" s="27"/>
      <c r="CW809" s="27"/>
      <c r="CX809" s="27"/>
      <c r="CY809" s="27"/>
      <c r="CZ809" s="27"/>
      <c r="DA809" s="27"/>
      <c r="DB809" s="27"/>
      <c r="DC809" s="27"/>
      <c r="DD809" s="27"/>
      <c r="DE809" s="27"/>
      <c r="DF809" s="27"/>
      <c r="DG809" s="27"/>
      <c r="DH809" s="27"/>
      <c r="DI809" s="27"/>
      <c r="DJ809" s="27"/>
      <c r="DK809" s="27"/>
      <c r="DL809" s="27"/>
      <c r="DM809" s="27"/>
      <c r="DN809" s="27"/>
      <c r="DO809" s="27"/>
      <c r="DP809" s="27"/>
      <c r="DQ809" s="27"/>
      <c r="DR809" s="27"/>
      <c r="DS809" s="27"/>
      <c r="DT809" s="27"/>
    </row>
    <row r="810" spans="7:124" x14ac:dyDescent="0.2">
      <c r="G810" s="27"/>
      <c r="H810" s="27"/>
      <c r="I810" s="27"/>
      <c r="J810" s="27"/>
      <c r="K810" s="27"/>
      <c r="L810" s="27"/>
      <c r="M810" s="27"/>
      <c r="N810" s="27"/>
      <c r="O810" s="27"/>
      <c r="P810" s="27"/>
      <c r="Q810" s="27"/>
      <c r="R810" s="27"/>
      <c r="S810" s="27"/>
      <c r="T810" s="27"/>
      <c r="U810" s="27"/>
      <c r="V810" s="27"/>
      <c r="W810" s="27"/>
      <c r="X810" s="27" t="s">
        <v>87</v>
      </c>
      <c r="Y810" s="27" t="e">
        <f>VLOOKUP(INT($AB$746),horaa2,$AJ$711+2,FALSE)*$AB$747</f>
        <v>#N/A</v>
      </c>
      <c r="Z810" s="27" t="e">
        <f>Y810*S814</f>
        <v>#N/A</v>
      </c>
      <c r="AA810" s="27"/>
      <c r="AB810" s="27"/>
      <c r="AC810" s="27"/>
      <c r="AD810" s="27"/>
      <c r="AE810" s="27"/>
      <c r="AF810" s="27"/>
      <c r="AG810" s="27"/>
      <c r="AH810" s="27"/>
      <c r="AI810" s="27"/>
      <c r="AJ810" s="27"/>
      <c r="AK810" s="27"/>
      <c r="AL810" s="27"/>
      <c r="AM810" s="27"/>
      <c r="AN810" s="27"/>
      <c r="AO810" s="27"/>
      <c r="AP810" s="27"/>
      <c r="AQ810" s="27"/>
      <c r="AR810" s="27"/>
      <c r="AS810" s="27"/>
      <c r="AT810" s="27"/>
      <c r="AU810" s="27"/>
      <c r="AV810" s="27"/>
      <c r="AW810" s="27"/>
      <c r="AX810" s="27"/>
      <c r="AY810" s="27"/>
      <c r="AZ810" s="27"/>
      <c r="BA810" s="27"/>
      <c r="BB810" s="27"/>
      <c r="BC810" s="27"/>
      <c r="BD810" s="27"/>
      <c r="BE810" s="27" t="s">
        <v>59</v>
      </c>
      <c r="BF810" s="27"/>
      <c r="BG810" s="27"/>
      <c r="BH810" s="27"/>
      <c r="BI810" s="27"/>
      <c r="BJ810" s="27"/>
      <c r="BK810" s="27"/>
      <c r="BL810" s="27"/>
      <c r="BM810" s="27"/>
      <c r="BN810" s="27"/>
      <c r="BO810" s="27"/>
      <c r="BP810" s="27"/>
      <c r="BQ810" s="27"/>
      <c r="BR810" s="27"/>
      <c r="BS810" s="27"/>
      <c r="BT810" s="27"/>
      <c r="BU810" s="27"/>
      <c r="BV810" s="27"/>
      <c r="BW810" s="27"/>
      <c r="BX810" s="27"/>
      <c r="BY810" s="27"/>
      <c r="BZ810" s="27"/>
      <c r="CA810" s="27"/>
      <c r="CB810" s="27"/>
      <c r="CC810" s="27"/>
      <c r="CD810" s="27"/>
      <c r="CE810" s="27"/>
      <c r="CF810" s="27"/>
      <c r="CG810" s="27"/>
      <c r="CH810" s="27"/>
      <c r="CI810" s="27"/>
      <c r="CJ810" s="27"/>
      <c r="CK810" s="27"/>
      <c r="CL810" s="27"/>
      <c r="CM810" s="27"/>
      <c r="CN810" s="27"/>
      <c r="CO810" s="27"/>
      <c r="CP810" s="27"/>
      <c r="CQ810" s="27"/>
      <c r="CR810" s="27"/>
      <c r="CS810" s="27"/>
      <c r="CT810" s="27"/>
      <c r="CU810" s="27"/>
      <c r="CV810" s="27"/>
      <c r="CW810" s="27"/>
      <c r="CX810" s="27"/>
      <c r="CY810" s="27"/>
      <c r="CZ810" s="27"/>
      <c r="DA810" s="27"/>
      <c r="DB810" s="27"/>
      <c r="DC810" s="27"/>
      <c r="DD810" s="27"/>
      <c r="DE810" s="27"/>
      <c r="DF810" s="27"/>
      <c r="DG810" s="27"/>
      <c r="DH810" s="27"/>
      <c r="DI810" s="27"/>
      <c r="DJ810" s="27"/>
      <c r="DK810" s="27"/>
      <c r="DL810" s="27"/>
      <c r="DM810" s="27"/>
      <c r="DN810" s="27"/>
      <c r="DO810" s="27"/>
      <c r="DP810" s="27"/>
      <c r="DQ810" s="27"/>
      <c r="DR810" s="27"/>
      <c r="DS810" s="27"/>
      <c r="DT810" s="27"/>
    </row>
    <row r="811" spans="7:124" x14ac:dyDescent="0.2">
      <c r="G811" s="27"/>
      <c r="H811" s="27"/>
      <c r="I811" s="27"/>
      <c r="J811" s="27"/>
      <c r="K811" s="27"/>
      <c r="L811" s="27"/>
      <c r="M811" s="27"/>
      <c r="N811" s="27"/>
      <c r="O811" s="27"/>
      <c r="P811" s="27"/>
      <c r="Q811" s="27"/>
      <c r="R811" s="27"/>
      <c r="S811" s="27"/>
      <c r="T811" s="27"/>
      <c r="U811" s="27"/>
      <c r="V811" s="27"/>
      <c r="W811" s="27" t="s">
        <v>59</v>
      </c>
      <c r="X811" s="27">
        <f>AM805</f>
        <v>0</v>
      </c>
      <c r="Y811" s="27" t="e">
        <f>3%*Y810</f>
        <v>#N/A</v>
      </c>
      <c r="Z811" s="27" t="e">
        <f>Y811*S814</f>
        <v>#N/A</v>
      </c>
      <c r="AA811" s="27"/>
      <c r="AB811" s="27"/>
      <c r="AC811" s="27"/>
      <c r="AD811" s="27"/>
      <c r="AE811" s="27"/>
      <c r="AF811" s="27"/>
      <c r="AG811" s="27"/>
      <c r="AH811" s="27"/>
      <c r="AI811" s="27"/>
      <c r="AJ811" s="27"/>
      <c r="AK811" s="27"/>
      <c r="AL811" s="27"/>
      <c r="AM811" s="27"/>
      <c r="AN811" s="27"/>
      <c r="AO811" s="27"/>
      <c r="AP811" s="27"/>
      <c r="AQ811" s="27"/>
      <c r="AR811" s="27"/>
      <c r="AS811" s="27"/>
      <c r="AT811" s="27"/>
      <c r="AU811" s="27"/>
      <c r="AV811" s="27"/>
      <c r="AW811" s="27"/>
      <c r="AX811" s="27"/>
      <c r="AY811" s="27"/>
      <c r="AZ811" s="27"/>
      <c r="BA811" s="27"/>
      <c r="BB811" s="27"/>
      <c r="BC811" s="27" t="s">
        <v>465</v>
      </c>
      <c r="BD811" s="27"/>
      <c r="BE811" s="27">
        <f>'[1]נתוני מס'!C24</f>
        <v>579600</v>
      </c>
      <c r="BF811" s="27"/>
      <c r="BG811" s="27"/>
      <c r="BH811" s="27"/>
      <c r="BI811" s="27"/>
      <c r="BJ811" s="27"/>
      <c r="BK811" s="27"/>
      <c r="BL811" s="27"/>
      <c r="BM811" s="27"/>
      <c r="BN811" s="27"/>
      <c r="BO811" s="27"/>
      <c r="BP811" s="27"/>
      <c r="BQ811" s="27"/>
      <c r="BR811" s="27"/>
      <c r="BS811" s="27"/>
      <c r="BT811" s="27"/>
      <c r="BU811" s="27"/>
      <c r="BV811" s="27"/>
      <c r="BW811" s="27"/>
      <c r="BX811" s="27"/>
      <c r="BY811" s="27"/>
      <c r="BZ811" s="27"/>
      <c r="CA811" s="27"/>
      <c r="CB811" s="27"/>
      <c r="CC811" s="27"/>
      <c r="CD811" s="27"/>
      <c r="CE811" s="27"/>
      <c r="CF811" s="27"/>
      <c r="CG811" s="27"/>
      <c r="CH811" s="27"/>
      <c r="CI811" s="27"/>
      <c r="CJ811" s="27"/>
      <c r="CK811" s="27"/>
      <c r="CL811" s="27"/>
      <c r="CM811" s="27"/>
      <c r="CN811" s="27"/>
      <c r="CO811" s="27"/>
      <c r="CP811" s="27"/>
      <c r="CQ811" s="27"/>
      <c r="CR811" s="27"/>
      <c r="CS811" s="27"/>
      <c r="CT811" s="27"/>
      <c r="CU811" s="27"/>
      <c r="CV811" s="27"/>
      <c r="CW811" s="27"/>
      <c r="CX811" s="27"/>
      <c r="CY811" s="27"/>
      <c r="CZ811" s="27"/>
      <c r="DA811" s="27"/>
      <c r="DB811" s="27"/>
      <c r="DC811" s="27"/>
      <c r="DD811" s="27"/>
      <c r="DE811" s="27"/>
      <c r="DF811" s="27"/>
      <c r="DG811" s="27"/>
      <c r="DH811" s="27"/>
      <c r="DI811" s="27"/>
      <c r="DJ811" s="27"/>
      <c r="DK811" s="27"/>
      <c r="DL811" s="27"/>
      <c r="DM811" s="27"/>
      <c r="DN811" s="27"/>
      <c r="DO811" s="27"/>
      <c r="DP811" s="27"/>
      <c r="DQ811" s="27"/>
      <c r="DR811" s="27"/>
      <c r="DS811" s="27"/>
      <c r="DT811" s="27"/>
    </row>
    <row r="812" spans="7:124" x14ac:dyDescent="0.2">
      <c r="G812" s="27"/>
      <c r="H812" s="27"/>
      <c r="I812" s="27"/>
      <c r="J812" s="27"/>
      <c r="K812" s="27"/>
      <c r="L812" s="27"/>
      <c r="M812" s="27"/>
      <c r="N812" s="27"/>
      <c r="O812" s="27"/>
      <c r="P812" s="27"/>
      <c r="Q812" s="27"/>
      <c r="R812" s="27"/>
      <c r="S812" s="27"/>
      <c r="T812" s="27"/>
      <c r="U812" s="27"/>
      <c r="V812" s="27"/>
      <c r="W812" s="27"/>
      <c r="X812" s="27">
        <f>AM806</f>
        <v>0</v>
      </c>
      <c r="Y812" s="27" t="e">
        <f>AN806*(Y810+Y811)</f>
        <v>#N/A</v>
      </c>
      <c r="Z812" s="27" t="e">
        <f>Y812*S814</f>
        <v>#N/A</v>
      </c>
      <c r="AA812" s="27"/>
      <c r="AB812" s="27"/>
      <c r="AC812" s="27"/>
      <c r="AD812" s="27"/>
      <c r="AE812" s="27"/>
      <c r="AF812" s="27"/>
      <c r="AG812" s="27"/>
      <c r="AH812" s="27"/>
      <c r="AI812" s="27"/>
      <c r="AJ812" s="27"/>
      <c r="AK812" s="27"/>
      <c r="AL812" s="27"/>
      <c r="AM812" s="27"/>
      <c r="AN812" s="27"/>
      <c r="AO812" s="27"/>
      <c r="AP812" s="27"/>
      <c r="AQ812" s="27"/>
      <c r="AR812" s="27"/>
      <c r="AS812" s="27"/>
      <c r="AT812" s="27"/>
      <c r="AU812" s="27"/>
      <c r="AV812" s="27"/>
      <c r="AW812" s="27"/>
      <c r="AX812" s="27"/>
      <c r="AY812" s="27"/>
      <c r="AZ812" s="27"/>
      <c r="BA812" s="27"/>
      <c r="BB812" s="27"/>
      <c r="BC812" s="27"/>
      <c r="BD812" s="27" t="s">
        <v>204</v>
      </c>
      <c r="BE812" s="27">
        <f>IF(P706=AC754,BE811/12,0)</f>
        <v>0</v>
      </c>
      <c r="BF812" s="27"/>
      <c r="BG812" s="27"/>
      <c r="BH812" s="27"/>
      <c r="BI812" s="27"/>
      <c r="BJ812" s="27"/>
      <c r="BK812" s="27"/>
      <c r="BL812" s="27"/>
      <c r="BM812" s="27"/>
      <c r="BN812" s="27"/>
      <c r="BO812" s="27"/>
      <c r="BP812" s="27"/>
      <c r="BQ812" s="27"/>
      <c r="BR812" s="27"/>
      <c r="BS812" s="27"/>
      <c r="BT812" s="27"/>
      <c r="BU812" s="27"/>
      <c r="BV812" s="27"/>
      <c r="BW812" s="27"/>
      <c r="BX812" s="27"/>
      <c r="BY812" s="27"/>
      <c r="BZ812" s="27"/>
      <c r="CA812" s="27"/>
      <c r="CB812" s="27"/>
      <c r="CC812" s="27"/>
      <c r="CD812" s="27"/>
      <c r="CE812" s="27"/>
      <c r="CF812" s="27"/>
      <c r="CG812" s="27"/>
      <c r="CH812" s="27"/>
      <c r="CI812" s="27"/>
      <c r="CJ812" s="27"/>
      <c r="CK812" s="27"/>
      <c r="CL812" s="27"/>
      <c r="CM812" s="27"/>
      <c r="CN812" s="27"/>
      <c r="CO812" s="27"/>
      <c r="CP812" s="27"/>
      <c r="CQ812" s="27"/>
      <c r="CR812" s="27"/>
      <c r="CS812" s="27"/>
      <c r="CT812" s="27"/>
      <c r="CU812" s="27"/>
      <c r="CV812" s="27"/>
      <c r="CW812" s="27"/>
      <c r="CX812" s="27"/>
      <c r="CY812" s="27"/>
      <c r="CZ812" s="27"/>
      <c r="DA812" s="27"/>
      <c r="DB812" s="27"/>
      <c r="DC812" s="27"/>
      <c r="DD812" s="27"/>
      <c r="DE812" s="27"/>
      <c r="DF812" s="27"/>
      <c r="DG812" s="27"/>
      <c r="DH812" s="27"/>
      <c r="DI812" s="27"/>
      <c r="DJ812" s="27"/>
      <c r="DK812" s="27"/>
      <c r="DL812" s="27"/>
      <c r="DM812" s="27"/>
      <c r="DN812" s="27"/>
      <c r="DO812" s="27"/>
      <c r="DP812" s="27"/>
      <c r="DQ812" s="27"/>
      <c r="DR812" s="27"/>
      <c r="DS812" s="27"/>
      <c r="DT812" s="27"/>
    </row>
    <row r="813" spans="7:124" x14ac:dyDescent="0.2">
      <c r="G813" s="27"/>
      <c r="H813" s="27"/>
      <c r="I813" s="27"/>
      <c r="J813" s="27"/>
      <c r="K813" s="27"/>
      <c r="L813" s="27"/>
      <c r="M813" s="27"/>
      <c r="N813" s="27"/>
      <c r="O813" s="27"/>
      <c r="P813" s="27"/>
      <c r="Q813" s="27"/>
      <c r="R813" s="27"/>
      <c r="S813" s="27"/>
      <c r="T813" s="27"/>
      <c r="U813" s="27"/>
      <c r="V813" s="27" t="s">
        <v>59</v>
      </c>
      <c r="W813" s="27" t="s">
        <v>59</v>
      </c>
      <c r="X813" s="27" t="s">
        <v>112</v>
      </c>
      <c r="Y813" s="27" t="e">
        <f>(Y810+Y811+Y812)*6.35%</f>
        <v>#N/A</v>
      </c>
      <c r="Z813" s="27" t="e">
        <f>Y813*S814</f>
        <v>#N/A</v>
      </c>
      <c r="AA813" s="27"/>
      <c r="AB813" s="27"/>
      <c r="AC813" s="27"/>
      <c r="AD813" s="27"/>
      <c r="AE813" s="27"/>
      <c r="AF813" s="27"/>
      <c r="AG813" s="27"/>
      <c r="AH813" s="27"/>
      <c r="AI813" s="27"/>
      <c r="AJ813" s="27"/>
      <c r="AK813" s="27"/>
      <c r="AL813" s="27"/>
      <c r="AM813" s="27"/>
      <c r="AN813" s="27"/>
      <c r="AO813" s="27"/>
      <c r="AP813" s="27"/>
      <c r="AQ813" s="27"/>
      <c r="AR813" s="27"/>
      <c r="AS813" s="27"/>
      <c r="AT813" s="27"/>
      <c r="AU813" s="27"/>
      <c r="AV813" s="27"/>
      <c r="AW813" s="27"/>
      <c r="AX813" s="27"/>
      <c r="AY813" s="27"/>
      <c r="AZ813" s="27"/>
      <c r="BA813" s="27"/>
      <c r="BB813" s="27"/>
      <c r="BC813" s="27"/>
      <c r="BD813" s="27"/>
      <c r="BE813" s="27"/>
      <c r="BF813" s="27"/>
      <c r="BG813" s="27"/>
      <c r="BH813" s="27"/>
      <c r="BI813" s="27"/>
      <c r="BJ813" s="27"/>
      <c r="BK813" s="27"/>
      <c r="BL813" s="27"/>
      <c r="BM813" s="27"/>
      <c r="BN813" s="27"/>
      <c r="BO813" s="27"/>
      <c r="BP813" s="27"/>
      <c r="BQ813" s="27"/>
      <c r="BR813" s="27"/>
      <c r="BS813" s="27"/>
      <c r="BT813" s="27"/>
      <c r="BU813" s="27"/>
      <c r="BV813" s="27"/>
      <c r="BW813" s="27"/>
      <c r="BX813" s="27"/>
      <c r="BY813" s="27"/>
      <c r="BZ813" s="27"/>
      <c r="CA813" s="27"/>
      <c r="CB813" s="27"/>
      <c r="CC813" s="27"/>
      <c r="CD813" s="27"/>
      <c r="CE813" s="27"/>
      <c r="CF813" s="27"/>
      <c r="CG813" s="27"/>
      <c r="CH813" s="27"/>
      <c r="CI813" s="27"/>
      <c r="CJ813" s="27"/>
      <c r="CK813" s="27"/>
      <c r="CL813" s="27"/>
      <c r="CM813" s="27"/>
      <c r="CN813" s="27"/>
      <c r="CO813" s="27"/>
      <c r="CP813" s="27"/>
      <c r="CQ813" s="27"/>
      <c r="CR813" s="27"/>
      <c r="CS813" s="27"/>
      <c r="CT813" s="27"/>
      <c r="CU813" s="27"/>
      <c r="CV813" s="27"/>
      <c r="CW813" s="27"/>
      <c r="CX813" s="27"/>
      <c r="CY813" s="27"/>
      <c r="CZ813" s="27"/>
      <c r="DA813" s="27"/>
      <c r="DB813" s="27"/>
      <c r="DC813" s="27"/>
      <c r="DD813" s="27"/>
      <c r="DE813" s="27"/>
      <c r="DF813" s="27"/>
      <c r="DG813" s="27"/>
      <c r="DH813" s="27"/>
      <c r="DI813" s="27"/>
      <c r="DJ813" s="27"/>
      <c r="DK813" s="27"/>
      <c r="DL813" s="27"/>
      <c r="DM813" s="27"/>
      <c r="DN813" s="27"/>
      <c r="DO813" s="27"/>
      <c r="DP813" s="27"/>
      <c r="DQ813" s="27"/>
      <c r="DR813" s="27"/>
      <c r="DS813" s="27"/>
      <c r="DT813" s="27"/>
    </row>
    <row r="814" spans="7:124" x14ac:dyDescent="0.2">
      <c r="G814" s="27"/>
      <c r="H814" s="27"/>
      <c r="I814" s="27"/>
      <c r="J814" s="27"/>
      <c r="K814" s="27"/>
      <c r="L814" s="27"/>
      <c r="M814" s="27"/>
      <c r="N814" s="27"/>
      <c r="O814" s="27"/>
      <c r="P814" s="27"/>
      <c r="Q814" s="27"/>
      <c r="R814" s="27"/>
      <c r="S814" s="27"/>
      <c r="T814" s="27"/>
      <c r="U814" s="27"/>
      <c r="V814" s="27"/>
      <c r="W814" s="27"/>
      <c r="X814" s="27" t="s">
        <v>119</v>
      </c>
      <c r="Y814" s="27">
        <f>S844</f>
        <v>0</v>
      </c>
      <c r="Z814" s="27">
        <f>S814*Y814</f>
        <v>0</v>
      </c>
      <c r="AA814" s="27"/>
      <c r="AB814" s="27"/>
      <c r="AC814" s="27"/>
      <c r="AD814" s="27"/>
      <c r="AE814" s="27"/>
      <c r="AF814" s="27"/>
      <c r="AG814" s="27"/>
      <c r="AH814" s="27"/>
      <c r="AI814" s="27"/>
      <c r="AJ814" s="27"/>
      <c r="AK814" s="27"/>
      <c r="AL814" s="27"/>
      <c r="AM814" s="27"/>
      <c r="AN814" s="27"/>
      <c r="AO814" s="27"/>
      <c r="AP814" s="27"/>
      <c r="AQ814" s="27"/>
      <c r="AR814" s="27"/>
      <c r="AS814" s="27"/>
      <c r="AT814" s="27"/>
      <c r="AU814" s="27"/>
      <c r="AV814" s="27"/>
      <c r="AW814" s="27"/>
      <c r="AX814" s="27"/>
      <c r="AY814" s="27"/>
      <c r="AZ814" s="27"/>
      <c r="BA814" s="27"/>
      <c r="BB814" s="27"/>
      <c r="BC814" s="27" t="s">
        <v>466</v>
      </c>
      <c r="BD814" s="27">
        <f>IF(AF707=AC754,5%,0%)</f>
        <v>0</v>
      </c>
      <c r="BE814" s="27">
        <f>100%-BD814</f>
        <v>1</v>
      </c>
      <c r="BF814" s="27">
        <f>'[1]נתוני מס'!C26/12</f>
        <v>12640</v>
      </c>
      <c r="BG814" s="27"/>
      <c r="BH814" s="27"/>
      <c r="BI814" s="27"/>
      <c r="BJ814" s="27"/>
      <c r="BK814" s="27"/>
      <c r="BL814" s="27"/>
      <c r="BM814" s="27"/>
      <c r="BN814" s="27"/>
      <c r="BO814" s="27"/>
      <c r="BP814" s="27"/>
      <c r="BQ814" s="27"/>
      <c r="BR814" s="27"/>
      <c r="BS814" s="27"/>
      <c r="BT814" s="27"/>
      <c r="BU814" s="27"/>
      <c r="BV814" s="27"/>
      <c r="BW814" s="27"/>
      <c r="BX814" s="27"/>
      <c r="BY814" s="27"/>
      <c r="BZ814" s="27"/>
      <c r="CA814" s="27"/>
      <c r="CB814" s="27"/>
      <c r="CC814" s="27"/>
      <c r="CD814" s="27"/>
      <c r="CE814" s="27"/>
      <c r="CF814" s="27"/>
      <c r="CG814" s="27"/>
      <c r="CH814" s="27"/>
      <c r="CI814" s="27"/>
      <c r="CJ814" s="27"/>
      <c r="CK814" s="27"/>
      <c r="CL814" s="27"/>
      <c r="CM814" s="27"/>
      <c r="CN814" s="27"/>
      <c r="CO814" s="27"/>
      <c r="CP814" s="27"/>
      <c r="CQ814" s="27"/>
      <c r="CR814" s="27"/>
      <c r="CS814" s="27"/>
      <c r="CT814" s="27"/>
      <c r="CU814" s="27"/>
      <c r="CV814" s="27"/>
      <c r="CW814" s="27"/>
      <c r="CX814" s="27"/>
      <c r="CY814" s="27"/>
      <c r="CZ814" s="27"/>
      <c r="DA814" s="27"/>
      <c r="DB814" s="27"/>
      <c r="DC814" s="27"/>
      <c r="DD814" s="27"/>
      <c r="DE814" s="27"/>
      <c r="DF814" s="27"/>
      <c r="DG814" s="27"/>
      <c r="DH814" s="27"/>
      <c r="DI814" s="27"/>
      <c r="DJ814" s="27"/>
      <c r="DK814" s="27"/>
      <c r="DL814" s="27"/>
      <c r="DM814" s="27"/>
      <c r="DN814" s="27"/>
      <c r="DO814" s="27"/>
      <c r="DP814" s="27"/>
      <c r="DQ814" s="27"/>
      <c r="DR814" s="27"/>
      <c r="DS814" s="27"/>
      <c r="DT814" s="27"/>
    </row>
    <row r="815" spans="7:124" x14ac:dyDescent="0.2">
      <c r="G815" s="27"/>
      <c r="H815" s="27"/>
      <c r="I815" s="27"/>
      <c r="J815" s="27"/>
      <c r="K815" s="27"/>
      <c r="L815" s="27"/>
      <c r="M815" s="27"/>
      <c r="N815" s="27"/>
      <c r="O815" s="27"/>
      <c r="P815" s="27"/>
      <c r="Q815" s="27"/>
      <c r="R815" s="27"/>
      <c r="S815" s="27"/>
      <c r="T815" s="27"/>
      <c r="U815" s="27"/>
      <c r="V815" s="27"/>
      <c r="W815" s="27"/>
      <c r="X815" s="27" t="s">
        <v>452</v>
      </c>
      <c r="Y815" s="27">
        <f>S845</f>
        <v>0</v>
      </c>
      <c r="Z815" s="27">
        <f>Y815*S814</f>
        <v>0</v>
      </c>
      <c r="AA815" s="27"/>
      <c r="AB815" s="27"/>
      <c r="AC815" s="27"/>
      <c r="AD815" s="27"/>
      <c r="AE815" s="27"/>
      <c r="AF815" s="27"/>
      <c r="AG815" s="27"/>
      <c r="AH815" s="27"/>
      <c r="AI815" s="27"/>
      <c r="AJ815" s="27"/>
      <c r="AK815" s="27"/>
      <c r="AL815" s="27"/>
      <c r="AM815" s="27"/>
      <c r="AN815" s="27"/>
      <c r="AO815" s="27"/>
      <c r="AP815" s="27"/>
      <c r="AQ815" s="27"/>
      <c r="AR815" s="27"/>
      <c r="AS815" s="27"/>
      <c r="AT815" s="27"/>
      <c r="AU815" s="27"/>
      <c r="AV815" s="27"/>
      <c r="AW815" s="27"/>
      <c r="AX815" s="27"/>
      <c r="AY815" s="27"/>
      <c r="AZ815" s="27"/>
      <c r="BA815" s="27"/>
      <c r="BB815" s="27"/>
      <c r="BC815" s="27"/>
      <c r="BD815" s="27"/>
      <c r="BE815" s="27"/>
      <c r="BF815" s="27"/>
      <c r="BG815" s="27"/>
      <c r="BH815" s="27"/>
      <c r="BI815" s="27"/>
      <c r="BJ815" s="27"/>
      <c r="BK815" s="27"/>
      <c r="BL815" s="27"/>
      <c r="BM815" s="27"/>
      <c r="BN815" s="27"/>
      <c r="BO815" s="27"/>
      <c r="BP815" s="27"/>
      <c r="BQ815" s="27"/>
      <c r="BR815" s="27"/>
      <c r="BS815" s="27"/>
      <c r="BT815" s="27"/>
      <c r="BU815" s="27"/>
      <c r="BV815" s="27"/>
      <c r="BW815" s="27"/>
      <c r="BX815" s="27"/>
      <c r="BY815" s="27"/>
      <c r="BZ815" s="27"/>
      <c r="CA815" s="27"/>
      <c r="CB815" s="27"/>
      <c r="CC815" s="27"/>
      <c r="CD815" s="27"/>
      <c r="CE815" s="27"/>
      <c r="CF815" s="27"/>
      <c r="CG815" s="27"/>
      <c r="CH815" s="27"/>
      <c r="CI815" s="27"/>
      <c r="CJ815" s="27"/>
      <c r="CK815" s="27"/>
      <c r="CL815" s="27"/>
      <c r="CM815" s="27"/>
      <c r="CN815" s="27"/>
      <c r="CO815" s="27"/>
      <c r="CP815" s="27"/>
      <c r="CQ815" s="27"/>
      <c r="CR815" s="27"/>
      <c r="CS815" s="27"/>
      <c r="CT815" s="27"/>
      <c r="CU815" s="27"/>
      <c r="CV815" s="27"/>
      <c r="CW815" s="27"/>
      <c r="CX815" s="27"/>
      <c r="CY815" s="27"/>
      <c r="CZ815" s="27"/>
      <c r="DA815" s="27"/>
      <c r="DB815" s="27"/>
      <c r="DC815" s="27"/>
      <c r="DD815" s="27"/>
      <c r="DE815" s="27"/>
      <c r="DF815" s="27"/>
      <c r="DG815" s="27"/>
      <c r="DH815" s="27"/>
      <c r="DI815" s="27"/>
      <c r="DJ815" s="27"/>
      <c r="DK815" s="27"/>
      <c r="DL815" s="27"/>
      <c r="DM815" s="27"/>
      <c r="DN815" s="27"/>
      <c r="DO815" s="27"/>
      <c r="DP815" s="27"/>
      <c r="DQ815" s="27"/>
      <c r="DR815" s="27"/>
      <c r="DS815" s="27"/>
      <c r="DT815" s="27"/>
    </row>
    <row r="816" spans="7:124" x14ac:dyDescent="0.2">
      <c r="G816" s="27"/>
      <c r="H816" s="27"/>
      <c r="I816" s="27"/>
      <c r="J816" s="27"/>
      <c r="K816" s="27"/>
      <c r="L816" s="27"/>
      <c r="M816" s="27"/>
      <c r="N816" s="27"/>
      <c r="O816" s="27"/>
      <c r="P816" s="27"/>
      <c r="Q816" s="27"/>
      <c r="R816" s="27"/>
      <c r="S816" s="27"/>
      <c r="T816" s="27"/>
      <c r="U816" s="27"/>
      <c r="V816" s="27"/>
      <c r="W816" s="27"/>
      <c r="X816" s="27" t="s">
        <v>3</v>
      </c>
      <c r="Y816" s="27" t="e">
        <f>(SUM(Y810:Y814)+500)*S810</f>
        <v>#N/A</v>
      </c>
      <c r="Z816" s="27" t="e">
        <f>Y816*S814</f>
        <v>#N/A</v>
      </c>
      <c r="AA816" s="27"/>
      <c r="AB816" s="27"/>
      <c r="AC816" s="27"/>
      <c r="AD816" s="27"/>
      <c r="AE816" s="27"/>
      <c r="AF816" s="27"/>
      <c r="AG816" s="27"/>
      <c r="AH816" s="27"/>
      <c r="AI816" s="27"/>
      <c r="AJ816" s="27"/>
      <c r="AK816" s="27"/>
      <c r="AL816" s="27"/>
      <c r="AM816" s="27"/>
      <c r="AN816" s="27"/>
      <c r="AO816" s="27"/>
      <c r="AP816" s="27"/>
      <c r="AQ816" s="27"/>
      <c r="AR816" s="27"/>
      <c r="AS816" s="27"/>
      <c r="AT816" s="27"/>
      <c r="AU816" s="27"/>
      <c r="AV816" s="27"/>
      <c r="AW816" s="27"/>
      <c r="AX816" s="27"/>
      <c r="AY816" s="27"/>
      <c r="AZ816" s="27"/>
      <c r="BA816" s="27"/>
      <c r="BB816" s="27"/>
      <c r="BC816" s="27"/>
      <c r="BD816" s="27"/>
      <c r="BE816" s="27"/>
      <c r="BF816" s="27"/>
      <c r="BG816" s="27"/>
      <c r="BH816" s="27"/>
      <c r="BI816" s="27"/>
      <c r="BJ816" s="27"/>
      <c r="BK816" s="27"/>
      <c r="BL816" s="27"/>
      <c r="BM816" s="27"/>
      <c r="BN816" s="27"/>
      <c r="BO816" s="27"/>
      <c r="BP816" s="27"/>
      <c r="BQ816" s="27"/>
      <c r="BR816" s="27"/>
      <c r="BS816" s="27"/>
      <c r="BT816" s="27"/>
      <c r="BU816" s="27"/>
      <c r="BV816" s="27"/>
      <c r="BW816" s="27"/>
      <c r="BX816" s="27"/>
      <c r="BY816" s="27"/>
      <c r="BZ816" s="27"/>
      <c r="CA816" s="27"/>
      <c r="CB816" s="27"/>
      <c r="CC816" s="27"/>
      <c r="CD816" s="27"/>
      <c r="CE816" s="27"/>
      <c r="CF816" s="27"/>
      <c r="CG816" s="27"/>
      <c r="CH816" s="27"/>
      <c r="CI816" s="27"/>
      <c r="CJ816" s="27"/>
      <c r="CK816" s="27"/>
      <c r="CL816" s="27"/>
      <c r="CM816" s="27"/>
      <c r="CN816" s="27"/>
      <c r="CO816" s="27"/>
      <c r="CP816" s="27"/>
      <c r="CQ816" s="27"/>
      <c r="CR816" s="27"/>
      <c r="CS816" s="27"/>
      <c r="CT816" s="27"/>
      <c r="CU816" s="27"/>
      <c r="CV816" s="27"/>
      <c r="CW816" s="27"/>
      <c r="CX816" s="27"/>
      <c r="CY816" s="27"/>
      <c r="CZ816" s="27"/>
      <c r="DA816" s="27"/>
      <c r="DB816" s="27"/>
      <c r="DC816" s="27"/>
      <c r="DD816" s="27"/>
      <c r="DE816" s="27"/>
      <c r="DF816" s="27"/>
      <c r="DG816" s="27"/>
      <c r="DH816" s="27"/>
      <c r="DI816" s="27"/>
      <c r="DJ816" s="27"/>
      <c r="DK816" s="27"/>
      <c r="DL816" s="27"/>
      <c r="DM816" s="27"/>
      <c r="DN816" s="27"/>
      <c r="DO816" s="27"/>
      <c r="DP816" s="27"/>
      <c r="DQ816" s="27"/>
      <c r="DR816" s="27"/>
      <c r="DS816" s="27"/>
      <c r="DT816" s="27"/>
    </row>
    <row r="817" spans="7:124" x14ac:dyDescent="0.2">
      <c r="G817" s="27"/>
      <c r="H817" s="27"/>
      <c r="I817" s="27"/>
      <c r="J817" s="27"/>
      <c r="K817" s="27"/>
      <c r="L817" s="27"/>
      <c r="M817" s="27"/>
      <c r="N817" s="27"/>
      <c r="O817" s="27"/>
      <c r="P817" s="27"/>
      <c r="Q817" s="27">
        <v>2001</v>
      </c>
      <c r="R817" s="27"/>
      <c r="S817" s="27"/>
      <c r="T817" s="27"/>
      <c r="U817" s="27"/>
      <c r="V817" s="27"/>
      <c r="W817" s="27"/>
      <c r="X817" s="27" t="s">
        <v>128</v>
      </c>
      <c r="Y817" s="27">
        <f>($I$781+$I$782+$I$784+$I$785+$I$783+500)*1.2%*($C$52+$C$51)</f>
        <v>0</v>
      </c>
      <c r="Z817" s="27">
        <f>Y817*S814</f>
        <v>0</v>
      </c>
      <c r="AA817" s="27"/>
      <c r="AB817" s="27"/>
      <c r="AC817" s="27"/>
      <c r="AD817" s="27"/>
      <c r="AE817" s="27"/>
      <c r="AF817" s="27"/>
      <c r="AG817" s="27"/>
      <c r="AH817" s="27"/>
      <c r="AI817" s="27"/>
      <c r="AJ817" s="27"/>
      <c r="AK817" s="27"/>
      <c r="AL817" s="27"/>
      <c r="AM817" s="27"/>
      <c r="AN817" s="27"/>
      <c r="AO817" s="27"/>
      <c r="AP817" s="27"/>
      <c r="AQ817" s="27"/>
      <c r="AR817" s="27"/>
      <c r="AS817" s="27"/>
      <c r="AT817" s="27"/>
      <c r="AU817" s="27"/>
      <c r="AV817" s="27"/>
      <c r="AW817" s="27"/>
      <c r="AX817" s="27"/>
      <c r="AY817" s="27"/>
      <c r="AZ817" s="27"/>
      <c r="BA817" s="27"/>
      <c r="BB817" s="27"/>
      <c r="BC817" s="27"/>
      <c r="BD817" s="27"/>
      <c r="BE817" s="27"/>
      <c r="BF817" s="27"/>
      <c r="BG817" s="27"/>
      <c r="BH817" s="27"/>
      <c r="BI817" s="27"/>
      <c r="BJ817" s="27"/>
      <c r="BK817" s="27"/>
      <c r="BL817" s="27"/>
      <c r="BM817" s="27"/>
      <c r="BN817" s="27"/>
      <c r="BO817" s="27"/>
      <c r="BP817" s="27"/>
      <c r="BQ817" s="27"/>
      <c r="BR817" s="27"/>
      <c r="BS817" s="27"/>
      <c r="BT817" s="27"/>
      <c r="BU817" s="27"/>
      <c r="BV817" s="27"/>
      <c r="BW817" s="27"/>
      <c r="BX817" s="27"/>
      <c r="BY817" s="27"/>
      <c r="BZ817" s="27"/>
      <c r="CA817" s="27"/>
      <c r="CB817" s="27"/>
      <c r="CC817" s="27"/>
      <c r="CD817" s="27"/>
      <c r="CE817" s="27"/>
      <c r="CF817" s="27"/>
      <c r="CG817" s="27"/>
      <c r="CH817" s="27"/>
      <c r="CI817" s="27"/>
      <c r="CJ817" s="27"/>
      <c r="CK817" s="27"/>
      <c r="CL817" s="27"/>
      <c r="CM817" s="27"/>
      <c r="CN817" s="27"/>
      <c r="CO817" s="27"/>
      <c r="CP817" s="27"/>
      <c r="CQ817" s="27"/>
      <c r="CR817" s="27"/>
      <c r="CS817" s="27"/>
      <c r="CT817" s="27"/>
      <c r="CU817" s="27"/>
      <c r="CV817" s="27"/>
      <c r="CW817" s="27"/>
      <c r="CX817" s="27"/>
      <c r="CY817" s="27"/>
      <c r="CZ817" s="27"/>
      <c r="DA817" s="27"/>
      <c r="DB817" s="27"/>
      <c r="DC817" s="27"/>
      <c r="DD817" s="27"/>
      <c r="DE817" s="27"/>
      <c r="DF817" s="27"/>
      <c r="DG817" s="27"/>
      <c r="DH817" s="27"/>
      <c r="DI817" s="27"/>
      <c r="DJ817" s="27"/>
      <c r="DK817" s="27"/>
      <c r="DL817" s="27"/>
      <c r="DM817" s="27"/>
      <c r="DN817" s="27"/>
      <c r="DO817" s="27"/>
      <c r="DP817" s="27"/>
      <c r="DQ817" s="27"/>
      <c r="DR817" s="27"/>
      <c r="DS817" s="27"/>
      <c r="DT817" s="27"/>
    </row>
    <row r="818" spans="7:124" x14ac:dyDescent="0.2">
      <c r="G818" s="27"/>
      <c r="H818" s="27"/>
      <c r="I818" s="27"/>
      <c r="J818" s="27"/>
      <c r="K818" s="27"/>
      <c r="L818" s="27"/>
      <c r="M818" s="27"/>
      <c r="N818" s="27"/>
      <c r="O818" s="27"/>
      <c r="P818" s="27"/>
      <c r="Q818" s="27"/>
      <c r="R818" s="27"/>
      <c r="S818" s="27"/>
      <c r="T818" s="27"/>
      <c r="U818" s="27"/>
      <c r="V818" s="27"/>
      <c r="W818" s="27"/>
      <c r="X818" s="27" t="s">
        <v>150</v>
      </c>
      <c r="Y818" s="27" t="e">
        <f>S813*(SUM(Y810:Y814)+Y824)</f>
        <v>#N/A</v>
      </c>
      <c r="Z818" s="27" t="e">
        <f>Y818*S814</f>
        <v>#N/A</v>
      </c>
      <c r="AA818" s="27"/>
      <c r="AB818" s="27"/>
      <c r="AC818" s="27"/>
      <c r="AD818" s="27"/>
      <c r="AE818" s="27"/>
      <c r="AF818" s="27"/>
      <c r="AG818" s="27"/>
      <c r="AH818" s="27"/>
      <c r="AI818" s="27"/>
      <c r="AJ818" s="27"/>
      <c r="AK818" s="27"/>
      <c r="AL818" s="27"/>
      <c r="AM818" s="27"/>
      <c r="AN818" s="27"/>
      <c r="AO818" s="27"/>
      <c r="AP818" s="27"/>
      <c r="AQ818" s="27"/>
      <c r="AR818" s="27"/>
      <c r="AS818" s="27"/>
      <c r="AT818" s="27"/>
      <c r="AU818" s="27"/>
      <c r="AV818" s="27"/>
      <c r="AW818" s="27"/>
      <c r="AX818" s="27"/>
      <c r="AY818" s="27"/>
      <c r="AZ818" s="27"/>
      <c r="BA818" s="27"/>
      <c r="BB818" s="27"/>
      <c r="BC818" s="27"/>
      <c r="BD818" s="27"/>
      <c r="BE818" s="27"/>
      <c r="BF818" s="27"/>
      <c r="BG818" s="27"/>
      <c r="BH818" s="27"/>
      <c r="BI818" s="27"/>
      <c r="BJ818" s="27"/>
      <c r="BK818" s="27"/>
      <c r="BL818" s="27"/>
      <c r="BM818" s="27"/>
      <c r="BN818" s="27"/>
      <c r="BO818" s="27"/>
      <c r="BP818" s="27"/>
      <c r="BQ818" s="27"/>
      <c r="BR818" s="27"/>
      <c r="BS818" s="27"/>
      <c r="BT818" s="27"/>
      <c r="BU818" s="27"/>
      <c r="BV818" s="27"/>
      <c r="BW818" s="27"/>
      <c r="BX818" s="27"/>
      <c r="BY818" s="27"/>
      <c r="BZ818" s="27"/>
      <c r="CA818" s="27"/>
      <c r="CB818" s="27"/>
      <c r="CC818" s="27"/>
      <c r="CD818" s="27"/>
      <c r="CE818" s="27"/>
      <c r="CF818" s="27"/>
      <c r="CG818" s="27"/>
      <c r="CH818" s="27"/>
      <c r="CI818" s="27"/>
      <c r="CJ818" s="27"/>
      <c r="CK818" s="27"/>
      <c r="CL818" s="27"/>
      <c r="CM818" s="27"/>
      <c r="CN818" s="27"/>
      <c r="CO818" s="27"/>
      <c r="CP818" s="27"/>
      <c r="CQ818" s="27"/>
      <c r="CR818" s="27"/>
      <c r="CS818" s="27"/>
      <c r="CT818" s="27"/>
      <c r="CU818" s="27"/>
      <c r="CV818" s="27"/>
      <c r="CW818" s="27"/>
      <c r="CX818" s="27"/>
      <c r="CY818" s="27"/>
      <c r="CZ818" s="27"/>
      <c r="DA818" s="27"/>
      <c r="DB818" s="27"/>
      <c r="DC818" s="27"/>
      <c r="DD818" s="27"/>
      <c r="DE818" s="27"/>
      <c r="DF818" s="27"/>
      <c r="DG818" s="27"/>
      <c r="DH818" s="27"/>
      <c r="DI818" s="27"/>
      <c r="DJ818" s="27"/>
      <c r="DK818" s="27"/>
      <c r="DL818" s="27"/>
      <c r="DM818" s="27"/>
      <c r="DN818" s="27"/>
      <c r="DO818" s="27"/>
      <c r="DP818" s="27"/>
      <c r="DQ818" s="27"/>
      <c r="DR818" s="27"/>
      <c r="DS818" s="27"/>
      <c r="DT818" s="27"/>
    </row>
    <row r="819" spans="7:124" x14ac:dyDescent="0.2">
      <c r="G819" s="27"/>
      <c r="H819" s="27"/>
      <c r="I819" s="27"/>
      <c r="J819" s="27"/>
      <c r="K819" s="27"/>
      <c r="L819" s="27"/>
      <c r="M819" s="27"/>
      <c r="N819" s="27"/>
      <c r="O819" s="27"/>
      <c r="P819" s="27"/>
      <c r="Q819" s="27">
        <v>2008</v>
      </c>
      <c r="R819" s="27"/>
      <c r="S819" s="27"/>
      <c r="T819" s="27"/>
      <c r="U819" s="27"/>
      <c r="V819" s="27"/>
      <c r="W819" s="27"/>
      <c r="X819" s="27" t="str">
        <f>IF(S808=CS815,"גמול תואר","גמול תואר שלישי")</f>
        <v>גמול תואר</v>
      </c>
      <c r="Y819" s="27" t="e">
        <f>IF(S808=CS815,(SUM(Y810:Y814)+Y824)*5%,IF(S808=CR819,(5%)*(SUM(Y810:Y814)),0))</f>
        <v>#N/A</v>
      </c>
      <c r="Z819" s="27" t="e">
        <f>Y819*S814</f>
        <v>#N/A</v>
      </c>
      <c r="AA819" s="27"/>
      <c r="AB819" s="27"/>
      <c r="AC819" s="27"/>
      <c r="AD819" s="27"/>
      <c r="AE819" s="27"/>
      <c r="AF819" s="27"/>
      <c r="AG819" s="27"/>
      <c r="AH819" s="27"/>
      <c r="AI819" s="27"/>
      <c r="AJ819" s="27"/>
      <c r="AK819" s="27"/>
      <c r="AL819" s="27"/>
      <c r="AM819" s="27"/>
      <c r="AN819" s="27"/>
      <c r="AO819" s="27"/>
      <c r="AP819" s="27"/>
      <c r="AQ819" s="27"/>
      <c r="AR819" s="27"/>
      <c r="AS819" s="27"/>
      <c r="AT819" s="27"/>
      <c r="AU819" s="27"/>
      <c r="AV819" s="27"/>
      <c r="AW819" s="27"/>
      <c r="AX819" s="27"/>
      <c r="AY819" s="27"/>
      <c r="AZ819" s="27"/>
      <c r="BA819" s="27"/>
      <c r="BB819" s="27"/>
      <c r="BC819" s="27"/>
      <c r="BD819" s="27"/>
      <c r="BE819" s="27"/>
      <c r="BF819" s="27"/>
      <c r="BG819" s="27"/>
      <c r="BH819" s="27"/>
      <c r="BI819" s="27"/>
      <c r="BJ819" s="27"/>
      <c r="BK819" s="27"/>
      <c r="BL819" s="27"/>
      <c r="BM819" s="27"/>
      <c r="BN819" s="27"/>
      <c r="BO819" s="27"/>
      <c r="BP819" s="27"/>
      <c r="BQ819" s="27"/>
      <c r="BR819" s="27"/>
      <c r="BS819" s="27"/>
      <c r="BT819" s="27"/>
      <c r="BU819" s="27"/>
      <c r="BV819" s="27"/>
      <c r="BW819" s="27"/>
      <c r="BX819" s="27"/>
      <c r="BY819" s="27"/>
      <c r="BZ819" s="27"/>
      <c r="CA819" s="27"/>
      <c r="CB819" s="27"/>
      <c r="CC819" s="27"/>
      <c r="CD819" s="27"/>
      <c r="CE819" s="27"/>
      <c r="CF819" s="27"/>
      <c r="CG819" s="27"/>
      <c r="CH819" s="27"/>
      <c r="CI819" s="27"/>
      <c r="CJ819" s="27"/>
      <c r="CK819" s="27"/>
      <c r="CL819" s="27"/>
      <c r="CM819" s="27"/>
      <c r="CN819" s="27"/>
      <c r="CO819" s="27"/>
      <c r="CP819" s="27"/>
      <c r="CQ819" s="27"/>
      <c r="CR819" s="27"/>
      <c r="CS819" s="27"/>
      <c r="CT819" s="27"/>
      <c r="CU819" s="27"/>
      <c r="CV819" s="27"/>
      <c r="CW819" s="27"/>
      <c r="CX819" s="27"/>
      <c r="CY819" s="27"/>
      <c r="CZ819" s="27"/>
      <c r="DA819" s="27"/>
      <c r="DB819" s="27"/>
      <c r="DC819" s="27"/>
      <c r="DD819" s="27"/>
      <c r="DE819" s="27"/>
      <c r="DF819" s="27"/>
      <c r="DG819" s="27"/>
      <c r="DH819" s="27"/>
      <c r="DI819" s="27"/>
      <c r="DJ819" s="27"/>
      <c r="DK819" s="27"/>
      <c r="DL819" s="27"/>
      <c r="DM819" s="27"/>
      <c r="DN819" s="27"/>
      <c r="DO819" s="27"/>
      <c r="DP819" s="27"/>
      <c r="DQ819" s="27"/>
      <c r="DR819" s="27"/>
      <c r="DS819" s="27"/>
      <c r="DT819" s="27"/>
    </row>
    <row r="820" spans="7:124" x14ac:dyDescent="0.2">
      <c r="G820" s="27"/>
      <c r="H820" s="27"/>
      <c r="I820" s="27"/>
      <c r="J820" s="27"/>
      <c r="K820" s="27"/>
      <c r="L820" s="27"/>
      <c r="M820" s="27"/>
      <c r="N820" s="27"/>
      <c r="O820" s="27"/>
      <c r="P820" s="27"/>
      <c r="Q820" s="27" t="s">
        <v>450</v>
      </c>
      <c r="R820" s="27"/>
      <c r="S820" s="27"/>
      <c r="T820" s="27"/>
      <c r="U820" s="27"/>
      <c r="V820" s="27"/>
      <c r="W820" s="27"/>
      <c r="X820" s="27" t="s">
        <v>65</v>
      </c>
      <c r="Y820" s="27" t="e">
        <f>S866*(SUM(Y810:Y814)+500)</f>
        <v>#N/A</v>
      </c>
      <c r="Z820" s="27" t="e">
        <f>Y820*S814</f>
        <v>#N/A</v>
      </c>
      <c r="AA820" s="27"/>
      <c r="AB820" s="27"/>
      <c r="AC820" s="27"/>
      <c r="AD820" s="27"/>
      <c r="AE820" s="27"/>
      <c r="AF820" s="27"/>
      <c r="AG820" s="27"/>
      <c r="AH820" s="27"/>
      <c r="AI820" s="27"/>
      <c r="AJ820" s="27"/>
      <c r="AK820" s="27"/>
      <c r="AL820" s="27"/>
      <c r="AM820" s="27"/>
      <c r="AN820" s="27"/>
      <c r="AO820" s="27"/>
      <c r="AP820" s="27"/>
      <c r="AQ820" s="27"/>
      <c r="AR820" s="27"/>
      <c r="AS820" s="27"/>
      <c r="AT820" s="27"/>
      <c r="AU820" s="27"/>
      <c r="AV820" s="27"/>
      <c r="AW820" s="27"/>
      <c r="AX820" s="27"/>
      <c r="AY820" s="27"/>
      <c r="AZ820" s="27"/>
      <c r="BA820" s="27"/>
      <c r="BB820" s="27"/>
      <c r="BC820" s="27"/>
      <c r="BD820" s="27"/>
      <c r="BE820" s="27"/>
      <c r="BF820" s="27"/>
      <c r="BG820" s="27"/>
      <c r="BH820" s="27"/>
      <c r="BI820" s="27"/>
      <c r="BJ820" s="27"/>
      <c r="BK820" s="27"/>
      <c r="BL820" s="27"/>
      <c r="BM820" s="27"/>
      <c r="BN820" s="27"/>
      <c r="BO820" s="27"/>
      <c r="BP820" s="27"/>
      <c r="BQ820" s="27"/>
      <c r="BR820" s="27"/>
      <c r="BS820" s="27"/>
      <c r="BT820" s="27"/>
      <c r="BU820" s="27"/>
      <c r="BV820" s="27"/>
      <c r="BW820" s="27"/>
      <c r="BX820" s="27"/>
      <c r="BY820" s="27"/>
      <c r="BZ820" s="27"/>
      <c r="CA820" s="27"/>
      <c r="CB820" s="27"/>
      <c r="CC820" s="27"/>
      <c r="CD820" s="27"/>
      <c r="CE820" s="27"/>
      <c r="CF820" s="27"/>
      <c r="CG820" s="27"/>
      <c r="CH820" s="27"/>
      <c r="CI820" s="27"/>
      <c r="CJ820" s="27"/>
      <c r="CK820" s="27"/>
      <c r="CL820" s="27"/>
      <c r="CM820" s="27"/>
      <c r="CN820" s="27"/>
      <c r="CO820" s="27"/>
      <c r="CP820" s="27"/>
      <c r="CQ820" s="27"/>
      <c r="CR820" s="27"/>
      <c r="CS820" s="27"/>
      <c r="CT820" s="27"/>
      <c r="CU820" s="27"/>
      <c r="CV820" s="27"/>
      <c r="CW820" s="27"/>
      <c r="CX820" s="27"/>
      <c r="CY820" s="27"/>
      <c r="CZ820" s="27"/>
      <c r="DA820" s="27"/>
      <c r="DB820" s="27"/>
      <c r="DC820" s="27"/>
      <c r="DD820" s="27"/>
      <c r="DE820" s="27"/>
      <c r="DF820" s="27"/>
      <c r="DG820" s="27"/>
      <c r="DH820" s="27"/>
      <c r="DI820" s="27"/>
      <c r="DJ820" s="27"/>
      <c r="DK820" s="27"/>
      <c r="DL820" s="27"/>
      <c r="DM820" s="27"/>
      <c r="DN820" s="27"/>
      <c r="DO820" s="27"/>
      <c r="DP820" s="27"/>
      <c r="DQ820" s="27"/>
      <c r="DR820" s="27"/>
      <c r="DS820" s="27"/>
      <c r="DT820" s="27"/>
    </row>
    <row r="821" spans="7:124" x14ac:dyDescent="0.2">
      <c r="G821" s="27"/>
      <c r="H821" s="27"/>
      <c r="I821" s="27"/>
      <c r="J821" s="27"/>
      <c r="K821" s="27"/>
      <c r="L821" s="27"/>
      <c r="M821" s="27"/>
      <c r="N821" s="27"/>
      <c r="O821" s="27"/>
      <c r="P821" s="27"/>
      <c r="Q821" s="27"/>
      <c r="R821" s="27"/>
      <c r="S821" s="27"/>
      <c r="T821" s="27"/>
      <c r="U821" s="27"/>
      <c r="V821" s="27"/>
      <c r="W821" s="27"/>
      <c r="X821" s="27" t="s">
        <v>6</v>
      </c>
      <c r="Y821" s="27" t="e">
        <f>($I$781+Y811+ד3+Y813+Y814+Y824)*$C$55</f>
        <v>#N/A</v>
      </c>
      <c r="Z821" s="27" t="e">
        <f>Y821</f>
        <v>#N/A</v>
      </c>
      <c r="AA821" s="27"/>
      <c r="AB821" s="27"/>
      <c r="AC821" s="27"/>
      <c r="AD821" s="27"/>
      <c r="AE821" s="27"/>
      <c r="AF821" s="27"/>
      <c r="AG821" s="27"/>
      <c r="AH821" s="27"/>
      <c r="AI821" s="27"/>
      <c r="AJ821" s="27"/>
      <c r="AK821" s="27"/>
      <c r="AL821" s="27"/>
      <c r="AM821" s="27"/>
      <c r="AN821" s="27"/>
      <c r="AO821" s="27"/>
      <c r="AP821" s="27"/>
      <c r="AQ821" s="27"/>
      <c r="AR821" s="27"/>
      <c r="AS821" s="27"/>
      <c r="AT821" s="27"/>
      <c r="AU821" s="27"/>
      <c r="AV821" s="27"/>
      <c r="AW821" s="27"/>
      <c r="AX821" s="27"/>
      <c r="AY821" s="27"/>
      <c r="AZ821" s="27"/>
      <c r="BA821" s="27"/>
      <c r="BB821" s="27"/>
      <c r="BC821" s="27"/>
      <c r="BD821" s="27"/>
      <c r="BE821" s="27"/>
      <c r="BF821" s="27"/>
      <c r="BG821" s="27"/>
      <c r="BH821" s="27"/>
      <c r="BI821" s="27"/>
      <c r="BJ821" s="27"/>
      <c r="BK821" s="27"/>
      <c r="BL821" s="27"/>
      <c r="BM821" s="27"/>
      <c r="BN821" s="27"/>
      <c r="BO821" s="27"/>
      <c r="BP821" s="27"/>
      <c r="BQ821" s="27"/>
      <c r="BR821" s="27"/>
      <c r="BS821" s="27"/>
      <c r="BT821" s="27"/>
      <c r="BU821" s="27"/>
      <c r="BV821" s="27"/>
      <c r="BW821" s="27"/>
      <c r="BX821" s="27"/>
      <c r="BY821" s="27"/>
      <c r="BZ821" s="27"/>
      <c r="CA821" s="27"/>
      <c r="CB821" s="27"/>
      <c r="CC821" s="27"/>
      <c r="CD821" s="27"/>
      <c r="CE821" s="27"/>
      <c r="CF821" s="27"/>
      <c r="CG821" s="27"/>
      <c r="CH821" s="27"/>
      <c r="CI821" s="27"/>
      <c r="CJ821" s="27"/>
      <c r="CK821" s="27"/>
      <c r="CL821" s="27"/>
      <c r="CM821" s="27"/>
      <c r="CN821" s="27"/>
      <c r="CO821" s="27"/>
      <c r="CP821" s="27"/>
      <c r="CQ821" s="27"/>
      <c r="CR821" s="27"/>
      <c r="CS821" s="27"/>
      <c r="CT821" s="27"/>
      <c r="CU821" s="27"/>
      <c r="CV821" s="27"/>
      <c r="CW821" s="27"/>
      <c r="CX821" s="27"/>
      <c r="CY821" s="27"/>
      <c r="CZ821" s="27"/>
      <c r="DA821" s="27"/>
      <c r="DB821" s="27"/>
      <c r="DC821" s="27"/>
      <c r="DD821" s="27"/>
      <c r="DE821" s="27"/>
      <c r="DF821" s="27"/>
      <c r="DG821" s="27"/>
      <c r="DH821" s="27"/>
      <c r="DI821" s="27"/>
      <c r="DJ821" s="27"/>
      <c r="DK821" s="27"/>
      <c r="DL821" s="27"/>
      <c r="DM821" s="27"/>
      <c r="DN821" s="27"/>
      <c r="DO821" s="27"/>
      <c r="DP821" s="27"/>
      <c r="DQ821" s="27"/>
      <c r="DR821" s="27"/>
      <c r="DS821" s="27"/>
      <c r="DT821" s="27"/>
    </row>
    <row r="822" spans="7:124" x14ac:dyDescent="0.2">
      <c r="G822" s="27"/>
      <c r="H822" s="27"/>
      <c r="I822" s="27"/>
      <c r="J822" s="27"/>
      <c r="K822" s="27"/>
      <c r="L822" s="27"/>
      <c r="M822" s="27"/>
      <c r="N822" s="27"/>
      <c r="O822" s="27"/>
      <c r="P822" s="27"/>
      <c r="Q822" s="27"/>
      <c r="R822" s="27"/>
      <c r="S822" s="27"/>
      <c r="T822" s="27"/>
      <c r="U822" s="27"/>
      <c r="V822" s="27"/>
      <c r="W822" s="27"/>
      <c r="X822" s="27">
        <f>R826</f>
        <v>0</v>
      </c>
      <c r="Y822" s="27" t="e">
        <f>(Y810+Y811+ד3+Y813+Y814+Y824)*$C$78</f>
        <v>#N/A</v>
      </c>
      <c r="Z822" s="27" t="e">
        <f>Y822*S814</f>
        <v>#N/A</v>
      </c>
      <c r="AA822" s="27"/>
      <c r="AB822" s="27"/>
      <c r="AC822" s="27"/>
      <c r="AD822" s="27"/>
      <c r="AE822" s="27"/>
      <c r="AF822" s="27"/>
      <c r="AG822" s="27"/>
      <c r="AH822" s="27"/>
      <c r="AI822" s="27"/>
      <c r="AJ822" s="27"/>
      <c r="AK822" s="27"/>
      <c r="AL822" s="27"/>
      <c r="AM822" s="27"/>
      <c r="AN822" s="27"/>
      <c r="AO822" s="27"/>
      <c r="AP822" s="27"/>
      <c r="AQ822" s="27"/>
      <c r="AR822" s="27"/>
      <c r="AS822" s="27"/>
      <c r="AT822" s="27"/>
      <c r="AU822" s="27"/>
      <c r="AV822" s="27"/>
      <c r="AW822" s="27"/>
      <c r="AX822" s="27"/>
      <c r="AY822" s="27"/>
      <c r="AZ822" s="27"/>
      <c r="BA822" s="27"/>
      <c r="BB822" s="27"/>
      <c r="BC822" s="27"/>
      <c r="BD822" s="27"/>
      <c r="BE822" s="27"/>
      <c r="BF822" s="27"/>
      <c r="BG822" s="27"/>
      <c r="BH822" s="27"/>
      <c r="BI822" s="27"/>
      <c r="BJ822" s="27"/>
      <c r="BK822" s="27"/>
      <c r="BL822" s="27"/>
      <c r="BM822" s="27"/>
      <c r="BN822" s="27"/>
      <c r="BO822" s="27"/>
      <c r="BP822" s="27"/>
      <c r="BQ822" s="27"/>
      <c r="BR822" s="27"/>
      <c r="BS822" s="27"/>
      <c r="BT822" s="27"/>
      <c r="BU822" s="27"/>
      <c r="BV822" s="27"/>
      <c r="BW822" s="27"/>
      <c r="BX822" s="27"/>
      <c r="BY822" s="27"/>
      <c r="BZ822" s="27"/>
      <c r="CA822" s="27"/>
      <c r="CB822" s="27"/>
      <c r="CC822" s="27"/>
      <c r="CD822" s="27"/>
      <c r="CE822" s="27"/>
      <c r="CF822" s="27"/>
      <c r="CG822" s="27"/>
      <c r="CH822" s="27"/>
      <c r="CI822" s="27"/>
      <c r="CJ822" s="27"/>
      <c r="CK822" s="27"/>
      <c r="CL822" s="27"/>
      <c r="CM822" s="27"/>
      <c r="CN822" s="27"/>
      <c r="CO822" s="27"/>
      <c r="CP822" s="27"/>
      <c r="CQ822" s="27"/>
      <c r="CR822" s="27"/>
      <c r="CS822" s="27"/>
      <c r="CT822" s="27"/>
      <c r="CU822" s="27"/>
      <c r="CV822" s="27"/>
      <c r="CW822" s="27"/>
      <c r="CX822" s="27"/>
      <c r="CY822" s="27"/>
      <c r="CZ822" s="27"/>
      <c r="DA822" s="27"/>
      <c r="DB822" s="27"/>
      <c r="DC822" s="27"/>
      <c r="DD822" s="27"/>
      <c r="DE822" s="27"/>
      <c r="DF822" s="27"/>
      <c r="DG822" s="27"/>
      <c r="DH822" s="27"/>
      <c r="DI822" s="27"/>
      <c r="DJ822" s="27"/>
      <c r="DK822" s="27"/>
      <c r="DL822" s="27"/>
      <c r="DM822" s="27"/>
      <c r="DN822" s="27"/>
      <c r="DO822" s="27"/>
      <c r="DP822" s="27"/>
      <c r="DQ822" s="27"/>
      <c r="DR822" s="27"/>
      <c r="DS822" s="27"/>
      <c r="DT822" s="27"/>
    </row>
    <row r="823" spans="7:124" x14ac:dyDescent="0.2">
      <c r="G823" s="27"/>
      <c r="H823" s="27"/>
      <c r="I823" s="27"/>
      <c r="J823" s="27"/>
      <c r="K823" s="27"/>
      <c r="L823" s="27"/>
      <c r="M823" s="27" t="s">
        <v>59</v>
      </c>
      <c r="N823" s="27" t="s">
        <v>59</v>
      </c>
      <c r="O823" s="27"/>
      <c r="P823" s="27"/>
      <c r="Q823" s="27"/>
      <c r="R823" s="27"/>
      <c r="S823" s="27"/>
      <c r="T823" s="27"/>
      <c r="U823" s="27"/>
      <c r="V823" s="27"/>
      <c r="W823" s="27"/>
      <c r="X823" s="27" t="s">
        <v>101</v>
      </c>
      <c r="Y823" s="27">
        <v>593.47</v>
      </c>
      <c r="Z823" s="27">
        <f>Y823*$C$54</f>
        <v>0</v>
      </c>
      <c r="AA823" s="27"/>
      <c r="AB823" s="27"/>
      <c r="AC823" s="27"/>
      <c r="AD823" s="27"/>
      <c r="AE823" s="27"/>
      <c r="AF823" s="27"/>
      <c r="AG823" s="27"/>
      <c r="AH823" s="27"/>
      <c r="AI823" s="27"/>
      <c r="AJ823" s="27"/>
      <c r="AK823" s="27"/>
      <c r="AL823" s="27"/>
      <c r="AM823" s="27"/>
      <c r="AN823" s="27"/>
      <c r="AO823" s="27"/>
      <c r="AP823" s="27"/>
      <c r="AQ823" s="27"/>
      <c r="AR823" s="27"/>
      <c r="AS823" s="27"/>
      <c r="AT823" s="27"/>
      <c r="AU823" s="27"/>
      <c r="AV823" s="27"/>
      <c r="AW823" s="27"/>
      <c r="AX823" s="27"/>
      <c r="AY823" s="27"/>
      <c r="AZ823" s="27"/>
      <c r="BA823" s="27"/>
      <c r="BB823" s="27"/>
      <c r="BC823" s="27"/>
      <c r="BD823" s="27"/>
      <c r="BE823" s="27"/>
      <c r="BF823" s="27"/>
      <c r="BG823" s="27"/>
      <c r="BH823" s="27"/>
      <c r="BI823" s="27"/>
      <c r="BJ823" s="27"/>
      <c r="BK823" s="27"/>
      <c r="BL823" s="27"/>
      <c r="BM823" s="27"/>
      <c r="BN823" s="27"/>
      <c r="BO823" s="27"/>
      <c r="BP823" s="27"/>
      <c r="BQ823" s="27"/>
      <c r="BR823" s="27"/>
      <c r="BS823" s="27"/>
      <c r="BT823" s="27"/>
      <c r="BU823" s="27"/>
      <c r="BV823" s="27"/>
      <c r="BW823" s="27"/>
      <c r="BX823" s="27"/>
      <c r="BY823" s="27"/>
      <c r="BZ823" s="27"/>
      <c r="CA823" s="27"/>
      <c r="CB823" s="27"/>
      <c r="CC823" s="27"/>
      <c r="CD823" s="27"/>
      <c r="CE823" s="27"/>
      <c r="CF823" s="27"/>
      <c r="CG823" s="27"/>
      <c r="CH823" s="27"/>
      <c r="CI823" s="27"/>
      <c r="CJ823" s="27"/>
      <c r="CK823" s="27"/>
      <c r="CL823" s="27"/>
      <c r="CM823" s="27"/>
      <c r="CN823" s="27"/>
      <c r="CO823" s="27"/>
      <c r="CP823" s="27"/>
      <c r="CQ823" s="27"/>
      <c r="CR823" s="27"/>
      <c r="CS823" s="27"/>
      <c r="CT823" s="27"/>
      <c r="CU823" s="27"/>
      <c r="CV823" s="27"/>
      <c r="CW823" s="27"/>
      <c r="CX823" s="27"/>
      <c r="CY823" s="27"/>
      <c r="CZ823" s="27"/>
      <c r="DA823" s="27"/>
      <c r="DB823" s="27"/>
      <c r="DC823" s="27"/>
      <c r="DD823" s="27"/>
      <c r="DE823" s="27"/>
      <c r="DF823" s="27"/>
      <c r="DG823" s="27"/>
      <c r="DH823" s="27"/>
      <c r="DI823" s="27"/>
      <c r="DJ823" s="27"/>
      <c r="DK823" s="27"/>
      <c r="DL823" s="27"/>
      <c r="DM823" s="27"/>
      <c r="DN823" s="27"/>
      <c r="DO823" s="27"/>
      <c r="DP823" s="27"/>
      <c r="DQ823" s="27"/>
      <c r="DR823" s="27"/>
      <c r="DS823" s="27"/>
      <c r="DT823" s="27"/>
    </row>
    <row r="824" spans="7:124" x14ac:dyDescent="0.2">
      <c r="G824" s="27"/>
      <c r="H824" s="27"/>
      <c r="I824" s="27"/>
      <c r="J824" s="27"/>
      <c r="K824" s="27" t="s">
        <v>59</v>
      </c>
      <c r="L824" s="27"/>
      <c r="M824" s="27" t="s">
        <v>59</v>
      </c>
      <c r="N824" s="27" t="s">
        <v>59</v>
      </c>
      <c r="O824" s="27"/>
      <c r="P824" s="27"/>
      <c r="Q824" s="27"/>
      <c r="R824" s="27"/>
      <c r="S824" s="27"/>
      <c r="T824" s="27"/>
      <c r="U824" s="27"/>
      <c r="V824" s="27"/>
      <c r="W824" s="27"/>
      <c r="X824" s="27" t="s">
        <v>210</v>
      </c>
      <c r="Y824" s="27">
        <v>500</v>
      </c>
      <c r="Z824" s="27">
        <f>Y824*$C$54</f>
        <v>0</v>
      </c>
      <c r="AA824" s="27"/>
      <c r="AB824" s="27"/>
      <c r="AC824" s="27"/>
      <c r="AD824" s="27"/>
      <c r="AE824" s="27"/>
      <c r="AF824" s="27"/>
      <c r="AG824" s="27"/>
      <c r="AH824" s="27"/>
      <c r="AI824" s="27"/>
      <c r="AJ824" s="27"/>
      <c r="AK824" s="27"/>
      <c r="AL824" s="27"/>
      <c r="AM824" s="27"/>
      <c r="AN824" s="27"/>
      <c r="AO824" s="27"/>
      <c r="AP824" s="27"/>
      <c r="AQ824" s="27"/>
      <c r="AR824" s="27"/>
      <c r="AS824" s="27"/>
      <c r="AT824" s="27"/>
      <c r="AU824" s="27"/>
      <c r="AV824" s="27"/>
      <c r="AW824" s="27"/>
      <c r="AX824" s="27"/>
      <c r="AY824" s="27"/>
      <c r="AZ824" s="27"/>
      <c r="BA824" s="27"/>
      <c r="BB824" s="27"/>
      <c r="BC824" s="27"/>
      <c r="BD824" s="27"/>
      <c r="BE824" s="27"/>
      <c r="BF824" s="27"/>
      <c r="BG824" s="27"/>
      <c r="BH824" s="27"/>
      <c r="BI824" s="27"/>
      <c r="BJ824" s="27"/>
      <c r="BK824" s="27"/>
      <c r="BL824" s="27"/>
      <c r="BM824" s="27"/>
      <c r="BN824" s="27"/>
      <c r="BO824" s="27"/>
      <c r="BP824" s="27"/>
      <c r="BQ824" s="27"/>
      <c r="BR824" s="27"/>
      <c r="BS824" s="27"/>
      <c r="BT824" s="27"/>
      <c r="BU824" s="27"/>
      <c r="BV824" s="27"/>
      <c r="BW824" s="27"/>
      <c r="BX824" s="27"/>
      <c r="BY824" s="27"/>
      <c r="BZ824" s="27"/>
      <c r="CA824" s="27"/>
      <c r="CB824" s="27"/>
      <c r="CC824" s="27"/>
      <c r="CD824" s="27"/>
      <c r="CE824" s="27"/>
      <c r="CF824" s="27"/>
      <c r="CG824" s="27"/>
      <c r="CH824" s="27"/>
      <c r="CI824" s="27"/>
      <c r="CJ824" s="27"/>
      <c r="CK824" s="27"/>
      <c r="CL824" s="27"/>
      <c r="CM824" s="27"/>
      <c r="CN824" s="27"/>
      <c r="CO824" s="27"/>
      <c r="CP824" s="27"/>
      <c r="CQ824" s="27"/>
      <c r="CR824" s="27"/>
      <c r="CS824" s="27"/>
      <c r="CT824" s="27"/>
      <c r="CU824" s="27"/>
      <c r="CV824" s="27"/>
      <c r="CW824" s="27"/>
      <c r="CX824" s="27"/>
      <c r="CY824" s="27"/>
      <c r="CZ824" s="27"/>
      <c r="DA824" s="27"/>
      <c r="DB824" s="27"/>
      <c r="DC824" s="27"/>
      <c r="DD824" s="27"/>
      <c r="DE824" s="27"/>
      <c r="DF824" s="27"/>
      <c r="DG824" s="27"/>
      <c r="DH824" s="27"/>
      <c r="DI824" s="27"/>
      <c r="DJ824" s="27"/>
      <c r="DK824" s="27"/>
      <c r="DL824" s="27"/>
      <c r="DM824" s="27"/>
      <c r="DN824" s="27"/>
      <c r="DO824" s="27"/>
      <c r="DP824" s="27"/>
      <c r="DQ824" s="27"/>
      <c r="DR824" s="27"/>
      <c r="DS824" s="27"/>
      <c r="DT824" s="27"/>
    </row>
    <row r="825" spans="7:124" x14ac:dyDescent="0.2">
      <c r="G825" s="27"/>
      <c r="H825" s="27"/>
      <c r="I825" s="27"/>
      <c r="J825" s="27"/>
      <c r="K825" s="27"/>
      <c r="L825" s="27"/>
      <c r="M825" s="27" t="s">
        <v>59</v>
      </c>
      <c r="N825" s="27" t="s">
        <v>59</v>
      </c>
      <c r="O825" s="27"/>
      <c r="P825" s="27"/>
      <c r="Q825" s="27"/>
      <c r="R825" s="27"/>
      <c r="S825" s="27"/>
      <c r="T825" s="27"/>
      <c r="U825" s="27"/>
      <c r="V825" s="27"/>
      <c r="W825" s="27"/>
      <c r="X825" s="27" t="s">
        <v>228</v>
      </c>
      <c r="Y825" s="27">
        <v>48.8</v>
      </c>
      <c r="Z825" s="27">
        <f>Y825*S814</f>
        <v>0</v>
      </c>
      <c r="AA825" s="27"/>
      <c r="AB825" s="27"/>
      <c r="AC825" s="27"/>
      <c r="AD825" s="27"/>
      <c r="AE825" s="27"/>
      <c r="AF825" s="27"/>
      <c r="AG825" s="27"/>
      <c r="AH825" s="27"/>
      <c r="AI825" s="27"/>
      <c r="AJ825" s="27"/>
      <c r="AK825" s="27"/>
      <c r="AL825" s="27"/>
      <c r="AM825" s="27"/>
      <c r="AN825" s="27"/>
      <c r="AO825" s="27"/>
      <c r="AP825" s="27"/>
      <c r="AQ825" s="27"/>
      <c r="AR825" s="27"/>
      <c r="AS825" s="27"/>
      <c r="AT825" s="27"/>
      <c r="AU825" s="27"/>
      <c r="AV825" s="27"/>
      <c r="AW825" s="27"/>
      <c r="AX825" s="27"/>
      <c r="AY825" s="27"/>
      <c r="AZ825" s="27"/>
      <c r="BA825" s="27"/>
      <c r="BB825" s="27"/>
      <c r="BC825" s="27"/>
      <c r="BD825" s="27"/>
      <c r="BE825" s="27"/>
      <c r="BF825" s="27"/>
      <c r="BG825" s="27"/>
      <c r="BH825" s="27"/>
      <c r="BI825" s="27"/>
      <c r="BJ825" s="27"/>
      <c r="BK825" s="27"/>
      <c r="BL825" s="27"/>
      <c r="BM825" s="27"/>
      <c r="BN825" s="27"/>
      <c r="BO825" s="27"/>
      <c r="BP825" s="27"/>
      <c r="BQ825" s="27"/>
      <c r="BR825" s="27"/>
      <c r="BS825" s="27"/>
      <c r="BT825" s="27"/>
      <c r="BU825" s="27"/>
      <c r="BV825" s="27"/>
      <c r="BW825" s="27"/>
      <c r="BX825" s="27"/>
      <c r="BY825" s="27"/>
      <c r="BZ825" s="27"/>
      <c r="CA825" s="27"/>
      <c r="CB825" s="27"/>
      <c r="CC825" s="27"/>
      <c r="CD825" s="27"/>
      <c r="CE825" s="27"/>
      <c r="CF825" s="27"/>
      <c r="CG825" s="27"/>
      <c r="CH825" s="27"/>
      <c r="CI825" s="27"/>
      <c r="CJ825" s="27"/>
      <c r="CK825" s="27"/>
      <c r="CL825" s="27"/>
      <c r="CM825" s="27"/>
      <c r="CN825" s="27"/>
      <c r="CO825" s="27"/>
      <c r="CP825" s="27"/>
      <c r="CQ825" s="27"/>
      <c r="CR825" s="27"/>
      <c r="CS825" s="27"/>
      <c r="CT825" s="27"/>
      <c r="CU825" s="27"/>
      <c r="CV825" s="27"/>
      <c r="CW825" s="27"/>
      <c r="CX825" s="27"/>
      <c r="CY825" s="27"/>
      <c r="CZ825" s="27"/>
      <c r="DA825" s="27"/>
      <c r="DB825" s="27"/>
      <c r="DC825" s="27"/>
      <c r="DD825" s="27"/>
      <c r="DE825" s="27"/>
      <c r="DF825" s="27"/>
      <c r="DG825" s="27"/>
      <c r="DH825" s="27"/>
      <c r="DI825" s="27"/>
      <c r="DJ825" s="27"/>
      <c r="DK825" s="27"/>
      <c r="DL825" s="27"/>
      <c r="DM825" s="27"/>
      <c r="DN825" s="27"/>
      <c r="DO825" s="27"/>
      <c r="DP825" s="27"/>
      <c r="DQ825" s="27"/>
      <c r="DR825" s="27"/>
      <c r="DS825" s="27"/>
      <c r="DT825" s="27"/>
    </row>
    <row r="826" spans="7:124" x14ac:dyDescent="0.2">
      <c r="G826" s="27"/>
      <c r="H826" s="27"/>
      <c r="I826" s="27"/>
      <c r="J826" s="27"/>
      <c r="K826" s="27"/>
      <c r="L826" s="27"/>
      <c r="M826" s="27" t="s">
        <v>59</v>
      </c>
      <c r="N826" s="27" t="s">
        <v>59</v>
      </c>
      <c r="O826" s="27"/>
      <c r="P826" s="27"/>
      <c r="Q826" s="27"/>
      <c r="R826" s="27"/>
      <c r="S826" s="27"/>
      <c r="T826" s="27"/>
      <c r="U826" s="27"/>
      <c r="V826" s="27"/>
      <c r="W826" s="27"/>
      <c r="X826" s="27" t="s">
        <v>238</v>
      </c>
      <c r="Y826" s="27" t="e">
        <f>IF((T848-Y814-Y817-Y816-Y818-AF807-Y821-Y822-Y819)&gt;0,(T848-Y814-Y817-Y816-Y818-AF807-Y821-Y822-Y819),0)</f>
        <v>#N/A</v>
      </c>
      <c r="Z826" s="27" t="e">
        <f>IF((T848*S814-Z814-Z817-Z816-Z818-AF809-Z821-Z822-Z819)&gt;0,(T848*S814-Z814-Z817-Z816-Z818-AF809-Z821-Z822-Z819),0)</f>
        <v>#N/A</v>
      </c>
      <c r="AA826" s="27"/>
      <c r="AB826" s="27"/>
      <c r="AC826" s="27"/>
      <c r="AD826" s="27"/>
      <c r="AE826" s="27"/>
      <c r="AF826" s="27"/>
      <c r="AG826" s="27"/>
      <c r="AH826" s="27"/>
      <c r="AI826" s="27"/>
      <c r="AJ826" s="27"/>
      <c r="AK826" s="27"/>
      <c r="AL826" s="27"/>
      <c r="AM826" s="27"/>
      <c r="AN826" s="27"/>
      <c r="AO826" s="27"/>
      <c r="AP826" s="27"/>
      <c r="AQ826" s="27"/>
      <c r="AR826" s="27"/>
      <c r="AS826" s="27"/>
      <c r="AT826" s="27"/>
      <c r="AU826" s="27"/>
      <c r="AV826" s="27"/>
      <c r="AW826" s="27"/>
      <c r="AX826" s="27"/>
      <c r="AY826" s="27"/>
      <c r="AZ826" s="27"/>
      <c r="BA826" s="27"/>
      <c r="BB826" s="27"/>
      <c r="BC826" s="27"/>
      <c r="BD826" s="27"/>
      <c r="BE826" s="27"/>
      <c r="BF826" s="27"/>
      <c r="BG826" s="27"/>
      <c r="BH826" s="27"/>
      <c r="BI826" s="27"/>
      <c r="BJ826" s="27"/>
      <c r="BK826" s="27"/>
      <c r="BL826" s="27"/>
      <c r="BM826" s="27"/>
      <c r="BN826" s="27"/>
      <c r="BO826" s="27"/>
      <c r="BP826" s="27"/>
      <c r="BQ826" s="27"/>
      <c r="BR826" s="27"/>
      <c r="BS826" s="27"/>
      <c r="BT826" s="27"/>
      <c r="BU826" s="27"/>
      <c r="BV826" s="27"/>
      <c r="BW826" s="27"/>
      <c r="BX826" s="27"/>
      <c r="BY826" s="27"/>
      <c r="BZ826" s="27"/>
      <c r="CA826" s="27"/>
      <c r="CB826" s="27"/>
      <c r="CC826" s="27"/>
      <c r="CD826" s="27"/>
      <c r="CE826" s="27"/>
      <c r="CF826" s="27"/>
      <c r="CG826" s="27"/>
      <c r="CH826" s="27"/>
      <c r="CI826" s="27"/>
      <c r="CJ826" s="27"/>
      <c r="CK826" s="27"/>
      <c r="CL826" s="27"/>
      <c r="CM826" s="27"/>
      <c r="CN826" s="27"/>
      <c r="CO826" s="27"/>
      <c r="CP826" s="27"/>
      <c r="CQ826" s="27"/>
      <c r="CR826" s="27"/>
      <c r="CS826" s="27"/>
      <c r="CT826" s="27"/>
      <c r="CU826" s="27"/>
      <c r="CV826" s="27"/>
      <c r="CW826" s="27"/>
      <c r="CX826" s="27"/>
      <c r="CY826" s="27"/>
      <c r="CZ826" s="27"/>
      <c r="DA826" s="27"/>
      <c r="DB826" s="27"/>
      <c r="DC826" s="27"/>
      <c r="DD826" s="27"/>
      <c r="DE826" s="27"/>
      <c r="DF826" s="27"/>
      <c r="DG826" s="27"/>
      <c r="DH826" s="27"/>
      <c r="DI826" s="27"/>
      <c r="DJ826" s="27"/>
      <c r="DK826" s="27"/>
      <c r="DL826" s="27"/>
      <c r="DM826" s="27"/>
      <c r="DN826" s="27"/>
      <c r="DO826" s="27"/>
      <c r="DP826" s="27"/>
      <c r="DQ826" s="27"/>
      <c r="DR826" s="27"/>
      <c r="DS826" s="27"/>
      <c r="DT826" s="27"/>
    </row>
    <row r="827" spans="7:124" x14ac:dyDescent="0.2">
      <c r="G827" s="27"/>
      <c r="H827" s="27"/>
      <c r="I827" s="27"/>
      <c r="J827" s="27"/>
      <c r="K827" s="27"/>
      <c r="L827" s="27"/>
      <c r="M827" s="27" t="s">
        <v>59</v>
      </c>
      <c r="N827" s="27" t="s">
        <v>59</v>
      </c>
      <c r="O827" s="27"/>
      <c r="P827" s="27"/>
      <c r="Q827" s="27"/>
      <c r="R827" s="27"/>
      <c r="S827" s="27"/>
      <c r="T827" s="27"/>
      <c r="U827" s="27"/>
      <c r="V827" s="27"/>
      <c r="W827" s="27"/>
      <c r="X827" s="27" t="s">
        <v>250</v>
      </c>
      <c r="Y827" s="27">
        <f>IF(S825=2,W841+W842,IF(S825=1,W841,0))</f>
        <v>0</v>
      </c>
      <c r="Z827" s="27">
        <f>IF((Y827*$C$54)&gt;Y827,Y827,Y827*$C$54)</f>
        <v>0</v>
      </c>
      <c r="AA827" s="27"/>
      <c r="AB827" s="27"/>
      <c r="AC827" s="27"/>
      <c r="AD827" s="27"/>
      <c r="AE827" s="27"/>
      <c r="AF827" s="27"/>
      <c r="AG827" s="27"/>
      <c r="AH827" s="27"/>
      <c r="AI827" s="27"/>
      <c r="AJ827" s="27"/>
      <c r="AK827" s="27"/>
      <c r="AL827" s="27"/>
      <c r="AM827" s="27"/>
      <c r="AN827" s="27"/>
      <c r="AO827" s="27"/>
      <c r="AP827" s="27"/>
      <c r="AQ827" s="27"/>
      <c r="AR827" s="27"/>
      <c r="AS827" s="27"/>
      <c r="AT827" s="27"/>
      <c r="AU827" s="27"/>
      <c r="AV827" s="27"/>
      <c r="AW827" s="27"/>
      <c r="AX827" s="27"/>
      <c r="AY827" s="27"/>
      <c r="AZ827" s="27"/>
      <c r="BA827" s="27"/>
      <c r="BB827" s="27"/>
      <c r="BC827" s="27"/>
      <c r="BD827" s="27"/>
      <c r="BE827" s="27"/>
      <c r="BF827" s="27"/>
      <c r="BG827" s="27"/>
      <c r="BH827" s="27"/>
      <c r="BI827" s="27"/>
      <c r="BJ827" s="27"/>
      <c r="BK827" s="27"/>
      <c r="BL827" s="27"/>
      <c r="BM827" s="27"/>
      <c r="BN827" s="27"/>
      <c r="BO827" s="27"/>
      <c r="BP827" s="27"/>
      <c r="BQ827" s="27"/>
      <c r="BR827" s="27"/>
      <c r="BS827" s="27"/>
      <c r="BT827" s="27"/>
      <c r="BU827" s="27"/>
      <c r="BV827" s="27"/>
      <c r="BW827" s="27"/>
      <c r="BX827" s="27"/>
      <c r="BY827" s="27"/>
      <c r="BZ827" s="27"/>
      <c r="CA827" s="27"/>
      <c r="CB827" s="27"/>
      <c r="CC827" s="27"/>
      <c r="CD827" s="27"/>
      <c r="CE827" s="27"/>
      <c r="CF827" s="27"/>
      <c r="CG827" s="27"/>
      <c r="CH827" s="27"/>
      <c r="CI827" s="27"/>
      <c r="CJ827" s="27"/>
      <c r="CK827" s="27"/>
      <c r="CL827" s="27"/>
      <c r="CM827" s="27"/>
      <c r="CN827" s="27"/>
      <c r="CO827" s="27"/>
      <c r="CP827" s="27"/>
      <c r="CQ827" s="27"/>
      <c r="CR827" s="27"/>
      <c r="CS827" s="27"/>
      <c r="CT827" s="27"/>
      <c r="CU827" s="27"/>
      <c r="CV827" s="27"/>
      <c r="CW827" s="27"/>
      <c r="CX827" s="27"/>
      <c r="CY827" s="27"/>
      <c r="CZ827" s="27"/>
      <c r="DA827" s="27"/>
      <c r="DB827" s="27"/>
      <c r="DC827" s="27"/>
      <c r="DD827" s="27"/>
      <c r="DE827" s="27"/>
      <c r="DF827" s="27"/>
      <c r="DG827" s="27"/>
      <c r="DH827" s="27"/>
      <c r="DI827" s="27"/>
      <c r="DJ827" s="27"/>
      <c r="DK827" s="27"/>
      <c r="DL827" s="27"/>
      <c r="DM827" s="27"/>
      <c r="DN827" s="27"/>
      <c r="DO827" s="27"/>
      <c r="DP827" s="27"/>
      <c r="DQ827" s="27"/>
      <c r="DR827" s="27"/>
      <c r="DS827" s="27"/>
      <c r="DT827" s="27"/>
    </row>
    <row r="828" spans="7:124" x14ac:dyDescent="0.2">
      <c r="G828" s="27"/>
      <c r="H828" s="27"/>
      <c r="I828" s="27"/>
      <c r="J828" s="27"/>
      <c r="K828" s="27"/>
      <c r="L828" s="27"/>
      <c r="M828" s="27" t="s">
        <v>59</v>
      </c>
      <c r="N828" s="27" t="s">
        <v>59</v>
      </c>
      <c r="O828" s="27"/>
      <c r="P828" s="27"/>
      <c r="Q828" s="27"/>
      <c r="R828" s="27"/>
      <c r="S828" s="27"/>
      <c r="T828" s="27"/>
      <c r="U828" s="27"/>
      <c r="V828" s="27"/>
      <c r="W828" s="27"/>
      <c r="X828" s="27"/>
      <c r="Y828" s="27"/>
      <c r="Z828" s="27"/>
      <c r="AA828" s="27"/>
      <c r="AB828" s="27"/>
      <c r="AC828" s="27"/>
      <c r="AD828" s="27"/>
      <c r="AE828" s="27"/>
      <c r="AF828" s="27"/>
      <c r="AG828" s="27"/>
      <c r="AH828" s="27"/>
      <c r="AI828" s="27"/>
      <c r="AJ828" s="27"/>
      <c r="AK828" s="27"/>
      <c r="AL828" s="27"/>
      <c r="AM828" s="27"/>
      <c r="AN828" s="27"/>
      <c r="AO828" s="27"/>
      <c r="AP828" s="27"/>
      <c r="AQ828" s="27"/>
      <c r="AR828" s="27"/>
      <c r="AS828" s="27"/>
      <c r="AT828" s="27"/>
      <c r="AU828" s="27"/>
      <c r="AV828" s="27"/>
      <c r="AW828" s="27"/>
      <c r="AX828" s="27"/>
      <c r="AY828" s="27"/>
      <c r="AZ828" s="27"/>
      <c r="BA828" s="27"/>
      <c r="BB828" s="27"/>
      <c r="BC828" s="27"/>
      <c r="BD828" s="27"/>
      <c r="BE828" s="27"/>
      <c r="BF828" s="27"/>
      <c r="BG828" s="27"/>
      <c r="BH828" s="27"/>
      <c r="BI828" s="27"/>
      <c r="BJ828" s="27"/>
      <c r="BK828" s="27"/>
      <c r="BL828" s="27"/>
      <c r="BM828" s="27"/>
      <c r="BN828" s="27"/>
      <c r="BO828" s="27"/>
      <c r="BP828" s="27"/>
      <c r="BQ828" s="27"/>
      <c r="BR828" s="27"/>
      <c r="BS828" s="27"/>
      <c r="BT828" s="27"/>
      <c r="BU828" s="27"/>
      <c r="BV828" s="27"/>
      <c r="BW828" s="27"/>
      <c r="BX828" s="27"/>
      <c r="BY828" s="27"/>
      <c r="BZ828" s="27"/>
      <c r="CA828" s="27"/>
      <c r="CB828" s="27"/>
      <c r="CC828" s="27"/>
      <c r="CD828" s="27"/>
      <c r="CE828" s="27"/>
      <c r="CF828" s="27"/>
      <c r="CG828" s="27"/>
      <c r="CH828" s="27"/>
      <c r="CI828" s="27"/>
      <c r="CJ828" s="27"/>
      <c r="CK828" s="27"/>
      <c r="CL828" s="27"/>
      <c r="CM828" s="27"/>
      <c r="CN828" s="27"/>
      <c r="CO828" s="27"/>
      <c r="CP828" s="27"/>
      <c r="CQ828" s="27"/>
      <c r="CR828" s="27"/>
      <c r="CS828" s="27"/>
      <c r="CT828" s="27"/>
      <c r="CU828" s="27"/>
      <c r="CV828" s="27"/>
      <c r="CW828" s="27"/>
      <c r="CX828" s="27"/>
      <c r="CY828" s="27"/>
      <c r="CZ828" s="27"/>
      <c r="DA828" s="27"/>
      <c r="DB828" s="27"/>
      <c r="DC828" s="27"/>
      <c r="DD828" s="27"/>
      <c r="DE828" s="27"/>
      <c r="DF828" s="27"/>
      <c r="DG828" s="27"/>
      <c r="DH828" s="27"/>
      <c r="DI828" s="27"/>
      <c r="DJ828" s="27"/>
      <c r="DK828" s="27"/>
      <c r="DL828" s="27"/>
      <c r="DM828" s="27"/>
      <c r="DN828" s="27"/>
      <c r="DO828" s="27"/>
      <c r="DP828" s="27"/>
      <c r="DQ828" s="27"/>
      <c r="DR828" s="27"/>
      <c r="DS828" s="27"/>
      <c r="DT828" s="27"/>
    </row>
    <row r="829" spans="7:124" x14ac:dyDescent="0.2">
      <c r="G829" s="27"/>
      <c r="H829" s="27"/>
      <c r="I829" s="27"/>
      <c r="J829" s="27"/>
      <c r="K829" s="27"/>
      <c r="L829" s="27"/>
      <c r="M829" s="27" t="s">
        <v>59</v>
      </c>
      <c r="N829" s="27" t="s">
        <v>59</v>
      </c>
      <c r="O829" s="27"/>
      <c r="P829" s="27"/>
      <c r="Q829" s="27"/>
      <c r="R829" s="27"/>
      <c r="S829" s="27"/>
      <c r="T829" s="27"/>
      <c r="U829" s="27"/>
      <c r="V829" s="27"/>
      <c r="W829" s="27"/>
      <c r="X829" s="27"/>
      <c r="Y829" s="27"/>
      <c r="Z829" s="27"/>
      <c r="AA829" s="27"/>
      <c r="AB829" s="27"/>
      <c r="AC829" s="27"/>
      <c r="AD829" s="27"/>
      <c r="AE829" s="27"/>
      <c r="AF829" s="27"/>
      <c r="AG829" s="27"/>
      <c r="AH829" s="27"/>
      <c r="AI829" s="27"/>
      <c r="AJ829" s="27"/>
      <c r="AK829" s="27"/>
      <c r="AL829" s="27"/>
      <c r="AM829" s="27"/>
      <c r="AN829" s="27"/>
      <c r="AO829" s="27"/>
      <c r="AP829" s="27"/>
      <c r="AQ829" s="27"/>
      <c r="AR829" s="27"/>
      <c r="AS829" s="27"/>
      <c r="AT829" s="27"/>
      <c r="AU829" s="27"/>
      <c r="AV829" s="27"/>
      <c r="AW829" s="27"/>
      <c r="AX829" s="27"/>
      <c r="AY829" s="27"/>
      <c r="AZ829" s="27"/>
      <c r="BA829" s="27"/>
      <c r="BB829" s="27"/>
      <c r="BC829" s="27"/>
      <c r="BD829" s="27"/>
      <c r="BE829" s="27"/>
      <c r="BF829" s="27"/>
      <c r="BG829" s="27"/>
      <c r="BH829" s="27"/>
      <c r="BI829" s="27"/>
      <c r="BJ829" s="27"/>
      <c r="BK829" s="27"/>
      <c r="BL829" s="27"/>
      <c r="BM829" s="27"/>
      <c r="BN829" s="27"/>
      <c r="BO829" s="27"/>
      <c r="BP829" s="27"/>
      <c r="BQ829" s="27"/>
      <c r="BR829" s="27"/>
      <c r="BS829" s="27"/>
      <c r="BT829" s="27"/>
      <c r="BU829" s="27"/>
      <c r="BV829" s="27"/>
      <c r="BW829" s="27"/>
      <c r="BX829" s="27"/>
      <c r="BY829" s="27"/>
      <c r="BZ829" s="27"/>
      <c r="CA829" s="27"/>
      <c r="CB829" s="27"/>
      <c r="CC829" s="27"/>
      <c r="CD829" s="27"/>
      <c r="CE829" s="27"/>
      <c r="CF829" s="27"/>
      <c r="CG829" s="27"/>
      <c r="CH829" s="27"/>
      <c r="CI829" s="27"/>
      <c r="CJ829" s="27"/>
      <c r="CK829" s="27"/>
      <c r="CL829" s="27"/>
      <c r="CM829" s="27"/>
      <c r="CN829" s="27"/>
      <c r="CO829" s="27"/>
      <c r="CP829" s="27"/>
      <c r="CQ829" s="27"/>
      <c r="CR829" s="27"/>
      <c r="CS829" s="27"/>
      <c r="CT829" s="27"/>
      <c r="CU829" s="27"/>
      <c r="CV829" s="27"/>
      <c r="CW829" s="27"/>
      <c r="CX829" s="27"/>
      <c r="CY829" s="27"/>
      <c r="CZ829" s="27"/>
      <c r="DA829" s="27"/>
      <c r="DB829" s="27"/>
      <c r="DC829" s="27"/>
      <c r="DD829" s="27"/>
      <c r="DE829" s="27"/>
      <c r="DF829" s="27"/>
      <c r="DG829" s="27"/>
      <c r="DH829" s="27"/>
      <c r="DI829" s="27"/>
      <c r="DJ829" s="27"/>
      <c r="DK829" s="27"/>
      <c r="DL829" s="27"/>
      <c r="DM829" s="27"/>
      <c r="DN829" s="27"/>
      <c r="DO829" s="27"/>
      <c r="DP829" s="27"/>
      <c r="DQ829" s="27"/>
      <c r="DR829" s="27"/>
      <c r="DS829" s="27"/>
      <c r="DT829" s="27"/>
    </row>
    <row r="830" spans="7:124" x14ac:dyDescent="0.2">
      <c r="G830" s="27"/>
      <c r="H830" s="27"/>
      <c r="I830" s="27"/>
      <c r="J830" s="27"/>
      <c r="K830" s="27" t="s">
        <v>59</v>
      </c>
      <c r="L830" s="27"/>
      <c r="M830" s="27" t="s">
        <v>59</v>
      </c>
      <c r="N830" s="27" t="s">
        <v>59</v>
      </c>
      <c r="O830" s="27"/>
      <c r="P830" s="27"/>
      <c r="Q830" s="27"/>
      <c r="R830" s="27"/>
      <c r="S830" s="27"/>
      <c r="T830" s="27"/>
      <c r="U830" s="27"/>
      <c r="V830" s="27"/>
      <c r="W830" s="27"/>
      <c r="X830" s="27"/>
      <c r="Y830" s="27"/>
      <c r="Z830" s="27"/>
      <c r="AA830" s="27"/>
      <c r="AB830" s="27"/>
      <c r="AC830" s="27"/>
      <c r="AD830" s="27"/>
      <c r="AE830" s="27"/>
      <c r="AF830" s="27"/>
      <c r="AG830" s="27"/>
      <c r="AH830" s="27"/>
      <c r="AI830" s="27"/>
      <c r="AJ830" s="27"/>
      <c r="AK830" s="27"/>
      <c r="AL830" s="27"/>
      <c r="AM830" s="27"/>
      <c r="AN830" s="27"/>
      <c r="AO830" s="27"/>
      <c r="AP830" s="27"/>
      <c r="AQ830" s="27"/>
      <c r="AR830" s="27"/>
      <c r="AS830" s="27"/>
      <c r="AT830" s="27"/>
      <c r="AU830" s="27"/>
      <c r="AV830" s="27"/>
      <c r="AW830" s="27"/>
      <c r="AX830" s="27"/>
      <c r="AY830" s="27"/>
      <c r="AZ830" s="27"/>
      <c r="BA830" s="27"/>
      <c r="BB830" s="27"/>
      <c r="BC830" s="27"/>
      <c r="BD830" s="27"/>
      <c r="BE830" s="27"/>
      <c r="BF830" s="27"/>
      <c r="BG830" s="27"/>
      <c r="BH830" s="27"/>
      <c r="BI830" s="27"/>
      <c r="BJ830" s="27"/>
      <c r="BK830" s="27"/>
      <c r="BL830" s="27"/>
      <c r="BM830" s="27"/>
      <c r="BN830" s="27"/>
      <c r="BO830" s="27"/>
      <c r="BP830" s="27"/>
      <c r="BQ830" s="27"/>
      <c r="BR830" s="27"/>
      <c r="BS830" s="27"/>
      <c r="BT830" s="27"/>
      <c r="BU830" s="27"/>
      <c r="BV830" s="27"/>
      <c r="BW830" s="27"/>
      <c r="BX830" s="27"/>
      <c r="BY830" s="27"/>
      <c r="BZ830" s="27"/>
      <c r="CA830" s="27"/>
      <c r="CB830" s="27"/>
      <c r="CC830" s="27"/>
      <c r="CD830" s="27"/>
      <c r="CE830" s="27"/>
      <c r="CF830" s="27"/>
      <c r="CG830" s="27"/>
      <c r="CH830" s="27"/>
      <c r="CI830" s="27"/>
      <c r="CJ830" s="27"/>
      <c r="CK830" s="27"/>
      <c r="CL830" s="27"/>
      <c r="CM830" s="27"/>
      <c r="CN830" s="27"/>
      <c r="CO830" s="27"/>
      <c r="CP830" s="27"/>
      <c r="CQ830" s="27"/>
      <c r="CR830" s="27"/>
      <c r="CS830" s="27"/>
      <c r="CT830" s="27"/>
      <c r="CU830" s="27"/>
      <c r="CV830" s="27"/>
      <c r="CW830" s="27"/>
      <c r="CX830" s="27"/>
      <c r="CY830" s="27"/>
      <c r="CZ830" s="27"/>
      <c r="DA830" s="27"/>
      <c r="DB830" s="27"/>
      <c r="DC830" s="27"/>
      <c r="DD830" s="27"/>
      <c r="DE830" s="27"/>
      <c r="DF830" s="27"/>
      <c r="DG830" s="27"/>
      <c r="DH830" s="27"/>
      <c r="DI830" s="27"/>
      <c r="DJ830" s="27"/>
      <c r="DK830" s="27"/>
      <c r="DL830" s="27"/>
      <c r="DM830" s="27"/>
      <c r="DN830" s="27"/>
      <c r="DO830" s="27"/>
      <c r="DP830" s="27"/>
      <c r="DQ830" s="27"/>
      <c r="DR830" s="27"/>
      <c r="DS830" s="27"/>
      <c r="DT830" s="27"/>
    </row>
    <row r="831" spans="7:124" x14ac:dyDescent="0.2">
      <c r="G831" s="27"/>
      <c r="H831" s="27"/>
      <c r="I831" s="27"/>
      <c r="J831" s="27"/>
      <c r="K831" s="27"/>
      <c r="L831" s="27"/>
      <c r="M831" s="27" t="s">
        <v>59</v>
      </c>
      <c r="N831" s="27" t="s">
        <v>59</v>
      </c>
      <c r="O831" s="27"/>
      <c r="P831" s="27"/>
      <c r="Q831" s="27"/>
      <c r="R831" s="27"/>
      <c r="S831" s="27"/>
      <c r="T831" s="27"/>
      <c r="U831" s="27"/>
      <c r="V831" s="27"/>
      <c r="W831" s="27"/>
      <c r="X831" s="27"/>
      <c r="Y831" s="27"/>
      <c r="Z831" s="27"/>
      <c r="AA831" s="27"/>
      <c r="AB831" s="27"/>
      <c r="AC831" s="27"/>
      <c r="AD831" s="27"/>
      <c r="AE831" s="27"/>
      <c r="AF831" s="27"/>
      <c r="AG831" s="27"/>
      <c r="AH831" s="27"/>
      <c r="AI831" s="27"/>
      <c r="AJ831" s="27"/>
      <c r="AK831" s="27"/>
      <c r="AL831" s="27"/>
      <c r="AM831" s="27"/>
      <c r="AN831" s="27"/>
      <c r="AO831" s="27"/>
      <c r="AP831" s="27"/>
      <c r="AQ831" s="27"/>
      <c r="AR831" s="27"/>
      <c r="AS831" s="27"/>
      <c r="AT831" s="27"/>
      <c r="AU831" s="27"/>
      <c r="AV831" s="27"/>
      <c r="AW831" s="27"/>
      <c r="AX831" s="27"/>
      <c r="AY831" s="27"/>
      <c r="AZ831" s="27"/>
      <c r="BA831" s="27"/>
      <c r="BB831" s="27"/>
      <c r="BC831" s="27"/>
      <c r="BD831" s="27"/>
      <c r="BE831" s="27"/>
      <c r="BF831" s="27"/>
      <c r="BG831" s="27"/>
      <c r="BH831" s="27"/>
      <c r="BI831" s="27"/>
      <c r="BJ831" s="27"/>
      <c r="BK831" s="27"/>
      <c r="BL831" s="27"/>
      <c r="BM831" s="27"/>
      <c r="BN831" s="27"/>
      <c r="BO831" s="27"/>
      <c r="BP831" s="27"/>
      <c r="BQ831" s="27"/>
      <c r="BR831" s="27"/>
      <c r="BS831" s="27"/>
      <c r="BT831" s="27"/>
      <c r="BU831" s="27"/>
      <c r="BV831" s="27"/>
      <c r="BW831" s="27"/>
      <c r="BX831" s="27"/>
      <c r="BY831" s="27"/>
      <c r="BZ831" s="27"/>
      <c r="CA831" s="27"/>
      <c r="CB831" s="27"/>
      <c r="CC831" s="27"/>
      <c r="CD831" s="27"/>
      <c r="CE831" s="27"/>
      <c r="CF831" s="27"/>
      <c r="CG831" s="27"/>
      <c r="CH831" s="27"/>
      <c r="CI831" s="27"/>
      <c r="CJ831" s="27"/>
      <c r="CK831" s="27"/>
      <c r="CL831" s="27"/>
      <c r="CM831" s="27"/>
      <c r="CN831" s="27"/>
      <c r="CO831" s="27"/>
      <c r="CP831" s="27"/>
      <c r="CQ831" s="27"/>
      <c r="CR831" s="27"/>
      <c r="CS831" s="27"/>
      <c r="CT831" s="27"/>
      <c r="CU831" s="27"/>
      <c r="CV831" s="27"/>
      <c r="CW831" s="27"/>
      <c r="CX831" s="27"/>
      <c r="CY831" s="27"/>
      <c r="CZ831" s="27"/>
      <c r="DA831" s="27"/>
      <c r="DB831" s="27"/>
      <c r="DC831" s="27"/>
      <c r="DD831" s="27"/>
      <c r="DE831" s="27"/>
      <c r="DF831" s="27"/>
      <c r="DG831" s="27"/>
      <c r="DH831" s="27"/>
      <c r="DI831" s="27"/>
      <c r="DJ831" s="27"/>
      <c r="DK831" s="27"/>
      <c r="DL831" s="27"/>
      <c r="DM831" s="27"/>
      <c r="DN831" s="27"/>
      <c r="DO831" s="27"/>
      <c r="DP831" s="27"/>
      <c r="DQ831" s="27"/>
      <c r="DR831" s="27"/>
      <c r="DS831" s="27"/>
      <c r="DT831" s="27"/>
    </row>
    <row r="832" spans="7:124" x14ac:dyDescent="0.2">
      <c r="G832" s="27"/>
      <c r="H832" s="27"/>
      <c r="I832" s="27"/>
      <c r="J832" s="27"/>
      <c r="K832" s="27"/>
      <c r="L832" s="27"/>
      <c r="M832" s="27" t="s">
        <v>59</v>
      </c>
      <c r="N832" s="27" t="s">
        <v>59</v>
      </c>
      <c r="O832" s="27"/>
      <c r="P832" s="27"/>
      <c r="Q832" s="27"/>
      <c r="R832" s="27"/>
      <c r="S832" s="27"/>
      <c r="T832" s="27"/>
      <c r="U832" s="27"/>
      <c r="V832" s="27"/>
      <c r="W832" s="27"/>
      <c r="X832" s="27"/>
      <c r="Y832" s="27"/>
      <c r="Z832" s="27"/>
      <c r="AA832" s="27"/>
      <c r="AB832" s="27"/>
      <c r="AC832" s="27"/>
      <c r="AD832" s="27"/>
      <c r="AE832" s="27"/>
      <c r="AF832" s="27"/>
      <c r="AG832" s="27"/>
      <c r="AH832" s="27"/>
      <c r="AI832" s="27"/>
      <c r="AJ832" s="27"/>
      <c r="AK832" s="27"/>
      <c r="AL832" s="27"/>
      <c r="AM832" s="27"/>
      <c r="AN832" s="27"/>
      <c r="AO832" s="27"/>
      <c r="AP832" s="27"/>
      <c r="AQ832" s="27"/>
      <c r="AR832" s="27"/>
      <c r="AS832" s="27"/>
      <c r="AT832" s="27"/>
      <c r="AU832" s="27"/>
      <c r="AV832" s="27"/>
      <c r="AW832" s="27"/>
      <c r="AX832" s="27"/>
      <c r="AY832" s="27"/>
      <c r="AZ832" s="27"/>
      <c r="BA832" s="27"/>
      <c r="BB832" s="27"/>
      <c r="BC832" s="27"/>
      <c r="BD832" s="27"/>
      <c r="BE832" s="27"/>
      <c r="BF832" s="27"/>
      <c r="BG832" s="27"/>
      <c r="BH832" s="27"/>
      <c r="BI832" s="27"/>
      <c r="BJ832" s="27"/>
      <c r="BK832" s="27"/>
      <c r="BL832" s="27"/>
      <c r="BM832" s="27"/>
      <c r="BN832" s="27"/>
      <c r="BO832" s="27"/>
      <c r="BP832" s="27"/>
      <c r="BQ832" s="27"/>
      <c r="BR832" s="27"/>
      <c r="BS832" s="27"/>
      <c r="BT832" s="27"/>
      <c r="BU832" s="27"/>
      <c r="BV832" s="27"/>
      <c r="BW832" s="27"/>
      <c r="BX832" s="27"/>
      <c r="BY832" s="27"/>
      <c r="BZ832" s="27"/>
      <c r="CA832" s="27"/>
      <c r="CB832" s="27"/>
      <c r="CC832" s="27"/>
      <c r="CD832" s="27"/>
      <c r="CE832" s="27"/>
      <c r="CF832" s="27"/>
      <c r="CG832" s="27"/>
      <c r="CH832" s="27"/>
      <c r="CI832" s="27"/>
      <c r="CJ832" s="27"/>
      <c r="CK832" s="27"/>
      <c r="CL832" s="27"/>
      <c r="CM832" s="27"/>
      <c r="CN832" s="27"/>
      <c r="CO832" s="27"/>
      <c r="CP832" s="27"/>
      <c r="CQ832" s="27"/>
      <c r="CR832" s="27"/>
      <c r="CS832" s="27"/>
      <c r="CT832" s="27"/>
      <c r="CU832" s="27"/>
      <c r="CV832" s="27"/>
      <c r="CW832" s="27"/>
      <c r="CX832" s="27"/>
      <c r="CY832" s="27"/>
      <c r="CZ832" s="27"/>
      <c r="DA832" s="27"/>
      <c r="DB832" s="27"/>
      <c r="DC832" s="27"/>
      <c r="DD832" s="27"/>
      <c r="DE832" s="27"/>
      <c r="DF832" s="27"/>
      <c r="DG832" s="27"/>
      <c r="DH832" s="27"/>
      <c r="DI832" s="27"/>
      <c r="DJ832" s="27"/>
      <c r="DK832" s="27"/>
      <c r="DL832" s="27"/>
      <c r="DM832" s="27"/>
      <c r="DN832" s="27"/>
      <c r="DO832" s="27"/>
      <c r="DP832" s="27"/>
      <c r="DQ832" s="27"/>
      <c r="DR832" s="27"/>
      <c r="DS832" s="27"/>
      <c r="DT832" s="27"/>
    </row>
    <row r="833" spans="7:124" x14ac:dyDescent="0.2">
      <c r="G833" s="27"/>
      <c r="H833" s="27"/>
      <c r="I833" s="27"/>
      <c r="J833" s="27"/>
      <c r="K833" s="27"/>
      <c r="L833" s="27"/>
      <c r="M833" s="27"/>
      <c r="N833" s="27"/>
      <c r="O833" s="27"/>
      <c r="P833" s="27"/>
      <c r="Q833" s="27"/>
      <c r="R833" s="27"/>
      <c r="S833" s="27"/>
      <c r="T833" s="27"/>
      <c r="U833" s="27"/>
      <c r="V833" s="27"/>
      <c r="W833" s="27"/>
      <c r="X833" s="27"/>
      <c r="Y833" s="27"/>
      <c r="Z833" s="27"/>
      <c r="AA833" s="27"/>
      <c r="AB833" s="27"/>
      <c r="AC833" s="27"/>
      <c r="AD833" s="27"/>
      <c r="AE833" s="27"/>
      <c r="AF833" s="27"/>
      <c r="AG833" s="27"/>
      <c r="AH833" s="27"/>
      <c r="AI833" s="27"/>
      <c r="AJ833" s="27"/>
      <c r="AK833" s="27"/>
      <c r="AL833" s="27"/>
      <c r="AM833" s="27"/>
      <c r="AN833" s="27"/>
      <c r="AO833" s="27"/>
      <c r="AP833" s="27"/>
      <c r="AQ833" s="27"/>
      <c r="AR833" s="27"/>
      <c r="AS833" s="27"/>
      <c r="AT833" s="27"/>
      <c r="AU833" s="27"/>
      <c r="AV833" s="27"/>
      <c r="AW833" s="27"/>
      <c r="AX833" s="27"/>
      <c r="AY833" s="27"/>
      <c r="AZ833" s="27"/>
      <c r="BA833" s="27"/>
      <c r="BB833" s="27"/>
      <c r="BC833" s="27"/>
      <c r="BD833" s="27"/>
      <c r="BE833" s="27"/>
      <c r="BF833" s="27"/>
      <c r="BG833" s="27"/>
      <c r="BH833" s="27"/>
      <c r="BI833" s="27"/>
      <c r="BJ833" s="27"/>
      <c r="BK833" s="27"/>
      <c r="BL833" s="27"/>
      <c r="BM833" s="27"/>
      <c r="BN833" s="27"/>
      <c r="BO833" s="27"/>
      <c r="BP833" s="27"/>
      <c r="BQ833" s="27"/>
      <c r="BR833" s="27"/>
      <c r="BS833" s="27"/>
      <c r="BT833" s="27"/>
      <c r="BU833" s="27"/>
      <c r="BV833" s="27"/>
      <c r="BW833" s="27"/>
      <c r="BX833" s="27"/>
      <c r="BY833" s="27"/>
      <c r="BZ833" s="27"/>
      <c r="CA833" s="27"/>
      <c r="CB833" s="27"/>
      <c r="CC833" s="27"/>
      <c r="CD833" s="27"/>
      <c r="CE833" s="27"/>
      <c r="CF833" s="27"/>
      <c r="CG833" s="27"/>
      <c r="CH833" s="27"/>
      <c r="CI833" s="27"/>
      <c r="CJ833" s="27"/>
      <c r="CK833" s="27"/>
      <c r="CL833" s="27"/>
      <c r="CM833" s="27"/>
      <c r="CN833" s="27"/>
      <c r="CO833" s="27"/>
      <c r="CP833" s="27"/>
      <c r="CQ833" s="27"/>
      <c r="CR833" s="27"/>
      <c r="CS833" s="27"/>
      <c r="CT833" s="27"/>
      <c r="CU833" s="27"/>
      <c r="CV833" s="27"/>
      <c r="CW833" s="27"/>
      <c r="CX833" s="27"/>
      <c r="CY833" s="27"/>
      <c r="CZ833" s="27"/>
      <c r="DA833" s="27"/>
      <c r="DB833" s="27"/>
      <c r="DC833" s="27"/>
      <c r="DD833" s="27"/>
      <c r="DE833" s="27"/>
      <c r="DF833" s="27"/>
      <c r="DG833" s="27"/>
      <c r="DH833" s="27"/>
      <c r="DI833" s="27"/>
      <c r="DJ833" s="27"/>
      <c r="DK833" s="27"/>
      <c r="DL833" s="27"/>
      <c r="DM833" s="27"/>
      <c r="DN833" s="27"/>
      <c r="DO833" s="27"/>
      <c r="DP833" s="27"/>
      <c r="DQ833" s="27"/>
      <c r="DR833" s="27"/>
      <c r="DS833" s="27"/>
      <c r="DT833" s="27"/>
    </row>
    <row r="834" spans="7:124" x14ac:dyDescent="0.2">
      <c r="G834" s="27"/>
      <c r="H834" s="27"/>
      <c r="I834" s="27"/>
      <c r="J834" s="27"/>
      <c r="K834" s="27"/>
      <c r="L834" s="27"/>
      <c r="M834" s="27"/>
      <c r="N834" s="27"/>
      <c r="O834" s="27"/>
      <c r="P834" s="27"/>
      <c r="Q834" s="27"/>
      <c r="R834" s="27"/>
      <c r="S834" s="27"/>
      <c r="T834" s="27"/>
      <c r="U834" s="27"/>
      <c r="V834" s="27"/>
      <c r="W834" s="27"/>
      <c r="X834" s="27"/>
      <c r="Y834" s="27"/>
      <c r="Z834" s="27"/>
      <c r="AA834" s="27"/>
      <c r="AB834" s="27"/>
      <c r="AC834" s="27"/>
      <c r="AD834" s="27"/>
      <c r="AE834" s="27"/>
      <c r="AF834" s="27"/>
      <c r="AG834" s="27"/>
      <c r="AH834" s="27"/>
      <c r="AI834" s="27"/>
      <c r="AJ834" s="27"/>
      <c r="AK834" s="27"/>
      <c r="AL834" s="27"/>
      <c r="AM834" s="27"/>
      <c r="AN834" s="27"/>
      <c r="AO834" s="27"/>
      <c r="AP834" s="27"/>
      <c r="AQ834" s="27"/>
      <c r="AR834" s="27"/>
      <c r="AS834" s="27"/>
      <c r="AT834" s="27"/>
      <c r="AU834" s="27"/>
      <c r="AV834" s="27"/>
      <c r="AW834" s="27"/>
      <c r="AX834" s="27"/>
      <c r="AY834" s="27"/>
      <c r="AZ834" s="27"/>
      <c r="BA834" s="27"/>
      <c r="BB834" s="27"/>
      <c r="BC834" s="27"/>
      <c r="BD834" s="27"/>
      <c r="BE834" s="27"/>
      <c r="BF834" s="27"/>
      <c r="BG834" s="27"/>
      <c r="BH834" s="27"/>
      <c r="BI834" s="27"/>
      <c r="BJ834" s="27"/>
      <c r="BK834" s="27"/>
      <c r="BL834" s="27"/>
      <c r="BM834" s="27"/>
      <c r="BN834" s="27"/>
      <c r="BO834" s="27"/>
      <c r="BP834" s="27"/>
      <c r="BQ834" s="27"/>
      <c r="BR834" s="27"/>
      <c r="BS834" s="27"/>
      <c r="BT834" s="27"/>
      <c r="BU834" s="27"/>
      <c r="BV834" s="27"/>
      <c r="BW834" s="27"/>
      <c r="BX834" s="27"/>
      <c r="BY834" s="27"/>
      <c r="BZ834" s="27"/>
      <c r="CA834" s="27"/>
      <c r="CB834" s="27"/>
      <c r="CC834" s="27"/>
      <c r="CD834" s="27"/>
      <c r="CE834" s="27"/>
      <c r="CF834" s="27"/>
      <c r="CG834" s="27"/>
      <c r="CH834" s="27"/>
      <c r="CI834" s="27"/>
      <c r="CJ834" s="27"/>
      <c r="CK834" s="27"/>
      <c r="CL834" s="27"/>
      <c r="CM834" s="27"/>
      <c r="CN834" s="27"/>
      <c r="CO834" s="27"/>
      <c r="CP834" s="27"/>
      <c r="CQ834" s="27"/>
      <c r="CR834" s="27"/>
      <c r="CS834" s="27"/>
      <c r="CT834" s="27"/>
      <c r="CU834" s="27"/>
      <c r="CV834" s="27"/>
      <c r="CW834" s="27"/>
      <c r="CX834" s="27"/>
      <c r="CY834" s="27"/>
      <c r="CZ834" s="27"/>
      <c r="DA834" s="27"/>
      <c r="DB834" s="27"/>
      <c r="DC834" s="27"/>
      <c r="DD834" s="27"/>
      <c r="DE834" s="27"/>
      <c r="DF834" s="27"/>
      <c r="DG834" s="27"/>
      <c r="DH834" s="27"/>
      <c r="DI834" s="27"/>
      <c r="DJ834" s="27"/>
      <c r="DK834" s="27"/>
      <c r="DL834" s="27"/>
      <c r="DM834" s="27"/>
      <c r="DN834" s="27"/>
      <c r="DO834" s="27"/>
      <c r="DP834" s="27"/>
      <c r="DQ834" s="27"/>
      <c r="DR834" s="27"/>
      <c r="DS834" s="27"/>
      <c r="DT834" s="27"/>
    </row>
    <row r="835" spans="7:124" x14ac:dyDescent="0.2">
      <c r="G835" s="27"/>
      <c r="H835" s="27"/>
      <c r="I835" s="27"/>
      <c r="J835" s="27"/>
      <c r="K835" s="27"/>
      <c r="L835" s="27"/>
      <c r="M835" s="27"/>
      <c r="N835" s="27"/>
      <c r="O835" s="27"/>
      <c r="P835" s="27"/>
      <c r="Q835" s="27"/>
      <c r="R835" s="27"/>
      <c r="S835" s="27"/>
      <c r="T835" s="27"/>
      <c r="U835" s="27"/>
      <c r="V835" s="27"/>
      <c r="W835" s="27"/>
      <c r="X835" s="27"/>
      <c r="Y835" s="27"/>
      <c r="Z835" s="27"/>
      <c r="AA835" s="27"/>
      <c r="AB835" s="27"/>
      <c r="AC835" s="27"/>
      <c r="AD835" s="27"/>
      <c r="AE835" s="27"/>
      <c r="AF835" s="27"/>
      <c r="AG835" s="27"/>
      <c r="AH835" s="27"/>
      <c r="AI835" s="27"/>
      <c r="AJ835" s="27"/>
      <c r="AK835" s="27"/>
      <c r="AL835" s="27"/>
      <c r="AM835" s="27"/>
      <c r="AN835" s="27"/>
      <c r="AO835" s="27"/>
      <c r="AP835" s="27"/>
      <c r="AQ835" s="27"/>
      <c r="AR835" s="27"/>
      <c r="AS835" s="27"/>
      <c r="AT835" s="27"/>
      <c r="AU835" s="27"/>
      <c r="AV835" s="27"/>
      <c r="AW835" s="27"/>
      <c r="AX835" s="27"/>
      <c r="AY835" s="27"/>
      <c r="AZ835" s="27"/>
      <c r="BA835" s="27"/>
      <c r="BB835" s="27"/>
      <c r="BC835" s="27"/>
      <c r="BD835" s="27"/>
      <c r="BE835" s="27"/>
      <c r="BF835" s="27"/>
      <c r="BG835" s="27"/>
      <c r="BH835" s="27"/>
      <c r="BI835" s="27"/>
      <c r="BJ835" s="27"/>
      <c r="BK835" s="27"/>
      <c r="BL835" s="27"/>
      <c r="BM835" s="27"/>
      <c r="BN835" s="27"/>
      <c r="BO835" s="27"/>
      <c r="BP835" s="27"/>
      <c r="BQ835" s="27"/>
      <c r="BR835" s="27"/>
      <c r="BS835" s="27"/>
      <c r="BT835" s="27"/>
      <c r="BU835" s="27"/>
      <c r="BV835" s="27"/>
      <c r="BW835" s="27"/>
      <c r="BX835" s="27"/>
      <c r="BY835" s="27"/>
      <c r="BZ835" s="27"/>
      <c r="CA835" s="27"/>
      <c r="CB835" s="27"/>
      <c r="CC835" s="27"/>
      <c r="CD835" s="27"/>
      <c r="CE835" s="27"/>
      <c r="CF835" s="27"/>
      <c r="CG835" s="27"/>
      <c r="CH835" s="27"/>
      <c r="CI835" s="27"/>
      <c r="CJ835" s="27"/>
      <c r="CK835" s="27"/>
      <c r="CL835" s="27"/>
      <c r="CM835" s="27"/>
      <c r="CN835" s="27"/>
      <c r="CO835" s="27"/>
      <c r="CP835" s="27"/>
      <c r="CQ835" s="27"/>
      <c r="CR835" s="27"/>
      <c r="CS835" s="27"/>
      <c r="CT835" s="27"/>
      <c r="CU835" s="27"/>
      <c r="CV835" s="27"/>
      <c r="CW835" s="27"/>
      <c r="CX835" s="27"/>
      <c r="CY835" s="27"/>
      <c r="CZ835" s="27"/>
      <c r="DA835" s="27"/>
      <c r="DB835" s="27"/>
      <c r="DC835" s="27"/>
      <c r="DD835" s="27"/>
      <c r="DE835" s="27"/>
      <c r="DF835" s="27"/>
      <c r="DG835" s="27"/>
      <c r="DH835" s="27"/>
      <c r="DI835" s="27"/>
      <c r="DJ835" s="27"/>
      <c r="DK835" s="27"/>
      <c r="DL835" s="27"/>
      <c r="DM835" s="27"/>
      <c r="DN835" s="27"/>
      <c r="DO835" s="27"/>
      <c r="DP835" s="27"/>
      <c r="DQ835" s="27"/>
      <c r="DR835" s="27"/>
      <c r="DS835" s="27"/>
      <c r="DT835" s="27"/>
    </row>
    <row r="836" spans="7:124" x14ac:dyDescent="0.2">
      <c r="G836" s="27"/>
      <c r="H836" s="27"/>
      <c r="I836" s="27"/>
      <c r="J836" s="27"/>
      <c r="K836" s="27"/>
      <c r="L836" s="27"/>
      <c r="M836" s="27"/>
      <c r="N836" s="27"/>
      <c r="O836" s="27"/>
      <c r="P836" s="27"/>
      <c r="Q836" s="27"/>
      <c r="R836" s="27"/>
      <c r="S836" s="27"/>
      <c r="T836" s="27"/>
      <c r="U836" s="27"/>
      <c r="V836" s="27"/>
      <c r="W836" s="27"/>
      <c r="X836" s="27"/>
      <c r="Y836" s="27"/>
      <c r="Z836" s="27"/>
      <c r="AA836" s="27"/>
      <c r="AB836" s="27"/>
      <c r="AC836" s="27"/>
      <c r="AD836" s="27"/>
      <c r="AE836" s="27"/>
      <c r="AF836" s="27"/>
      <c r="AG836" s="27"/>
      <c r="AH836" s="27"/>
      <c r="AI836" s="27"/>
      <c r="AJ836" s="27"/>
      <c r="AK836" s="27"/>
      <c r="AL836" s="27"/>
      <c r="AM836" s="27"/>
      <c r="AN836" s="27"/>
      <c r="AO836" s="27"/>
      <c r="AP836" s="27"/>
      <c r="AQ836" s="27"/>
      <c r="AR836" s="27"/>
      <c r="AS836" s="27"/>
      <c r="AT836" s="27"/>
      <c r="AU836" s="27"/>
      <c r="AV836" s="27"/>
      <c r="AW836" s="27"/>
      <c r="AX836" s="27"/>
      <c r="AY836" s="27"/>
      <c r="AZ836" s="27"/>
      <c r="BA836" s="27"/>
      <c r="BB836" s="27"/>
      <c r="BC836" s="27"/>
      <c r="BD836" s="27"/>
      <c r="BE836" s="27"/>
      <c r="BF836" s="27"/>
      <c r="BG836" s="27"/>
      <c r="BH836" s="27"/>
      <c r="BI836" s="27"/>
      <c r="BJ836" s="27"/>
      <c r="BK836" s="27"/>
      <c r="BL836" s="27"/>
      <c r="BM836" s="27"/>
      <c r="BN836" s="27"/>
      <c r="BO836" s="27"/>
      <c r="BP836" s="27"/>
      <c r="BQ836" s="27"/>
      <c r="BR836" s="27"/>
      <c r="BS836" s="27"/>
      <c r="BT836" s="27"/>
      <c r="BU836" s="27"/>
      <c r="BV836" s="27"/>
      <c r="BW836" s="27"/>
      <c r="BX836" s="27"/>
      <c r="BY836" s="27"/>
      <c r="BZ836" s="27"/>
      <c r="CA836" s="27"/>
      <c r="CB836" s="27"/>
      <c r="CC836" s="27"/>
      <c r="CD836" s="27"/>
      <c r="CE836" s="27"/>
      <c r="CF836" s="27"/>
      <c r="CG836" s="27"/>
      <c r="CH836" s="27"/>
      <c r="CI836" s="27"/>
      <c r="CJ836" s="27"/>
      <c r="CK836" s="27"/>
      <c r="CL836" s="27"/>
      <c r="CM836" s="27"/>
      <c r="CN836" s="27"/>
      <c r="CO836" s="27"/>
      <c r="CP836" s="27"/>
      <c r="CQ836" s="27"/>
      <c r="CR836" s="27"/>
      <c r="CS836" s="27"/>
      <c r="CT836" s="27"/>
      <c r="CU836" s="27"/>
      <c r="CV836" s="27"/>
      <c r="CW836" s="27"/>
      <c r="CX836" s="27"/>
      <c r="CY836" s="27"/>
      <c r="CZ836" s="27"/>
      <c r="DA836" s="27"/>
      <c r="DB836" s="27"/>
      <c r="DC836" s="27"/>
      <c r="DD836" s="27"/>
      <c r="DE836" s="27"/>
      <c r="DF836" s="27"/>
      <c r="DG836" s="27"/>
      <c r="DH836" s="27"/>
      <c r="DI836" s="27"/>
      <c r="DJ836" s="27"/>
      <c r="DK836" s="27"/>
      <c r="DL836" s="27"/>
      <c r="DM836" s="27"/>
      <c r="DN836" s="27"/>
      <c r="DO836" s="27"/>
      <c r="DP836" s="27"/>
      <c r="DQ836" s="27"/>
      <c r="DR836" s="27"/>
      <c r="DS836" s="27"/>
      <c r="DT836" s="27"/>
    </row>
    <row r="837" spans="7:124" x14ac:dyDescent="0.2">
      <c r="G837" s="27"/>
      <c r="H837" s="27"/>
      <c r="I837" s="27"/>
      <c r="J837" s="27"/>
      <c r="K837" s="27"/>
      <c r="L837" s="27"/>
      <c r="M837" s="27"/>
      <c r="N837" s="27"/>
      <c r="O837" s="27"/>
      <c r="P837" s="27"/>
      <c r="Q837" s="27"/>
      <c r="R837" s="27"/>
      <c r="S837" s="27"/>
      <c r="T837" s="27"/>
      <c r="U837" s="27"/>
      <c r="V837" s="27"/>
      <c r="W837" s="27"/>
      <c r="X837" s="27"/>
      <c r="Y837" s="27"/>
      <c r="Z837" s="27"/>
      <c r="AA837" s="27"/>
      <c r="AB837" s="27"/>
      <c r="AC837" s="27"/>
      <c r="AD837" s="27"/>
      <c r="AE837" s="27"/>
      <c r="AF837" s="27"/>
      <c r="AG837" s="27"/>
      <c r="AH837" s="27"/>
      <c r="AI837" s="27"/>
      <c r="AJ837" s="27"/>
      <c r="AK837" s="27"/>
      <c r="AL837" s="27"/>
      <c r="AM837" s="27"/>
      <c r="AN837" s="27"/>
      <c r="AO837" s="27"/>
      <c r="AP837" s="27"/>
      <c r="AQ837" s="27"/>
      <c r="AR837" s="27"/>
      <c r="AS837" s="27"/>
      <c r="AT837" s="27"/>
      <c r="AU837" s="27"/>
      <c r="AV837" s="27"/>
      <c r="AW837" s="27"/>
      <c r="AX837" s="27"/>
      <c r="AY837" s="27"/>
      <c r="AZ837" s="27"/>
      <c r="BA837" s="27"/>
      <c r="BB837" s="27"/>
      <c r="BC837" s="27"/>
      <c r="BD837" s="27"/>
      <c r="BE837" s="27"/>
      <c r="BF837" s="27"/>
      <c r="BG837" s="27"/>
      <c r="BH837" s="27"/>
      <c r="BI837" s="27"/>
      <c r="BJ837" s="27"/>
      <c r="BK837" s="27"/>
      <c r="BL837" s="27"/>
      <c r="BM837" s="27"/>
      <c r="BN837" s="27"/>
      <c r="BO837" s="27"/>
      <c r="BP837" s="27"/>
      <c r="BQ837" s="27"/>
      <c r="BR837" s="27"/>
      <c r="BS837" s="27"/>
      <c r="BT837" s="27"/>
      <c r="BU837" s="27"/>
      <c r="BV837" s="27"/>
      <c r="BW837" s="27"/>
      <c r="BX837" s="27"/>
      <c r="BY837" s="27"/>
      <c r="BZ837" s="27"/>
      <c r="CA837" s="27"/>
      <c r="CB837" s="27"/>
      <c r="CC837" s="27"/>
      <c r="CD837" s="27"/>
      <c r="CE837" s="27"/>
      <c r="CF837" s="27"/>
      <c r="CG837" s="27"/>
      <c r="CH837" s="27"/>
      <c r="CI837" s="27"/>
      <c r="CJ837" s="27"/>
      <c r="CK837" s="27"/>
      <c r="CL837" s="27"/>
      <c r="CM837" s="27"/>
      <c r="CN837" s="27"/>
      <c r="CO837" s="27"/>
      <c r="CP837" s="27"/>
      <c r="CQ837" s="27"/>
      <c r="CR837" s="27"/>
      <c r="CS837" s="27"/>
      <c r="CT837" s="27"/>
      <c r="CU837" s="27"/>
      <c r="CV837" s="27"/>
      <c r="CW837" s="27"/>
      <c r="CX837" s="27"/>
      <c r="CY837" s="27"/>
      <c r="CZ837" s="27"/>
      <c r="DA837" s="27"/>
      <c r="DB837" s="27"/>
      <c r="DC837" s="27"/>
      <c r="DD837" s="27"/>
      <c r="DE837" s="27"/>
      <c r="DF837" s="27"/>
      <c r="DG837" s="27"/>
      <c r="DH837" s="27"/>
      <c r="DI837" s="27"/>
      <c r="DJ837" s="27"/>
      <c r="DK837" s="27"/>
      <c r="DL837" s="27"/>
      <c r="DM837" s="27"/>
      <c r="DN837" s="27"/>
      <c r="DO837" s="27"/>
      <c r="DP837" s="27"/>
      <c r="DQ837" s="27"/>
      <c r="DR837" s="27"/>
      <c r="DS837" s="27"/>
      <c r="DT837" s="27"/>
    </row>
    <row r="838" spans="7:124" x14ac:dyDescent="0.2">
      <c r="G838" s="27"/>
      <c r="H838" s="27"/>
      <c r="I838" s="27"/>
      <c r="J838" s="27"/>
      <c r="K838" s="27"/>
      <c r="L838" s="27"/>
      <c r="M838" s="27"/>
      <c r="N838" s="27"/>
      <c r="O838" s="27"/>
      <c r="P838" s="27"/>
      <c r="Q838" s="27"/>
      <c r="R838" s="27"/>
      <c r="S838" s="27"/>
      <c r="T838" s="27"/>
      <c r="U838" s="27"/>
      <c r="V838" s="27"/>
      <c r="W838" s="27"/>
      <c r="X838" s="27"/>
      <c r="Y838" s="27"/>
      <c r="Z838" s="27"/>
      <c r="AA838" s="27"/>
      <c r="AB838" s="27"/>
      <c r="AC838" s="27"/>
      <c r="AD838" s="27"/>
      <c r="AE838" s="27"/>
      <c r="AF838" s="27"/>
      <c r="AG838" s="27"/>
      <c r="AH838" s="27"/>
      <c r="AI838" s="27"/>
      <c r="AJ838" s="27"/>
      <c r="AK838" s="27"/>
      <c r="AL838" s="27"/>
      <c r="AM838" s="27"/>
      <c r="AN838" s="27"/>
      <c r="AO838" s="27"/>
      <c r="AP838" s="27"/>
      <c r="AQ838" s="27"/>
      <c r="AR838" s="27"/>
      <c r="AS838" s="27"/>
      <c r="AT838" s="27"/>
      <c r="AU838" s="27"/>
      <c r="AV838" s="27"/>
      <c r="AW838" s="27"/>
      <c r="AX838" s="27"/>
      <c r="AY838" s="27"/>
      <c r="AZ838" s="27"/>
      <c r="BA838" s="27"/>
      <c r="BB838" s="27"/>
      <c r="BC838" s="27"/>
      <c r="BD838" s="27"/>
      <c r="BE838" s="27"/>
      <c r="BF838" s="27"/>
      <c r="BG838" s="27"/>
      <c r="BH838" s="27"/>
      <c r="BI838" s="27"/>
      <c r="BJ838" s="27"/>
      <c r="BK838" s="27"/>
      <c r="BL838" s="27"/>
      <c r="BM838" s="27"/>
      <c r="BN838" s="27"/>
      <c r="BO838" s="27"/>
      <c r="BP838" s="27"/>
      <c r="BQ838" s="27"/>
      <c r="BR838" s="27"/>
      <c r="BS838" s="27"/>
      <c r="BT838" s="27"/>
      <c r="BU838" s="27"/>
      <c r="BV838" s="27"/>
      <c r="BW838" s="27"/>
      <c r="BX838" s="27"/>
      <c r="BY838" s="27"/>
      <c r="BZ838" s="27"/>
      <c r="CA838" s="27"/>
      <c r="CB838" s="27"/>
      <c r="CC838" s="27"/>
      <c r="CD838" s="27"/>
      <c r="CE838" s="27"/>
      <c r="CF838" s="27"/>
      <c r="CG838" s="27"/>
      <c r="CH838" s="27"/>
      <c r="CI838" s="27"/>
      <c r="CJ838" s="27"/>
      <c r="CK838" s="27"/>
      <c r="CL838" s="27"/>
      <c r="CM838" s="27"/>
      <c r="CN838" s="27"/>
      <c r="CO838" s="27"/>
      <c r="CP838" s="27"/>
      <c r="CQ838" s="27"/>
      <c r="CR838" s="27"/>
      <c r="CS838" s="27"/>
      <c r="CT838" s="27"/>
      <c r="CU838" s="27"/>
      <c r="CV838" s="27"/>
      <c r="CW838" s="27"/>
      <c r="CX838" s="27"/>
      <c r="CY838" s="27"/>
      <c r="CZ838" s="27"/>
      <c r="DA838" s="27"/>
      <c r="DB838" s="27"/>
      <c r="DC838" s="27"/>
      <c r="DD838" s="27"/>
      <c r="DE838" s="27"/>
      <c r="DF838" s="27"/>
      <c r="DG838" s="27"/>
      <c r="DH838" s="27"/>
      <c r="DI838" s="27"/>
      <c r="DJ838" s="27"/>
      <c r="DK838" s="27"/>
      <c r="DL838" s="27"/>
      <c r="DM838" s="27"/>
      <c r="DN838" s="27"/>
      <c r="DO838" s="27"/>
      <c r="DP838" s="27"/>
      <c r="DQ838" s="27"/>
      <c r="DR838" s="27"/>
      <c r="DS838" s="27"/>
      <c r="DT838" s="27"/>
    </row>
    <row r="839" spans="7:124" x14ac:dyDescent="0.2">
      <c r="G839" s="27"/>
      <c r="H839" s="27"/>
      <c r="I839" s="27"/>
      <c r="J839" s="27"/>
      <c r="K839" s="27"/>
      <c r="L839" s="27"/>
      <c r="M839" s="27"/>
      <c r="N839" s="27"/>
      <c r="O839" s="27"/>
      <c r="P839" s="27"/>
      <c r="Q839" s="27"/>
      <c r="R839" s="27"/>
      <c r="S839" s="27"/>
      <c r="T839" s="27"/>
      <c r="U839" s="27"/>
      <c r="V839" s="27"/>
      <c r="W839" s="27"/>
      <c r="X839" s="27"/>
      <c r="Y839" s="27"/>
      <c r="Z839" s="27"/>
      <c r="AA839" s="27"/>
      <c r="AB839" s="27"/>
      <c r="AC839" s="27"/>
      <c r="AD839" s="27"/>
      <c r="AE839" s="27"/>
      <c r="AF839" s="27"/>
      <c r="AG839" s="27"/>
      <c r="AH839" s="27"/>
      <c r="AI839" s="27"/>
      <c r="AJ839" s="27"/>
      <c r="AK839" s="27"/>
      <c r="AL839" s="27"/>
      <c r="AM839" s="27"/>
      <c r="AN839" s="27"/>
      <c r="AO839" s="27"/>
      <c r="AP839" s="27"/>
      <c r="AQ839" s="27"/>
      <c r="AR839" s="27"/>
      <c r="AS839" s="27"/>
      <c r="AT839" s="27"/>
      <c r="AU839" s="27"/>
      <c r="AV839" s="27"/>
      <c r="AW839" s="27"/>
      <c r="AX839" s="27"/>
      <c r="AY839" s="27"/>
      <c r="AZ839" s="27"/>
      <c r="BA839" s="27"/>
      <c r="BB839" s="27"/>
      <c r="BC839" s="27"/>
      <c r="BD839" s="27"/>
      <c r="BE839" s="27"/>
      <c r="BF839" s="27"/>
      <c r="BG839" s="27"/>
      <c r="BH839" s="27"/>
      <c r="BI839" s="27"/>
      <c r="BJ839" s="27"/>
      <c r="BK839" s="27"/>
      <c r="BL839" s="27"/>
      <c r="BM839" s="27"/>
      <c r="BN839" s="27"/>
      <c r="BO839" s="27"/>
      <c r="BP839" s="27"/>
      <c r="BQ839" s="27"/>
      <c r="BR839" s="27"/>
      <c r="BS839" s="27"/>
      <c r="BT839" s="27"/>
      <c r="BU839" s="27"/>
      <c r="BV839" s="27"/>
      <c r="BW839" s="27"/>
      <c r="BX839" s="27"/>
      <c r="BY839" s="27"/>
      <c r="BZ839" s="27"/>
      <c r="CA839" s="27"/>
      <c r="CB839" s="27"/>
      <c r="CC839" s="27"/>
      <c r="CD839" s="27"/>
      <c r="CE839" s="27"/>
      <c r="CF839" s="27"/>
      <c r="CG839" s="27"/>
      <c r="CH839" s="27"/>
      <c r="CI839" s="27"/>
      <c r="CJ839" s="27"/>
      <c r="CK839" s="27"/>
      <c r="CL839" s="27"/>
      <c r="CM839" s="27"/>
      <c r="CN839" s="27"/>
      <c r="CO839" s="27"/>
      <c r="CP839" s="27"/>
      <c r="CQ839" s="27"/>
      <c r="CR839" s="27"/>
      <c r="CS839" s="27"/>
      <c r="CT839" s="27"/>
      <c r="CU839" s="27"/>
      <c r="CV839" s="27"/>
      <c r="CW839" s="27"/>
      <c r="CX839" s="27"/>
      <c r="CY839" s="27"/>
      <c r="CZ839" s="27"/>
      <c r="DA839" s="27"/>
      <c r="DB839" s="27"/>
      <c r="DC839" s="27"/>
      <c r="DD839" s="27"/>
      <c r="DE839" s="27"/>
      <c r="DF839" s="27"/>
      <c r="DG839" s="27"/>
      <c r="DH839" s="27"/>
      <c r="DI839" s="27"/>
      <c r="DJ839" s="27"/>
      <c r="DK839" s="27"/>
      <c r="DL839" s="27"/>
      <c r="DM839" s="27"/>
      <c r="DN839" s="27"/>
      <c r="DO839" s="27"/>
      <c r="DP839" s="27"/>
      <c r="DQ839" s="27"/>
      <c r="DR839" s="27"/>
      <c r="DS839" s="27"/>
      <c r="DT839" s="27"/>
    </row>
    <row r="840" spans="7:124" x14ac:dyDescent="0.2">
      <c r="G840" s="27"/>
      <c r="H840" s="27"/>
      <c r="I840" s="27"/>
      <c r="J840" s="27"/>
      <c r="K840" s="27"/>
      <c r="L840" s="27"/>
      <c r="M840" s="27"/>
      <c r="N840" s="27"/>
      <c r="O840" s="27"/>
      <c r="P840" s="27"/>
      <c r="Q840" s="27"/>
      <c r="R840" s="27"/>
      <c r="S840" s="27"/>
      <c r="T840" s="27"/>
      <c r="U840" s="27"/>
      <c r="V840" s="27"/>
      <c r="W840" s="27"/>
      <c r="X840" s="27"/>
      <c r="Y840" s="27"/>
      <c r="Z840" s="27"/>
      <c r="AA840" s="27"/>
      <c r="AB840" s="27"/>
      <c r="AC840" s="27"/>
      <c r="AD840" s="27"/>
      <c r="AE840" s="27"/>
      <c r="AF840" s="27"/>
      <c r="AG840" s="27"/>
      <c r="AH840" s="27"/>
      <c r="AI840" s="27"/>
      <c r="AJ840" s="27"/>
      <c r="AK840" s="27"/>
      <c r="AL840" s="27"/>
      <c r="AM840" s="27"/>
      <c r="AN840" s="27"/>
      <c r="AO840" s="27"/>
      <c r="AP840" s="27"/>
      <c r="AQ840" s="27"/>
      <c r="AR840" s="27"/>
      <c r="AS840" s="27"/>
      <c r="AT840" s="27"/>
      <c r="AU840" s="27"/>
      <c r="AV840" s="27"/>
      <c r="AW840" s="27"/>
      <c r="AX840" s="27"/>
      <c r="AY840" s="27"/>
      <c r="AZ840" s="27"/>
      <c r="BA840" s="27"/>
      <c r="BB840" s="27"/>
      <c r="BC840" s="27"/>
      <c r="BD840" s="27"/>
      <c r="BE840" s="27"/>
      <c r="BF840" s="27"/>
      <c r="BG840" s="27"/>
      <c r="BH840" s="27"/>
      <c r="BI840" s="27"/>
      <c r="BJ840" s="27"/>
      <c r="BK840" s="27"/>
      <c r="BL840" s="27"/>
      <c r="BM840" s="27"/>
      <c r="BN840" s="27"/>
      <c r="BO840" s="27"/>
      <c r="BP840" s="27"/>
      <c r="BQ840" s="27"/>
      <c r="BR840" s="27"/>
      <c r="BS840" s="27"/>
      <c r="BT840" s="27"/>
      <c r="BU840" s="27"/>
      <c r="BV840" s="27"/>
      <c r="BW840" s="27"/>
      <c r="BX840" s="27"/>
      <c r="BY840" s="27"/>
      <c r="BZ840" s="27"/>
      <c r="CA840" s="27"/>
      <c r="CB840" s="27"/>
      <c r="CC840" s="27"/>
      <c r="CD840" s="27"/>
      <c r="CE840" s="27"/>
      <c r="CF840" s="27"/>
      <c r="CG840" s="27"/>
      <c r="CH840" s="27"/>
      <c r="CI840" s="27"/>
      <c r="CJ840" s="27"/>
      <c r="CK840" s="27"/>
      <c r="CL840" s="27"/>
      <c r="CM840" s="27"/>
      <c r="CN840" s="27"/>
      <c r="CO840" s="27"/>
      <c r="CP840" s="27"/>
      <c r="CQ840" s="27"/>
      <c r="CR840" s="27"/>
      <c r="CS840" s="27"/>
      <c r="CT840" s="27"/>
      <c r="CU840" s="27"/>
      <c r="CV840" s="27"/>
      <c r="CW840" s="27"/>
      <c r="CX840" s="27"/>
      <c r="CY840" s="27"/>
      <c r="CZ840" s="27"/>
      <c r="DA840" s="27"/>
      <c r="DB840" s="27"/>
      <c r="DC840" s="27"/>
      <c r="DD840" s="27"/>
      <c r="DE840" s="27"/>
      <c r="DF840" s="27"/>
      <c r="DG840" s="27"/>
      <c r="DH840" s="27"/>
      <c r="DI840" s="27"/>
      <c r="DJ840" s="27"/>
      <c r="DK840" s="27"/>
      <c r="DL840" s="27"/>
      <c r="DM840" s="27"/>
      <c r="DN840" s="27"/>
      <c r="DO840" s="27"/>
      <c r="DP840" s="27"/>
      <c r="DQ840" s="27"/>
      <c r="DR840" s="27"/>
      <c r="DS840" s="27"/>
      <c r="DT840" s="27"/>
    </row>
    <row r="841" spans="7:124" x14ac:dyDescent="0.2">
      <c r="G841" s="27"/>
      <c r="H841" s="27"/>
      <c r="I841" s="27"/>
      <c r="J841" s="27"/>
      <c r="K841" s="27"/>
      <c r="L841" s="27"/>
      <c r="M841" s="27"/>
      <c r="N841" s="27"/>
      <c r="O841" s="27"/>
      <c r="P841" s="27"/>
      <c r="Q841" s="27"/>
      <c r="R841" s="27"/>
      <c r="S841" s="27"/>
      <c r="T841" s="27"/>
      <c r="U841" s="27"/>
      <c r="V841" s="27"/>
      <c r="W841" s="27"/>
      <c r="X841" s="27"/>
      <c r="Y841" s="27"/>
      <c r="Z841" s="27"/>
      <c r="AA841" s="27"/>
      <c r="AB841" s="27"/>
      <c r="AC841" s="27"/>
      <c r="AD841" s="27"/>
      <c r="AE841" s="27"/>
      <c r="AF841" s="27"/>
      <c r="AG841" s="27"/>
      <c r="AH841" s="27"/>
      <c r="AI841" s="27"/>
      <c r="AJ841" s="27"/>
      <c r="AK841" s="27"/>
      <c r="AL841" s="27"/>
      <c r="AM841" s="27"/>
      <c r="AN841" s="27"/>
      <c r="AO841" s="27"/>
      <c r="AP841" s="27"/>
      <c r="AQ841" s="27"/>
      <c r="AR841" s="27"/>
      <c r="AS841" s="27"/>
      <c r="AT841" s="27"/>
      <c r="AU841" s="27"/>
      <c r="AV841" s="27"/>
      <c r="AW841" s="27"/>
      <c r="AX841" s="27"/>
      <c r="AY841" s="27"/>
      <c r="AZ841" s="27"/>
      <c r="BA841" s="27"/>
      <c r="BB841" s="27"/>
      <c r="BC841" s="27"/>
      <c r="BD841" s="27"/>
      <c r="BE841" s="27"/>
      <c r="BF841" s="27"/>
      <c r="BG841" s="27"/>
      <c r="BH841" s="27"/>
      <c r="BI841" s="27"/>
      <c r="BJ841" s="27"/>
      <c r="BK841" s="27"/>
      <c r="BL841" s="27"/>
      <c r="BM841" s="27"/>
      <c r="BN841" s="27"/>
      <c r="BO841" s="27"/>
      <c r="BP841" s="27"/>
      <c r="BQ841" s="27"/>
      <c r="BR841" s="27"/>
      <c r="BS841" s="27"/>
      <c r="BT841" s="27"/>
      <c r="BU841" s="27"/>
      <c r="BV841" s="27"/>
      <c r="BW841" s="27"/>
      <c r="BX841" s="27"/>
      <c r="BY841" s="27"/>
      <c r="BZ841" s="27"/>
      <c r="CA841" s="27"/>
      <c r="CB841" s="27"/>
      <c r="CC841" s="27"/>
      <c r="CD841" s="27"/>
      <c r="CE841" s="27"/>
      <c r="CF841" s="27"/>
      <c r="CG841" s="27"/>
      <c r="CH841" s="27"/>
      <c r="CI841" s="27"/>
      <c r="CJ841" s="27"/>
      <c r="CK841" s="27"/>
      <c r="CL841" s="27"/>
      <c r="CM841" s="27"/>
      <c r="CN841" s="27"/>
      <c r="CO841" s="27"/>
      <c r="CP841" s="27"/>
      <c r="CQ841" s="27"/>
      <c r="CR841" s="27"/>
      <c r="CS841" s="27"/>
      <c r="CT841" s="27"/>
      <c r="CU841" s="27"/>
      <c r="CV841" s="27"/>
      <c r="CW841" s="27"/>
      <c r="CX841" s="27"/>
      <c r="CY841" s="27"/>
      <c r="CZ841" s="27"/>
      <c r="DA841" s="27"/>
      <c r="DB841" s="27"/>
      <c r="DC841" s="27"/>
      <c r="DD841" s="27"/>
      <c r="DE841" s="27"/>
      <c r="DF841" s="27"/>
      <c r="DG841" s="27"/>
      <c r="DH841" s="27"/>
      <c r="DI841" s="27"/>
      <c r="DJ841" s="27"/>
      <c r="DK841" s="27"/>
      <c r="DL841" s="27"/>
      <c r="DM841" s="27"/>
      <c r="DN841" s="27"/>
      <c r="DO841" s="27"/>
      <c r="DP841" s="27"/>
      <c r="DQ841" s="27"/>
      <c r="DR841" s="27"/>
      <c r="DS841" s="27"/>
      <c r="DT841" s="27"/>
    </row>
    <row r="842" spans="7:124" x14ac:dyDescent="0.2">
      <c r="G842" s="27"/>
      <c r="H842" s="27"/>
      <c r="I842" s="27"/>
      <c r="J842" s="27"/>
      <c r="K842" s="27"/>
      <c r="L842" s="27"/>
      <c r="M842" s="27"/>
      <c r="N842" s="27"/>
      <c r="O842" s="27"/>
      <c r="P842" s="27"/>
      <c r="Q842" s="27"/>
      <c r="R842" s="27"/>
      <c r="S842" s="27"/>
      <c r="T842" s="27"/>
      <c r="U842" s="27"/>
      <c r="V842" s="27"/>
      <c r="W842" s="27"/>
      <c r="X842" s="27"/>
      <c r="Y842" s="27"/>
      <c r="Z842" s="27"/>
      <c r="AA842" s="27"/>
      <c r="AB842" s="27"/>
      <c r="AC842" s="27"/>
      <c r="AD842" s="27"/>
      <c r="AE842" s="27"/>
      <c r="AF842" s="27"/>
      <c r="AG842" s="27"/>
      <c r="AH842" s="27"/>
      <c r="AI842" s="27"/>
      <c r="AJ842" s="27"/>
      <c r="AK842" s="27"/>
      <c r="AL842" s="27"/>
      <c r="AM842" s="27"/>
      <c r="AN842" s="27"/>
      <c r="AO842" s="27"/>
      <c r="AP842" s="27"/>
      <c r="AQ842" s="27"/>
      <c r="AR842" s="27"/>
      <c r="AS842" s="27"/>
      <c r="AT842" s="27"/>
      <c r="AU842" s="27"/>
      <c r="AV842" s="27"/>
      <c r="AW842" s="27"/>
      <c r="AX842" s="27"/>
      <c r="AY842" s="27"/>
      <c r="AZ842" s="27"/>
      <c r="BA842" s="27"/>
      <c r="BB842" s="27"/>
      <c r="BC842" s="27"/>
      <c r="BD842" s="27"/>
      <c r="BE842" s="27"/>
      <c r="BF842" s="27"/>
      <c r="BG842" s="27"/>
      <c r="BH842" s="27"/>
      <c r="BI842" s="27"/>
      <c r="BJ842" s="27"/>
      <c r="BK842" s="27"/>
      <c r="BL842" s="27"/>
      <c r="BM842" s="27"/>
      <c r="BN842" s="27"/>
      <c r="BO842" s="27"/>
      <c r="BP842" s="27"/>
      <c r="BQ842" s="27"/>
      <c r="BR842" s="27"/>
      <c r="BS842" s="27"/>
      <c r="BT842" s="27"/>
      <c r="BU842" s="27"/>
      <c r="BV842" s="27"/>
      <c r="BW842" s="27"/>
      <c r="BX842" s="27"/>
      <c r="BY842" s="27"/>
      <c r="BZ842" s="27"/>
      <c r="CA842" s="27"/>
      <c r="CB842" s="27"/>
      <c r="CC842" s="27"/>
      <c r="CD842" s="27"/>
      <c r="CE842" s="27"/>
      <c r="CF842" s="27"/>
      <c r="CG842" s="27"/>
      <c r="CH842" s="27"/>
      <c r="CI842" s="27"/>
      <c r="CJ842" s="27"/>
      <c r="CK842" s="27"/>
      <c r="CL842" s="27"/>
      <c r="CM842" s="27"/>
      <c r="CN842" s="27"/>
      <c r="CO842" s="27"/>
      <c r="CP842" s="27"/>
      <c r="CQ842" s="27"/>
      <c r="CR842" s="27"/>
      <c r="CS842" s="27"/>
      <c r="CT842" s="27"/>
      <c r="CU842" s="27"/>
      <c r="CV842" s="27"/>
      <c r="CW842" s="27"/>
      <c r="CX842" s="27"/>
      <c r="CY842" s="27"/>
      <c r="CZ842" s="27"/>
      <c r="DA842" s="27"/>
      <c r="DB842" s="27"/>
      <c r="DC842" s="27"/>
      <c r="DD842" s="27"/>
      <c r="DE842" s="27"/>
      <c r="DF842" s="27"/>
      <c r="DG842" s="27"/>
      <c r="DH842" s="27"/>
      <c r="DI842" s="27"/>
      <c r="DJ842" s="27"/>
      <c r="DK842" s="27"/>
      <c r="DL842" s="27"/>
      <c r="DM842" s="27"/>
      <c r="DN842" s="27"/>
      <c r="DO842" s="27"/>
      <c r="DP842" s="27"/>
      <c r="DQ842" s="27"/>
      <c r="DR842" s="27"/>
      <c r="DS842" s="27"/>
      <c r="DT842" s="27"/>
    </row>
    <row r="843" spans="7:124" x14ac:dyDescent="0.2">
      <c r="G843" s="27"/>
      <c r="H843" s="27"/>
      <c r="I843" s="27"/>
      <c r="J843" s="27"/>
      <c r="K843" s="27"/>
      <c r="L843" s="27"/>
      <c r="M843" s="27"/>
      <c r="N843" s="27"/>
      <c r="O843" s="27"/>
      <c r="P843" s="27"/>
      <c r="Q843" s="27"/>
      <c r="R843" s="27"/>
      <c r="S843" s="27"/>
      <c r="T843" s="27"/>
      <c r="U843" s="27"/>
      <c r="V843" s="27"/>
      <c r="W843" s="27"/>
      <c r="X843" s="27"/>
      <c r="Y843" s="27"/>
      <c r="Z843" s="27"/>
      <c r="AA843" s="27"/>
      <c r="AB843" s="27"/>
      <c r="AC843" s="27"/>
      <c r="AD843" s="27"/>
      <c r="AE843" s="27"/>
      <c r="AF843" s="27"/>
      <c r="AG843" s="27"/>
      <c r="AH843" s="27"/>
      <c r="AI843" s="27"/>
      <c r="AJ843" s="27"/>
      <c r="AK843" s="27"/>
      <c r="AL843" s="27"/>
      <c r="AM843" s="27"/>
      <c r="AN843" s="27"/>
      <c r="AO843" s="27"/>
      <c r="AP843" s="27"/>
      <c r="AQ843" s="27"/>
      <c r="AR843" s="27"/>
      <c r="AS843" s="27"/>
      <c r="AT843" s="27"/>
      <c r="AU843" s="27"/>
      <c r="AV843" s="27"/>
      <c r="AW843" s="27"/>
      <c r="AX843" s="27"/>
      <c r="AY843" s="27"/>
      <c r="AZ843" s="27"/>
      <c r="BA843" s="27"/>
      <c r="BB843" s="27"/>
      <c r="BC843" s="27"/>
      <c r="BD843" s="27"/>
      <c r="BE843" s="27"/>
      <c r="BF843" s="27"/>
      <c r="BG843" s="27"/>
      <c r="BH843" s="27"/>
      <c r="BI843" s="27"/>
      <c r="BJ843" s="27"/>
      <c r="BK843" s="27"/>
      <c r="BL843" s="27"/>
      <c r="BM843" s="27"/>
      <c r="BN843" s="27"/>
      <c r="BO843" s="27"/>
      <c r="BP843" s="27"/>
      <c r="BQ843" s="27"/>
      <c r="BR843" s="27"/>
      <c r="BS843" s="27"/>
      <c r="BT843" s="27"/>
      <c r="BU843" s="27"/>
      <c r="BV843" s="27"/>
      <c r="BW843" s="27"/>
      <c r="BX843" s="27"/>
      <c r="BY843" s="27"/>
      <c r="BZ843" s="27"/>
      <c r="CA843" s="27"/>
      <c r="CB843" s="27"/>
      <c r="CC843" s="27"/>
      <c r="CD843" s="27"/>
      <c r="CE843" s="27"/>
      <c r="CF843" s="27"/>
      <c r="CG843" s="27"/>
      <c r="CH843" s="27"/>
      <c r="CI843" s="27"/>
      <c r="CJ843" s="27"/>
      <c r="CK843" s="27"/>
      <c r="CL843" s="27"/>
      <c r="CM843" s="27"/>
      <c r="CN843" s="27"/>
      <c r="CO843" s="27"/>
      <c r="CP843" s="27"/>
      <c r="CQ843" s="27"/>
      <c r="CR843" s="27"/>
      <c r="CS843" s="27"/>
      <c r="CT843" s="27"/>
      <c r="CU843" s="27"/>
      <c r="CV843" s="27"/>
      <c r="CW843" s="27"/>
      <c r="CX843" s="27"/>
      <c r="CY843" s="27"/>
      <c r="CZ843" s="27"/>
      <c r="DA843" s="27"/>
      <c r="DB843" s="27"/>
      <c r="DC843" s="27"/>
      <c r="DD843" s="27"/>
      <c r="DE843" s="27"/>
      <c r="DF843" s="27"/>
      <c r="DG843" s="27"/>
      <c r="DH843" s="27"/>
      <c r="DI843" s="27"/>
      <c r="DJ843" s="27"/>
      <c r="DK843" s="27"/>
      <c r="DL843" s="27"/>
      <c r="DM843" s="27"/>
      <c r="DN843" s="27"/>
      <c r="DO843" s="27"/>
      <c r="DP843" s="27"/>
      <c r="DQ843" s="27"/>
      <c r="DR843" s="27"/>
      <c r="DS843" s="27"/>
      <c r="DT843" s="27"/>
    </row>
    <row r="844" spans="7:124" x14ac:dyDescent="0.2">
      <c r="G844" s="27"/>
      <c r="H844" s="27"/>
      <c r="I844" s="27"/>
      <c r="J844" s="27"/>
      <c r="K844" s="27"/>
      <c r="L844" s="27"/>
      <c r="M844" s="27"/>
      <c r="N844" s="27"/>
      <c r="O844" s="27"/>
      <c r="P844" s="27"/>
      <c r="Q844" s="27"/>
      <c r="R844" s="27"/>
      <c r="S844" s="27"/>
      <c r="T844" s="27"/>
      <c r="U844" s="27"/>
      <c r="V844" s="27"/>
      <c r="W844" s="27"/>
      <c r="X844" s="27"/>
      <c r="Y844" s="27"/>
      <c r="Z844" s="27"/>
      <c r="AA844" s="27"/>
      <c r="AB844" s="27"/>
      <c r="AC844" s="27"/>
      <c r="AD844" s="27"/>
      <c r="AE844" s="27"/>
      <c r="AF844" s="27"/>
      <c r="AG844" s="27"/>
      <c r="AH844" s="27"/>
      <c r="AI844" s="27"/>
      <c r="AJ844" s="27"/>
      <c r="AK844" s="27"/>
      <c r="AL844" s="27"/>
      <c r="AM844" s="27"/>
      <c r="AN844" s="27"/>
      <c r="AO844" s="27"/>
      <c r="AP844" s="27"/>
      <c r="AQ844" s="27"/>
      <c r="AR844" s="27"/>
      <c r="AS844" s="27"/>
      <c r="AT844" s="27"/>
      <c r="AU844" s="27"/>
      <c r="AV844" s="27"/>
      <c r="AW844" s="27"/>
      <c r="AX844" s="27"/>
      <c r="AY844" s="27"/>
      <c r="AZ844" s="27"/>
      <c r="BA844" s="27"/>
      <c r="BB844" s="27"/>
      <c r="BC844" s="27"/>
      <c r="BD844" s="27"/>
      <c r="BE844" s="27"/>
      <c r="BF844" s="27"/>
      <c r="BG844" s="27"/>
      <c r="BH844" s="27"/>
      <c r="BI844" s="27"/>
      <c r="BJ844" s="27"/>
      <c r="BK844" s="27"/>
      <c r="BL844" s="27"/>
      <c r="BM844" s="27"/>
      <c r="BN844" s="27"/>
      <c r="BO844" s="27"/>
      <c r="BP844" s="27"/>
      <c r="BQ844" s="27"/>
      <c r="BR844" s="27"/>
      <c r="BS844" s="27"/>
      <c r="BT844" s="27"/>
      <c r="BU844" s="27"/>
      <c r="BV844" s="27"/>
      <c r="BW844" s="27"/>
      <c r="BX844" s="27"/>
      <c r="BY844" s="27"/>
      <c r="BZ844" s="27"/>
      <c r="CA844" s="27"/>
      <c r="CB844" s="27"/>
      <c r="CC844" s="27"/>
      <c r="CD844" s="27"/>
      <c r="CE844" s="27"/>
      <c r="CF844" s="27"/>
      <c r="CG844" s="27"/>
      <c r="CH844" s="27"/>
      <c r="CI844" s="27"/>
      <c r="CJ844" s="27"/>
      <c r="CK844" s="27"/>
      <c r="CL844" s="27"/>
      <c r="CM844" s="27"/>
      <c r="CN844" s="27"/>
      <c r="CO844" s="27"/>
      <c r="CP844" s="27"/>
      <c r="CQ844" s="27"/>
      <c r="CR844" s="27"/>
      <c r="CS844" s="27"/>
      <c r="CT844" s="27"/>
      <c r="CU844" s="27"/>
      <c r="CV844" s="27"/>
      <c r="CW844" s="27"/>
      <c r="CX844" s="27"/>
      <c r="CY844" s="27"/>
      <c r="CZ844" s="27"/>
      <c r="DA844" s="27"/>
      <c r="DB844" s="27"/>
      <c r="DC844" s="27"/>
      <c r="DD844" s="27"/>
      <c r="DE844" s="27"/>
      <c r="DF844" s="27"/>
      <c r="DG844" s="27"/>
      <c r="DH844" s="27"/>
      <c r="DI844" s="27"/>
      <c r="DJ844" s="27"/>
      <c r="DK844" s="27"/>
      <c r="DL844" s="27"/>
      <c r="DM844" s="27"/>
      <c r="DN844" s="27"/>
      <c r="DO844" s="27"/>
      <c r="DP844" s="27"/>
      <c r="DQ844" s="27"/>
      <c r="DR844" s="27"/>
      <c r="DS844" s="27"/>
      <c r="DT844" s="27"/>
    </row>
    <row r="845" spans="7:124" x14ac:dyDescent="0.2">
      <c r="G845" s="27"/>
      <c r="H845" s="27"/>
      <c r="I845" s="27"/>
      <c r="J845" s="27"/>
      <c r="K845" s="27"/>
      <c r="L845" s="27"/>
      <c r="M845" s="27"/>
      <c r="N845" s="27"/>
      <c r="O845" s="27"/>
      <c r="P845" s="27"/>
      <c r="Q845" s="27"/>
      <c r="R845" s="27"/>
      <c r="S845" s="27"/>
      <c r="T845" s="27"/>
      <c r="U845" s="27"/>
      <c r="V845" s="27"/>
      <c r="W845" s="27"/>
      <c r="X845" s="27"/>
      <c r="Y845" s="27"/>
      <c r="Z845" s="27"/>
      <c r="AA845" s="27"/>
      <c r="AB845" s="27"/>
      <c r="AC845" s="27"/>
      <c r="AD845" s="27"/>
      <c r="AE845" s="27"/>
      <c r="AF845" s="27"/>
      <c r="AG845" s="27"/>
      <c r="AH845" s="27"/>
      <c r="AI845" s="27"/>
      <c r="AJ845" s="27"/>
      <c r="AK845" s="27"/>
      <c r="AL845" s="27"/>
      <c r="AM845" s="27"/>
      <c r="AN845" s="27"/>
      <c r="AO845" s="27"/>
      <c r="AP845" s="27"/>
      <c r="AQ845" s="27"/>
      <c r="AR845" s="27"/>
      <c r="AS845" s="27"/>
      <c r="AT845" s="27"/>
      <c r="AU845" s="27"/>
      <c r="AV845" s="27"/>
      <c r="AW845" s="27"/>
      <c r="AX845" s="27"/>
      <c r="AY845" s="27"/>
      <c r="AZ845" s="27"/>
      <c r="BA845" s="27"/>
      <c r="BB845" s="27"/>
      <c r="BC845" s="27"/>
      <c r="BD845" s="27"/>
      <c r="BE845" s="27"/>
      <c r="BF845" s="27"/>
      <c r="BG845" s="27"/>
      <c r="BH845" s="27"/>
      <c r="BI845" s="27"/>
      <c r="BJ845" s="27"/>
      <c r="BK845" s="27"/>
      <c r="BL845" s="27"/>
      <c r="BM845" s="27"/>
      <c r="BN845" s="27"/>
      <c r="BO845" s="27"/>
      <c r="BP845" s="27"/>
      <c r="BQ845" s="27"/>
      <c r="BR845" s="27"/>
      <c r="BS845" s="27"/>
      <c r="BT845" s="27"/>
      <c r="BU845" s="27"/>
      <c r="BV845" s="27"/>
      <c r="BW845" s="27"/>
      <c r="BX845" s="27"/>
      <c r="BY845" s="27"/>
      <c r="BZ845" s="27"/>
      <c r="CA845" s="27"/>
      <c r="CB845" s="27"/>
      <c r="CC845" s="27"/>
      <c r="CD845" s="27"/>
      <c r="CE845" s="27"/>
      <c r="CF845" s="27"/>
      <c r="CG845" s="27"/>
      <c r="CH845" s="27"/>
      <c r="CI845" s="27"/>
      <c r="CJ845" s="27"/>
      <c r="CK845" s="27"/>
      <c r="CL845" s="27"/>
      <c r="CM845" s="27"/>
      <c r="CN845" s="27"/>
      <c r="CO845" s="27"/>
      <c r="CP845" s="27"/>
      <c r="CQ845" s="27"/>
      <c r="CR845" s="27"/>
      <c r="CS845" s="27"/>
      <c r="CT845" s="27"/>
      <c r="CU845" s="27"/>
      <c r="CV845" s="27"/>
      <c r="CW845" s="27"/>
      <c r="CX845" s="27"/>
      <c r="CY845" s="27"/>
      <c r="CZ845" s="27"/>
      <c r="DA845" s="27"/>
      <c r="DB845" s="27"/>
      <c r="DC845" s="27"/>
      <c r="DD845" s="27"/>
      <c r="DE845" s="27"/>
      <c r="DF845" s="27"/>
      <c r="DG845" s="27"/>
      <c r="DH845" s="27"/>
      <c r="DI845" s="27"/>
      <c r="DJ845" s="27"/>
      <c r="DK845" s="27"/>
      <c r="DL845" s="27"/>
      <c r="DM845" s="27"/>
      <c r="DN845" s="27"/>
      <c r="DO845" s="27"/>
      <c r="DP845" s="27"/>
      <c r="DQ845" s="27"/>
      <c r="DR845" s="27"/>
      <c r="DS845" s="27"/>
      <c r="DT845" s="27"/>
    </row>
    <row r="846" spans="7:124" x14ac:dyDescent="0.2">
      <c r="G846" s="27"/>
      <c r="H846" s="27"/>
      <c r="I846" s="27" t="s">
        <v>59</v>
      </c>
      <c r="J846" s="27"/>
      <c r="K846" s="27"/>
      <c r="L846" s="27"/>
      <c r="M846" s="27"/>
      <c r="N846" s="27"/>
      <c r="O846" s="27"/>
      <c r="P846" s="27"/>
      <c r="Q846" s="27"/>
      <c r="R846" s="27"/>
      <c r="S846" s="27"/>
      <c r="T846" s="27"/>
      <c r="U846" s="27"/>
      <c r="V846" s="27"/>
      <c r="W846" s="27"/>
      <c r="X846" s="27"/>
      <c r="Y846" s="27"/>
      <c r="Z846" s="27"/>
      <c r="AA846" s="27"/>
      <c r="AB846" s="27"/>
      <c r="AC846" s="27"/>
      <c r="AD846" s="27"/>
      <c r="AE846" s="27"/>
      <c r="AF846" s="27"/>
      <c r="AG846" s="27"/>
      <c r="AH846" s="27"/>
      <c r="AI846" s="27"/>
      <c r="AJ846" s="27"/>
      <c r="AK846" s="27"/>
      <c r="AL846" s="27"/>
      <c r="AM846" s="27"/>
      <c r="AN846" s="27"/>
      <c r="AO846" s="27"/>
      <c r="AP846" s="27"/>
      <c r="AQ846" s="27"/>
      <c r="AR846" s="27"/>
      <c r="AS846" s="27"/>
      <c r="AT846" s="27"/>
      <c r="AU846" s="27"/>
      <c r="AV846" s="27"/>
      <c r="AW846" s="27"/>
      <c r="AX846" s="27"/>
      <c r="AY846" s="27"/>
      <c r="AZ846" s="27"/>
      <c r="BA846" s="27"/>
      <c r="BB846" s="27"/>
      <c r="BC846" s="27"/>
      <c r="BD846" s="27"/>
      <c r="BE846" s="27"/>
      <c r="BF846" s="27"/>
      <c r="BG846" s="27"/>
      <c r="BH846" s="27"/>
      <c r="BI846" s="27"/>
      <c r="BJ846" s="27"/>
      <c r="BK846" s="27"/>
      <c r="BL846" s="27"/>
      <c r="BM846" s="27"/>
      <c r="BN846" s="27"/>
      <c r="BO846" s="27"/>
      <c r="BP846" s="27"/>
      <c r="BQ846" s="27"/>
      <c r="BR846" s="27"/>
      <c r="BS846" s="27"/>
      <c r="BT846" s="27"/>
      <c r="BU846" s="27"/>
      <c r="BV846" s="27"/>
      <c r="BW846" s="27"/>
      <c r="BX846" s="27"/>
      <c r="BY846" s="27"/>
      <c r="BZ846" s="27"/>
      <c r="CA846" s="27"/>
      <c r="CB846" s="27"/>
      <c r="CC846" s="27"/>
      <c r="CD846" s="27"/>
      <c r="CE846" s="27"/>
      <c r="CF846" s="27"/>
      <c r="CG846" s="27"/>
      <c r="CH846" s="27"/>
      <c r="CI846" s="27"/>
      <c r="CJ846" s="27"/>
      <c r="CK846" s="27"/>
      <c r="CL846" s="27"/>
      <c r="CM846" s="27"/>
      <c r="CN846" s="27"/>
      <c r="CO846" s="27"/>
      <c r="CP846" s="27"/>
      <c r="CQ846" s="27"/>
      <c r="CR846" s="27"/>
      <c r="CS846" s="27"/>
      <c r="CT846" s="27"/>
      <c r="CU846" s="27"/>
      <c r="CV846" s="27"/>
      <c r="CW846" s="27"/>
      <c r="CX846" s="27"/>
      <c r="CY846" s="27"/>
      <c r="CZ846" s="27"/>
      <c r="DA846" s="27"/>
      <c r="DB846" s="27"/>
      <c r="DC846" s="27"/>
      <c r="DD846" s="27"/>
      <c r="DE846" s="27"/>
      <c r="DF846" s="27"/>
      <c r="DG846" s="27"/>
      <c r="DH846" s="27"/>
      <c r="DI846" s="27"/>
      <c r="DJ846" s="27"/>
      <c r="DK846" s="27"/>
      <c r="DL846" s="27"/>
      <c r="DM846" s="27"/>
      <c r="DN846" s="27"/>
      <c r="DO846" s="27"/>
      <c r="DP846" s="27"/>
      <c r="DQ846" s="27"/>
      <c r="DR846" s="27"/>
      <c r="DS846" s="27"/>
      <c r="DT846" s="27"/>
    </row>
    <row r="847" spans="7:124" x14ac:dyDescent="0.2">
      <c r="G847" s="27"/>
      <c r="H847" s="27"/>
      <c r="I847" s="27"/>
      <c r="J847" s="27"/>
      <c r="K847" s="27"/>
      <c r="L847" s="27"/>
      <c r="M847" s="27"/>
      <c r="N847" s="27"/>
      <c r="O847" s="27"/>
      <c r="P847" s="27"/>
      <c r="Q847" s="27"/>
      <c r="R847" s="27"/>
      <c r="S847" s="27"/>
      <c r="T847" s="27"/>
      <c r="U847" s="27"/>
      <c r="V847" s="27"/>
      <c r="W847" s="27"/>
      <c r="X847" s="27"/>
      <c r="Y847" s="27"/>
      <c r="Z847" s="27"/>
      <c r="AA847" s="27"/>
      <c r="AB847" s="27"/>
      <c r="AC847" s="27"/>
      <c r="AD847" s="27"/>
      <c r="AE847" s="27"/>
      <c r="AF847" s="27"/>
      <c r="AG847" s="27"/>
      <c r="AH847" s="27"/>
      <c r="AI847" s="27"/>
      <c r="AJ847" s="27"/>
      <c r="AK847" s="27"/>
      <c r="AL847" s="27"/>
      <c r="AM847" s="27"/>
      <c r="AN847" s="27"/>
      <c r="AO847" s="27"/>
      <c r="AP847" s="27"/>
      <c r="AQ847" s="27"/>
      <c r="AR847" s="27"/>
      <c r="AS847" s="27"/>
      <c r="AT847" s="27"/>
      <c r="AU847" s="27"/>
      <c r="AV847" s="27"/>
      <c r="AW847" s="27"/>
      <c r="AX847" s="27"/>
      <c r="AY847" s="27"/>
      <c r="AZ847" s="27"/>
      <c r="BA847" s="27"/>
      <c r="BB847" s="27"/>
      <c r="BC847" s="27"/>
      <c r="BD847" s="27"/>
      <c r="BE847" s="27"/>
      <c r="BF847" s="27"/>
      <c r="BG847" s="27"/>
      <c r="BH847" s="27"/>
      <c r="BI847" s="27"/>
      <c r="BJ847" s="27"/>
      <c r="BK847" s="27"/>
      <c r="BL847" s="27"/>
      <c r="BM847" s="27"/>
      <c r="BN847" s="27"/>
      <c r="BO847" s="27"/>
      <c r="BP847" s="27"/>
      <c r="BQ847" s="27"/>
      <c r="BR847" s="27"/>
      <c r="BS847" s="27"/>
      <c r="BT847" s="27"/>
      <c r="BU847" s="27"/>
      <c r="BV847" s="27"/>
      <c r="BW847" s="27"/>
      <c r="BX847" s="27"/>
      <c r="BY847" s="27"/>
      <c r="BZ847" s="27"/>
      <c r="CA847" s="27"/>
      <c r="CB847" s="27"/>
      <c r="CC847" s="27"/>
      <c r="CD847" s="27"/>
      <c r="CE847" s="27"/>
      <c r="CF847" s="27"/>
      <c r="CG847" s="27"/>
      <c r="CH847" s="27"/>
      <c r="CI847" s="27"/>
      <c r="CJ847" s="27"/>
      <c r="CK847" s="27"/>
      <c r="CL847" s="27"/>
      <c r="CM847" s="27"/>
      <c r="CN847" s="27"/>
      <c r="CO847" s="27"/>
      <c r="CP847" s="27"/>
      <c r="CQ847" s="27"/>
      <c r="CR847" s="27"/>
      <c r="CS847" s="27"/>
      <c r="CT847" s="27"/>
      <c r="CU847" s="27"/>
      <c r="CV847" s="27"/>
      <c r="CW847" s="27"/>
      <c r="CX847" s="27"/>
      <c r="CY847" s="27"/>
      <c r="CZ847" s="27"/>
      <c r="DA847" s="27"/>
      <c r="DB847" s="27"/>
      <c r="DC847" s="27"/>
      <c r="DD847" s="27"/>
      <c r="DE847" s="27"/>
      <c r="DF847" s="27"/>
      <c r="DG847" s="27"/>
      <c r="DH847" s="27"/>
      <c r="DI847" s="27"/>
      <c r="DJ847" s="27"/>
      <c r="DK847" s="27"/>
      <c r="DL847" s="27"/>
      <c r="DM847" s="27"/>
      <c r="DN847" s="27"/>
      <c r="DO847" s="27"/>
      <c r="DP847" s="27"/>
      <c r="DQ847" s="27"/>
      <c r="DR847" s="27"/>
      <c r="DS847" s="27"/>
      <c r="DT847" s="27"/>
    </row>
    <row r="848" spans="7:124" x14ac:dyDescent="0.2">
      <c r="G848" s="27"/>
      <c r="H848" s="27"/>
      <c r="I848" s="27"/>
      <c r="J848" s="27"/>
      <c r="K848" s="27"/>
      <c r="L848" s="27"/>
      <c r="M848" s="27"/>
      <c r="N848" s="27"/>
      <c r="O848" s="27"/>
      <c r="P848" s="27"/>
      <c r="Q848" s="27"/>
      <c r="R848" s="27"/>
      <c r="S848" s="27"/>
      <c r="T848" s="27"/>
      <c r="U848" s="27"/>
      <c r="V848" s="27"/>
      <c r="W848" s="27"/>
      <c r="X848" s="27"/>
      <c r="Y848" s="27"/>
      <c r="Z848" s="27"/>
      <c r="AA848" s="27"/>
      <c r="AB848" s="27"/>
      <c r="AC848" s="27"/>
      <c r="AD848" s="27"/>
      <c r="AE848" s="27"/>
      <c r="AF848" s="27"/>
      <c r="AG848" s="27"/>
      <c r="AH848" s="27"/>
      <c r="AI848" s="27"/>
      <c r="AJ848" s="27"/>
      <c r="AK848" s="27"/>
      <c r="AL848" s="27"/>
      <c r="AM848" s="27"/>
      <c r="AN848" s="27"/>
      <c r="AO848" s="27"/>
      <c r="AP848" s="27"/>
      <c r="AQ848" s="27"/>
      <c r="AR848" s="27"/>
      <c r="AS848" s="27"/>
      <c r="AT848" s="27"/>
      <c r="AU848" s="27"/>
      <c r="AV848" s="27"/>
      <c r="AW848" s="27"/>
      <c r="AX848" s="27"/>
      <c r="AY848" s="27"/>
      <c r="AZ848" s="27"/>
      <c r="BA848" s="27"/>
      <c r="BB848" s="27"/>
      <c r="BC848" s="27"/>
      <c r="BD848" s="27"/>
      <c r="BE848" s="27"/>
      <c r="BF848" s="27"/>
      <c r="BG848" s="27"/>
      <c r="BH848" s="27"/>
      <c r="BI848" s="27"/>
      <c r="BJ848" s="27"/>
      <c r="BK848" s="27"/>
      <c r="BL848" s="27"/>
      <c r="BM848" s="27"/>
      <c r="BN848" s="27"/>
      <c r="BO848" s="27"/>
      <c r="BP848" s="27"/>
      <c r="BQ848" s="27"/>
      <c r="BR848" s="27"/>
      <c r="BS848" s="27"/>
      <c r="BT848" s="27"/>
      <c r="BU848" s="27"/>
      <c r="BV848" s="27"/>
      <c r="BW848" s="27"/>
      <c r="BX848" s="27"/>
      <c r="BY848" s="27"/>
      <c r="BZ848" s="27"/>
      <c r="CA848" s="27"/>
      <c r="CB848" s="27"/>
      <c r="CC848" s="27"/>
      <c r="CD848" s="27"/>
      <c r="CE848" s="27"/>
      <c r="CF848" s="27"/>
      <c r="CG848" s="27"/>
      <c r="CH848" s="27"/>
      <c r="CI848" s="27"/>
      <c r="CJ848" s="27"/>
      <c r="CK848" s="27"/>
      <c r="CL848" s="27"/>
      <c r="CM848" s="27"/>
      <c r="CN848" s="27"/>
      <c r="CO848" s="27"/>
      <c r="CP848" s="27"/>
      <c r="CQ848" s="27"/>
      <c r="CR848" s="27"/>
      <c r="CS848" s="27"/>
      <c r="CT848" s="27"/>
      <c r="CU848" s="27"/>
      <c r="CV848" s="27"/>
      <c r="CW848" s="27"/>
      <c r="CX848" s="27"/>
      <c r="CY848" s="27"/>
      <c r="CZ848" s="27"/>
      <c r="DA848" s="27"/>
      <c r="DB848" s="27"/>
      <c r="DC848" s="27"/>
      <c r="DD848" s="27"/>
      <c r="DE848" s="27"/>
      <c r="DF848" s="27"/>
      <c r="DG848" s="27"/>
      <c r="DH848" s="27"/>
      <c r="DI848" s="27"/>
      <c r="DJ848" s="27"/>
      <c r="DK848" s="27"/>
      <c r="DL848" s="27"/>
      <c r="DM848" s="27"/>
      <c r="DN848" s="27"/>
      <c r="DO848" s="27"/>
      <c r="DP848" s="27"/>
      <c r="DQ848" s="27"/>
      <c r="DR848" s="27"/>
      <c r="DS848" s="27"/>
      <c r="DT848" s="27"/>
    </row>
    <row r="849" spans="7:124" x14ac:dyDescent="0.2">
      <c r="G849" s="27"/>
      <c r="H849" s="27"/>
      <c r="I849" s="27"/>
      <c r="J849" s="27"/>
      <c r="K849" s="27"/>
      <c r="L849" s="27"/>
      <c r="M849" s="27"/>
      <c r="N849" s="27"/>
      <c r="O849" s="27"/>
      <c r="P849" s="27"/>
      <c r="Q849" s="27"/>
      <c r="R849" s="27"/>
      <c r="S849" s="27"/>
      <c r="T849" s="27"/>
      <c r="U849" s="27"/>
      <c r="V849" s="27"/>
      <c r="W849" s="27"/>
      <c r="X849" s="27"/>
      <c r="Y849" s="27"/>
      <c r="Z849" s="27"/>
      <c r="AA849" s="27"/>
      <c r="AB849" s="27"/>
      <c r="AC849" s="27"/>
      <c r="AD849" s="27"/>
      <c r="AE849" s="27"/>
      <c r="AF849" s="27"/>
      <c r="AG849" s="27"/>
      <c r="AH849" s="27"/>
      <c r="AI849" s="27"/>
      <c r="AJ849" s="27"/>
      <c r="AK849" s="27"/>
      <c r="AL849" s="27"/>
      <c r="AM849" s="27"/>
      <c r="AN849" s="27"/>
      <c r="AO849" s="27"/>
      <c r="AP849" s="27"/>
      <c r="AQ849" s="27"/>
      <c r="AR849" s="27"/>
      <c r="AS849" s="27"/>
      <c r="AT849" s="27"/>
      <c r="AU849" s="27"/>
      <c r="AV849" s="27"/>
      <c r="AW849" s="27"/>
      <c r="AX849" s="27"/>
      <c r="AY849" s="27"/>
      <c r="AZ849" s="27"/>
      <c r="BA849" s="27"/>
      <c r="BB849" s="27"/>
      <c r="BC849" s="27"/>
      <c r="BD849" s="27"/>
      <c r="BE849" s="27"/>
      <c r="BF849" s="27"/>
      <c r="BG849" s="27"/>
      <c r="BH849" s="27"/>
      <c r="BI849" s="27"/>
      <c r="BJ849" s="27"/>
      <c r="BK849" s="27"/>
      <c r="BL849" s="27"/>
      <c r="BM849" s="27"/>
      <c r="BN849" s="27"/>
      <c r="BO849" s="27"/>
      <c r="BP849" s="27"/>
      <c r="BQ849" s="27"/>
      <c r="BR849" s="27"/>
      <c r="BS849" s="27"/>
      <c r="BT849" s="27"/>
      <c r="BU849" s="27"/>
      <c r="BV849" s="27"/>
      <c r="BW849" s="27"/>
      <c r="BX849" s="27"/>
      <c r="BY849" s="27"/>
      <c r="BZ849" s="27"/>
      <c r="CA849" s="27"/>
      <c r="CB849" s="27"/>
      <c r="CC849" s="27"/>
      <c r="CD849" s="27"/>
      <c r="CE849" s="27"/>
      <c r="CF849" s="27"/>
      <c r="CG849" s="27"/>
      <c r="CH849" s="27"/>
      <c r="CI849" s="27"/>
      <c r="CJ849" s="27"/>
      <c r="CK849" s="27"/>
      <c r="CL849" s="27"/>
      <c r="CM849" s="27"/>
      <c r="CN849" s="27"/>
      <c r="CO849" s="27"/>
      <c r="CP849" s="27"/>
      <c r="CQ849" s="27"/>
      <c r="CR849" s="27"/>
      <c r="CS849" s="27"/>
      <c r="CT849" s="27"/>
      <c r="CU849" s="27"/>
      <c r="CV849" s="27"/>
      <c r="CW849" s="27"/>
      <c r="CX849" s="27"/>
      <c r="CY849" s="27"/>
      <c r="CZ849" s="27"/>
      <c r="DA849" s="27"/>
      <c r="DB849" s="27"/>
      <c r="DC849" s="27"/>
      <c r="DD849" s="27"/>
      <c r="DE849" s="27"/>
      <c r="DF849" s="27"/>
      <c r="DG849" s="27"/>
      <c r="DH849" s="27"/>
      <c r="DI849" s="27"/>
      <c r="DJ849" s="27"/>
      <c r="DK849" s="27"/>
      <c r="DL849" s="27"/>
      <c r="DM849" s="27"/>
      <c r="DN849" s="27"/>
      <c r="DO849" s="27"/>
      <c r="DP849" s="27"/>
      <c r="DQ849" s="27"/>
      <c r="DR849" s="27"/>
      <c r="DS849" s="27"/>
      <c r="DT849" s="27"/>
    </row>
    <row r="850" spans="7:124" x14ac:dyDescent="0.2">
      <c r="G850" s="27"/>
      <c r="H850" s="27"/>
      <c r="I850" s="27"/>
      <c r="J850" s="27"/>
      <c r="K850" s="27"/>
      <c r="L850" s="27"/>
      <c r="M850" s="27" t="str">
        <f>IF(L886&gt;=60,"עד גיל 60 בלבד ","" )</f>
        <v/>
      </c>
      <c r="N850" s="27" t="e">
        <f>#REF!</f>
        <v>#REF!</v>
      </c>
      <c r="O850" s="27"/>
      <c r="P850" s="27"/>
      <c r="Q850" s="27"/>
      <c r="R850" s="27"/>
      <c r="S850" s="27"/>
      <c r="T850" s="27"/>
      <c r="U850" s="27"/>
      <c r="V850" s="27"/>
      <c r="W850" s="27"/>
      <c r="X850" s="27"/>
      <c r="Y850" s="27"/>
      <c r="Z850" s="27"/>
      <c r="AA850" s="27"/>
      <c r="AB850" s="27"/>
      <c r="AC850" s="27"/>
      <c r="AD850" s="27"/>
      <c r="AE850" s="27"/>
      <c r="AF850" s="27"/>
      <c r="AG850" s="27"/>
      <c r="AH850" s="27"/>
      <c r="AI850" s="27"/>
      <c r="AJ850" s="27"/>
      <c r="AK850" s="27"/>
      <c r="AL850" s="27"/>
      <c r="AM850" s="27"/>
      <c r="AN850" s="27"/>
      <c r="AO850" s="27"/>
      <c r="AP850" s="27"/>
      <c r="AQ850" s="27"/>
      <c r="AR850" s="27"/>
      <c r="AS850" s="27"/>
      <c r="AT850" s="27"/>
      <c r="AU850" s="27"/>
      <c r="AV850" s="27"/>
      <c r="AW850" s="27"/>
      <c r="AX850" s="27"/>
      <c r="AY850" s="27"/>
      <c r="AZ850" s="27"/>
      <c r="BA850" s="27"/>
      <c r="BB850" s="27"/>
      <c r="BC850" s="27"/>
      <c r="BD850" s="27"/>
      <c r="BE850" s="27"/>
      <c r="BF850" s="27"/>
      <c r="BG850" s="27"/>
      <c r="BH850" s="27"/>
      <c r="BI850" s="27"/>
      <c r="BJ850" s="27"/>
      <c r="BK850" s="27"/>
      <c r="BL850" s="27"/>
      <c r="BM850" s="27"/>
      <c r="BN850" s="27"/>
      <c r="BO850" s="27"/>
      <c r="BP850" s="27"/>
      <c r="BQ850" s="27"/>
      <c r="BR850" s="27"/>
      <c r="BS850" s="27"/>
      <c r="BT850" s="27"/>
      <c r="BU850" s="27"/>
      <c r="BV850" s="27"/>
      <c r="BW850" s="27"/>
      <c r="BX850" s="27"/>
      <c r="BY850" s="27"/>
      <c r="BZ850" s="27"/>
      <c r="CA850" s="27"/>
      <c r="CB850" s="27"/>
      <c r="CC850" s="27"/>
      <c r="CD850" s="27"/>
      <c r="CE850" s="27"/>
      <c r="CF850" s="27"/>
      <c r="CG850" s="27"/>
      <c r="CH850" s="27"/>
      <c r="CI850" s="27"/>
      <c r="CJ850" s="27"/>
      <c r="CK850" s="27"/>
      <c r="CL850" s="27"/>
      <c r="CM850" s="27"/>
      <c r="CN850" s="27"/>
      <c r="CO850" s="27"/>
      <c r="CP850" s="27"/>
      <c r="CQ850" s="27"/>
      <c r="CR850" s="27"/>
      <c r="CS850" s="27"/>
      <c r="CT850" s="27"/>
      <c r="CU850" s="27"/>
      <c r="CV850" s="27"/>
      <c r="CW850" s="27"/>
      <c r="CX850" s="27"/>
      <c r="CY850" s="27"/>
      <c r="CZ850" s="27"/>
      <c r="DA850" s="27"/>
      <c r="DB850" s="27"/>
      <c r="DC850" s="27"/>
      <c r="DD850" s="27"/>
      <c r="DE850" s="27"/>
      <c r="DF850" s="27"/>
      <c r="DG850" s="27"/>
      <c r="DH850" s="27"/>
      <c r="DI850" s="27"/>
      <c r="DJ850" s="27"/>
      <c r="DK850" s="27"/>
      <c r="DL850" s="27"/>
      <c r="DM850" s="27"/>
      <c r="DN850" s="27"/>
      <c r="DO850" s="27"/>
      <c r="DP850" s="27"/>
      <c r="DQ850" s="27"/>
      <c r="DR850" s="27"/>
      <c r="DS850" s="27"/>
      <c r="DT850" s="27"/>
    </row>
    <row r="851" spans="7:124" x14ac:dyDescent="0.2">
      <c r="G851" s="27"/>
      <c r="H851" s="27"/>
      <c r="I851" s="27"/>
      <c r="J851" s="27"/>
      <c r="K851" s="27"/>
      <c r="L851" s="27"/>
      <c r="M851" s="27" t="s">
        <v>469</v>
      </c>
      <c r="N851" s="27">
        <f>E106</f>
        <v>0</v>
      </c>
      <c r="O851" s="27"/>
      <c r="P851" s="27"/>
      <c r="Q851" s="27"/>
      <c r="R851" s="27"/>
      <c r="S851" s="27"/>
      <c r="T851" s="27"/>
      <c r="U851" s="27"/>
      <c r="V851" s="27"/>
      <c r="W851" s="27"/>
      <c r="X851" s="27"/>
      <c r="Y851" s="27"/>
      <c r="Z851" s="27"/>
      <c r="AA851" s="27"/>
      <c r="AB851" s="27"/>
      <c r="AC851" s="27"/>
      <c r="AD851" s="27"/>
      <c r="AE851" s="27"/>
      <c r="AF851" s="27"/>
      <c r="AG851" s="27"/>
      <c r="AH851" s="27"/>
      <c r="AI851" s="27"/>
      <c r="AJ851" s="27"/>
      <c r="AK851" s="27"/>
      <c r="AL851" s="27"/>
      <c r="AM851" s="27"/>
      <c r="AN851" s="27"/>
      <c r="AO851" s="27"/>
      <c r="AP851" s="27"/>
      <c r="AQ851" s="27"/>
      <c r="AR851" s="27"/>
      <c r="AS851" s="27"/>
      <c r="AT851" s="27"/>
      <c r="AU851" s="27"/>
      <c r="AV851" s="27"/>
      <c r="AW851" s="27"/>
      <c r="AX851" s="27"/>
      <c r="AY851" s="27"/>
      <c r="AZ851" s="27"/>
      <c r="BA851" s="27"/>
      <c r="BB851" s="27"/>
      <c r="BC851" s="27"/>
      <c r="BD851" s="27"/>
      <c r="BE851" s="27"/>
      <c r="BF851" s="27"/>
      <c r="BG851" s="27"/>
      <c r="BH851" s="27"/>
      <c r="BI851" s="27"/>
      <c r="BJ851" s="27"/>
      <c r="BK851" s="27"/>
      <c r="BL851" s="27"/>
      <c r="BM851" s="27"/>
      <c r="BN851" s="27"/>
      <c r="BO851" s="27"/>
      <c r="BP851" s="27"/>
      <c r="BQ851" s="27"/>
      <c r="BR851" s="27"/>
      <c r="BS851" s="27"/>
      <c r="BT851" s="27"/>
      <c r="BU851" s="27"/>
      <c r="BV851" s="27"/>
      <c r="BW851" s="27"/>
      <c r="BX851" s="27"/>
      <c r="BY851" s="27"/>
      <c r="BZ851" s="27"/>
      <c r="CA851" s="27"/>
      <c r="CB851" s="27"/>
      <c r="CC851" s="27"/>
      <c r="CD851" s="27"/>
      <c r="CE851" s="27"/>
      <c r="CF851" s="27"/>
      <c r="CG851" s="27"/>
      <c r="CH851" s="27"/>
      <c r="CI851" s="27"/>
      <c r="CJ851" s="27"/>
      <c r="CK851" s="27"/>
      <c r="CL851" s="27"/>
      <c r="CM851" s="27"/>
      <c r="CN851" s="27"/>
      <c r="CO851" s="27"/>
      <c r="CP851" s="27"/>
      <c r="CQ851" s="27"/>
      <c r="CR851" s="27"/>
      <c r="CS851" s="27"/>
      <c r="CT851" s="27"/>
      <c r="CU851" s="27"/>
      <c r="CV851" s="27"/>
      <c r="CW851" s="27"/>
      <c r="CX851" s="27"/>
      <c r="CY851" s="27"/>
      <c r="CZ851" s="27"/>
      <c r="DA851" s="27"/>
      <c r="DB851" s="27"/>
      <c r="DC851" s="27"/>
      <c r="DD851" s="27"/>
      <c r="DE851" s="27"/>
      <c r="DF851" s="27"/>
      <c r="DG851" s="27"/>
      <c r="DH851" s="27"/>
      <c r="DI851" s="27"/>
      <c r="DJ851" s="27"/>
      <c r="DK851" s="27"/>
      <c r="DL851" s="27"/>
      <c r="DM851" s="27"/>
      <c r="DN851" s="27"/>
      <c r="DO851" s="27"/>
      <c r="DP851" s="27"/>
      <c r="DQ851" s="27"/>
      <c r="DR851" s="27"/>
      <c r="DS851" s="27"/>
      <c r="DT851" s="27"/>
    </row>
    <row r="852" spans="7:124" x14ac:dyDescent="0.2">
      <c r="G852" s="27"/>
      <c r="H852" s="27"/>
      <c r="I852" s="27"/>
      <c r="J852" s="27"/>
      <c r="K852" s="27"/>
      <c r="L852" s="27" t="s">
        <v>59</v>
      </c>
      <c r="M852" s="27" t="e">
        <f>#REF!</f>
        <v>#REF!</v>
      </c>
      <c r="N852" s="27" t="e">
        <f>IF(X763=V758,E107*W758,IF(X763=V759,E107*W759,IF(X763=V760,E107*W760)))</f>
        <v>#REF!</v>
      </c>
      <c r="O852" s="27"/>
      <c r="P852" s="27"/>
      <c r="Q852" s="27"/>
      <c r="R852" s="27"/>
      <c r="S852" s="27"/>
      <c r="T852" s="27"/>
      <c r="U852" s="27"/>
      <c r="V852" s="27"/>
      <c r="W852" s="27"/>
      <c r="X852" s="27"/>
      <c r="Y852" s="27"/>
      <c r="Z852" s="27"/>
      <c r="AA852" s="27"/>
      <c r="AB852" s="27"/>
      <c r="AC852" s="27"/>
      <c r="AD852" s="27"/>
      <c r="AE852" s="27"/>
      <c r="AF852" s="27"/>
      <c r="AG852" s="27"/>
      <c r="AH852" s="27"/>
      <c r="AI852" s="27"/>
      <c r="AJ852" s="27"/>
      <c r="AK852" s="27"/>
      <c r="AL852" s="27"/>
      <c r="AM852" s="27"/>
      <c r="AN852" s="27"/>
      <c r="AO852" s="27"/>
      <c r="AP852" s="27"/>
      <c r="AQ852" s="27"/>
      <c r="AR852" s="27"/>
      <c r="AS852" s="27"/>
      <c r="AT852" s="27"/>
      <c r="AU852" s="27"/>
      <c r="AV852" s="27"/>
      <c r="AW852" s="27"/>
      <c r="AX852" s="27"/>
      <c r="AY852" s="27"/>
      <c r="AZ852" s="27"/>
      <c r="BA852" s="27"/>
      <c r="BB852" s="27"/>
      <c r="BC852" s="27"/>
      <c r="BD852" s="27"/>
      <c r="BE852" s="27"/>
      <c r="BF852" s="27"/>
      <c r="BG852" s="27"/>
      <c r="BH852" s="27"/>
      <c r="BI852" s="27"/>
      <c r="BJ852" s="27"/>
      <c r="BK852" s="27"/>
      <c r="BL852" s="27"/>
      <c r="BM852" s="27"/>
      <c r="BN852" s="27"/>
      <c r="BO852" s="27"/>
      <c r="BP852" s="27"/>
      <c r="BQ852" s="27"/>
      <c r="BR852" s="27"/>
      <c r="BS852" s="27"/>
      <c r="BT852" s="27"/>
      <c r="BU852" s="27"/>
      <c r="BV852" s="27"/>
      <c r="BW852" s="27"/>
      <c r="BX852" s="27"/>
      <c r="BY852" s="27"/>
      <c r="BZ852" s="27"/>
      <c r="CA852" s="27"/>
      <c r="CB852" s="27"/>
      <c r="CC852" s="27"/>
      <c r="CD852" s="27"/>
      <c r="CE852" s="27"/>
      <c r="CF852" s="27"/>
      <c r="CG852" s="27"/>
      <c r="CH852" s="27"/>
      <c r="CI852" s="27"/>
      <c r="CJ852" s="27"/>
      <c r="CK852" s="27"/>
      <c r="CL852" s="27"/>
      <c r="CM852" s="27"/>
      <c r="CN852" s="27"/>
      <c r="CO852" s="27"/>
      <c r="CP852" s="27"/>
      <c r="CQ852" s="27"/>
      <c r="CR852" s="27"/>
      <c r="CS852" s="27"/>
      <c r="CT852" s="27"/>
      <c r="CU852" s="27"/>
      <c r="CV852" s="27"/>
      <c r="CW852" s="27"/>
      <c r="CX852" s="27"/>
      <c r="CY852" s="27"/>
      <c r="CZ852" s="27"/>
      <c r="DA852" s="27"/>
      <c r="DB852" s="27"/>
      <c r="DC852" s="27"/>
      <c r="DD852" s="27"/>
      <c r="DE852" s="27"/>
      <c r="DF852" s="27"/>
      <c r="DG852" s="27"/>
      <c r="DH852" s="27"/>
      <c r="DI852" s="27"/>
      <c r="DJ852" s="27"/>
      <c r="DK852" s="27"/>
      <c r="DL852" s="27"/>
      <c r="DM852" s="27"/>
      <c r="DN852" s="27"/>
      <c r="DO852" s="27"/>
      <c r="DP852" s="27"/>
      <c r="DQ852" s="27"/>
      <c r="DR852" s="27"/>
      <c r="DS852" s="27"/>
      <c r="DT852" s="27"/>
    </row>
    <row r="853" spans="7:124" x14ac:dyDescent="0.2">
      <c r="G853" s="27"/>
      <c r="H853" s="27"/>
      <c r="I853" s="27"/>
      <c r="J853" s="27"/>
      <c r="K853" s="27"/>
      <c r="L853" s="27">
        <f>IF(C64=Y723,0.95,1)</f>
        <v>1</v>
      </c>
      <c r="M853" s="27" t="e">
        <f>#REF!</f>
        <v>#REF!</v>
      </c>
      <c r="N853" s="27" t="e">
        <f>#REF!</f>
        <v>#REF!</v>
      </c>
      <c r="O853" s="27"/>
      <c r="P853" s="27"/>
      <c r="Q853" s="27"/>
      <c r="R853" s="27"/>
      <c r="S853" s="27"/>
      <c r="T853" s="27"/>
      <c r="U853" s="27"/>
      <c r="V853" s="27"/>
      <c r="W853" s="27"/>
      <c r="X853" s="27"/>
      <c r="Y853" s="27"/>
      <c r="Z853" s="27"/>
      <c r="AA853" s="27"/>
      <c r="AB853" s="27"/>
      <c r="AC853" s="27"/>
      <c r="AD853" s="27"/>
      <c r="AE853" s="27"/>
      <c r="AF853" s="27"/>
      <c r="AG853" s="27"/>
      <c r="AH853" s="27"/>
      <c r="AI853" s="27"/>
      <c r="AJ853" s="27"/>
      <c r="AK853" s="27"/>
      <c r="AL853" s="27"/>
      <c r="AM853" s="27"/>
      <c r="AN853" s="27"/>
      <c r="AO853" s="27"/>
      <c r="AP853" s="27"/>
      <c r="AQ853" s="27"/>
      <c r="AR853" s="27"/>
      <c r="AS853" s="27"/>
      <c r="AT853" s="27"/>
      <c r="AU853" s="27"/>
      <c r="AV853" s="27"/>
      <c r="AW853" s="27"/>
      <c r="AX853" s="27"/>
      <c r="AY853" s="27"/>
      <c r="AZ853" s="27"/>
      <c r="BA853" s="27"/>
      <c r="BB853" s="27"/>
      <c r="BC853" s="27"/>
      <c r="BD853" s="27"/>
      <c r="BE853" s="27"/>
      <c r="BF853" s="27"/>
      <c r="BG853" s="27"/>
      <c r="BH853" s="27"/>
      <c r="BI853" s="27"/>
      <c r="BJ853" s="27"/>
      <c r="BK853" s="27"/>
      <c r="BL853" s="27"/>
      <c r="BM853" s="27"/>
      <c r="BN853" s="27"/>
      <c r="BO853" s="27"/>
      <c r="BP853" s="27"/>
      <c r="BQ853" s="27"/>
      <c r="BR853" s="27"/>
      <c r="BS853" s="27"/>
      <c r="BT853" s="27"/>
      <c r="BU853" s="27"/>
      <c r="BV853" s="27"/>
      <c r="BW853" s="27"/>
      <c r="BX853" s="27"/>
      <c r="BY853" s="27"/>
      <c r="BZ853" s="27"/>
      <c r="CA853" s="27"/>
      <c r="CB853" s="27"/>
      <c r="CC853" s="27"/>
      <c r="CD853" s="27"/>
      <c r="CE853" s="27"/>
      <c r="CF853" s="27"/>
      <c r="CG853" s="27"/>
      <c r="CH853" s="27"/>
      <c r="CI853" s="27"/>
      <c r="CJ853" s="27"/>
      <c r="CK853" s="27"/>
      <c r="CL853" s="27"/>
      <c r="CM853" s="27"/>
      <c r="CN853" s="27"/>
      <c r="CO853" s="27"/>
      <c r="CP853" s="27"/>
      <c r="CQ853" s="27"/>
      <c r="CR853" s="27"/>
      <c r="CS853" s="27"/>
      <c r="CT853" s="27"/>
      <c r="CU853" s="27"/>
      <c r="CV853" s="27"/>
      <c r="CW853" s="27"/>
      <c r="CX853" s="27"/>
      <c r="CY853" s="27"/>
      <c r="CZ853" s="27"/>
      <c r="DA853" s="27"/>
      <c r="DB853" s="27"/>
      <c r="DC853" s="27"/>
      <c r="DD853" s="27"/>
      <c r="DE853" s="27"/>
      <c r="DF853" s="27"/>
      <c r="DG853" s="27"/>
      <c r="DH853" s="27"/>
      <c r="DI853" s="27"/>
      <c r="DJ853" s="27"/>
      <c r="DK853" s="27"/>
      <c r="DL853" s="27"/>
      <c r="DM853" s="27"/>
      <c r="DN853" s="27"/>
      <c r="DO853" s="27"/>
      <c r="DP853" s="27"/>
      <c r="DQ853" s="27"/>
      <c r="DR853" s="27"/>
      <c r="DS853" s="27"/>
      <c r="DT853" s="27"/>
    </row>
    <row r="854" spans="7:124" x14ac:dyDescent="0.2">
      <c r="G854" s="27"/>
      <c r="H854" s="27"/>
      <c r="I854" s="27"/>
      <c r="J854" s="27"/>
      <c r="K854" s="27"/>
      <c r="L854" s="27"/>
      <c r="M854" s="27" t="e">
        <f>#REF!</f>
        <v>#REF!</v>
      </c>
      <c r="N854" s="27" t="e">
        <f>#REF!</f>
        <v>#REF!</v>
      </c>
      <c r="O854" s="27"/>
      <c r="P854" s="27"/>
      <c r="Q854" s="27"/>
      <c r="R854" s="27"/>
      <c r="S854" s="27"/>
      <c r="T854" s="27"/>
      <c r="U854" s="27"/>
      <c r="V854" s="27"/>
      <c r="W854" s="27"/>
      <c r="X854" s="27"/>
      <c r="Y854" s="27"/>
      <c r="Z854" s="27"/>
      <c r="AA854" s="27"/>
      <c r="AB854" s="27"/>
      <c r="AC854" s="27"/>
      <c r="AD854" s="27"/>
      <c r="AE854" s="27"/>
      <c r="AF854" s="27"/>
      <c r="AG854" s="27"/>
      <c r="AH854" s="27"/>
      <c r="AI854" s="27"/>
      <c r="AJ854" s="27"/>
      <c r="AK854" s="27"/>
      <c r="AL854" s="27"/>
      <c r="AM854" s="27"/>
      <c r="AN854" s="27"/>
      <c r="AO854" s="27"/>
      <c r="AP854" s="27"/>
      <c r="AQ854" s="27"/>
      <c r="AR854" s="27"/>
      <c r="AS854" s="27"/>
      <c r="AT854" s="27"/>
      <c r="AU854" s="27"/>
      <c r="AV854" s="27"/>
      <c r="AW854" s="27"/>
      <c r="AX854" s="27"/>
      <c r="AY854" s="27"/>
      <c r="AZ854" s="27"/>
      <c r="BA854" s="27"/>
      <c r="BB854" s="27"/>
      <c r="BC854" s="27"/>
      <c r="BD854" s="27"/>
      <c r="BE854" s="27"/>
      <c r="BF854" s="27"/>
      <c r="BG854" s="27"/>
      <c r="BH854" s="27"/>
      <c r="BI854" s="27"/>
      <c r="BJ854" s="27"/>
      <c r="BK854" s="27"/>
      <c r="BL854" s="27"/>
      <c r="BM854" s="27"/>
      <c r="BN854" s="27"/>
      <c r="BO854" s="27"/>
      <c r="BP854" s="27"/>
      <c r="BQ854" s="27"/>
      <c r="BR854" s="27"/>
      <c r="BS854" s="27"/>
      <c r="BT854" s="27"/>
      <c r="BU854" s="27"/>
      <c r="BV854" s="27"/>
      <c r="BW854" s="27"/>
      <c r="BX854" s="27"/>
      <c r="BY854" s="27"/>
      <c r="BZ854" s="27"/>
      <c r="CA854" s="27"/>
      <c r="CB854" s="27"/>
      <c r="CC854" s="27"/>
      <c r="CD854" s="27"/>
      <c r="CE854" s="27"/>
      <c r="CF854" s="27"/>
      <c r="CG854" s="27"/>
      <c r="CH854" s="27"/>
      <c r="CI854" s="27"/>
      <c r="CJ854" s="27"/>
      <c r="CK854" s="27"/>
      <c r="CL854" s="27"/>
      <c r="CM854" s="27"/>
      <c r="CN854" s="27"/>
      <c r="CO854" s="27"/>
      <c r="CP854" s="27"/>
      <c r="CQ854" s="27"/>
      <c r="CR854" s="27"/>
      <c r="CS854" s="27"/>
      <c r="CT854" s="27"/>
      <c r="CU854" s="27"/>
      <c r="CV854" s="27"/>
      <c r="CW854" s="27"/>
      <c r="CX854" s="27"/>
      <c r="CY854" s="27"/>
      <c r="CZ854" s="27"/>
      <c r="DA854" s="27"/>
      <c r="DB854" s="27"/>
      <c r="DC854" s="27"/>
      <c r="DD854" s="27"/>
      <c r="DE854" s="27"/>
      <c r="DF854" s="27"/>
      <c r="DG854" s="27"/>
      <c r="DH854" s="27"/>
      <c r="DI854" s="27"/>
      <c r="DJ854" s="27"/>
      <c r="DK854" s="27"/>
      <c r="DL854" s="27"/>
      <c r="DM854" s="27"/>
      <c r="DN854" s="27"/>
      <c r="DO854" s="27"/>
      <c r="DP854" s="27"/>
      <c r="DQ854" s="27"/>
      <c r="DR854" s="27"/>
      <c r="DS854" s="27"/>
      <c r="DT854" s="27"/>
    </row>
    <row r="855" spans="7:124" x14ac:dyDescent="0.2">
      <c r="G855" s="27"/>
      <c r="H855" s="27"/>
      <c r="I855" s="27"/>
      <c r="J855" s="27"/>
      <c r="K855" s="27"/>
      <c r="L855" s="27"/>
      <c r="M855" s="27">
        <f>IF(Y807=0,W807,X807)</f>
        <v>0</v>
      </c>
      <c r="N855" s="27" t="e">
        <f>#REF!</f>
        <v>#REF!</v>
      </c>
      <c r="O855" s="27"/>
      <c r="P855" s="27"/>
      <c r="Q855" s="27"/>
      <c r="R855" s="27"/>
      <c r="S855" s="27"/>
      <c r="T855" s="27"/>
      <c r="U855" s="27"/>
      <c r="V855" s="27"/>
      <c r="W855" s="27"/>
      <c r="X855" s="27"/>
      <c r="Y855" s="27"/>
      <c r="Z855" s="27"/>
      <c r="AA855" s="27"/>
      <c r="AB855" s="27"/>
      <c r="AC855" s="27"/>
      <c r="AD855" s="27"/>
      <c r="AE855" s="27"/>
      <c r="AF855" s="27"/>
      <c r="AG855" s="27"/>
      <c r="AH855" s="27"/>
      <c r="AI855" s="27"/>
      <c r="AJ855" s="27"/>
      <c r="AK855" s="27"/>
      <c r="AL855" s="27"/>
      <c r="AM855" s="27"/>
      <c r="AN855" s="27"/>
      <c r="AO855" s="27"/>
      <c r="AP855" s="27"/>
      <c r="AQ855" s="27"/>
      <c r="AR855" s="27"/>
      <c r="AS855" s="27"/>
      <c r="AT855" s="27"/>
      <c r="AU855" s="27"/>
      <c r="AV855" s="27"/>
      <c r="AW855" s="27"/>
      <c r="AX855" s="27"/>
      <c r="AY855" s="27"/>
      <c r="AZ855" s="27"/>
      <c r="BA855" s="27"/>
      <c r="BB855" s="27"/>
      <c r="BC855" s="27"/>
      <c r="BD855" s="27"/>
      <c r="BE855" s="27"/>
      <c r="BF855" s="27"/>
      <c r="BG855" s="27"/>
      <c r="BH855" s="27"/>
      <c r="BI855" s="27"/>
      <c r="BJ855" s="27"/>
      <c r="BK855" s="27"/>
      <c r="BL855" s="27"/>
      <c r="BM855" s="27"/>
      <c r="BN855" s="27"/>
      <c r="BO855" s="27"/>
      <c r="BP855" s="27"/>
      <c r="BQ855" s="27"/>
      <c r="BR855" s="27"/>
      <c r="BS855" s="27"/>
      <c r="BT855" s="27"/>
      <c r="BU855" s="27"/>
      <c r="BV855" s="27"/>
      <c r="BW855" s="27"/>
      <c r="BX855" s="27"/>
      <c r="BY855" s="27"/>
      <c r="BZ855" s="27"/>
      <c r="CA855" s="27"/>
      <c r="CB855" s="27"/>
      <c r="CC855" s="27"/>
      <c r="CD855" s="27"/>
      <c r="CE855" s="27"/>
      <c r="CF855" s="27"/>
      <c r="CG855" s="27"/>
      <c r="CH855" s="27"/>
      <c r="CI855" s="27"/>
      <c r="CJ855" s="27"/>
      <c r="CK855" s="27"/>
      <c r="CL855" s="27"/>
      <c r="CM855" s="27"/>
      <c r="CN855" s="27"/>
      <c r="CO855" s="27"/>
      <c r="CP855" s="27"/>
      <c r="CQ855" s="27"/>
      <c r="CR855" s="27"/>
      <c r="CS855" s="27"/>
      <c r="CT855" s="27"/>
      <c r="CU855" s="27"/>
      <c r="CV855" s="27"/>
      <c r="CW855" s="27"/>
      <c r="CX855" s="27"/>
      <c r="CY855" s="27"/>
      <c r="CZ855" s="27"/>
      <c r="DA855" s="27"/>
      <c r="DB855" s="27"/>
      <c r="DC855" s="27"/>
      <c r="DD855" s="27"/>
      <c r="DE855" s="27"/>
      <c r="DF855" s="27"/>
      <c r="DG855" s="27"/>
      <c r="DH855" s="27"/>
      <c r="DI855" s="27"/>
      <c r="DJ855" s="27"/>
      <c r="DK855" s="27"/>
      <c r="DL855" s="27"/>
      <c r="DM855" s="27"/>
      <c r="DN855" s="27"/>
      <c r="DO855" s="27"/>
      <c r="DP855" s="27"/>
      <c r="DQ855" s="27"/>
      <c r="DR855" s="27"/>
      <c r="DS855" s="27"/>
      <c r="DT855" s="27"/>
    </row>
    <row r="856" spans="7:124" x14ac:dyDescent="0.2">
      <c r="G856" s="27"/>
      <c r="H856" s="27"/>
      <c r="I856" s="27"/>
      <c r="J856" s="27"/>
      <c r="K856" s="27"/>
      <c r="L856" s="27"/>
      <c r="M856" s="27"/>
      <c r="N856" s="27" t="e">
        <f>SUM(N850:N855)</f>
        <v>#REF!</v>
      </c>
      <c r="O856" s="27"/>
      <c r="P856" s="27"/>
      <c r="Q856" s="27"/>
      <c r="R856" s="27"/>
      <c r="S856" s="27"/>
      <c r="T856" s="27"/>
      <c r="U856" s="27"/>
      <c r="V856" s="27"/>
      <c r="W856" s="27"/>
      <c r="X856" s="27"/>
      <c r="Y856" s="27"/>
      <c r="Z856" s="27"/>
      <c r="AA856" s="27"/>
      <c r="AB856" s="27"/>
      <c r="AC856" s="27"/>
      <c r="AD856" s="27"/>
      <c r="AE856" s="27"/>
      <c r="AF856" s="27"/>
      <c r="AG856" s="27"/>
      <c r="AH856" s="27"/>
      <c r="AI856" s="27"/>
      <c r="AJ856" s="27"/>
      <c r="AK856" s="27"/>
      <c r="AL856" s="27"/>
      <c r="AM856" s="27"/>
      <c r="AN856" s="27"/>
      <c r="AO856" s="27"/>
      <c r="AP856" s="27"/>
      <c r="AQ856" s="27"/>
      <c r="AR856" s="27"/>
      <c r="AS856" s="27"/>
      <c r="AT856" s="27"/>
      <c r="AU856" s="27"/>
      <c r="AV856" s="27"/>
      <c r="AW856" s="27"/>
      <c r="AX856" s="27"/>
      <c r="AY856" s="27"/>
      <c r="AZ856" s="27"/>
      <c r="BA856" s="27"/>
      <c r="BB856" s="27"/>
      <c r="BC856" s="27"/>
      <c r="BD856" s="27"/>
      <c r="BE856" s="27"/>
      <c r="BF856" s="27"/>
      <c r="BG856" s="27"/>
      <c r="BH856" s="27"/>
      <c r="BI856" s="27"/>
      <c r="BJ856" s="27"/>
      <c r="BK856" s="27"/>
      <c r="BL856" s="27"/>
      <c r="BM856" s="27"/>
      <c r="BN856" s="27"/>
      <c r="BO856" s="27"/>
      <c r="BP856" s="27"/>
      <c r="BQ856" s="27"/>
      <c r="BR856" s="27"/>
      <c r="BS856" s="27"/>
      <c r="BT856" s="27"/>
      <c r="BU856" s="27"/>
      <c r="BV856" s="27"/>
      <c r="BW856" s="27"/>
      <c r="BX856" s="27"/>
      <c r="BY856" s="27"/>
      <c r="BZ856" s="27"/>
      <c r="CA856" s="27"/>
      <c r="CB856" s="27"/>
      <c r="CC856" s="27"/>
      <c r="CD856" s="27"/>
      <c r="CE856" s="27"/>
      <c r="CF856" s="27"/>
      <c r="CG856" s="27"/>
      <c r="CH856" s="27"/>
      <c r="CI856" s="27"/>
      <c r="CJ856" s="27"/>
      <c r="CK856" s="27"/>
      <c r="CL856" s="27"/>
      <c r="CM856" s="27"/>
      <c r="CN856" s="27"/>
      <c r="CO856" s="27"/>
      <c r="CP856" s="27"/>
      <c r="CQ856" s="27"/>
      <c r="CR856" s="27"/>
      <c r="CS856" s="27"/>
      <c r="CT856" s="27"/>
      <c r="CU856" s="27"/>
      <c r="CV856" s="27"/>
      <c r="CW856" s="27"/>
      <c r="CX856" s="27"/>
      <c r="CY856" s="27"/>
      <c r="CZ856" s="27"/>
      <c r="DA856" s="27"/>
      <c r="DB856" s="27"/>
      <c r="DC856" s="27"/>
      <c r="DD856" s="27"/>
      <c r="DE856" s="27"/>
      <c r="DF856" s="27"/>
      <c r="DG856" s="27"/>
      <c r="DH856" s="27"/>
      <c r="DI856" s="27"/>
      <c r="DJ856" s="27"/>
      <c r="DK856" s="27"/>
      <c r="DL856" s="27"/>
      <c r="DM856" s="27"/>
      <c r="DN856" s="27"/>
      <c r="DO856" s="27"/>
      <c r="DP856" s="27"/>
      <c r="DQ856" s="27"/>
      <c r="DR856" s="27"/>
      <c r="DS856" s="27"/>
      <c r="DT856" s="27"/>
    </row>
    <row r="857" spans="7:124" x14ac:dyDescent="0.2">
      <c r="G857" s="27"/>
      <c r="H857" s="27"/>
      <c r="I857" s="27"/>
      <c r="J857" s="27"/>
      <c r="K857" s="27"/>
      <c r="L857" s="27"/>
      <c r="M857" s="27"/>
      <c r="N857" s="27"/>
      <c r="O857" s="27"/>
      <c r="P857" s="27"/>
      <c r="Q857" s="27"/>
      <c r="R857" s="27"/>
      <c r="S857" s="27"/>
      <c r="T857" s="27"/>
      <c r="U857" s="27"/>
      <c r="V857" s="27"/>
      <c r="W857" s="27"/>
      <c r="X857" s="27"/>
      <c r="Y857" s="27"/>
      <c r="Z857" s="27"/>
      <c r="AA857" s="27"/>
      <c r="AB857" s="27"/>
      <c r="AC857" s="27"/>
      <c r="AD857" s="27"/>
      <c r="AE857" s="27"/>
      <c r="AF857" s="27"/>
      <c r="AG857" s="27"/>
      <c r="AH857" s="27"/>
      <c r="AI857" s="27"/>
      <c r="AJ857" s="27"/>
      <c r="AK857" s="27"/>
      <c r="AL857" s="27"/>
      <c r="AM857" s="27"/>
      <c r="AN857" s="27"/>
      <c r="AO857" s="27"/>
      <c r="AP857" s="27"/>
      <c r="AQ857" s="27"/>
      <c r="AR857" s="27"/>
      <c r="AS857" s="27"/>
      <c r="AT857" s="27"/>
      <c r="AU857" s="27"/>
      <c r="AV857" s="27"/>
      <c r="AW857" s="27"/>
      <c r="AX857" s="27"/>
      <c r="AY857" s="27"/>
      <c r="AZ857" s="27"/>
      <c r="BA857" s="27"/>
      <c r="BB857" s="27"/>
      <c r="BC857" s="27"/>
      <c r="BD857" s="27"/>
      <c r="BE857" s="27"/>
      <c r="BF857" s="27"/>
      <c r="BG857" s="27"/>
      <c r="BH857" s="27"/>
      <c r="BI857" s="27"/>
      <c r="BJ857" s="27"/>
      <c r="BK857" s="27"/>
      <c r="BL857" s="27"/>
      <c r="BM857" s="27"/>
      <c r="BN857" s="27"/>
      <c r="BO857" s="27"/>
      <c r="BP857" s="27"/>
      <c r="BQ857" s="27"/>
      <c r="BR857" s="27"/>
      <c r="BS857" s="27"/>
      <c r="BT857" s="27"/>
      <c r="BU857" s="27"/>
      <c r="BV857" s="27"/>
      <c r="BW857" s="27"/>
      <c r="BX857" s="27"/>
      <c r="BY857" s="27"/>
      <c r="BZ857" s="27"/>
      <c r="CA857" s="27"/>
      <c r="CB857" s="27"/>
      <c r="CC857" s="27"/>
      <c r="CD857" s="27"/>
      <c r="CE857" s="27"/>
      <c r="CF857" s="27"/>
      <c r="CG857" s="27"/>
      <c r="CH857" s="27"/>
      <c r="CI857" s="27"/>
      <c r="CJ857" s="27"/>
      <c r="CK857" s="27"/>
      <c r="CL857" s="27"/>
      <c r="CM857" s="27"/>
      <c r="CN857" s="27"/>
      <c r="CO857" s="27"/>
      <c r="CP857" s="27"/>
      <c r="CQ857" s="27"/>
      <c r="CR857" s="27"/>
      <c r="CS857" s="27"/>
      <c r="CT857" s="27"/>
      <c r="CU857" s="27"/>
      <c r="CV857" s="27"/>
      <c r="CW857" s="27"/>
      <c r="CX857" s="27"/>
      <c r="CY857" s="27"/>
      <c r="CZ857" s="27"/>
      <c r="DA857" s="27"/>
      <c r="DB857" s="27"/>
      <c r="DC857" s="27"/>
      <c r="DD857" s="27"/>
      <c r="DE857" s="27"/>
      <c r="DF857" s="27"/>
      <c r="DG857" s="27"/>
      <c r="DH857" s="27"/>
      <c r="DI857" s="27"/>
      <c r="DJ857" s="27"/>
      <c r="DK857" s="27"/>
      <c r="DL857" s="27"/>
      <c r="DM857" s="27"/>
      <c r="DN857" s="27"/>
      <c r="DO857" s="27"/>
      <c r="DP857" s="27"/>
      <c r="DQ857" s="27"/>
      <c r="DR857" s="27"/>
      <c r="DS857" s="27"/>
      <c r="DT857" s="27"/>
    </row>
    <row r="858" spans="7:124" x14ac:dyDescent="0.2">
      <c r="G858" s="27"/>
      <c r="H858" s="27"/>
      <c r="I858" s="27"/>
      <c r="J858" s="27"/>
      <c r="K858" s="27"/>
      <c r="L858" s="27"/>
      <c r="M858" s="27"/>
      <c r="N858" s="27"/>
      <c r="O858" s="27"/>
      <c r="P858" s="27"/>
      <c r="Q858" s="27"/>
      <c r="R858" s="27"/>
      <c r="S858" s="27"/>
      <c r="T858" s="27"/>
      <c r="U858" s="27"/>
      <c r="V858" s="27"/>
      <c r="W858" s="27"/>
      <c r="X858" s="27"/>
      <c r="Y858" s="27"/>
      <c r="Z858" s="27"/>
      <c r="AA858" s="27"/>
      <c r="AB858" s="27"/>
      <c r="AC858" s="27"/>
      <c r="AD858" s="27"/>
      <c r="AE858" s="27"/>
      <c r="AF858" s="27"/>
      <c r="AG858" s="27"/>
      <c r="AH858" s="27"/>
      <c r="AI858" s="27"/>
      <c r="AJ858" s="27"/>
      <c r="AK858" s="27"/>
      <c r="AL858" s="27"/>
      <c r="AM858" s="27"/>
      <c r="AN858" s="27"/>
      <c r="AO858" s="27"/>
      <c r="AP858" s="27"/>
      <c r="AQ858" s="27"/>
      <c r="AR858" s="27"/>
      <c r="AS858" s="27"/>
      <c r="AT858" s="27"/>
      <c r="AU858" s="27"/>
      <c r="AV858" s="27"/>
      <c r="AW858" s="27"/>
      <c r="AX858" s="27"/>
      <c r="AY858" s="27"/>
      <c r="AZ858" s="27"/>
      <c r="BA858" s="27"/>
      <c r="BB858" s="27"/>
      <c r="BC858" s="27"/>
      <c r="BD858" s="27"/>
      <c r="BE858" s="27"/>
      <c r="BF858" s="27"/>
      <c r="BG858" s="27"/>
      <c r="BH858" s="27"/>
      <c r="BI858" s="27"/>
      <c r="BJ858" s="27"/>
      <c r="BK858" s="27"/>
      <c r="BL858" s="27"/>
      <c r="BM858" s="27"/>
      <c r="BN858" s="27"/>
      <c r="BO858" s="27"/>
      <c r="BP858" s="27"/>
      <c r="BQ858" s="27"/>
      <c r="BR858" s="27"/>
      <c r="BS858" s="27"/>
      <c r="BT858" s="27"/>
      <c r="BU858" s="27"/>
      <c r="BV858" s="27"/>
      <c r="BW858" s="27"/>
      <c r="BX858" s="27"/>
      <c r="BY858" s="27"/>
      <c r="BZ858" s="27"/>
      <c r="CA858" s="27"/>
      <c r="CB858" s="27"/>
      <c r="CC858" s="27"/>
      <c r="CD858" s="27"/>
      <c r="CE858" s="27"/>
      <c r="CF858" s="27"/>
      <c r="CG858" s="27"/>
      <c r="CH858" s="27"/>
      <c r="CI858" s="27"/>
      <c r="CJ858" s="27"/>
      <c r="CK858" s="27"/>
      <c r="CL858" s="27"/>
      <c r="CM858" s="27"/>
      <c r="CN858" s="27"/>
      <c r="CO858" s="27"/>
      <c r="CP858" s="27"/>
      <c r="CQ858" s="27"/>
      <c r="CR858" s="27"/>
      <c r="CS858" s="27"/>
      <c r="CT858" s="27"/>
      <c r="CU858" s="27"/>
      <c r="CV858" s="27"/>
      <c r="CW858" s="27"/>
      <c r="CX858" s="27"/>
      <c r="CY858" s="27"/>
      <c r="CZ858" s="27"/>
      <c r="DA858" s="27"/>
      <c r="DB858" s="27"/>
      <c r="DC858" s="27"/>
      <c r="DD858" s="27"/>
      <c r="DE858" s="27"/>
      <c r="DF858" s="27"/>
      <c r="DG858" s="27"/>
      <c r="DH858" s="27"/>
      <c r="DI858" s="27"/>
      <c r="DJ858" s="27"/>
      <c r="DK858" s="27"/>
      <c r="DL858" s="27"/>
      <c r="DM858" s="27"/>
      <c r="DN858" s="27"/>
      <c r="DO858" s="27"/>
      <c r="DP858" s="27"/>
      <c r="DQ858" s="27"/>
      <c r="DR858" s="27"/>
      <c r="DS858" s="27"/>
      <c r="DT858" s="27"/>
    </row>
    <row r="859" spans="7:124" x14ac:dyDescent="0.2">
      <c r="G859" s="27"/>
      <c r="H859" s="27"/>
      <c r="I859" s="27"/>
      <c r="J859" s="27"/>
      <c r="K859" s="27"/>
      <c r="L859" s="27"/>
      <c r="M859" s="27"/>
      <c r="N859" s="27"/>
      <c r="O859" s="27"/>
      <c r="P859" s="27"/>
      <c r="Q859" s="27"/>
      <c r="R859" s="27"/>
      <c r="S859" s="27"/>
      <c r="T859" s="27"/>
      <c r="U859" s="27"/>
      <c r="V859" s="27"/>
      <c r="W859" s="27"/>
      <c r="X859" s="27"/>
      <c r="Y859" s="27"/>
      <c r="Z859" s="27"/>
      <c r="AA859" s="27"/>
      <c r="AB859" s="27"/>
      <c r="AC859" s="27"/>
      <c r="AD859" s="27"/>
      <c r="AE859" s="27"/>
      <c r="AF859" s="27"/>
      <c r="AG859" s="27"/>
      <c r="AH859" s="27"/>
      <c r="AI859" s="27"/>
      <c r="AJ859" s="27"/>
      <c r="AK859" s="27"/>
      <c r="AL859" s="27"/>
      <c r="AM859" s="27"/>
      <c r="AN859" s="27"/>
      <c r="AO859" s="27"/>
      <c r="AP859" s="27"/>
      <c r="AQ859" s="27"/>
      <c r="AR859" s="27"/>
      <c r="AS859" s="27"/>
      <c r="AT859" s="27"/>
      <c r="AU859" s="27"/>
      <c r="AV859" s="27"/>
      <c r="AW859" s="27"/>
      <c r="AX859" s="27"/>
      <c r="AY859" s="27"/>
      <c r="AZ859" s="27"/>
      <c r="BA859" s="27"/>
      <c r="BB859" s="27"/>
      <c r="BC859" s="27"/>
      <c r="BD859" s="27"/>
      <c r="BE859" s="27"/>
      <c r="BF859" s="27"/>
      <c r="BG859" s="27"/>
      <c r="BH859" s="27"/>
      <c r="BI859" s="27"/>
      <c r="BJ859" s="27"/>
      <c r="BK859" s="27"/>
      <c r="BL859" s="27"/>
      <c r="BM859" s="27"/>
      <c r="BN859" s="27"/>
      <c r="BO859" s="27"/>
      <c r="BP859" s="27"/>
      <c r="BQ859" s="27"/>
      <c r="BR859" s="27"/>
      <c r="BS859" s="27"/>
      <c r="BT859" s="27"/>
      <c r="BU859" s="27"/>
      <c r="BV859" s="27"/>
      <c r="BW859" s="27"/>
      <c r="BX859" s="27"/>
      <c r="BY859" s="27"/>
      <c r="BZ859" s="27"/>
      <c r="CA859" s="27"/>
      <c r="CB859" s="27"/>
      <c r="CC859" s="27"/>
      <c r="CD859" s="27"/>
      <c r="CE859" s="27"/>
      <c r="CF859" s="27"/>
      <c r="CG859" s="27"/>
      <c r="CH859" s="27"/>
      <c r="CI859" s="27"/>
      <c r="CJ859" s="27"/>
      <c r="CK859" s="27"/>
      <c r="CL859" s="27"/>
      <c r="CM859" s="27"/>
      <c r="CN859" s="27"/>
      <c r="CO859" s="27"/>
      <c r="CP859" s="27"/>
      <c r="CQ859" s="27"/>
      <c r="CR859" s="27"/>
      <c r="CS859" s="27"/>
      <c r="CT859" s="27"/>
      <c r="CU859" s="27"/>
      <c r="CV859" s="27"/>
      <c r="CW859" s="27"/>
      <c r="CX859" s="27"/>
      <c r="CY859" s="27"/>
      <c r="CZ859" s="27"/>
      <c r="DA859" s="27"/>
      <c r="DB859" s="27"/>
      <c r="DC859" s="27"/>
      <c r="DD859" s="27"/>
      <c r="DE859" s="27"/>
      <c r="DF859" s="27"/>
      <c r="DG859" s="27"/>
      <c r="DH859" s="27"/>
      <c r="DI859" s="27"/>
      <c r="DJ859" s="27"/>
      <c r="DK859" s="27"/>
      <c r="DL859" s="27"/>
      <c r="DM859" s="27"/>
      <c r="DN859" s="27"/>
      <c r="DO859" s="27"/>
      <c r="DP859" s="27"/>
      <c r="DQ859" s="27"/>
      <c r="DR859" s="27"/>
      <c r="DS859" s="27"/>
      <c r="DT859" s="27"/>
    </row>
    <row r="860" spans="7:124" x14ac:dyDescent="0.2">
      <c r="G860" s="27"/>
      <c r="H860" s="27"/>
      <c r="I860" s="27"/>
      <c r="J860" s="27"/>
      <c r="K860" s="27"/>
      <c r="L860" s="27"/>
      <c r="M860" s="27"/>
      <c r="N860" s="27"/>
      <c r="O860" s="27"/>
      <c r="P860" s="27"/>
      <c r="Q860" s="27"/>
      <c r="R860" s="27"/>
      <c r="S860" s="27"/>
      <c r="T860" s="27"/>
      <c r="U860" s="27"/>
      <c r="V860" s="27"/>
      <c r="W860" s="27"/>
      <c r="X860" s="27"/>
      <c r="Y860" s="27"/>
      <c r="Z860" s="27"/>
      <c r="AA860" s="27"/>
      <c r="AB860" s="27"/>
      <c r="AC860" s="27"/>
      <c r="AD860" s="27"/>
      <c r="AE860" s="27"/>
      <c r="AF860" s="27"/>
      <c r="AG860" s="27"/>
      <c r="AH860" s="27"/>
      <c r="AI860" s="27"/>
      <c r="AJ860" s="27"/>
      <c r="AK860" s="27"/>
      <c r="AL860" s="27"/>
      <c r="AM860" s="27"/>
      <c r="AN860" s="27"/>
      <c r="AO860" s="27"/>
      <c r="AP860" s="27"/>
      <c r="AQ860" s="27"/>
      <c r="AR860" s="27"/>
      <c r="AS860" s="27"/>
      <c r="AT860" s="27"/>
      <c r="AU860" s="27"/>
      <c r="AV860" s="27"/>
      <c r="AW860" s="27"/>
      <c r="AX860" s="27"/>
      <c r="AY860" s="27"/>
      <c r="AZ860" s="27"/>
      <c r="BA860" s="27"/>
      <c r="BB860" s="27"/>
      <c r="BC860" s="27"/>
      <c r="BD860" s="27"/>
      <c r="BE860" s="27"/>
      <c r="BF860" s="27"/>
      <c r="BG860" s="27"/>
      <c r="BH860" s="27"/>
      <c r="BI860" s="27"/>
      <c r="BJ860" s="27"/>
      <c r="BK860" s="27"/>
      <c r="BL860" s="27"/>
      <c r="BM860" s="27"/>
      <c r="BN860" s="27"/>
      <c r="BO860" s="27"/>
      <c r="BP860" s="27"/>
      <c r="BQ860" s="27"/>
      <c r="BR860" s="27"/>
      <c r="BS860" s="27"/>
      <c r="BT860" s="27"/>
      <c r="BU860" s="27"/>
      <c r="BV860" s="27"/>
      <c r="BW860" s="27"/>
      <c r="BX860" s="27"/>
      <c r="BY860" s="27"/>
      <c r="BZ860" s="27"/>
      <c r="CA860" s="27"/>
      <c r="CB860" s="27"/>
      <c r="CC860" s="27"/>
      <c r="CD860" s="27"/>
      <c r="CE860" s="27"/>
      <c r="CF860" s="27"/>
      <c r="CG860" s="27"/>
      <c r="CH860" s="27"/>
      <c r="CI860" s="27"/>
      <c r="CJ860" s="27"/>
      <c r="CK860" s="27"/>
      <c r="CL860" s="27"/>
      <c r="CM860" s="27"/>
      <c r="CN860" s="27"/>
      <c r="CO860" s="27"/>
      <c r="CP860" s="27"/>
      <c r="CQ860" s="27"/>
      <c r="CR860" s="27"/>
      <c r="CS860" s="27"/>
      <c r="CT860" s="27"/>
      <c r="CU860" s="27"/>
      <c r="CV860" s="27"/>
      <c r="CW860" s="27"/>
      <c r="CX860" s="27"/>
      <c r="CY860" s="27"/>
      <c r="CZ860" s="27"/>
      <c r="DA860" s="27"/>
      <c r="DB860" s="27"/>
      <c r="DC860" s="27"/>
      <c r="DD860" s="27"/>
      <c r="DE860" s="27"/>
      <c r="DF860" s="27"/>
      <c r="DG860" s="27"/>
      <c r="DH860" s="27"/>
      <c r="DI860" s="27"/>
      <c r="DJ860" s="27"/>
      <c r="DK860" s="27"/>
      <c r="DL860" s="27"/>
      <c r="DM860" s="27"/>
      <c r="DN860" s="27"/>
      <c r="DO860" s="27"/>
      <c r="DP860" s="27"/>
      <c r="DQ860" s="27"/>
      <c r="DR860" s="27"/>
      <c r="DS860" s="27"/>
      <c r="DT860" s="27"/>
    </row>
    <row r="861" spans="7:124" x14ac:dyDescent="0.2">
      <c r="G861" s="27"/>
      <c r="H861" s="27"/>
      <c r="I861" s="27"/>
      <c r="J861" s="27"/>
      <c r="K861" s="27"/>
      <c r="L861" s="27"/>
      <c r="M861" s="27"/>
      <c r="N861" s="27"/>
      <c r="O861" s="27"/>
      <c r="P861" s="27"/>
      <c r="Q861" s="27"/>
      <c r="R861" s="27"/>
      <c r="S861" s="27"/>
      <c r="T861" s="27"/>
      <c r="U861" s="27"/>
      <c r="V861" s="27"/>
      <c r="W861" s="27"/>
      <c r="X861" s="27"/>
      <c r="Y861" s="27"/>
      <c r="Z861" s="27"/>
      <c r="AA861" s="27"/>
      <c r="AB861" s="27"/>
      <c r="AC861" s="27"/>
      <c r="AD861" s="27"/>
      <c r="AE861" s="27"/>
      <c r="AF861" s="27"/>
      <c r="AG861" s="27"/>
      <c r="AH861" s="27"/>
      <c r="AI861" s="27"/>
      <c r="AJ861" s="27"/>
      <c r="AK861" s="27"/>
      <c r="AL861" s="27"/>
      <c r="AM861" s="27"/>
      <c r="AN861" s="27"/>
      <c r="AO861" s="27"/>
      <c r="AP861" s="27"/>
      <c r="AQ861" s="27"/>
      <c r="AR861" s="27"/>
      <c r="AS861" s="27"/>
      <c r="AT861" s="27"/>
      <c r="AU861" s="27"/>
      <c r="AV861" s="27"/>
      <c r="AW861" s="27"/>
      <c r="AX861" s="27"/>
      <c r="AY861" s="27"/>
      <c r="AZ861" s="27"/>
      <c r="BA861" s="27"/>
      <c r="BB861" s="27"/>
      <c r="BC861" s="27"/>
      <c r="BD861" s="27"/>
      <c r="BE861" s="27"/>
      <c r="BF861" s="27"/>
      <c r="BG861" s="27"/>
      <c r="BH861" s="27"/>
      <c r="BI861" s="27"/>
      <c r="BJ861" s="27"/>
      <c r="BK861" s="27"/>
      <c r="BL861" s="27"/>
      <c r="BM861" s="27"/>
      <c r="BN861" s="27"/>
      <c r="BO861" s="27"/>
      <c r="BP861" s="27"/>
      <c r="BQ861" s="27"/>
      <c r="BR861" s="27"/>
      <c r="BS861" s="27"/>
      <c r="BT861" s="27"/>
      <c r="BU861" s="27"/>
      <c r="BV861" s="27"/>
      <c r="BW861" s="27"/>
      <c r="BX861" s="27"/>
      <c r="BY861" s="27"/>
      <c r="BZ861" s="27"/>
      <c r="CA861" s="27"/>
      <c r="CB861" s="27"/>
      <c r="CC861" s="27"/>
      <c r="CD861" s="27"/>
      <c r="CE861" s="27"/>
      <c r="CF861" s="27"/>
      <c r="CG861" s="27"/>
      <c r="CH861" s="27"/>
      <c r="CI861" s="27"/>
      <c r="CJ861" s="27"/>
      <c r="CK861" s="27"/>
      <c r="CL861" s="27"/>
      <c r="CM861" s="27"/>
      <c r="CN861" s="27"/>
      <c r="CO861" s="27"/>
      <c r="CP861" s="27"/>
      <c r="CQ861" s="27"/>
      <c r="CR861" s="27"/>
      <c r="CS861" s="27"/>
      <c r="CT861" s="27"/>
      <c r="CU861" s="27"/>
      <c r="CV861" s="27"/>
      <c r="CW861" s="27"/>
      <c r="CX861" s="27"/>
      <c r="CY861" s="27"/>
      <c r="CZ861" s="27"/>
      <c r="DA861" s="27"/>
      <c r="DB861" s="27"/>
      <c r="DC861" s="27"/>
      <c r="DD861" s="27"/>
      <c r="DE861" s="27"/>
      <c r="DF861" s="27"/>
      <c r="DG861" s="27"/>
      <c r="DH861" s="27"/>
      <c r="DI861" s="27"/>
      <c r="DJ861" s="27"/>
      <c r="DK861" s="27"/>
      <c r="DL861" s="27"/>
      <c r="DM861" s="27"/>
      <c r="DN861" s="27"/>
      <c r="DO861" s="27"/>
      <c r="DP861" s="27"/>
      <c r="DQ861" s="27"/>
      <c r="DR861" s="27"/>
      <c r="DS861" s="27"/>
      <c r="DT861" s="27"/>
    </row>
    <row r="862" spans="7:124" x14ac:dyDescent="0.2">
      <c r="G862" s="27"/>
      <c r="H862" s="27"/>
      <c r="I862" s="27"/>
      <c r="J862" s="27"/>
      <c r="K862" s="27"/>
      <c r="L862" s="27"/>
      <c r="M862" s="27" t="s">
        <v>59</v>
      </c>
      <c r="N862" s="27"/>
      <c r="O862" s="27"/>
      <c r="P862" s="27"/>
      <c r="Q862" s="27"/>
      <c r="R862" s="27"/>
      <c r="S862" s="27"/>
      <c r="T862" s="27"/>
      <c r="U862" s="27"/>
      <c r="V862" s="27"/>
      <c r="W862" s="27"/>
      <c r="X862" s="27"/>
      <c r="Y862" s="27"/>
      <c r="Z862" s="27"/>
      <c r="AA862" s="27"/>
      <c r="AB862" s="27"/>
      <c r="AC862" s="27"/>
      <c r="AD862" s="27"/>
      <c r="AE862" s="27"/>
      <c r="AF862" s="27"/>
      <c r="AG862" s="27"/>
      <c r="AH862" s="27"/>
      <c r="AI862" s="27"/>
      <c r="AJ862" s="27"/>
      <c r="AK862" s="27"/>
      <c r="AL862" s="27"/>
      <c r="AM862" s="27"/>
      <c r="AN862" s="27"/>
      <c r="AO862" s="27"/>
      <c r="AP862" s="27"/>
      <c r="AQ862" s="27"/>
      <c r="AR862" s="27"/>
      <c r="AS862" s="27"/>
      <c r="AT862" s="27"/>
      <c r="AU862" s="27"/>
      <c r="AV862" s="27"/>
      <c r="AW862" s="27"/>
      <c r="AX862" s="27"/>
      <c r="AY862" s="27"/>
      <c r="AZ862" s="27"/>
      <c r="BA862" s="27"/>
      <c r="BB862" s="27"/>
      <c r="BC862" s="27"/>
      <c r="BD862" s="27"/>
      <c r="BE862" s="27"/>
      <c r="BF862" s="27"/>
      <c r="BG862" s="27"/>
      <c r="BH862" s="27"/>
      <c r="BI862" s="27"/>
      <c r="BJ862" s="27"/>
      <c r="BK862" s="27"/>
      <c r="BL862" s="27"/>
      <c r="BM862" s="27"/>
      <c r="BN862" s="27"/>
      <c r="BO862" s="27"/>
      <c r="BP862" s="27"/>
      <c r="BQ862" s="27"/>
      <c r="BR862" s="27"/>
      <c r="BS862" s="27"/>
      <c r="BT862" s="27"/>
      <c r="BU862" s="27"/>
      <c r="BV862" s="27"/>
      <c r="BW862" s="27"/>
      <c r="BX862" s="27"/>
      <c r="BY862" s="27"/>
      <c r="BZ862" s="27"/>
      <c r="CA862" s="27"/>
      <c r="CB862" s="27"/>
      <c r="CC862" s="27"/>
      <c r="CD862" s="27"/>
      <c r="CE862" s="27"/>
      <c r="CF862" s="27"/>
      <c r="CG862" s="27"/>
      <c r="CH862" s="27"/>
      <c r="CI862" s="27"/>
      <c r="CJ862" s="27"/>
      <c r="CK862" s="27"/>
      <c r="CL862" s="27"/>
      <c r="CM862" s="27"/>
      <c r="CN862" s="27"/>
      <c r="CO862" s="27"/>
      <c r="CP862" s="27"/>
      <c r="CQ862" s="27"/>
      <c r="CR862" s="27"/>
      <c r="CS862" s="27"/>
      <c r="CT862" s="27"/>
      <c r="CU862" s="27"/>
      <c r="CV862" s="27"/>
      <c r="CW862" s="27"/>
      <c r="CX862" s="27"/>
      <c r="CY862" s="27"/>
      <c r="CZ862" s="27"/>
      <c r="DA862" s="27"/>
      <c r="DB862" s="27"/>
      <c r="DC862" s="27"/>
      <c r="DD862" s="27"/>
      <c r="DE862" s="27"/>
      <c r="DF862" s="27"/>
      <c r="DG862" s="27"/>
      <c r="DH862" s="27"/>
      <c r="DI862" s="27"/>
      <c r="DJ862" s="27"/>
      <c r="DK862" s="27"/>
      <c r="DL862" s="27"/>
      <c r="DM862" s="27"/>
      <c r="DN862" s="27"/>
      <c r="DO862" s="27"/>
      <c r="DP862" s="27"/>
      <c r="DQ862" s="27"/>
      <c r="DR862" s="27"/>
      <c r="DS862" s="27"/>
      <c r="DT862" s="27"/>
    </row>
    <row r="863" spans="7:124" x14ac:dyDescent="0.2">
      <c r="G863" s="27"/>
      <c r="H863" s="27"/>
      <c r="I863" s="27"/>
      <c r="J863" s="27"/>
      <c r="K863" s="27"/>
      <c r="L863" s="27"/>
      <c r="M863" s="27"/>
      <c r="N863" s="27"/>
      <c r="O863" s="27"/>
      <c r="P863" s="27"/>
      <c r="Q863" s="27"/>
      <c r="R863" s="27"/>
      <c r="S863" s="27"/>
      <c r="T863" s="27"/>
      <c r="U863" s="27"/>
      <c r="V863" s="27"/>
      <c r="W863" s="27"/>
      <c r="X863" s="27"/>
      <c r="Y863" s="27"/>
      <c r="Z863" s="27"/>
      <c r="AA863" s="27"/>
      <c r="AB863" s="27"/>
      <c r="AC863" s="27"/>
      <c r="AD863" s="27"/>
      <c r="AE863" s="27"/>
      <c r="AF863" s="27"/>
      <c r="AG863" s="27"/>
      <c r="AH863" s="27"/>
      <c r="AI863" s="27"/>
      <c r="AJ863" s="27"/>
      <c r="AK863" s="27"/>
      <c r="AL863" s="27"/>
      <c r="AM863" s="27"/>
      <c r="AN863" s="27"/>
      <c r="AO863" s="27"/>
      <c r="AP863" s="27"/>
      <c r="AQ863" s="27"/>
      <c r="AR863" s="27"/>
      <c r="AS863" s="27"/>
      <c r="AT863" s="27"/>
      <c r="AU863" s="27"/>
      <c r="AV863" s="27"/>
      <c r="AW863" s="27"/>
      <c r="AX863" s="27"/>
      <c r="AY863" s="27"/>
      <c r="AZ863" s="27"/>
      <c r="BA863" s="27"/>
      <c r="BB863" s="27"/>
      <c r="BC863" s="27"/>
      <c r="BD863" s="27"/>
      <c r="BE863" s="27"/>
      <c r="BF863" s="27"/>
      <c r="BG863" s="27"/>
      <c r="BH863" s="27"/>
      <c r="BI863" s="27"/>
      <c r="BJ863" s="27"/>
      <c r="BK863" s="27"/>
      <c r="BL863" s="27"/>
      <c r="BM863" s="27"/>
      <c r="BN863" s="27"/>
      <c r="BO863" s="27"/>
      <c r="BP863" s="27"/>
      <c r="BQ863" s="27"/>
      <c r="BR863" s="27"/>
      <c r="BS863" s="27"/>
      <c r="BT863" s="27"/>
      <c r="BU863" s="27"/>
      <c r="BV863" s="27"/>
      <c r="BW863" s="27"/>
      <c r="BX863" s="27"/>
      <c r="BY863" s="27"/>
      <c r="BZ863" s="27"/>
      <c r="CA863" s="27"/>
      <c r="CB863" s="27"/>
      <c r="CC863" s="27"/>
      <c r="CD863" s="27"/>
      <c r="CE863" s="27"/>
      <c r="CF863" s="27"/>
      <c r="CG863" s="27"/>
      <c r="CH863" s="27"/>
      <c r="CI863" s="27"/>
      <c r="CJ863" s="27"/>
      <c r="CK863" s="27"/>
      <c r="CL863" s="27"/>
      <c r="CM863" s="27"/>
      <c r="CN863" s="27"/>
      <c r="CO863" s="27"/>
      <c r="CP863" s="27"/>
      <c r="CQ863" s="27"/>
      <c r="CR863" s="27"/>
      <c r="CS863" s="27"/>
      <c r="CT863" s="27"/>
      <c r="CU863" s="27"/>
      <c r="CV863" s="27"/>
      <c r="CW863" s="27"/>
      <c r="CX863" s="27"/>
      <c r="CY863" s="27"/>
      <c r="CZ863" s="27"/>
      <c r="DA863" s="27"/>
      <c r="DB863" s="27"/>
      <c r="DC863" s="27"/>
      <c r="DD863" s="27"/>
      <c r="DE863" s="27"/>
      <c r="DF863" s="27"/>
      <c r="DG863" s="27"/>
      <c r="DH863" s="27"/>
      <c r="DI863" s="27"/>
      <c r="DJ863" s="27"/>
      <c r="DK863" s="27"/>
      <c r="DL863" s="27"/>
      <c r="DM863" s="27"/>
      <c r="DN863" s="27"/>
      <c r="DO863" s="27"/>
      <c r="DP863" s="27"/>
      <c r="DQ863" s="27"/>
      <c r="DR863" s="27"/>
      <c r="DS863" s="27"/>
      <c r="DT863" s="27"/>
    </row>
    <row r="864" spans="7:124" x14ac:dyDescent="0.2">
      <c r="G864" s="27"/>
      <c r="H864" s="27"/>
      <c r="I864" s="27"/>
      <c r="J864" s="27"/>
      <c r="K864" s="27"/>
      <c r="L864" s="27"/>
      <c r="M864" s="27"/>
      <c r="N864" s="27"/>
      <c r="O864" s="27"/>
      <c r="P864" s="27"/>
      <c r="Q864" s="27"/>
      <c r="R864" s="27"/>
      <c r="S864" s="27"/>
      <c r="T864" s="27"/>
      <c r="U864" s="27"/>
      <c r="V864" s="27"/>
      <c r="W864" s="27"/>
      <c r="X864" s="27"/>
      <c r="Y864" s="27"/>
      <c r="Z864" s="27"/>
      <c r="AA864" s="27"/>
      <c r="AB864" s="27"/>
      <c r="AC864" s="27"/>
      <c r="AD864" s="27"/>
      <c r="AE864" s="27"/>
      <c r="AF864" s="27"/>
      <c r="AG864" s="27"/>
      <c r="AH864" s="27"/>
      <c r="AI864" s="27"/>
      <c r="AJ864" s="27"/>
      <c r="AK864" s="27"/>
      <c r="AL864" s="27"/>
      <c r="AM864" s="27"/>
      <c r="AN864" s="27"/>
      <c r="AO864" s="27"/>
      <c r="AP864" s="27"/>
      <c r="AQ864" s="27"/>
      <c r="AR864" s="27"/>
      <c r="AS864" s="27"/>
      <c r="AT864" s="27"/>
      <c r="AU864" s="27"/>
      <c r="AV864" s="27"/>
      <c r="AW864" s="27"/>
      <c r="AX864" s="27"/>
      <c r="AY864" s="27"/>
      <c r="AZ864" s="27"/>
      <c r="BA864" s="27"/>
      <c r="BB864" s="27"/>
      <c r="BC864" s="27"/>
      <c r="BD864" s="27"/>
      <c r="BE864" s="27"/>
      <c r="BF864" s="27"/>
      <c r="BG864" s="27"/>
      <c r="BH864" s="27"/>
      <c r="BI864" s="27"/>
      <c r="BJ864" s="27"/>
      <c r="BK864" s="27"/>
      <c r="BL864" s="27"/>
      <c r="BM864" s="27"/>
      <c r="BN864" s="27"/>
      <c r="BO864" s="27"/>
      <c r="BP864" s="27"/>
      <c r="BQ864" s="27"/>
      <c r="BR864" s="27"/>
      <c r="BS864" s="27"/>
      <c r="BT864" s="27"/>
      <c r="BU864" s="27"/>
      <c r="BV864" s="27"/>
      <c r="BW864" s="27"/>
      <c r="BX864" s="27"/>
      <c r="BY864" s="27"/>
      <c r="BZ864" s="27"/>
      <c r="CA864" s="27"/>
      <c r="CB864" s="27"/>
      <c r="CC864" s="27"/>
      <c r="CD864" s="27"/>
      <c r="CE864" s="27"/>
      <c r="CF864" s="27"/>
      <c r="CG864" s="27"/>
      <c r="CH864" s="27"/>
      <c r="CI864" s="27"/>
      <c r="CJ864" s="27"/>
      <c r="CK864" s="27"/>
      <c r="CL864" s="27"/>
      <c r="CM864" s="27"/>
      <c r="CN864" s="27"/>
      <c r="CO864" s="27"/>
      <c r="CP864" s="27"/>
      <c r="CQ864" s="27"/>
      <c r="CR864" s="27"/>
      <c r="CS864" s="27"/>
      <c r="CT864" s="27"/>
      <c r="CU864" s="27"/>
      <c r="CV864" s="27"/>
      <c r="CW864" s="27"/>
      <c r="CX864" s="27"/>
      <c r="CY864" s="27"/>
      <c r="CZ864" s="27"/>
      <c r="DA864" s="27"/>
      <c r="DB864" s="27"/>
      <c r="DC864" s="27"/>
      <c r="DD864" s="27"/>
      <c r="DE864" s="27"/>
      <c r="DF864" s="27"/>
      <c r="DG864" s="27"/>
      <c r="DH864" s="27"/>
      <c r="DI864" s="27"/>
      <c r="DJ864" s="27"/>
      <c r="DK864" s="27"/>
      <c r="DL864" s="27"/>
      <c r="DM864" s="27"/>
      <c r="DN864" s="27"/>
      <c r="DO864" s="27"/>
      <c r="DP864" s="27"/>
      <c r="DQ864" s="27"/>
      <c r="DR864" s="27"/>
      <c r="DS864" s="27"/>
      <c r="DT864" s="27"/>
    </row>
    <row r="865" spans="7:124" x14ac:dyDescent="0.2">
      <c r="G865" s="27"/>
      <c r="H865" s="27"/>
      <c r="I865" s="27"/>
      <c r="J865" s="27"/>
      <c r="K865" s="27"/>
      <c r="L865" s="27"/>
      <c r="M865" s="27"/>
      <c r="N865" s="27"/>
      <c r="O865" s="27"/>
      <c r="P865" s="27"/>
      <c r="Q865" s="27"/>
      <c r="R865" s="27"/>
      <c r="S865" s="27"/>
      <c r="T865" s="27"/>
      <c r="U865" s="27"/>
      <c r="V865" s="27"/>
      <c r="W865" s="27"/>
      <c r="X865" s="27"/>
      <c r="Y865" s="27"/>
      <c r="Z865" s="27"/>
      <c r="AA865" s="27"/>
      <c r="AB865" s="27"/>
      <c r="AC865" s="27"/>
      <c r="AD865" s="27"/>
      <c r="AE865" s="27"/>
      <c r="AF865" s="27"/>
      <c r="AG865" s="27"/>
      <c r="AH865" s="27"/>
      <c r="AI865" s="27"/>
      <c r="AJ865" s="27"/>
      <c r="AK865" s="27"/>
      <c r="AL865" s="27"/>
      <c r="AM865" s="27"/>
      <c r="AN865" s="27"/>
      <c r="AO865" s="27"/>
      <c r="AP865" s="27"/>
      <c r="AQ865" s="27"/>
      <c r="AR865" s="27"/>
      <c r="AS865" s="27"/>
      <c r="AT865" s="27"/>
      <c r="AU865" s="27"/>
      <c r="AV865" s="27"/>
      <c r="AW865" s="27"/>
      <c r="AX865" s="27"/>
      <c r="AY865" s="27"/>
      <c r="AZ865" s="27"/>
      <c r="BA865" s="27"/>
      <c r="BB865" s="27"/>
      <c r="BC865" s="27"/>
      <c r="BD865" s="27"/>
      <c r="BE865" s="27"/>
      <c r="BF865" s="27"/>
      <c r="BG865" s="27"/>
      <c r="BH865" s="27"/>
      <c r="BI865" s="27"/>
      <c r="BJ865" s="27"/>
      <c r="BK865" s="27"/>
      <c r="BL865" s="27"/>
      <c r="BM865" s="27"/>
      <c r="BN865" s="27"/>
      <c r="BO865" s="27"/>
      <c r="BP865" s="27"/>
      <c r="BQ865" s="27"/>
      <c r="BR865" s="27"/>
      <c r="BS865" s="27"/>
      <c r="BT865" s="27"/>
      <c r="BU865" s="27"/>
      <c r="BV865" s="27"/>
      <c r="BW865" s="27"/>
      <c r="BX865" s="27"/>
      <c r="BY865" s="27"/>
      <c r="BZ865" s="27"/>
      <c r="CA865" s="27"/>
      <c r="CB865" s="27"/>
      <c r="CC865" s="27"/>
      <c r="CD865" s="27"/>
      <c r="CE865" s="27"/>
      <c r="CF865" s="27"/>
      <c r="CG865" s="27"/>
      <c r="CH865" s="27"/>
      <c r="CI865" s="27"/>
      <c r="CJ865" s="27"/>
      <c r="CK865" s="27"/>
      <c r="CL865" s="27"/>
      <c r="CM865" s="27"/>
      <c r="CN865" s="27"/>
      <c r="CO865" s="27"/>
      <c r="CP865" s="27"/>
      <c r="CQ865" s="27"/>
      <c r="CR865" s="27"/>
      <c r="CS865" s="27"/>
      <c r="CT865" s="27"/>
      <c r="CU865" s="27"/>
      <c r="CV865" s="27"/>
      <c r="CW865" s="27"/>
      <c r="CX865" s="27"/>
      <c r="CY865" s="27"/>
      <c r="CZ865" s="27"/>
      <c r="DA865" s="27"/>
      <c r="DB865" s="27"/>
      <c r="DC865" s="27"/>
      <c r="DD865" s="27"/>
      <c r="DE865" s="27"/>
      <c r="DF865" s="27"/>
      <c r="DG865" s="27"/>
      <c r="DH865" s="27"/>
      <c r="DI865" s="27"/>
      <c r="DJ865" s="27"/>
      <c r="DK865" s="27"/>
      <c r="DL865" s="27"/>
      <c r="DM865" s="27"/>
      <c r="DN865" s="27"/>
      <c r="DO865" s="27"/>
      <c r="DP865" s="27"/>
      <c r="DQ865" s="27"/>
      <c r="DR865" s="27"/>
      <c r="DS865" s="27"/>
      <c r="DT865" s="27"/>
    </row>
    <row r="866" spans="7:124" x14ac:dyDescent="0.2">
      <c r="G866" s="27"/>
      <c r="H866" s="27"/>
      <c r="I866" s="27"/>
      <c r="J866" s="27"/>
      <c r="K866" s="27"/>
      <c r="L866" s="27"/>
      <c r="M866" s="27"/>
      <c r="N866" s="27"/>
      <c r="O866" s="27"/>
      <c r="P866" s="27"/>
      <c r="Q866" s="27"/>
      <c r="R866" s="27"/>
      <c r="S866" s="27"/>
      <c r="T866" s="27"/>
      <c r="U866" s="27"/>
      <c r="V866" s="27"/>
      <c r="W866" s="27"/>
      <c r="X866" s="27"/>
      <c r="Y866" s="27"/>
      <c r="Z866" s="27"/>
      <c r="AA866" s="27"/>
      <c r="AB866" s="27"/>
      <c r="AC866" s="27"/>
      <c r="AD866" s="27"/>
      <c r="AE866" s="27"/>
      <c r="AF866" s="27"/>
      <c r="AG866" s="27"/>
      <c r="AH866" s="27"/>
      <c r="AI866" s="27"/>
      <c r="AJ866" s="27"/>
      <c r="AK866" s="27"/>
      <c r="AL866" s="27"/>
      <c r="AM866" s="27"/>
      <c r="AN866" s="27"/>
      <c r="AO866" s="27"/>
      <c r="AP866" s="27"/>
      <c r="AQ866" s="27"/>
      <c r="AR866" s="27"/>
      <c r="AS866" s="27"/>
      <c r="AT866" s="27"/>
      <c r="AU866" s="27"/>
      <c r="AV866" s="27"/>
      <c r="AW866" s="27"/>
      <c r="AX866" s="27"/>
      <c r="AY866" s="27"/>
      <c r="AZ866" s="27"/>
      <c r="BA866" s="27"/>
      <c r="BB866" s="27"/>
      <c r="BC866" s="27"/>
      <c r="BD866" s="27"/>
      <c r="BE866" s="27"/>
      <c r="BF866" s="27"/>
      <c r="BG866" s="27"/>
      <c r="BH866" s="27"/>
      <c r="BI866" s="27"/>
      <c r="BJ866" s="27"/>
      <c r="BK866" s="27"/>
      <c r="BL866" s="27"/>
      <c r="BM866" s="27"/>
      <c r="BN866" s="27"/>
      <c r="BO866" s="27"/>
      <c r="BP866" s="27"/>
      <c r="BQ866" s="27"/>
      <c r="BR866" s="27"/>
      <c r="BS866" s="27"/>
      <c r="BT866" s="27"/>
      <c r="BU866" s="27"/>
      <c r="BV866" s="27"/>
      <c r="BW866" s="27"/>
      <c r="BX866" s="27"/>
      <c r="BY866" s="27"/>
      <c r="BZ866" s="27"/>
      <c r="CA866" s="27"/>
      <c r="CB866" s="27"/>
      <c r="CC866" s="27"/>
      <c r="CD866" s="27"/>
      <c r="CE866" s="27"/>
      <c r="CF866" s="27"/>
      <c r="CG866" s="27"/>
      <c r="CH866" s="27"/>
      <c r="CI866" s="27"/>
      <c r="CJ866" s="27"/>
      <c r="CK866" s="27"/>
      <c r="CL866" s="27"/>
      <c r="CM866" s="27"/>
      <c r="CN866" s="27"/>
      <c r="CO866" s="27"/>
      <c r="CP866" s="27"/>
      <c r="CQ866" s="27"/>
      <c r="CR866" s="27"/>
      <c r="CS866" s="27"/>
      <c r="CT866" s="27"/>
      <c r="CU866" s="27"/>
      <c r="CV866" s="27"/>
      <c r="CW866" s="27"/>
      <c r="CX866" s="27"/>
      <c r="CY866" s="27"/>
      <c r="CZ866" s="27"/>
      <c r="DA866" s="27"/>
      <c r="DB866" s="27"/>
      <c r="DC866" s="27"/>
      <c r="DD866" s="27"/>
      <c r="DE866" s="27"/>
      <c r="DF866" s="27"/>
      <c r="DG866" s="27"/>
      <c r="DH866" s="27"/>
      <c r="DI866" s="27"/>
      <c r="DJ866" s="27"/>
      <c r="DK866" s="27"/>
      <c r="DL866" s="27"/>
      <c r="DM866" s="27"/>
      <c r="DN866" s="27"/>
      <c r="DO866" s="27"/>
      <c r="DP866" s="27"/>
      <c r="DQ866" s="27"/>
      <c r="DR866" s="27"/>
      <c r="DS866" s="27"/>
      <c r="DT866" s="27"/>
    </row>
    <row r="867" spans="7:124" x14ac:dyDescent="0.2">
      <c r="G867" s="27"/>
      <c r="H867" s="27" t="str">
        <f>BB769</f>
        <v>ד"ר</v>
      </c>
      <c r="I867" s="27"/>
      <c r="J867" s="27"/>
      <c r="K867" s="27"/>
      <c r="L867" s="27"/>
      <c r="M867" s="27"/>
      <c r="N867" s="27"/>
      <c r="O867" s="27"/>
      <c r="P867" s="27"/>
      <c r="Q867" s="27"/>
      <c r="R867" s="27"/>
      <c r="S867" s="27"/>
      <c r="T867" s="27"/>
      <c r="U867" s="27"/>
      <c r="V867" s="27"/>
      <c r="W867" s="27"/>
      <c r="X867" s="27"/>
      <c r="Y867" s="27"/>
      <c r="Z867" s="27"/>
      <c r="AA867" s="27"/>
      <c r="AB867" s="27"/>
      <c r="AC867" s="27"/>
      <c r="AD867" s="27"/>
      <c r="AE867" s="27"/>
      <c r="AF867" s="27"/>
      <c r="AG867" s="27"/>
      <c r="AH867" s="27"/>
      <c r="AI867" s="27"/>
      <c r="AJ867" s="27"/>
      <c r="AK867" s="27"/>
      <c r="AL867" s="27"/>
      <c r="AM867" s="27"/>
      <c r="AN867" s="27"/>
      <c r="AO867" s="27"/>
      <c r="AP867" s="27"/>
      <c r="AQ867" s="27"/>
      <c r="AR867" s="27"/>
      <c r="AS867" s="27"/>
      <c r="AT867" s="27"/>
      <c r="AU867" s="27"/>
      <c r="AV867" s="27"/>
      <c r="AW867" s="27"/>
      <c r="AX867" s="27"/>
      <c r="AY867" s="27"/>
      <c r="AZ867" s="27"/>
      <c r="BA867" s="27"/>
      <c r="BB867" s="27"/>
      <c r="BC867" s="27"/>
      <c r="BD867" s="27"/>
      <c r="BE867" s="27"/>
      <c r="BF867" s="27"/>
      <c r="BG867" s="27"/>
      <c r="BH867" s="27"/>
      <c r="BI867" s="27"/>
      <c r="BJ867" s="27"/>
      <c r="BK867" s="27"/>
      <c r="BL867" s="27"/>
      <c r="BM867" s="27"/>
      <c r="BN867" s="27"/>
      <c r="BO867" s="27"/>
      <c r="BP867" s="27"/>
      <c r="BQ867" s="27"/>
      <c r="BR867" s="27"/>
      <c r="BS867" s="27"/>
      <c r="BT867" s="27"/>
      <c r="BU867" s="27"/>
      <c r="BV867" s="27"/>
      <c r="BW867" s="27"/>
      <c r="BX867" s="27"/>
      <c r="BY867" s="27"/>
      <c r="BZ867" s="27"/>
      <c r="CA867" s="27"/>
      <c r="CB867" s="27"/>
      <c r="CC867" s="27"/>
      <c r="CD867" s="27"/>
      <c r="CE867" s="27"/>
      <c r="CF867" s="27"/>
      <c r="CG867" s="27"/>
      <c r="CH867" s="27"/>
      <c r="CI867" s="27"/>
      <c r="CJ867" s="27"/>
      <c r="CK867" s="27"/>
      <c r="CL867" s="27"/>
      <c r="CM867" s="27"/>
      <c r="CN867" s="27"/>
      <c r="CO867" s="27"/>
      <c r="CP867" s="27"/>
      <c r="CQ867" s="27"/>
      <c r="CR867" s="27"/>
      <c r="CS867" s="27"/>
      <c r="CT867" s="27"/>
      <c r="CU867" s="27"/>
      <c r="CV867" s="27"/>
      <c r="CW867" s="27"/>
      <c r="CX867" s="27"/>
      <c r="CY867" s="27"/>
      <c r="CZ867" s="27"/>
      <c r="DA867" s="27"/>
      <c r="DB867" s="27"/>
      <c r="DC867" s="27"/>
      <c r="DD867" s="27"/>
      <c r="DE867" s="27"/>
      <c r="DF867" s="27"/>
      <c r="DG867" s="27"/>
      <c r="DH867" s="27"/>
      <c r="DI867" s="27"/>
      <c r="DJ867" s="27"/>
      <c r="DK867" s="27"/>
      <c r="DL867" s="27"/>
      <c r="DM867" s="27"/>
      <c r="DN867" s="27"/>
      <c r="DO867" s="27"/>
      <c r="DP867" s="27"/>
      <c r="DQ867" s="27"/>
      <c r="DR867" s="27"/>
      <c r="DS867" s="27"/>
      <c r="DT867" s="27"/>
    </row>
    <row r="868" spans="7:124" x14ac:dyDescent="0.2">
      <c r="G868" s="27"/>
      <c r="H868" s="27" t="s">
        <v>496</v>
      </c>
      <c r="I868" s="27"/>
      <c r="J868" s="27"/>
      <c r="K868" s="27"/>
      <c r="L868" s="27"/>
      <c r="M868" s="27"/>
      <c r="N868" s="27"/>
      <c r="O868" s="27"/>
      <c r="P868" s="27"/>
      <c r="Q868" s="27"/>
      <c r="R868" s="27"/>
      <c r="S868" s="27"/>
      <c r="T868" s="27"/>
      <c r="U868" s="27"/>
      <c r="V868" s="27"/>
      <c r="W868" s="27"/>
      <c r="X868" s="27"/>
      <c r="Y868" s="27"/>
      <c r="Z868" s="27"/>
      <c r="AA868" s="27"/>
      <c r="AB868" s="27"/>
      <c r="AC868" s="27"/>
      <c r="AD868" s="27"/>
      <c r="AE868" s="27"/>
      <c r="AF868" s="27"/>
      <c r="AG868" s="27"/>
      <c r="AH868" s="27"/>
      <c r="AI868" s="27"/>
      <c r="AJ868" s="27"/>
      <c r="AK868" s="27"/>
      <c r="AL868" s="27"/>
      <c r="AM868" s="27"/>
      <c r="AN868" s="27"/>
      <c r="AO868" s="27"/>
      <c r="AP868" s="27"/>
      <c r="AQ868" s="27"/>
      <c r="AR868" s="27"/>
      <c r="AS868" s="27"/>
      <c r="AT868" s="27"/>
      <c r="AU868" s="27"/>
      <c r="AV868" s="27"/>
      <c r="AW868" s="27"/>
      <c r="AX868" s="27"/>
      <c r="AY868" s="27"/>
      <c r="AZ868" s="27"/>
      <c r="BA868" s="27"/>
      <c r="BB868" s="27"/>
      <c r="BC868" s="27"/>
      <c r="BD868" s="27"/>
      <c r="BE868" s="27"/>
      <c r="BF868" s="27"/>
      <c r="BG868" s="27"/>
      <c r="BH868" s="27"/>
      <c r="BI868" s="27"/>
      <c r="BJ868" s="27"/>
      <c r="BK868" s="27"/>
      <c r="BL868" s="27"/>
      <c r="BM868" s="27"/>
      <c r="BN868" s="27"/>
      <c r="BO868" s="27"/>
      <c r="BP868" s="27"/>
      <c r="BQ868" s="27"/>
      <c r="BR868" s="27"/>
      <c r="BS868" s="27"/>
      <c r="BT868" s="27"/>
      <c r="BU868" s="27"/>
      <c r="BV868" s="27"/>
      <c r="BW868" s="27"/>
      <c r="BX868" s="27"/>
      <c r="BY868" s="27"/>
      <c r="BZ868" s="27"/>
      <c r="CA868" s="27"/>
      <c r="CB868" s="27"/>
      <c r="CC868" s="27"/>
      <c r="CD868" s="27"/>
      <c r="CE868" s="27"/>
      <c r="CF868" s="27"/>
      <c r="CG868" s="27"/>
      <c r="CH868" s="27"/>
      <c r="CI868" s="27"/>
      <c r="CJ868" s="27"/>
      <c r="CK868" s="27"/>
      <c r="CL868" s="27"/>
      <c r="CM868" s="27"/>
      <c r="CN868" s="27"/>
      <c r="CO868" s="27"/>
      <c r="CP868" s="27"/>
      <c r="CQ868" s="27"/>
      <c r="CR868" s="27"/>
      <c r="CS868" s="27"/>
      <c r="CT868" s="27"/>
      <c r="CU868" s="27"/>
      <c r="CV868" s="27"/>
      <c r="CW868" s="27"/>
      <c r="CX868" s="27"/>
      <c r="CY868" s="27"/>
      <c r="CZ868" s="27"/>
      <c r="DA868" s="27"/>
      <c r="DB868" s="27"/>
      <c r="DC868" s="27"/>
      <c r="DD868" s="27"/>
      <c r="DE868" s="27"/>
      <c r="DF868" s="27"/>
      <c r="DG868" s="27"/>
      <c r="DH868" s="27"/>
      <c r="DI868" s="27"/>
      <c r="DJ868" s="27"/>
      <c r="DK868" s="27"/>
      <c r="DL868" s="27"/>
      <c r="DM868" s="27"/>
      <c r="DN868" s="27"/>
      <c r="DO868" s="27"/>
      <c r="DP868" s="27"/>
      <c r="DQ868" s="27"/>
      <c r="DR868" s="27"/>
      <c r="DS868" s="27"/>
      <c r="DT868" s="27"/>
    </row>
    <row r="869" spans="7:124" x14ac:dyDescent="0.2">
      <c r="G869" s="27"/>
      <c r="H869" s="27" t="s">
        <v>59</v>
      </c>
      <c r="I869" s="27"/>
      <c r="J869" s="27"/>
      <c r="K869" s="27" t="s">
        <v>59</v>
      </c>
      <c r="L869" s="27"/>
      <c r="M869" s="27"/>
      <c r="N869" s="27"/>
      <c r="O869" s="27"/>
      <c r="P869" s="27"/>
      <c r="Q869" s="27"/>
      <c r="R869" s="27"/>
      <c r="S869" s="27"/>
      <c r="T869" s="27"/>
      <c r="U869" s="27"/>
      <c r="V869" s="27"/>
      <c r="W869" s="27"/>
      <c r="X869" s="27"/>
      <c r="Y869" s="27"/>
      <c r="Z869" s="27"/>
      <c r="AA869" s="27"/>
      <c r="AB869" s="27"/>
      <c r="AC869" s="27"/>
      <c r="AD869" s="27"/>
      <c r="AE869" s="27"/>
      <c r="AF869" s="27"/>
      <c r="AG869" s="27"/>
      <c r="AH869" s="27"/>
      <c r="AI869" s="27"/>
      <c r="AJ869" s="27"/>
      <c r="AK869" s="27"/>
      <c r="AL869" s="27"/>
      <c r="AM869" s="27"/>
      <c r="AN869" s="27"/>
      <c r="AO869" s="27"/>
      <c r="AP869" s="27"/>
      <c r="AQ869" s="27"/>
      <c r="AR869" s="27"/>
      <c r="AS869" s="27"/>
      <c r="AT869" s="27"/>
      <c r="AU869" s="27"/>
      <c r="AV869" s="27"/>
      <c r="AW869" s="27"/>
      <c r="AX869" s="27"/>
      <c r="AY869" s="27"/>
      <c r="AZ869" s="27"/>
      <c r="BA869" s="27"/>
      <c r="BB869" s="27"/>
      <c r="BC869" s="27"/>
      <c r="BD869" s="27"/>
      <c r="BE869" s="27"/>
      <c r="BF869" s="27"/>
      <c r="BG869" s="27"/>
      <c r="BH869" s="27"/>
      <c r="BI869" s="27"/>
      <c r="BJ869" s="27"/>
      <c r="BK869" s="27"/>
      <c r="BL869" s="27"/>
      <c r="BM869" s="27"/>
      <c r="BN869" s="27"/>
      <c r="BO869" s="27"/>
      <c r="BP869" s="27"/>
      <c r="BQ869" s="27"/>
      <c r="BR869" s="27"/>
      <c r="BS869" s="27"/>
      <c r="BT869" s="27"/>
      <c r="BU869" s="27"/>
      <c r="BV869" s="27"/>
      <c r="BW869" s="27"/>
      <c r="BX869" s="27"/>
      <c r="BY869" s="27"/>
      <c r="BZ869" s="27"/>
      <c r="CA869" s="27"/>
      <c r="CB869" s="27"/>
      <c r="CC869" s="27"/>
      <c r="CD869" s="27"/>
      <c r="CE869" s="27"/>
      <c r="CF869" s="27"/>
      <c r="CG869" s="27"/>
      <c r="CH869" s="27"/>
      <c r="CI869" s="27"/>
      <c r="CJ869" s="27"/>
      <c r="CK869" s="27"/>
      <c r="CL869" s="27"/>
      <c r="CM869" s="27"/>
      <c r="CN869" s="27"/>
      <c r="CO869" s="27"/>
      <c r="CP869" s="27"/>
      <c r="CQ869" s="27"/>
      <c r="CR869" s="27"/>
      <c r="CS869" s="27"/>
      <c r="CT869" s="27"/>
      <c r="CU869" s="27"/>
      <c r="CV869" s="27"/>
      <c r="CW869" s="27"/>
      <c r="CX869" s="27"/>
      <c r="CY869" s="27"/>
      <c r="CZ869" s="27"/>
      <c r="DA869" s="27"/>
      <c r="DB869" s="27"/>
      <c r="DC869" s="27"/>
      <c r="DD869" s="27"/>
      <c r="DE869" s="27"/>
      <c r="DF869" s="27"/>
      <c r="DG869" s="27"/>
      <c r="DH869" s="27"/>
      <c r="DI869" s="27"/>
      <c r="DJ869" s="27"/>
      <c r="DK869" s="27"/>
      <c r="DL869" s="27"/>
      <c r="DM869" s="27"/>
      <c r="DN869" s="27"/>
      <c r="DO869" s="27"/>
      <c r="DP869" s="27"/>
      <c r="DQ869" s="27"/>
      <c r="DR869" s="27"/>
      <c r="DS869" s="27"/>
      <c r="DT869" s="27"/>
    </row>
    <row r="870" spans="7:124" x14ac:dyDescent="0.2">
      <c r="G870" s="27"/>
      <c r="H870" s="27" t="s">
        <v>59</v>
      </c>
      <c r="I870" s="27"/>
      <c r="J870" s="27"/>
      <c r="K870" s="27"/>
      <c r="L870" s="27"/>
      <c r="M870" s="27"/>
      <c r="N870" s="27"/>
      <c r="O870" s="27"/>
      <c r="P870" s="27"/>
      <c r="Q870" s="27"/>
      <c r="R870" s="27"/>
      <c r="S870" s="27"/>
      <c r="T870" s="27"/>
      <c r="U870" s="27"/>
      <c r="V870" s="27"/>
      <c r="W870" s="27"/>
      <c r="X870" s="27"/>
      <c r="Y870" s="27"/>
      <c r="Z870" s="27"/>
      <c r="AA870" s="27"/>
      <c r="AB870" s="27"/>
      <c r="AC870" s="27"/>
      <c r="AD870" s="27"/>
      <c r="AE870" s="27"/>
      <c r="AF870" s="27"/>
      <c r="AG870" s="27"/>
      <c r="AH870" s="27"/>
      <c r="AI870" s="27"/>
      <c r="AJ870" s="27"/>
      <c r="AK870" s="27"/>
      <c r="AL870" s="27"/>
      <c r="AM870" s="27"/>
      <c r="AN870" s="27"/>
      <c r="AO870" s="27"/>
      <c r="AP870" s="27"/>
      <c r="AQ870" s="27"/>
      <c r="AR870" s="27"/>
      <c r="AS870" s="27"/>
      <c r="AT870" s="27"/>
      <c r="AU870" s="27"/>
      <c r="AV870" s="27"/>
      <c r="AW870" s="27"/>
      <c r="AX870" s="27"/>
      <c r="AY870" s="27"/>
      <c r="AZ870" s="27"/>
      <c r="BA870" s="27"/>
      <c r="BB870" s="27"/>
      <c r="BC870" s="27"/>
      <c r="BD870" s="27"/>
      <c r="BE870" s="27"/>
      <c r="BF870" s="27"/>
      <c r="BG870" s="27"/>
      <c r="BH870" s="27"/>
      <c r="BI870" s="27"/>
      <c r="BJ870" s="27"/>
      <c r="BK870" s="27"/>
      <c r="BL870" s="27"/>
      <c r="BM870" s="27"/>
      <c r="BN870" s="27"/>
      <c r="BO870" s="27"/>
      <c r="BP870" s="27"/>
      <c r="BQ870" s="27"/>
      <c r="BR870" s="27"/>
      <c r="BS870" s="27"/>
      <c r="BT870" s="27"/>
      <c r="BU870" s="27"/>
      <c r="BV870" s="27"/>
      <c r="BW870" s="27"/>
      <c r="BX870" s="27"/>
      <c r="BY870" s="27"/>
      <c r="BZ870" s="27"/>
      <c r="CA870" s="27"/>
      <c r="CB870" s="27"/>
      <c r="CC870" s="27"/>
      <c r="CD870" s="27"/>
      <c r="CE870" s="27"/>
      <c r="CF870" s="27"/>
      <c r="CG870" s="27"/>
      <c r="CH870" s="27"/>
      <c r="CI870" s="27"/>
      <c r="CJ870" s="27"/>
      <c r="CK870" s="27"/>
      <c r="CL870" s="27"/>
      <c r="CM870" s="27"/>
      <c r="CN870" s="27"/>
      <c r="CO870" s="27"/>
      <c r="CP870" s="27"/>
      <c r="CQ870" s="27"/>
      <c r="CR870" s="27"/>
      <c r="CS870" s="27"/>
      <c r="CT870" s="27"/>
      <c r="CU870" s="27"/>
      <c r="CV870" s="27"/>
      <c r="CW870" s="27"/>
      <c r="CX870" s="27"/>
      <c r="CY870" s="27"/>
      <c r="CZ870" s="27"/>
      <c r="DA870" s="27"/>
      <c r="DB870" s="27"/>
      <c r="DC870" s="27"/>
      <c r="DD870" s="27"/>
      <c r="DE870" s="27"/>
      <c r="DF870" s="27"/>
      <c r="DG870" s="27"/>
      <c r="DH870" s="27"/>
      <c r="DI870" s="27"/>
      <c r="DJ870" s="27"/>
      <c r="DK870" s="27"/>
      <c r="DL870" s="27"/>
      <c r="DM870" s="27"/>
      <c r="DN870" s="27"/>
      <c r="DO870" s="27"/>
      <c r="DP870" s="27"/>
      <c r="DQ870" s="27"/>
      <c r="DR870" s="27"/>
      <c r="DS870" s="27"/>
      <c r="DT870" s="27"/>
    </row>
    <row r="871" spans="7:124" x14ac:dyDescent="0.2">
      <c r="G871" s="27"/>
      <c r="H871" s="27" t="s">
        <v>59</v>
      </c>
      <c r="I871" s="27"/>
      <c r="J871" s="27"/>
      <c r="K871" s="27"/>
      <c r="L871" s="27"/>
      <c r="M871" s="27"/>
      <c r="N871" s="27"/>
      <c r="O871" s="27"/>
      <c r="P871" s="27"/>
      <c r="Q871" s="27"/>
      <c r="R871" s="27"/>
      <c r="S871" s="27"/>
      <c r="T871" s="27"/>
      <c r="U871" s="27"/>
      <c r="V871" s="27"/>
      <c r="W871" s="27"/>
      <c r="X871" s="27"/>
      <c r="Y871" s="27"/>
      <c r="Z871" s="27"/>
      <c r="AA871" s="27"/>
      <c r="AB871" s="27"/>
      <c r="AC871" s="27"/>
      <c r="AD871" s="27"/>
      <c r="AE871" s="27"/>
      <c r="AF871" s="27"/>
      <c r="AG871" s="27"/>
      <c r="AH871" s="27"/>
      <c r="AI871" s="27"/>
      <c r="AJ871" s="27"/>
      <c r="AK871" s="27"/>
      <c r="AL871" s="27"/>
      <c r="AM871" s="27"/>
      <c r="AN871" s="27"/>
      <c r="AO871" s="27"/>
      <c r="AP871" s="27"/>
      <c r="AQ871" s="27"/>
      <c r="AR871" s="27"/>
      <c r="AS871" s="27"/>
      <c r="AT871" s="27"/>
      <c r="AU871" s="27"/>
      <c r="AV871" s="27"/>
      <c r="AW871" s="27"/>
      <c r="AX871" s="27"/>
      <c r="AY871" s="27"/>
      <c r="AZ871" s="27"/>
      <c r="BA871" s="27"/>
      <c r="BB871" s="27"/>
      <c r="BC871" s="27"/>
      <c r="BD871" s="27"/>
      <c r="BE871" s="27"/>
      <c r="BF871" s="27"/>
      <c r="BG871" s="27"/>
      <c r="BH871" s="27"/>
      <c r="BI871" s="27"/>
      <c r="BJ871" s="27"/>
      <c r="BK871" s="27"/>
      <c r="BL871" s="27"/>
      <c r="BM871" s="27"/>
      <c r="BN871" s="27"/>
      <c r="BO871" s="27"/>
      <c r="BP871" s="27"/>
      <c r="BQ871" s="27"/>
      <c r="BR871" s="27"/>
      <c r="BS871" s="27"/>
      <c r="BT871" s="27"/>
      <c r="BU871" s="27"/>
      <c r="BV871" s="27"/>
      <c r="BW871" s="27"/>
      <c r="BX871" s="27"/>
      <c r="BY871" s="27"/>
      <c r="BZ871" s="27"/>
      <c r="CA871" s="27"/>
      <c r="CB871" s="27"/>
      <c r="CC871" s="27"/>
      <c r="CD871" s="27"/>
      <c r="CE871" s="27"/>
      <c r="CF871" s="27"/>
      <c r="CG871" s="27"/>
      <c r="CH871" s="27"/>
      <c r="CI871" s="27"/>
      <c r="CJ871" s="27"/>
      <c r="CK871" s="27"/>
      <c r="CL871" s="27"/>
      <c r="CM871" s="27"/>
      <c r="CN871" s="27"/>
      <c r="CO871" s="27"/>
      <c r="CP871" s="27"/>
      <c r="CQ871" s="27"/>
      <c r="CR871" s="27"/>
      <c r="CS871" s="27"/>
      <c r="CT871" s="27"/>
      <c r="CU871" s="27"/>
      <c r="CV871" s="27"/>
      <c r="CW871" s="27"/>
      <c r="CX871" s="27"/>
      <c r="CY871" s="27"/>
      <c r="CZ871" s="27"/>
      <c r="DA871" s="27"/>
      <c r="DB871" s="27"/>
      <c r="DC871" s="27"/>
      <c r="DD871" s="27"/>
      <c r="DE871" s="27"/>
      <c r="DF871" s="27"/>
      <c r="DG871" s="27"/>
      <c r="DH871" s="27"/>
      <c r="DI871" s="27"/>
      <c r="DJ871" s="27"/>
      <c r="DK871" s="27"/>
      <c r="DL871" s="27"/>
      <c r="DM871" s="27"/>
      <c r="DN871" s="27"/>
      <c r="DO871" s="27"/>
      <c r="DP871" s="27"/>
      <c r="DQ871" s="27"/>
      <c r="DR871" s="27"/>
      <c r="DS871" s="27"/>
      <c r="DT871" s="27"/>
    </row>
    <row r="872" spans="7:124" x14ac:dyDescent="0.2">
      <c r="G872" s="27"/>
      <c r="H872" s="27" t="s">
        <v>59</v>
      </c>
      <c r="I872" s="27"/>
      <c r="J872" s="27"/>
      <c r="K872" s="27"/>
      <c r="L872" s="27"/>
      <c r="M872" s="27"/>
      <c r="N872" s="27"/>
      <c r="O872" s="27"/>
      <c r="P872" s="27"/>
      <c r="Q872" s="27"/>
      <c r="R872" s="27"/>
      <c r="S872" s="27"/>
      <c r="T872" s="27"/>
      <c r="U872" s="27"/>
      <c r="V872" s="27"/>
      <c r="W872" s="27"/>
      <c r="X872" s="27"/>
      <c r="Y872" s="27"/>
      <c r="Z872" s="27"/>
      <c r="AA872" s="27"/>
      <c r="AB872" s="27"/>
      <c r="AC872" s="27"/>
      <c r="AD872" s="27"/>
      <c r="AE872" s="27"/>
      <c r="AF872" s="27"/>
      <c r="AG872" s="27"/>
      <c r="AH872" s="27"/>
      <c r="AI872" s="27"/>
      <c r="AJ872" s="27"/>
      <c r="AK872" s="27"/>
      <c r="AL872" s="27"/>
      <c r="AM872" s="27"/>
      <c r="AN872" s="27"/>
      <c r="AO872" s="27"/>
      <c r="AP872" s="27"/>
      <c r="AQ872" s="27"/>
      <c r="AR872" s="27"/>
      <c r="AS872" s="27"/>
      <c r="AT872" s="27"/>
      <c r="AU872" s="27"/>
      <c r="AV872" s="27"/>
      <c r="AW872" s="27"/>
      <c r="AX872" s="27"/>
      <c r="AY872" s="27"/>
      <c r="AZ872" s="27"/>
      <c r="BA872" s="27"/>
      <c r="BB872" s="27"/>
      <c r="BC872" s="27"/>
      <c r="BD872" s="27"/>
      <c r="BE872" s="27"/>
      <c r="BF872" s="27"/>
      <c r="BG872" s="27"/>
      <c r="BH872" s="27"/>
      <c r="BI872" s="27"/>
      <c r="BJ872" s="27"/>
      <c r="BK872" s="27"/>
      <c r="BL872" s="27"/>
      <c r="BM872" s="27"/>
      <c r="BN872" s="27"/>
      <c r="BO872" s="27"/>
      <c r="BP872" s="27"/>
      <c r="BQ872" s="27"/>
      <c r="BR872" s="27"/>
      <c r="BS872" s="27"/>
      <c r="BT872" s="27"/>
      <c r="BU872" s="27"/>
      <c r="BV872" s="27"/>
      <c r="BW872" s="27"/>
      <c r="BX872" s="27"/>
      <c r="BY872" s="27"/>
      <c r="BZ872" s="27"/>
      <c r="CA872" s="27"/>
      <c r="CB872" s="27"/>
      <c r="CC872" s="27"/>
      <c r="CD872" s="27"/>
      <c r="CE872" s="27"/>
      <c r="CF872" s="27"/>
      <c r="CG872" s="27"/>
      <c r="CH872" s="27"/>
      <c r="CI872" s="27"/>
      <c r="CJ872" s="27"/>
      <c r="CK872" s="27"/>
      <c r="CL872" s="27"/>
      <c r="CM872" s="27"/>
      <c r="CN872" s="27"/>
      <c r="CO872" s="27"/>
      <c r="CP872" s="27"/>
      <c r="CQ872" s="27"/>
      <c r="CR872" s="27"/>
      <c r="CS872" s="27"/>
      <c r="CT872" s="27"/>
      <c r="CU872" s="27"/>
      <c r="CV872" s="27"/>
      <c r="CW872" s="27"/>
      <c r="CX872" s="27"/>
      <c r="CY872" s="27"/>
      <c r="CZ872" s="27"/>
      <c r="DA872" s="27"/>
      <c r="DB872" s="27"/>
      <c r="DC872" s="27"/>
      <c r="DD872" s="27"/>
      <c r="DE872" s="27"/>
      <c r="DF872" s="27"/>
      <c r="DG872" s="27"/>
      <c r="DH872" s="27"/>
      <c r="DI872" s="27"/>
      <c r="DJ872" s="27"/>
      <c r="DK872" s="27"/>
      <c r="DL872" s="27"/>
      <c r="DM872" s="27"/>
      <c r="DN872" s="27"/>
      <c r="DO872" s="27"/>
      <c r="DP872" s="27"/>
      <c r="DQ872" s="27"/>
      <c r="DR872" s="27"/>
      <c r="DS872" s="27"/>
      <c r="DT872" s="27"/>
    </row>
    <row r="873" spans="7:124" x14ac:dyDescent="0.2">
      <c r="G873" s="27"/>
      <c r="H873" s="27" t="s">
        <v>499</v>
      </c>
      <c r="I873" s="27"/>
      <c r="J873" s="27"/>
      <c r="K873" s="27"/>
      <c r="L873" s="27"/>
      <c r="M873" s="27"/>
      <c r="N873" s="27"/>
      <c r="O873" s="27"/>
      <c r="P873" s="27"/>
      <c r="Q873" s="27"/>
      <c r="R873" s="27"/>
      <c r="S873" s="27"/>
      <c r="T873" s="27"/>
      <c r="U873" s="27"/>
      <c r="V873" s="27"/>
      <c r="W873" s="27"/>
      <c r="X873" s="27"/>
      <c r="Y873" s="27"/>
      <c r="Z873" s="27"/>
      <c r="AA873" s="27"/>
      <c r="AB873" s="27"/>
      <c r="AC873" s="27"/>
      <c r="AD873" s="27"/>
      <c r="AE873" s="27"/>
      <c r="AF873" s="27"/>
      <c r="AG873" s="27"/>
      <c r="AH873" s="27"/>
      <c r="AI873" s="27"/>
      <c r="AJ873" s="27"/>
      <c r="AK873" s="27"/>
      <c r="AL873" s="27"/>
      <c r="AM873" s="27"/>
      <c r="AN873" s="27"/>
      <c r="AO873" s="27"/>
      <c r="AP873" s="27"/>
      <c r="AQ873" s="27"/>
      <c r="AR873" s="27"/>
      <c r="AS873" s="27"/>
      <c r="AT873" s="27"/>
      <c r="AU873" s="27"/>
      <c r="AV873" s="27"/>
      <c r="AW873" s="27"/>
      <c r="AX873" s="27"/>
      <c r="AY873" s="27"/>
      <c r="AZ873" s="27"/>
      <c r="BA873" s="27"/>
      <c r="BB873" s="27"/>
      <c r="BC873" s="27"/>
      <c r="BD873" s="27"/>
      <c r="BE873" s="27"/>
      <c r="BF873" s="27"/>
      <c r="BG873" s="27"/>
      <c r="BH873" s="27"/>
      <c r="BI873" s="27"/>
      <c r="BJ873" s="27"/>
      <c r="BK873" s="27"/>
      <c r="BL873" s="27"/>
      <c r="BM873" s="27"/>
      <c r="BN873" s="27"/>
      <c r="BO873" s="27"/>
      <c r="BP873" s="27"/>
      <c r="BQ873" s="27"/>
      <c r="BR873" s="27"/>
      <c r="BS873" s="27"/>
      <c r="BT873" s="27"/>
      <c r="BU873" s="27"/>
      <c r="BV873" s="27"/>
      <c r="BW873" s="27"/>
      <c r="BX873" s="27"/>
      <c r="BY873" s="27"/>
      <c r="BZ873" s="27"/>
      <c r="CA873" s="27"/>
      <c r="CB873" s="27"/>
      <c r="CC873" s="27"/>
      <c r="CD873" s="27"/>
      <c r="CE873" s="27"/>
      <c r="CF873" s="27"/>
      <c r="CG873" s="27"/>
      <c r="CH873" s="27"/>
      <c r="CI873" s="27"/>
      <c r="CJ873" s="27"/>
      <c r="CK873" s="27"/>
      <c r="CL873" s="27"/>
      <c r="CM873" s="27"/>
      <c r="CN873" s="27"/>
      <c r="CO873" s="27"/>
      <c r="CP873" s="27"/>
      <c r="CQ873" s="27"/>
      <c r="CR873" s="27"/>
      <c r="CS873" s="27"/>
      <c r="CT873" s="27"/>
      <c r="CU873" s="27"/>
      <c r="CV873" s="27"/>
      <c r="CW873" s="27"/>
      <c r="CX873" s="27"/>
      <c r="CY873" s="27"/>
      <c r="CZ873" s="27"/>
      <c r="DA873" s="27"/>
      <c r="DB873" s="27"/>
      <c r="DC873" s="27"/>
      <c r="DD873" s="27"/>
      <c r="DE873" s="27"/>
      <c r="DF873" s="27"/>
      <c r="DG873" s="27"/>
      <c r="DH873" s="27"/>
      <c r="DI873" s="27"/>
      <c r="DJ873" s="27"/>
      <c r="DK873" s="27"/>
      <c r="DL873" s="27"/>
      <c r="DM873" s="27"/>
      <c r="DN873" s="27"/>
      <c r="DO873" s="27"/>
      <c r="DP873" s="27"/>
      <c r="DQ873" s="27"/>
      <c r="DR873" s="27"/>
      <c r="DS873" s="27"/>
      <c r="DT873" s="27"/>
    </row>
    <row r="874" spans="7:124" x14ac:dyDescent="0.2">
      <c r="G874" s="27"/>
      <c r="H874" s="27"/>
      <c r="I874" s="27"/>
      <c r="J874" s="27"/>
      <c r="K874" s="27"/>
      <c r="L874" s="27"/>
      <c r="M874" s="27"/>
      <c r="N874" s="27"/>
      <c r="O874" s="27"/>
      <c r="P874" s="27"/>
      <c r="Q874" s="27"/>
      <c r="R874" s="27"/>
      <c r="S874" s="27"/>
      <c r="T874" s="27"/>
      <c r="U874" s="27"/>
      <c r="V874" s="27"/>
      <c r="W874" s="27"/>
      <c r="X874" s="27"/>
      <c r="Y874" s="27"/>
      <c r="Z874" s="27"/>
      <c r="AA874" s="27"/>
      <c r="AB874" s="27"/>
      <c r="AC874" s="27"/>
      <c r="AD874" s="27"/>
      <c r="AE874" s="27"/>
      <c r="AF874" s="27"/>
      <c r="AG874" s="27"/>
      <c r="AH874" s="27"/>
      <c r="AI874" s="27"/>
      <c r="AJ874" s="27"/>
      <c r="AK874" s="27"/>
      <c r="AL874" s="27"/>
      <c r="AM874" s="27"/>
      <c r="AN874" s="27"/>
      <c r="AO874" s="27"/>
      <c r="AP874" s="27"/>
      <c r="AQ874" s="27"/>
      <c r="AR874" s="27"/>
      <c r="AS874" s="27"/>
      <c r="AT874" s="27"/>
      <c r="AU874" s="27"/>
      <c r="AV874" s="27"/>
      <c r="AW874" s="27"/>
      <c r="AX874" s="27"/>
      <c r="AY874" s="27"/>
      <c r="AZ874" s="27"/>
      <c r="BA874" s="27"/>
      <c r="BB874" s="27"/>
      <c r="BC874" s="27"/>
      <c r="BD874" s="27"/>
      <c r="BE874" s="27"/>
      <c r="BF874" s="27"/>
      <c r="BG874" s="27"/>
      <c r="BH874" s="27"/>
      <c r="BI874" s="27"/>
      <c r="BJ874" s="27"/>
      <c r="BK874" s="27"/>
      <c r="BL874" s="27"/>
      <c r="BM874" s="27"/>
      <c r="BN874" s="27"/>
      <c r="BO874" s="27"/>
      <c r="BP874" s="27"/>
      <c r="BQ874" s="27"/>
      <c r="BR874" s="27"/>
      <c r="BS874" s="27"/>
      <c r="BT874" s="27"/>
      <c r="BU874" s="27"/>
      <c r="BV874" s="27"/>
      <c r="BW874" s="27"/>
      <c r="BX874" s="27"/>
      <c r="BY874" s="27"/>
      <c r="BZ874" s="27"/>
      <c r="CA874" s="27"/>
      <c r="CB874" s="27"/>
      <c r="CC874" s="27"/>
      <c r="CD874" s="27"/>
      <c r="CE874" s="27"/>
      <c r="CF874" s="27"/>
      <c r="CG874" s="27"/>
      <c r="CH874" s="27"/>
      <c r="CI874" s="27"/>
      <c r="CJ874" s="27"/>
      <c r="CK874" s="27"/>
      <c r="CL874" s="27"/>
      <c r="CM874" s="27"/>
      <c r="CN874" s="27"/>
      <c r="CO874" s="27"/>
      <c r="CP874" s="27"/>
      <c r="CQ874" s="27"/>
      <c r="CR874" s="27"/>
      <c r="CS874" s="27"/>
      <c r="CT874" s="27"/>
      <c r="CU874" s="27"/>
      <c r="CV874" s="27"/>
      <c r="CW874" s="27"/>
      <c r="CX874" s="27"/>
      <c r="CY874" s="27"/>
      <c r="CZ874" s="27"/>
      <c r="DA874" s="27"/>
      <c r="DB874" s="27"/>
      <c r="DC874" s="27"/>
      <c r="DD874" s="27"/>
      <c r="DE874" s="27"/>
      <c r="DF874" s="27"/>
      <c r="DG874" s="27"/>
      <c r="DH874" s="27"/>
      <c r="DI874" s="27"/>
      <c r="DJ874" s="27"/>
      <c r="DK874" s="27"/>
      <c r="DL874" s="27"/>
      <c r="DM874" s="27"/>
      <c r="DN874" s="27"/>
      <c r="DO874" s="27"/>
      <c r="DP874" s="27"/>
      <c r="DQ874" s="27"/>
      <c r="DR874" s="27"/>
      <c r="DS874" s="27"/>
      <c r="DT874" s="27"/>
    </row>
    <row r="875" spans="7:124" x14ac:dyDescent="0.2">
      <c r="G875" s="27"/>
      <c r="H875" s="27"/>
      <c r="I875" s="27"/>
      <c r="J875" s="27"/>
      <c r="K875" s="27" t="s">
        <v>580</v>
      </c>
      <c r="L875" s="27"/>
      <c r="M875" s="27"/>
      <c r="N875" s="27"/>
      <c r="O875" s="27"/>
      <c r="P875" s="27"/>
      <c r="Q875" s="27"/>
      <c r="R875" s="27"/>
      <c r="S875" s="27"/>
      <c r="T875" s="27"/>
      <c r="U875" s="27"/>
      <c r="V875" s="27"/>
      <c r="W875" s="27"/>
      <c r="X875" s="27"/>
      <c r="Y875" s="27"/>
      <c r="Z875" s="27"/>
      <c r="AA875" s="27"/>
      <c r="AB875" s="27"/>
      <c r="AC875" s="27"/>
      <c r="AD875" s="27"/>
      <c r="AE875" s="27"/>
      <c r="AF875" s="27"/>
      <c r="AG875" s="27"/>
      <c r="AH875" s="27"/>
      <c r="AI875" s="27"/>
      <c r="AJ875" s="27"/>
      <c r="AK875" s="27"/>
      <c r="AL875" s="27"/>
      <c r="AM875" s="27"/>
      <c r="AN875" s="27"/>
      <c r="AO875" s="27"/>
      <c r="AP875" s="27"/>
      <c r="AQ875" s="27"/>
      <c r="AR875" s="27"/>
      <c r="AS875" s="27"/>
      <c r="AT875" s="27"/>
      <c r="AU875" s="27"/>
      <c r="AV875" s="27"/>
      <c r="AW875" s="27"/>
      <c r="AX875" s="27"/>
      <c r="AY875" s="27"/>
      <c r="AZ875" s="27"/>
      <c r="BA875" s="27"/>
      <c r="BB875" s="27"/>
      <c r="BC875" s="27"/>
      <c r="BD875" s="27"/>
      <c r="BE875" s="27"/>
      <c r="BF875" s="27"/>
      <c r="BG875" s="27"/>
      <c r="BH875" s="27"/>
      <c r="BI875" s="27"/>
      <c r="BJ875" s="27"/>
      <c r="BK875" s="27"/>
      <c r="BL875" s="27"/>
      <c r="BM875" s="27"/>
      <c r="BN875" s="27"/>
      <c r="BO875" s="27"/>
      <c r="BP875" s="27"/>
      <c r="BQ875" s="27"/>
      <c r="BR875" s="27"/>
      <c r="BS875" s="27"/>
      <c r="BT875" s="27"/>
      <c r="BU875" s="27"/>
      <c r="BV875" s="27"/>
      <c r="BW875" s="27"/>
      <c r="BX875" s="27"/>
      <c r="BY875" s="27"/>
      <c r="BZ875" s="27"/>
      <c r="CA875" s="27"/>
      <c r="CB875" s="27"/>
      <c r="CC875" s="27"/>
      <c r="CD875" s="27"/>
      <c r="CE875" s="27"/>
      <c r="CF875" s="27"/>
      <c r="CG875" s="27"/>
      <c r="CH875" s="27"/>
      <c r="CI875" s="27"/>
      <c r="CJ875" s="27"/>
      <c r="CK875" s="27"/>
      <c r="CL875" s="27"/>
      <c r="CM875" s="27"/>
      <c r="CN875" s="27"/>
      <c r="CO875" s="27"/>
      <c r="CP875" s="27"/>
      <c r="CQ875" s="27"/>
      <c r="CR875" s="27"/>
      <c r="CS875" s="27"/>
      <c r="CT875" s="27"/>
      <c r="CU875" s="27"/>
      <c r="CV875" s="27"/>
      <c r="CW875" s="27"/>
      <c r="CX875" s="27"/>
      <c r="CY875" s="27"/>
      <c r="CZ875" s="27"/>
      <c r="DA875" s="27"/>
      <c r="DB875" s="27"/>
      <c r="DC875" s="27"/>
      <c r="DD875" s="27"/>
      <c r="DE875" s="27"/>
      <c r="DF875" s="27"/>
      <c r="DG875" s="27"/>
      <c r="DH875" s="27"/>
      <c r="DI875" s="27"/>
      <c r="DJ875" s="27"/>
      <c r="DK875" s="27"/>
      <c r="DL875" s="27"/>
      <c r="DM875" s="27"/>
      <c r="DN875" s="27"/>
      <c r="DO875" s="27"/>
      <c r="DP875" s="27"/>
      <c r="DQ875" s="27"/>
      <c r="DR875" s="27"/>
      <c r="DS875" s="27"/>
      <c r="DT875" s="27"/>
    </row>
    <row r="876" spans="7:124" x14ac:dyDescent="0.2">
      <c r="G876" s="27"/>
      <c r="H876" s="27" t="e">
        <f>G974</f>
        <v>#REF!</v>
      </c>
      <c r="I876" s="27"/>
      <c r="J876" s="27"/>
      <c r="K876" s="27" t="e">
        <f>VLOOKUP(INT(W753),horaa2,AE711+2,FALSE)*((1+AE738/100)^(AB746+AD746))</f>
        <v>#REF!</v>
      </c>
      <c r="L876" s="27"/>
      <c r="M876" s="27"/>
      <c r="N876" s="27"/>
      <c r="O876" s="27"/>
      <c r="P876" s="27"/>
      <c r="Q876" s="27"/>
      <c r="R876" s="27"/>
      <c r="S876" s="27"/>
      <c r="T876" s="27"/>
      <c r="U876" s="27"/>
      <c r="V876" s="27"/>
      <c r="W876" s="27"/>
      <c r="X876" s="27"/>
      <c r="Y876" s="27"/>
      <c r="Z876" s="27"/>
      <c r="AA876" s="27"/>
      <c r="AB876" s="27"/>
      <c r="AC876" s="27"/>
      <c r="AD876" s="27"/>
      <c r="AE876" s="27"/>
      <c r="AF876" s="27"/>
      <c r="AG876" s="27"/>
      <c r="AH876" s="27"/>
      <c r="AI876" s="27"/>
      <c r="AJ876" s="27"/>
      <c r="AK876" s="27"/>
      <c r="AL876" s="27"/>
      <c r="AM876" s="27"/>
      <c r="AN876" s="27"/>
      <c r="AO876" s="27"/>
      <c r="AP876" s="27"/>
      <c r="AQ876" s="27"/>
      <c r="AR876" s="27"/>
      <c r="AS876" s="27"/>
      <c r="AT876" s="27"/>
      <c r="AU876" s="27"/>
      <c r="AV876" s="27"/>
      <c r="AW876" s="27"/>
      <c r="AX876" s="27"/>
      <c r="AY876" s="27"/>
      <c r="AZ876" s="27"/>
      <c r="BA876" s="27"/>
      <c r="BB876" s="27"/>
      <c r="BC876" s="27"/>
      <c r="BD876" s="27"/>
      <c r="BE876" s="27"/>
      <c r="BF876" s="27"/>
      <c r="BG876" s="27"/>
      <c r="BH876" s="27"/>
      <c r="BI876" s="27"/>
      <c r="BJ876" s="27"/>
      <c r="BK876" s="27"/>
      <c r="BL876" s="27"/>
      <c r="BM876" s="27"/>
      <c r="BN876" s="27"/>
      <c r="BO876" s="27"/>
      <c r="BP876" s="27"/>
      <c r="BQ876" s="27"/>
      <c r="BR876" s="27"/>
      <c r="BS876" s="27"/>
      <c r="BT876" s="27"/>
      <c r="BU876" s="27"/>
      <c r="BV876" s="27"/>
      <c r="BW876" s="27"/>
      <c r="BX876" s="27"/>
      <c r="BY876" s="27"/>
      <c r="BZ876" s="27"/>
      <c r="CA876" s="27"/>
      <c r="CB876" s="27"/>
      <c r="CC876" s="27"/>
      <c r="CD876" s="27"/>
      <c r="CE876" s="27"/>
      <c r="CF876" s="27"/>
      <c r="CG876" s="27"/>
      <c r="CH876" s="27"/>
      <c r="CI876" s="27"/>
      <c r="CJ876" s="27"/>
      <c r="CK876" s="27"/>
      <c r="CL876" s="27"/>
      <c r="CM876" s="27"/>
      <c r="CN876" s="27"/>
      <c r="CO876" s="27"/>
      <c r="CP876" s="27"/>
      <c r="CQ876" s="27"/>
      <c r="CR876" s="27"/>
      <c r="CS876" s="27"/>
      <c r="CT876" s="27"/>
      <c r="CU876" s="27"/>
      <c r="CV876" s="27"/>
      <c r="CW876" s="27"/>
      <c r="CX876" s="27"/>
      <c r="CY876" s="27"/>
      <c r="CZ876" s="27"/>
      <c r="DA876" s="27"/>
      <c r="DB876" s="27"/>
      <c r="DC876" s="27"/>
      <c r="DD876" s="27"/>
      <c r="DE876" s="27"/>
      <c r="DF876" s="27"/>
      <c r="DG876" s="27"/>
      <c r="DH876" s="27"/>
      <c r="DI876" s="27"/>
      <c r="DJ876" s="27"/>
      <c r="DK876" s="27"/>
      <c r="DL876" s="27"/>
      <c r="DM876" s="27"/>
      <c r="DN876" s="27"/>
      <c r="DO876" s="27"/>
      <c r="DP876" s="27"/>
      <c r="DQ876" s="27"/>
      <c r="DR876" s="27"/>
      <c r="DS876" s="27"/>
      <c r="DT876" s="27"/>
    </row>
    <row r="877" spans="7:124" x14ac:dyDescent="0.2">
      <c r="G877" s="27"/>
      <c r="H877" s="27" t="e">
        <f>#REF!</f>
        <v>#REF!</v>
      </c>
      <c r="I877" s="27"/>
      <c r="J877" s="27"/>
      <c r="K877" s="27" t="e">
        <f>VLOOKUP(INT(G946),ofek4,E928+2,FALSE)*((1+AE738/100)^(AB746+AD746))*T719</f>
        <v>#REF!</v>
      </c>
      <c r="L877" s="27"/>
      <c r="M877" s="27"/>
      <c r="N877" s="27"/>
      <c r="O877" s="27"/>
      <c r="P877" s="27"/>
      <c r="Q877" s="27"/>
      <c r="R877" s="27"/>
      <c r="S877" s="27"/>
      <c r="T877" s="27"/>
      <c r="U877" s="27"/>
      <c r="V877" s="27"/>
      <c r="W877" s="27"/>
      <c r="X877" s="27"/>
      <c r="Y877" s="27"/>
      <c r="Z877" s="27"/>
      <c r="AA877" s="27"/>
      <c r="AB877" s="27"/>
      <c r="AC877" s="27"/>
      <c r="AD877" s="27"/>
      <c r="AE877" s="27"/>
      <c r="AF877" s="27"/>
      <c r="AG877" s="27"/>
      <c r="AH877" s="27"/>
      <c r="AI877" s="27"/>
      <c r="AJ877" s="27"/>
      <c r="AK877" s="27"/>
      <c r="AL877" s="27"/>
      <c r="AM877" s="27"/>
      <c r="AN877" s="27"/>
      <c r="AO877" s="27"/>
      <c r="AP877" s="27"/>
      <c r="AQ877" s="27"/>
      <c r="AR877" s="27"/>
      <c r="AS877" s="27"/>
      <c r="AT877" s="27"/>
      <c r="AU877" s="27"/>
      <c r="AV877" s="27"/>
      <c r="AW877" s="27"/>
      <c r="AX877" s="27"/>
      <c r="AY877" s="27"/>
      <c r="AZ877" s="27"/>
      <c r="BA877" s="27"/>
      <c r="BB877" s="27"/>
      <c r="BC877" s="27"/>
      <c r="BD877" s="27"/>
      <c r="BE877" s="27"/>
      <c r="BF877" s="27"/>
      <c r="BG877" s="27"/>
      <c r="BH877" s="27"/>
      <c r="BI877" s="27"/>
      <c r="BJ877" s="27"/>
      <c r="BK877" s="27"/>
      <c r="BL877" s="27"/>
      <c r="BM877" s="27"/>
      <c r="BN877" s="27"/>
      <c r="BO877" s="27"/>
      <c r="BP877" s="27"/>
      <c r="BQ877" s="27"/>
      <c r="BR877" s="27"/>
      <c r="BS877" s="27"/>
      <c r="BT877" s="27"/>
      <c r="BU877" s="27"/>
      <c r="BV877" s="27"/>
      <c r="BW877" s="27"/>
      <c r="BX877" s="27"/>
      <c r="BY877" s="27"/>
      <c r="BZ877" s="27"/>
      <c r="CA877" s="27"/>
      <c r="CB877" s="27"/>
      <c r="CC877" s="27"/>
      <c r="CD877" s="27"/>
      <c r="CE877" s="27"/>
      <c r="CF877" s="27"/>
      <c r="CG877" s="27"/>
      <c r="CH877" s="27"/>
      <c r="CI877" s="27"/>
      <c r="CJ877" s="27"/>
      <c r="CK877" s="27"/>
      <c r="CL877" s="27"/>
      <c r="CM877" s="27"/>
      <c r="CN877" s="27"/>
      <c r="CO877" s="27"/>
      <c r="CP877" s="27"/>
      <c r="CQ877" s="27"/>
      <c r="CR877" s="27"/>
      <c r="CS877" s="27"/>
      <c r="CT877" s="27"/>
      <c r="CU877" s="27"/>
      <c r="CV877" s="27"/>
      <c r="CW877" s="27"/>
      <c r="CX877" s="27"/>
      <c r="CY877" s="27"/>
      <c r="CZ877" s="27"/>
      <c r="DA877" s="27"/>
      <c r="DB877" s="27"/>
      <c r="DC877" s="27"/>
      <c r="DD877" s="27"/>
      <c r="DE877" s="27"/>
      <c r="DF877" s="27"/>
      <c r="DG877" s="27"/>
      <c r="DH877" s="27"/>
      <c r="DI877" s="27"/>
      <c r="DJ877" s="27"/>
      <c r="DK877" s="27"/>
      <c r="DL877" s="27"/>
      <c r="DM877" s="27"/>
      <c r="DN877" s="27"/>
      <c r="DO877" s="27"/>
      <c r="DP877" s="27"/>
      <c r="DQ877" s="27"/>
      <c r="DR877" s="27"/>
      <c r="DS877" s="27"/>
      <c r="DT877" s="27"/>
    </row>
    <row r="878" spans="7:124" x14ac:dyDescent="0.2">
      <c r="G878" s="27"/>
      <c r="H878" s="27">
        <f>V745</f>
        <v>0</v>
      </c>
      <c r="I878" s="27"/>
      <c r="J878" s="27"/>
      <c r="K878" s="27" t="e">
        <f>VLOOKUP(INT(W753),horaa2,AE711+2,FALSE)</f>
        <v>#REF!</v>
      </c>
      <c r="L878" s="27"/>
      <c r="M878" s="27"/>
      <c r="N878" s="27"/>
      <c r="O878" s="27"/>
      <c r="P878" s="27"/>
      <c r="Q878" s="27"/>
      <c r="R878" s="27"/>
      <c r="S878" s="27"/>
      <c r="T878" s="27"/>
      <c r="U878" s="27"/>
      <c r="V878" s="27"/>
      <c r="W878" s="27"/>
      <c r="X878" s="27"/>
      <c r="Y878" s="27"/>
      <c r="Z878" s="27"/>
      <c r="AA878" s="27"/>
      <c r="AB878" s="27"/>
      <c r="AC878" s="27"/>
      <c r="AD878" s="27"/>
      <c r="AE878" s="27"/>
      <c r="AF878" s="27"/>
      <c r="AG878" s="27"/>
      <c r="AH878" s="27"/>
      <c r="AI878" s="27"/>
      <c r="AJ878" s="27"/>
      <c r="AK878" s="27"/>
      <c r="AL878" s="27"/>
      <c r="AM878" s="27"/>
      <c r="AN878" s="27"/>
      <c r="AO878" s="27"/>
      <c r="AP878" s="27"/>
      <c r="AQ878" s="27"/>
      <c r="AR878" s="27"/>
      <c r="AS878" s="27"/>
      <c r="AT878" s="27"/>
      <c r="AU878" s="27"/>
      <c r="AV878" s="27"/>
      <c r="AW878" s="27"/>
      <c r="AX878" s="27"/>
      <c r="AY878" s="27"/>
      <c r="AZ878" s="27"/>
      <c r="BA878" s="27"/>
      <c r="BB878" s="27"/>
      <c r="BC878" s="27"/>
      <c r="BD878" s="27"/>
      <c r="BE878" s="27"/>
      <c r="BF878" s="27"/>
      <c r="BG878" s="27"/>
      <c r="BH878" s="27"/>
      <c r="BI878" s="27"/>
      <c r="BJ878" s="27"/>
      <c r="BK878" s="27"/>
      <c r="BL878" s="27"/>
      <c r="BM878" s="27"/>
      <c r="BN878" s="27"/>
      <c r="BO878" s="27"/>
      <c r="BP878" s="27"/>
      <c r="BQ878" s="27"/>
      <c r="BR878" s="27"/>
      <c r="BS878" s="27"/>
      <c r="BT878" s="27"/>
      <c r="BU878" s="27"/>
      <c r="BV878" s="27"/>
      <c r="BW878" s="27"/>
      <c r="BX878" s="27"/>
      <c r="BY878" s="27"/>
      <c r="BZ878" s="27"/>
      <c r="CA878" s="27"/>
      <c r="CB878" s="27"/>
      <c r="CC878" s="27"/>
      <c r="CD878" s="27"/>
      <c r="CE878" s="27"/>
      <c r="CF878" s="27"/>
      <c r="CG878" s="27"/>
      <c r="CH878" s="27"/>
      <c r="CI878" s="27"/>
      <c r="CJ878" s="27"/>
      <c r="CK878" s="27"/>
      <c r="CL878" s="27"/>
      <c r="CM878" s="27"/>
      <c r="CN878" s="27"/>
      <c r="CO878" s="27"/>
      <c r="CP878" s="27"/>
      <c r="CQ878" s="27"/>
      <c r="CR878" s="27"/>
      <c r="CS878" s="27"/>
      <c r="CT878" s="27"/>
      <c r="CU878" s="27"/>
      <c r="CV878" s="27"/>
      <c r="CW878" s="27"/>
      <c r="CX878" s="27"/>
      <c r="CY878" s="27"/>
      <c r="CZ878" s="27"/>
      <c r="DA878" s="27"/>
      <c r="DB878" s="27"/>
      <c r="DC878" s="27"/>
      <c r="DD878" s="27"/>
      <c r="DE878" s="27"/>
      <c r="DF878" s="27"/>
      <c r="DG878" s="27"/>
      <c r="DH878" s="27"/>
      <c r="DI878" s="27"/>
      <c r="DJ878" s="27"/>
      <c r="DK878" s="27"/>
      <c r="DL878" s="27"/>
      <c r="DM878" s="27"/>
      <c r="DN878" s="27"/>
      <c r="DO878" s="27"/>
      <c r="DP878" s="27"/>
      <c r="DQ878" s="27"/>
      <c r="DR878" s="27"/>
      <c r="DS878" s="27"/>
      <c r="DT878" s="27"/>
    </row>
    <row r="879" spans="7:124" x14ac:dyDescent="0.2">
      <c r="G879" s="27"/>
      <c r="H879" s="27">
        <f>Z717</f>
        <v>1</v>
      </c>
      <c r="I879" s="27"/>
      <c r="J879" s="27"/>
      <c r="K879" s="27"/>
      <c r="L879" s="27"/>
      <c r="M879" s="27"/>
      <c r="N879" s="27"/>
      <c r="O879" s="27"/>
      <c r="P879" s="27"/>
      <c r="Q879" s="27"/>
      <c r="R879" s="27"/>
      <c r="S879" s="27"/>
      <c r="T879" s="27"/>
      <c r="U879" s="27"/>
      <c r="V879" s="27"/>
      <c r="W879" s="27"/>
      <c r="X879" s="27"/>
      <c r="Y879" s="27"/>
      <c r="Z879" s="27"/>
      <c r="AA879" s="27"/>
      <c r="AB879" s="27"/>
      <c r="AC879" s="27"/>
      <c r="AD879" s="27"/>
      <c r="AE879" s="27"/>
      <c r="AF879" s="27"/>
      <c r="AG879" s="27"/>
      <c r="AH879" s="27"/>
      <c r="AI879" s="27"/>
      <c r="AJ879" s="27"/>
      <c r="AK879" s="27"/>
      <c r="AL879" s="27"/>
      <c r="AM879" s="27"/>
      <c r="AN879" s="27"/>
      <c r="AO879" s="27"/>
      <c r="AP879" s="27"/>
      <c r="AQ879" s="27"/>
      <c r="AR879" s="27"/>
      <c r="AS879" s="27"/>
      <c r="AT879" s="27"/>
      <c r="AU879" s="27"/>
      <c r="AV879" s="27"/>
      <c r="AW879" s="27"/>
      <c r="AX879" s="27"/>
      <c r="AY879" s="27"/>
      <c r="AZ879" s="27"/>
      <c r="BA879" s="27"/>
      <c r="BB879" s="27"/>
      <c r="BC879" s="27"/>
      <c r="BD879" s="27"/>
      <c r="BE879" s="27"/>
      <c r="BF879" s="27"/>
      <c r="BG879" s="27"/>
      <c r="BH879" s="27"/>
      <c r="BI879" s="27"/>
      <c r="BJ879" s="27"/>
      <c r="BK879" s="27"/>
      <c r="BL879" s="27"/>
      <c r="BM879" s="27"/>
      <c r="BN879" s="27"/>
      <c r="BO879" s="27"/>
      <c r="BP879" s="27"/>
      <c r="BQ879" s="27"/>
      <c r="BR879" s="27"/>
      <c r="BS879" s="27"/>
      <c r="BT879" s="27"/>
      <c r="BU879" s="27"/>
      <c r="BV879" s="27"/>
      <c r="BW879" s="27"/>
      <c r="BX879" s="27"/>
      <c r="BY879" s="27"/>
      <c r="BZ879" s="27"/>
      <c r="CA879" s="27"/>
      <c r="CB879" s="27"/>
      <c r="CC879" s="27"/>
      <c r="CD879" s="27"/>
      <c r="CE879" s="27"/>
      <c r="CF879" s="27"/>
      <c r="CG879" s="27"/>
      <c r="CH879" s="27"/>
      <c r="CI879" s="27"/>
      <c r="CJ879" s="27"/>
      <c r="CK879" s="27"/>
      <c r="CL879" s="27"/>
      <c r="CM879" s="27"/>
      <c r="CN879" s="27"/>
      <c r="CO879" s="27"/>
      <c r="CP879" s="27"/>
      <c r="CQ879" s="27"/>
      <c r="CR879" s="27"/>
      <c r="CS879" s="27"/>
      <c r="CT879" s="27"/>
      <c r="CU879" s="27"/>
      <c r="CV879" s="27"/>
      <c r="CW879" s="27"/>
      <c r="CX879" s="27"/>
      <c r="CY879" s="27"/>
      <c r="CZ879" s="27"/>
      <c r="DA879" s="27"/>
      <c r="DB879" s="27"/>
      <c r="DC879" s="27"/>
      <c r="DD879" s="27"/>
      <c r="DE879" s="27"/>
      <c r="DF879" s="27"/>
      <c r="DG879" s="27"/>
      <c r="DH879" s="27"/>
      <c r="DI879" s="27"/>
      <c r="DJ879" s="27"/>
      <c r="DK879" s="27"/>
      <c r="DL879" s="27"/>
      <c r="DM879" s="27"/>
      <c r="DN879" s="27"/>
      <c r="DO879" s="27"/>
      <c r="DP879" s="27"/>
      <c r="DQ879" s="27"/>
      <c r="DR879" s="27"/>
      <c r="DS879" s="27"/>
      <c r="DT879" s="27"/>
    </row>
    <row r="880" spans="7:124" x14ac:dyDescent="0.2">
      <c r="G880" s="27"/>
      <c r="H880" s="27"/>
      <c r="I880" s="27"/>
      <c r="J880" s="27"/>
      <c r="K880" s="27">
        <f>(E928-D102)/2</f>
        <v>0</v>
      </c>
      <c r="L880" s="27"/>
      <c r="M880" s="27"/>
      <c r="N880" s="27"/>
      <c r="O880" s="27"/>
      <c r="P880" s="27"/>
      <c r="Q880" s="27"/>
      <c r="R880" s="27"/>
      <c r="S880" s="27"/>
      <c r="T880" s="27"/>
      <c r="U880" s="27"/>
      <c r="V880" s="27"/>
      <c r="W880" s="27"/>
      <c r="X880" s="27"/>
      <c r="Y880" s="27"/>
      <c r="Z880" s="27"/>
      <c r="AA880" s="27"/>
      <c r="AB880" s="27"/>
      <c r="AC880" s="27"/>
      <c r="AD880" s="27"/>
      <c r="AE880" s="27"/>
      <c r="AF880" s="27"/>
      <c r="AG880" s="27"/>
      <c r="AH880" s="27"/>
      <c r="AI880" s="27"/>
      <c r="AJ880" s="27"/>
      <c r="AK880" s="27"/>
      <c r="AL880" s="27"/>
      <c r="AM880" s="27"/>
      <c r="AN880" s="27"/>
      <c r="AO880" s="27"/>
      <c r="AP880" s="27"/>
      <c r="AQ880" s="27"/>
      <c r="AR880" s="27"/>
      <c r="AS880" s="27"/>
      <c r="AT880" s="27"/>
      <c r="AU880" s="27"/>
      <c r="AV880" s="27"/>
      <c r="AW880" s="27"/>
      <c r="AX880" s="27"/>
      <c r="AY880" s="27"/>
      <c r="AZ880" s="27"/>
      <c r="BA880" s="27"/>
      <c r="BB880" s="27"/>
      <c r="BC880" s="27"/>
      <c r="BD880" s="27"/>
      <c r="BE880" s="27"/>
      <c r="BF880" s="27"/>
      <c r="BG880" s="27"/>
      <c r="BH880" s="27"/>
      <c r="BI880" s="27"/>
      <c r="BJ880" s="27"/>
      <c r="BK880" s="27"/>
      <c r="BL880" s="27"/>
      <c r="BM880" s="27"/>
      <c r="BN880" s="27"/>
      <c r="BO880" s="27"/>
      <c r="BP880" s="27"/>
      <c r="BQ880" s="27"/>
      <c r="BR880" s="27"/>
      <c r="BS880" s="27"/>
      <c r="BT880" s="27"/>
      <c r="BU880" s="27"/>
      <c r="BV880" s="27"/>
      <c r="BW880" s="27"/>
      <c r="BX880" s="27"/>
      <c r="BY880" s="27"/>
      <c r="BZ880" s="27"/>
      <c r="CA880" s="27"/>
      <c r="CB880" s="27"/>
      <c r="CC880" s="27"/>
      <c r="CD880" s="27"/>
      <c r="CE880" s="27"/>
      <c r="CF880" s="27"/>
      <c r="CG880" s="27"/>
      <c r="CH880" s="27"/>
      <c r="CI880" s="27"/>
      <c r="CJ880" s="27"/>
      <c r="CK880" s="27"/>
      <c r="CL880" s="27"/>
      <c r="CM880" s="27"/>
      <c r="CN880" s="27"/>
      <c r="CO880" s="27"/>
      <c r="CP880" s="27"/>
      <c r="CQ880" s="27"/>
      <c r="CR880" s="27"/>
      <c r="CS880" s="27"/>
      <c r="CT880" s="27"/>
      <c r="CU880" s="27"/>
      <c r="CV880" s="27"/>
      <c r="CW880" s="27"/>
      <c r="CX880" s="27"/>
      <c r="CY880" s="27"/>
      <c r="CZ880" s="27"/>
      <c r="DA880" s="27"/>
      <c r="DB880" s="27"/>
      <c r="DC880" s="27"/>
      <c r="DD880" s="27"/>
      <c r="DE880" s="27"/>
      <c r="DF880" s="27"/>
      <c r="DG880" s="27"/>
      <c r="DH880" s="27"/>
      <c r="DI880" s="27"/>
      <c r="DJ880" s="27"/>
      <c r="DK880" s="27"/>
      <c r="DL880" s="27"/>
      <c r="DM880" s="27"/>
      <c r="DN880" s="27"/>
      <c r="DO880" s="27"/>
      <c r="DP880" s="27"/>
      <c r="DQ880" s="27"/>
      <c r="DR880" s="27"/>
      <c r="DS880" s="27"/>
      <c r="DT880" s="27"/>
    </row>
    <row r="881" spans="7:124" x14ac:dyDescent="0.2">
      <c r="G881" s="27"/>
      <c r="H881" s="27"/>
      <c r="I881" s="27"/>
      <c r="J881" s="27"/>
      <c r="K881" s="27"/>
      <c r="L881" s="27"/>
      <c r="M881" s="27"/>
      <c r="N881" s="27"/>
      <c r="O881" s="27"/>
      <c r="P881" s="27"/>
      <c r="Q881" s="27"/>
      <c r="R881" s="27"/>
      <c r="S881" s="27"/>
      <c r="T881" s="27"/>
      <c r="U881" s="27"/>
      <c r="V881" s="27"/>
      <c r="W881" s="27"/>
      <c r="X881" s="27"/>
      <c r="Y881" s="27"/>
      <c r="Z881" s="27"/>
      <c r="AA881" s="27"/>
      <c r="AB881" s="27"/>
      <c r="AC881" s="27"/>
      <c r="AD881" s="27"/>
      <c r="AE881" s="27"/>
      <c r="AF881" s="27"/>
      <c r="AG881" s="27"/>
      <c r="AH881" s="27"/>
      <c r="AI881" s="27"/>
      <c r="AJ881" s="27"/>
      <c r="AK881" s="27"/>
      <c r="AL881" s="27"/>
      <c r="AM881" s="27"/>
      <c r="AN881" s="27"/>
      <c r="AO881" s="27"/>
      <c r="AP881" s="27"/>
      <c r="AQ881" s="27"/>
      <c r="AR881" s="27"/>
      <c r="AS881" s="27"/>
      <c r="AT881" s="27"/>
      <c r="AU881" s="27"/>
      <c r="AV881" s="27"/>
      <c r="AW881" s="27"/>
      <c r="AX881" s="27"/>
      <c r="AY881" s="27"/>
      <c r="AZ881" s="27"/>
      <c r="BA881" s="27"/>
      <c r="BB881" s="27"/>
      <c r="BC881" s="27"/>
      <c r="BD881" s="27"/>
      <c r="BE881" s="27"/>
      <c r="BF881" s="27"/>
      <c r="BG881" s="27"/>
      <c r="BH881" s="27"/>
      <c r="BI881" s="27"/>
      <c r="BJ881" s="27"/>
      <c r="BK881" s="27"/>
      <c r="BL881" s="27"/>
      <c r="BM881" s="27"/>
      <c r="BN881" s="27"/>
      <c r="BO881" s="27"/>
      <c r="BP881" s="27"/>
      <c r="BQ881" s="27"/>
      <c r="BR881" s="27"/>
      <c r="BS881" s="27"/>
      <c r="BT881" s="27"/>
      <c r="BU881" s="27"/>
      <c r="BV881" s="27"/>
      <c r="BW881" s="27"/>
      <c r="BX881" s="27"/>
      <c r="BY881" s="27"/>
      <c r="BZ881" s="27"/>
      <c r="CA881" s="27"/>
      <c r="CB881" s="27"/>
      <c r="CC881" s="27"/>
      <c r="CD881" s="27"/>
      <c r="CE881" s="27"/>
      <c r="CF881" s="27"/>
      <c r="CG881" s="27"/>
      <c r="CH881" s="27"/>
      <c r="CI881" s="27"/>
      <c r="CJ881" s="27"/>
      <c r="CK881" s="27"/>
      <c r="CL881" s="27"/>
      <c r="CM881" s="27"/>
      <c r="CN881" s="27"/>
      <c r="CO881" s="27"/>
      <c r="CP881" s="27"/>
      <c r="CQ881" s="27"/>
      <c r="CR881" s="27"/>
      <c r="CS881" s="27"/>
      <c r="CT881" s="27"/>
      <c r="CU881" s="27"/>
      <c r="CV881" s="27"/>
      <c r="CW881" s="27"/>
      <c r="CX881" s="27"/>
      <c r="CY881" s="27"/>
      <c r="CZ881" s="27"/>
      <c r="DA881" s="27"/>
      <c r="DB881" s="27"/>
      <c r="DC881" s="27"/>
      <c r="DD881" s="27"/>
      <c r="DE881" s="27"/>
      <c r="DF881" s="27"/>
      <c r="DG881" s="27"/>
      <c r="DH881" s="27"/>
      <c r="DI881" s="27"/>
      <c r="DJ881" s="27"/>
      <c r="DK881" s="27"/>
      <c r="DL881" s="27"/>
      <c r="DM881" s="27"/>
      <c r="DN881" s="27"/>
      <c r="DO881" s="27"/>
      <c r="DP881" s="27"/>
      <c r="DQ881" s="27"/>
      <c r="DR881" s="27"/>
      <c r="DS881" s="27"/>
      <c r="DT881" s="27"/>
    </row>
    <row r="882" spans="7:124" x14ac:dyDescent="0.2">
      <c r="G882" s="27"/>
      <c r="H882" s="27">
        <f>D102</f>
        <v>0</v>
      </c>
      <c r="I882" s="27"/>
      <c r="J882" s="27"/>
      <c r="K882" s="27"/>
      <c r="L882" s="27"/>
      <c r="M882" s="27"/>
      <c r="N882" s="27"/>
      <c r="O882" s="27"/>
      <c r="P882" s="27"/>
      <c r="Q882" s="27"/>
      <c r="R882" s="27"/>
      <c r="S882" s="27"/>
      <c r="T882" s="27"/>
      <c r="U882" s="27"/>
      <c r="V882" s="27"/>
      <c r="W882" s="27"/>
      <c r="X882" s="27"/>
      <c r="Y882" s="27"/>
      <c r="Z882" s="27"/>
      <c r="AA882" s="27"/>
      <c r="AB882" s="27"/>
      <c r="AC882" s="27"/>
      <c r="AD882" s="27"/>
      <c r="AE882" s="27"/>
      <c r="AF882" s="27"/>
      <c r="AG882" s="27"/>
      <c r="AH882" s="27"/>
      <c r="AI882" s="27"/>
      <c r="AJ882" s="27"/>
      <c r="AK882" s="27"/>
      <c r="AL882" s="27"/>
      <c r="AM882" s="27"/>
      <c r="AN882" s="27"/>
      <c r="AO882" s="27"/>
      <c r="AP882" s="27"/>
      <c r="AQ882" s="27"/>
      <c r="AR882" s="27"/>
      <c r="AS882" s="27"/>
      <c r="AT882" s="27"/>
      <c r="AU882" s="27"/>
      <c r="AV882" s="27"/>
      <c r="AW882" s="27"/>
      <c r="AX882" s="27"/>
      <c r="AY882" s="27"/>
      <c r="AZ882" s="27"/>
      <c r="BA882" s="27"/>
      <c r="BB882" s="27"/>
      <c r="BC882" s="27"/>
      <c r="BD882" s="27"/>
      <c r="BE882" s="27"/>
      <c r="BF882" s="27"/>
      <c r="BG882" s="27"/>
      <c r="BH882" s="27"/>
      <c r="BI882" s="27"/>
      <c r="BJ882" s="27"/>
      <c r="BK882" s="27"/>
      <c r="BL882" s="27"/>
      <c r="BM882" s="27"/>
      <c r="BN882" s="27"/>
      <c r="BO882" s="27"/>
      <c r="BP882" s="27"/>
      <c r="BQ882" s="27"/>
      <c r="BR882" s="27"/>
      <c r="BS882" s="27"/>
      <c r="BT882" s="27"/>
      <c r="BU882" s="27"/>
      <c r="BV882" s="27"/>
      <c r="BW882" s="27"/>
      <c r="BX882" s="27"/>
      <c r="BY882" s="27"/>
      <c r="BZ882" s="27"/>
      <c r="CA882" s="27"/>
      <c r="CB882" s="27"/>
      <c r="CC882" s="27"/>
      <c r="CD882" s="27"/>
      <c r="CE882" s="27"/>
      <c r="CF882" s="27"/>
      <c r="CG882" s="27"/>
      <c r="CH882" s="27"/>
      <c r="CI882" s="27"/>
      <c r="CJ882" s="27"/>
      <c r="CK882" s="27"/>
      <c r="CL882" s="27"/>
      <c r="CM882" s="27"/>
      <c r="CN882" s="27"/>
      <c r="CO882" s="27"/>
      <c r="CP882" s="27"/>
      <c r="CQ882" s="27"/>
      <c r="CR882" s="27"/>
      <c r="CS882" s="27"/>
      <c r="CT882" s="27"/>
      <c r="CU882" s="27"/>
      <c r="CV882" s="27"/>
      <c r="CW882" s="27"/>
      <c r="CX882" s="27"/>
      <c r="CY882" s="27"/>
      <c r="CZ882" s="27"/>
      <c r="DA882" s="27"/>
      <c r="DB882" s="27"/>
      <c r="DC882" s="27"/>
      <c r="DD882" s="27"/>
      <c r="DE882" s="27"/>
      <c r="DF882" s="27"/>
      <c r="DG882" s="27"/>
      <c r="DH882" s="27"/>
      <c r="DI882" s="27"/>
      <c r="DJ882" s="27"/>
      <c r="DK882" s="27"/>
      <c r="DL882" s="27"/>
      <c r="DM882" s="27"/>
      <c r="DN882" s="27"/>
      <c r="DO882" s="27"/>
      <c r="DP882" s="27"/>
      <c r="DQ882" s="27"/>
      <c r="DR882" s="27"/>
      <c r="DS882" s="27"/>
      <c r="DT882" s="27"/>
    </row>
    <row r="883" spans="7:124" x14ac:dyDescent="0.2">
      <c r="G883" s="27"/>
      <c r="H883" s="27"/>
      <c r="I883" s="27"/>
      <c r="J883" s="27"/>
      <c r="K883" s="27"/>
      <c r="L883" s="27" t="s">
        <v>59</v>
      </c>
      <c r="M883" s="27"/>
      <c r="N883" s="27"/>
      <c r="O883" s="27"/>
      <c r="P883" s="27"/>
      <c r="Q883" s="27"/>
      <c r="R883" s="27"/>
      <c r="S883" s="27"/>
      <c r="T883" s="27"/>
      <c r="U883" s="27"/>
      <c r="V883" s="27"/>
      <c r="W883" s="27"/>
      <c r="X883" s="27"/>
      <c r="Y883" s="27"/>
      <c r="Z883" s="27"/>
      <c r="AA883" s="27"/>
      <c r="AB883" s="27"/>
      <c r="AC883" s="27"/>
      <c r="AD883" s="27"/>
      <c r="AE883" s="27"/>
      <c r="AF883" s="27"/>
      <c r="AG883" s="27"/>
      <c r="AH883" s="27"/>
      <c r="AI883" s="27"/>
      <c r="AJ883" s="27"/>
      <c r="AK883" s="27"/>
      <c r="AL883" s="27"/>
      <c r="AM883" s="27"/>
      <c r="AN883" s="27"/>
      <c r="AO883" s="27"/>
      <c r="AP883" s="27"/>
      <c r="AQ883" s="27"/>
      <c r="AR883" s="27"/>
      <c r="AS883" s="27"/>
      <c r="AT883" s="27"/>
      <c r="AU883" s="27"/>
      <c r="AV883" s="27"/>
      <c r="AW883" s="27"/>
      <c r="AX883" s="27"/>
      <c r="AY883" s="27"/>
      <c r="AZ883" s="27"/>
      <c r="BA883" s="27"/>
      <c r="BB883" s="27"/>
      <c r="BC883" s="27"/>
      <c r="BD883" s="27"/>
      <c r="BE883" s="27"/>
      <c r="BF883" s="27"/>
      <c r="BG883" s="27"/>
      <c r="BH883" s="27"/>
      <c r="BI883" s="27"/>
      <c r="BJ883" s="27"/>
      <c r="BK883" s="27"/>
      <c r="BL883" s="27"/>
      <c r="BM883" s="27"/>
      <c r="BN883" s="27"/>
      <c r="BO883" s="27"/>
      <c r="BP883" s="27"/>
      <c r="BQ883" s="27"/>
      <c r="BR883" s="27"/>
      <c r="BS883" s="27"/>
      <c r="BT883" s="27"/>
      <c r="BU883" s="27"/>
      <c r="BV883" s="27"/>
      <c r="BW883" s="27"/>
      <c r="BX883" s="27"/>
      <c r="BY883" s="27"/>
      <c r="BZ883" s="27"/>
      <c r="CA883" s="27"/>
      <c r="CB883" s="27"/>
      <c r="CC883" s="27"/>
      <c r="CD883" s="27"/>
      <c r="CE883" s="27"/>
      <c r="CF883" s="27"/>
      <c r="CG883" s="27"/>
      <c r="CH883" s="27"/>
      <c r="CI883" s="27"/>
      <c r="CJ883" s="27"/>
      <c r="CK883" s="27"/>
      <c r="CL883" s="27"/>
      <c r="CM883" s="27"/>
      <c r="CN883" s="27"/>
      <c r="CO883" s="27"/>
      <c r="CP883" s="27"/>
      <c r="CQ883" s="27"/>
      <c r="CR883" s="27"/>
      <c r="CS883" s="27"/>
      <c r="CT883" s="27"/>
      <c r="CU883" s="27"/>
      <c r="CV883" s="27"/>
      <c r="CW883" s="27"/>
      <c r="CX883" s="27"/>
      <c r="CY883" s="27"/>
      <c r="CZ883" s="27"/>
      <c r="DA883" s="27"/>
      <c r="DB883" s="27"/>
      <c r="DC883" s="27"/>
      <c r="DD883" s="27"/>
      <c r="DE883" s="27"/>
      <c r="DF883" s="27"/>
      <c r="DG883" s="27"/>
      <c r="DH883" s="27"/>
      <c r="DI883" s="27"/>
      <c r="DJ883" s="27"/>
      <c r="DK883" s="27"/>
      <c r="DL883" s="27"/>
      <c r="DM883" s="27"/>
      <c r="DN883" s="27"/>
      <c r="DO883" s="27"/>
      <c r="DP883" s="27"/>
      <c r="DQ883" s="27"/>
      <c r="DR883" s="27"/>
      <c r="DS883" s="27"/>
      <c r="DT883" s="27"/>
    </row>
    <row r="884" spans="7:124" x14ac:dyDescent="0.2">
      <c r="G884" s="27"/>
      <c r="H884" s="27"/>
      <c r="I884" s="27"/>
      <c r="J884" s="27"/>
      <c r="K884" s="27"/>
      <c r="L884" s="27"/>
      <c r="M884" s="27"/>
      <c r="N884" s="27"/>
      <c r="O884" s="27"/>
      <c r="P884" s="27"/>
      <c r="Q884" s="27"/>
      <c r="R884" s="27"/>
      <c r="S884" s="27"/>
      <c r="T884" s="27"/>
      <c r="U884" s="27"/>
      <c r="V884" s="27"/>
      <c r="W884" s="27"/>
      <c r="X884" s="27"/>
      <c r="Y884" s="27"/>
      <c r="Z884" s="27"/>
      <c r="AA884" s="27"/>
      <c r="AB884" s="27"/>
      <c r="AC884" s="27"/>
      <c r="AD884" s="27"/>
      <c r="AE884" s="27"/>
      <c r="AF884" s="27"/>
      <c r="AG884" s="27"/>
      <c r="AH884" s="27"/>
      <c r="AI884" s="27"/>
      <c r="AJ884" s="27"/>
      <c r="AK884" s="27"/>
      <c r="AL884" s="27"/>
      <c r="AM884" s="27"/>
      <c r="AN884" s="27"/>
      <c r="AO884" s="27"/>
      <c r="AP884" s="27"/>
      <c r="AQ884" s="27"/>
      <c r="AR884" s="27"/>
      <c r="AS884" s="27"/>
      <c r="AT884" s="27"/>
      <c r="AU884" s="27"/>
      <c r="AV884" s="27"/>
      <c r="AW884" s="27"/>
      <c r="AX884" s="27"/>
      <c r="AY884" s="27"/>
      <c r="AZ884" s="27"/>
      <c r="BA884" s="27"/>
      <c r="BB884" s="27"/>
      <c r="BC884" s="27"/>
      <c r="BD884" s="27"/>
      <c r="BE884" s="27"/>
      <c r="BF884" s="27"/>
      <c r="BG884" s="27"/>
      <c r="BH884" s="27"/>
      <c r="BI884" s="27"/>
      <c r="BJ884" s="27"/>
      <c r="BK884" s="27"/>
      <c r="BL884" s="27"/>
      <c r="BM884" s="27"/>
      <c r="BN884" s="27"/>
      <c r="BO884" s="27"/>
      <c r="BP884" s="27"/>
      <c r="BQ884" s="27"/>
      <c r="BR884" s="27"/>
      <c r="BS884" s="27"/>
      <c r="BT884" s="27"/>
      <c r="BU884" s="27"/>
      <c r="BV884" s="27"/>
      <c r="BW884" s="27"/>
      <c r="BX884" s="27"/>
      <c r="BY884" s="27"/>
      <c r="BZ884" s="27"/>
      <c r="CA884" s="27"/>
      <c r="CB884" s="27"/>
      <c r="CC884" s="27"/>
      <c r="CD884" s="27"/>
      <c r="CE884" s="27"/>
      <c r="CF884" s="27"/>
      <c r="CG884" s="27"/>
      <c r="CH884" s="27"/>
      <c r="CI884" s="27"/>
      <c r="CJ884" s="27"/>
      <c r="CK884" s="27"/>
      <c r="CL884" s="27"/>
      <c r="CM884" s="27"/>
      <c r="CN884" s="27"/>
      <c r="CO884" s="27"/>
      <c r="CP884" s="27"/>
      <c r="CQ884" s="27"/>
      <c r="CR884" s="27"/>
      <c r="CS884" s="27"/>
      <c r="CT884" s="27"/>
      <c r="CU884" s="27"/>
      <c r="CV884" s="27"/>
      <c r="CW884" s="27"/>
      <c r="CX884" s="27"/>
      <c r="CY884" s="27"/>
      <c r="CZ884" s="27"/>
      <c r="DA884" s="27"/>
      <c r="DB884" s="27"/>
      <c r="DC884" s="27"/>
      <c r="DD884" s="27"/>
      <c r="DE884" s="27"/>
      <c r="DF884" s="27"/>
      <c r="DG884" s="27"/>
      <c r="DH884" s="27"/>
      <c r="DI884" s="27"/>
      <c r="DJ884" s="27"/>
      <c r="DK884" s="27"/>
      <c r="DL884" s="27"/>
      <c r="DM884" s="27"/>
      <c r="DN884" s="27"/>
      <c r="DO884" s="27"/>
      <c r="DP884" s="27"/>
      <c r="DQ884" s="27"/>
      <c r="DR884" s="27"/>
      <c r="DS884" s="27"/>
      <c r="DT884" s="27"/>
    </row>
    <row r="885" spans="7:124" x14ac:dyDescent="0.2">
      <c r="G885" s="27"/>
      <c r="H885" s="27"/>
      <c r="I885" s="27"/>
      <c r="J885" s="27"/>
      <c r="K885" s="27"/>
      <c r="L885" s="27"/>
      <c r="M885" s="27"/>
      <c r="N885" s="27"/>
      <c r="O885" s="27"/>
      <c r="P885" s="27"/>
      <c r="Q885" s="27"/>
      <c r="R885" s="27"/>
      <c r="S885" s="27"/>
      <c r="T885" s="27"/>
      <c r="U885" s="27"/>
      <c r="V885" s="27"/>
      <c r="W885" s="27"/>
      <c r="X885" s="27"/>
      <c r="Y885" s="27"/>
      <c r="Z885" s="27"/>
      <c r="AA885" s="27"/>
      <c r="AB885" s="27"/>
      <c r="AC885" s="27"/>
      <c r="AD885" s="27"/>
      <c r="AE885" s="27"/>
      <c r="AF885" s="27"/>
      <c r="AG885" s="27"/>
      <c r="AH885" s="27"/>
      <c r="AI885" s="27"/>
      <c r="AJ885" s="27"/>
      <c r="AK885" s="27"/>
      <c r="AL885" s="27"/>
      <c r="AM885" s="27"/>
      <c r="AN885" s="27"/>
      <c r="AO885" s="27"/>
      <c r="AP885" s="27"/>
      <c r="AQ885" s="27"/>
      <c r="AR885" s="27"/>
      <c r="AS885" s="27"/>
      <c r="AT885" s="27"/>
      <c r="AU885" s="27"/>
      <c r="AV885" s="27"/>
      <c r="AW885" s="27"/>
      <c r="AX885" s="27"/>
      <c r="AY885" s="27"/>
      <c r="AZ885" s="27"/>
      <c r="BA885" s="27"/>
      <c r="BB885" s="27"/>
      <c r="BC885" s="27"/>
      <c r="BD885" s="27"/>
      <c r="BE885" s="27"/>
      <c r="BF885" s="27"/>
      <c r="BG885" s="27"/>
      <c r="BH885" s="27"/>
      <c r="BI885" s="27"/>
      <c r="BJ885" s="27"/>
      <c r="BK885" s="27"/>
      <c r="BL885" s="27"/>
      <c r="BM885" s="27"/>
      <c r="BN885" s="27"/>
      <c r="BO885" s="27"/>
      <c r="BP885" s="27"/>
      <c r="BQ885" s="27"/>
      <c r="BR885" s="27"/>
      <c r="BS885" s="27"/>
      <c r="BT885" s="27"/>
      <c r="BU885" s="27"/>
      <c r="BV885" s="27"/>
      <c r="BW885" s="27"/>
      <c r="BX885" s="27"/>
      <c r="BY885" s="27"/>
      <c r="BZ885" s="27"/>
      <c r="CA885" s="27"/>
      <c r="CB885" s="27"/>
      <c r="CC885" s="27"/>
      <c r="CD885" s="27"/>
      <c r="CE885" s="27"/>
      <c r="CF885" s="27"/>
      <c r="CG885" s="27"/>
      <c r="CH885" s="27"/>
      <c r="CI885" s="27"/>
      <c r="CJ885" s="27"/>
      <c r="CK885" s="27"/>
      <c r="CL885" s="27"/>
      <c r="CM885" s="27"/>
      <c r="CN885" s="27"/>
      <c r="CO885" s="27"/>
      <c r="CP885" s="27"/>
      <c r="CQ885" s="27"/>
      <c r="CR885" s="27"/>
      <c r="CS885" s="27"/>
      <c r="CT885" s="27"/>
      <c r="CU885" s="27"/>
      <c r="CV885" s="27"/>
      <c r="CW885" s="27"/>
      <c r="CX885" s="27"/>
      <c r="CY885" s="27"/>
      <c r="CZ885" s="27"/>
      <c r="DA885" s="27"/>
      <c r="DB885" s="27"/>
      <c r="DC885" s="27"/>
      <c r="DD885" s="27"/>
      <c r="DE885" s="27"/>
      <c r="DF885" s="27"/>
      <c r="DG885" s="27"/>
      <c r="DH885" s="27"/>
      <c r="DI885" s="27"/>
      <c r="DJ885" s="27"/>
      <c r="DK885" s="27"/>
      <c r="DL885" s="27"/>
      <c r="DM885" s="27"/>
      <c r="DN885" s="27"/>
      <c r="DO885" s="27"/>
      <c r="DP885" s="27"/>
      <c r="DQ885" s="27"/>
      <c r="DR885" s="27"/>
      <c r="DS885" s="27"/>
      <c r="DT885" s="27"/>
    </row>
    <row r="886" spans="7:124" x14ac:dyDescent="0.2">
      <c r="G886" s="27"/>
      <c r="H886" s="27"/>
      <c r="I886" s="27"/>
      <c r="J886" s="27"/>
      <c r="K886" s="27"/>
      <c r="L886" s="27"/>
      <c r="M886" s="27"/>
      <c r="N886" s="27"/>
      <c r="O886" s="27"/>
      <c r="P886" s="27"/>
      <c r="Q886" s="27"/>
      <c r="R886" s="27"/>
      <c r="S886" s="27"/>
      <c r="T886" s="27"/>
      <c r="U886" s="27"/>
      <c r="V886" s="27"/>
      <c r="W886" s="27"/>
      <c r="X886" s="27"/>
      <c r="Y886" s="27"/>
      <c r="Z886" s="27"/>
      <c r="AA886" s="27"/>
      <c r="AB886" s="27"/>
      <c r="AC886" s="27"/>
      <c r="AD886" s="27"/>
      <c r="AE886" s="27"/>
      <c r="AF886" s="27"/>
      <c r="AG886" s="27"/>
      <c r="AH886" s="27"/>
      <c r="AI886" s="27"/>
      <c r="AJ886" s="27"/>
      <c r="AK886" s="27"/>
      <c r="AL886" s="27"/>
      <c r="AM886" s="27"/>
      <c r="AN886" s="27"/>
      <c r="AO886" s="27"/>
      <c r="AP886" s="27"/>
      <c r="AQ886" s="27"/>
      <c r="AR886" s="27"/>
      <c r="AS886" s="27"/>
      <c r="AT886" s="27"/>
      <c r="AU886" s="27"/>
      <c r="AV886" s="27"/>
      <c r="AW886" s="27"/>
      <c r="AX886" s="27"/>
      <c r="AY886" s="27"/>
      <c r="AZ886" s="27"/>
      <c r="BA886" s="27"/>
      <c r="BB886" s="27"/>
      <c r="BC886" s="27"/>
      <c r="BD886" s="27"/>
      <c r="BE886" s="27"/>
      <c r="BF886" s="27"/>
      <c r="BG886" s="27"/>
      <c r="BH886" s="27"/>
      <c r="BI886" s="27"/>
      <c r="BJ886" s="27"/>
      <c r="BK886" s="27"/>
      <c r="BL886" s="27"/>
      <c r="BM886" s="27"/>
      <c r="BN886" s="27"/>
      <c r="BO886" s="27"/>
      <c r="BP886" s="27"/>
      <c r="BQ886" s="27"/>
      <c r="BR886" s="27"/>
      <c r="BS886" s="27"/>
      <c r="BT886" s="27"/>
      <c r="BU886" s="27"/>
      <c r="BV886" s="27"/>
      <c r="BW886" s="27"/>
      <c r="BX886" s="27"/>
      <c r="BY886" s="27"/>
      <c r="BZ886" s="27"/>
      <c r="CA886" s="27"/>
      <c r="CB886" s="27"/>
      <c r="CC886" s="27"/>
      <c r="CD886" s="27"/>
      <c r="CE886" s="27"/>
      <c r="CF886" s="27"/>
      <c r="CG886" s="27"/>
      <c r="CH886" s="27"/>
      <c r="CI886" s="27"/>
      <c r="CJ886" s="27"/>
      <c r="CK886" s="27"/>
      <c r="CL886" s="27"/>
      <c r="CM886" s="27"/>
      <c r="CN886" s="27"/>
      <c r="CO886" s="27"/>
      <c r="CP886" s="27"/>
      <c r="CQ886" s="27"/>
      <c r="CR886" s="27"/>
      <c r="CS886" s="27"/>
      <c r="CT886" s="27"/>
      <c r="CU886" s="27"/>
      <c r="CV886" s="27"/>
      <c r="CW886" s="27"/>
      <c r="CX886" s="27"/>
      <c r="CY886" s="27"/>
      <c r="CZ886" s="27"/>
      <c r="DA886" s="27"/>
      <c r="DB886" s="27"/>
      <c r="DC886" s="27"/>
      <c r="DD886" s="27"/>
      <c r="DE886" s="27"/>
      <c r="DF886" s="27"/>
      <c r="DG886" s="27"/>
      <c r="DH886" s="27"/>
      <c r="DI886" s="27"/>
      <c r="DJ886" s="27"/>
      <c r="DK886" s="27"/>
      <c r="DL886" s="27"/>
      <c r="DM886" s="27"/>
      <c r="DN886" s="27"/>
      <c r="DO886" s="27"/>
      <c r="DP886" s="27"/>
      <c r="DQ886" s="27"/>
      <c r="DR886" s="27"/>
      <c r="DS886" s="27"/>
      <c r="DT886" s="27"/>
    </row>
    <row r="887" spans="7:124" x14ac:dyDescent="0.2">
      <c r="G887" s="27"/>
      <c r="H887" s="27"/>
      <c r="I887" s="27"/>
      <c r="J887" s="27"/>
      <c r="K887" s="27">
        <f ca="1">(F927-O710)*2.4%</f>
        <v>-0.31128000000000017</v>
      </c>
      <c r="L887" s="27" t="s">
        <v>467</v>
      </c>
      <c r="M887" s="27"/>
      <c r="N887" s="27"/>
      <c r="O887" s="27"/>
      <c r="P887" s="27"/>
      <c r="Q887" s="27"/>
      <c r="R887" s="27"/>
      <c r="S887" s="27"/>
      <c r="T887" s="27"/>
      <c r="U887" s="27"/>
      <c r="V887" s="27"/>
      <c r="W887" s="27"/>
      <c r="X887" s="27"/>
      <c r="Y887" s="27"/>
      <c r="Z887" s="27"/>
      <c r="AA887" s="27"/>
      <c r="AB887" s="27"/>
      <c r="AC887" s="27"/>
      <c r="AD887" s="27"/>
      <c r="AE887" s="27"/>
      <c r="AF887" s="27"/>
      <c r="AG887" s="27"/>
      <c r="AH887" s="27"/>
      <c r="AI887" s="27"/>
      <c r="AJ887" s="27"/>
      <c r="AK887" s="27"/>
      <c r="AL887" s="27"/>
      <c r="AM887" s="27"/>
      <c r="AN887" s="27"/>
      <c r="AO887" s="27"/>
      <c r="AP887" s="27"/>
      <c r="AQ887" s="27"/>
      <c r="AR887" s="27"/>
      <c r="AS887" s="27"/>
      <c r="AT887" s="27"/>
      <c r="AU887" s="27"/>
      <c r="AV887" s="27"/>
      <c r="AW887" s="27"/>
      <c r="AX887" s="27"/>
      <c r="AY887" s="27"/>
      <c r="AZ887" s="27"/>
      <c r="BA887" s="27"/>
      <c r="BB887" s="27"/>
      <c r="BC887" s="27"/>
      <c r="BD887" s="27"/>
      <c r="BE887" s="27"/>
      <c r="BF887" s="27"/>
      <c r="BG887" s="27"/>
      <c r="BH887" s="27"/>
      <c r="BI887" s="27"/>
      <c r="BJ887" s="27"/>
      <c r="BK887" s="27"/>
      <c r="BL887" s="27"/>
      <c r="BM887" s="27"/>
      <c r="BN887" s="27"/>
      <c r="BO887" s="27"/>
      <c r="BP887" s="27"/>
      <c r="BQ887" s="27"/>
      <c r="BR887" s="27"/>
      <c r="BS887" s="27"/>
      <c r="BT887" s="27"/>
      <c r="BU887" s="27"/>
      <c r="BV887" s="27"/>
      <c r="BW887" s="27"/>
      <c r="BX887" s="27"/>
      <c r="BY887" s="27"/>
      <c r="BZ887" s="27"/>
      <c r="CA887" s="27"/>
      <c r="CB887" s="27"/>
      <c r="CC887" s="27"/>
      <c r="CD887" s="27"/>
      <c r="CE887" s="27"/>
      <c r="CF887" s="27"/>
      <c r="CG887" s="27"/>
      <c r="CH887" s="27"/>
      <c r="CI887" s="27"/>
      <c r="CJ887" s="27"/>
      <c r="CK887" s="27"/>
      <c r="CL887" s="27"/>
      <c r="CM887" s="27"/>
      <c r="CN887" s="27"/>
      <c r="CO887" s="27"/>
      <c r="CP887" s="27"/>
      <c r="CQ887" s="27"/>
      <c r="CR887" s="27"/>
      <c r="CS887" s="27"/>
      <c r="CT887" s="27"/>
      <c r="CU887" s="27"/>
      <c r="CV887" s="27"/>
      <c r="CW887" s="27"/>
      <c r="CX887" s="27"/>
      <c r="CY887" s="27"/>
      <c r="CZ887" s="27"/>
      <c r="DA887" s="27"/>
      <c r="DB887" s="27"/>
      <c r="DC887" s="27"/>
      <c r="DD887" s="27"/>
      <c r="DE887" s="27"/>
      <c r="DF887" s="27"/>
      <c r="DG887" s="27"/>
      <c r="DH887" s="27"/>
      <c r="DI887" s="27"/>
      <c r="DJ887" s="27"/>
      <c r="DK887" s="27"/>
      <c r="DL887" s="27"/>
      <c r="DM887" s="27"/>
      <c r="DN887" s="27"/>
      <c r="DO887" s="27"/>
      <c r="DP887" s="27"/>
      <c r="DQ887" s="27"/>
      <c r="DR887" s="27"/>
      <c r="DS887" s="27"/>
      <c r="DT887" s="27"/>
    </row>
    <row r="888" spans="7:124" x14ac:dyDescent="0.2">
      <c r="G888" s="27"/>
      <c r="H888" s="27">
        <f ca="1">DATE(YEAR(I775),MONTH(I775)-MONTH(I775)+1,DAY(I775)-DAY(I775)+1)</f>
        <v>45292</v>
      </c>
      <c r="I888" s="27"/>
      <c r="J888" s="27"/>
      <c r="K888" s="27">
        <f>IF(W719=0,0,IF(F927-O710+BB780&gt;13,13,F927-O710+BB780))</f>
        <v>0</v>
      </c>
      <c r="L888" s="27" t="s">
        <v>468</v>
      </c>
      <c r="M888" s="27"/>
      <c r="N888" s="27"/>
      <c r="O888" s="27"/>
      <c r="P888" s="27"/>
      <c r="Q888" s="27"/>
      <c r="R888" s="27"/>
      <c r="S888" s="27"/>
      <c r="T888" s="27"/>
      <c r="U888" s="27"/>
      <c r="V888" s="27"/>
      <c r="W888" s="27"/>
      <c r="X888" s="27"/>
      <c r="Y888" s="27"/>
      <c r="Z888" s="27"/>
      <c r="AA888" s="27"/>
      <c r="AB888" s="27"/>
      <c r="AC888" s="27"/>
      <c r="AD888" s="27"/>
      <c r="AE888" s="27"/>
      <c r="AF888" s="27"/>
      <c r="AG888" s="27"/>
      <c r="AH888" s="27"/>
      <c r="AI888" s="27"/>
      <c r="AJ888" s="27"/>
      <c r="AK888" s="27"/>
      <c r="AL888" s="27"/>
      <c r="AM888" s="27"/>
      <c r="AN888" s="27"/>
      <c r="AO888" s="27"/>
      <c r="AP888" s="27"/>
      <c r="AQ888" s="27"/>
      <c r="AR888" s="27"/>
      <c r="AS888" s="27"/>
      <c r="AT888" s="27"/>
      <c r="AU888" s="27"/>
      <c r="AV888" s="27"/>
      <c r="AW888" s="27"/>
      <c r="AX888" s="27"/>
      <c r="AY888" s="27"/>
      <c r="AZ888" s="27"/>
      <c r="BA888" s="27"/>
      <c r="BB888" s="27"/>
      <c r="BC888" s="27"/>
      <c r="BD888" s="27"/>
      <c r="BE888" s="27"/>
      <c r="BF888" s="27"/>
      <c r="BG888" s="27"/>
      <c r="BH888" s="27"/>
      <c r="BI888" s="27"/>
      <c r="BJ888" s="27"/>
      <c r="BK888" s="27"/>
      <c r="BL888" s="27"/>
      <c r="BM888" s="27"/>
      <c r="BN888" s="27"/>
      <c r="BO888" s="27"/>
      <c r="BP888" s="27"/>
      <c r="BQ888" s="27"/>
      <c r="BR888" s="27"/>
      <c r="BS888" s="27"/>
      <c r="BT888" s="27"/>
      <c r="BU888" s="27"/>
      <c r="BV888" s="27"/>
      <c r="BW888" s="27"/>
      <c r="BX888" s="27"/>
      <c r="BY888" s="27"/>
      <c r="BZ888" s="27"/>
      <c r="CA888" s="27"/>
      <c r="CB888" s="27"/>
      <c r="CC888" s="27"/>
      <c r="CD888" s="27"/>
      <c r="CE888" s="27"/>
      <c r="CF888" s="27"/>
      <c r="CG888" s="27"/>
      <c r="CH888" s="27"/>
      <c r="CI888" s="27"/>
      <c r="CJ888" s="27"/>
      <c r="CK888" s="27"/>
      <c r="CL888" s="27"/>
      <c r="CM888" s="27"/>
      <c r="CN888" s="27"/>
      <c r="CO888" s="27"/>
      <c r="CP888" s="27"/>
      <c r="CQ888" s="27"/>
      <c r="CR888" s="27"/>
      <c r="CS888" s="27"/>
      <c r="CT888" s="27"/>
      <c r="CU888" s="27"/>
      <c r="CV888" s="27"/>
      <c r="CW888" s="27"/>
      <c r="CX888" s="27"/>
      <c r="CY888" s="27"/>
      <c r="CZ888" s="27"/>
      <c r="DA888" s="27"/>
      <c r="DB888" s="27"/>
      <c r="DC888" s="27"/>
      <c r="DD888" s="27"/>
      <c r="DE888" s="27"/>
      <c r="DF888" s="27"/>
      <c r="DG888" s="27"/>
      <c r="DH888" s="27"/>
      <c r="DI888" s="27"/>
      <c r="DJ888" s="27"/>
      <c r="DK888" s="27"/>
      <c r="DL888" s="27"/>
      <c r="DM888" s="27"/>
      <c r="DN888" s="27"/>
      <c r="DO888" s="27"/>
      <c r="DP888" s="27"/>
      <c r="DQ888" s="27"/>
      <c r="DR888" s="27"/>
      <c r="DS888" s="27"/>
      <c r="DT888" s="27"/>
    </row>
    <row r="889" spans="7:124" x14ac:dyDescent="0.2">
      <c r="G889" s="27"/>
      <c r="H889" s="27"/>
      <c r="I889" s="27"/>
      <c r="J889" s="27"/>
      <c r="K889" s="27"/>
      <c r="L889" s="27" t="s">
        <v>470</v>
      </c>
      <c r="M889" s="27"/>
      <c r="N889" s="27"/>
      <c r="O889" s="27"/>
      <c r="P889" s="27"/>
      <c r="Q889" s="27"/>
      <c r="R889" s="27"/>
      <c r="S889" s="27"/>
      <c r="T889" s="27"/>
      <c r="U889" s="27"/>
      <c r="V889" s="27"/>
      <c r="W889" s="27"/>
      <c r="X889" s="27"/>
      <c r="Y889" s="27"/>
      <c r="Z889" s="27"/>
      <c r="AA889" s="27"/>
      <c r="AB889" s="27"/>
      <c r="AC889" s="27"/>
      <c r="AD889" s="27"/>
      <c r="AE889" s="27"/>
      <c r="AF889" s="27"/>
      <c r="AG889" s="27"/>
      <c r="AH889" s="27"/>
      <c r="AI889" s="27"/>
      <c r="AJ889" s="27"/>
      <c r="AK889" s="27"/>
      <c r="AL889" s="27"/>
      <c r="AM889" s="27"/>
      <c r="AN889" s="27"/>
      <c r="AO889" s="27"/>
      <c r="AP889" s="27"/>
      <c r="AQ889" s="27"/>
      <c r="AR889" s="27"/>
      <c r="AS889" s="27"/>
      <c r="AT889" s="27"/>
      <c r="AU889" s="27"/>
      <c r="AV889" s="27"/>
      <c r="AW889" s="27"/>
      <c r="AX889" s="27"/>
      <c r="AY889" s="27"/>
      <c r="AZ889" s="27"/>
      <c r="BA889" s="27"/>
      <c r="BB889" s="27"/>
      <c r="BC889" s="27"/>
      <c r="BD889" s="27"/>
      <c r="BE889" s="27"/>
      <c r="BF889" s="27"/>
      <c r="BG889" s="27"/>
      <c r="BH889" s="27"/>
      <c r="BI889" s="27"/>
      <c r="BJ889" s="27"/>
      <c r="BK889" s="27"/>
      <c r="BL889" s="27"/>
      <c r="BM889" s="27"/>
      <c r="BN889" s="27"/>
      <c r="BO889" s="27"/>
      <c r="BP889" s="27"/>
      <c r="BQ889" s="27"/>
      <c r="BR889" s="27"/>
      <c r="BS889" s="27"/>
      <c r="BT889" s="27"/>
      <c r="BU889" s="27"/>
      <c r="BV889" s="27"/>
      <c r="BW889" s="27"/>
      <c r="BX889" s="27"/>
      <c r="BY889" s="27"/>
      <c r="BZ889" s="27"/>
      <c r="CA889" s="27"/>
      <c r="CB889" s="27"/>
      <c r="CC889" s="27"/>
      <c r="CD889" s="27"/>
      <c r="CE889" s="27"/>
      <c r="CF889" s="27"/>
      <c r="CG889" s="27"/>
      <c r="CH889" s="27"/>
      <c r="CI889" s="27"/>
      <c r="CJ889" s="27"/>
      <c r="CK889" s="27"/>
      <c r="CL889" s="27"/>
      <c r="CM889" s="27"/>
      <c r="CN889" s="27"/>
      <c r="CO889" s="27"/>
      <c r="CP889" s="27"/>
      <c r="CQ889" s="27"/>
      <c r="CR889" s="27"/>
      <c r="CS889" s="27"/>
      <c r="CT889" s="27"/>
      <c r="CU889" s="27"/>
      <c r="CV889" s="27"/>
      <c r="CW889" s="27"/>
      <c r="CX889" s="27"/>
      <c r="CY889" s="27"/>
      <c r="CZ889" s="27"/>
      <c r="DA889" s="27"/>
      <c r="DB889" s="27"/>
      <c r="DC889" s="27"/>
      <c r="DD889" s="27"/>
      <c r="DE889" s="27"/>
      <c r="DF889" s="27"/>
      <c r="DG889" s="27"/>
      <c r="DH889" s="27"/>
      <c r="DI889" s="27"/>
      <c r="DJ889" s="27"/>
      <c r="DK889" s="27"/>
      <c r="DL889" s="27"/>
      <c r="DM889" s="27"/>
      <c r="DN889" s="27"/>
      <c r="DO889" s="27"/>
      <c r="DP889" s="27"/>
      <c r="DQ889" s="27"/>
      <c r="DR889" s="27"/>
      <c r="DS889" s="27"/>
      <c r="DT889" s="27"/>
    </row>
    <row r="890" spans="7:124" x14ac:dyDescent="0.2">
      <c r="G890" s="27"/>
      <c r="H890" s="27"/>
      <c r="I890" s="27">
        <f>IF(G944-Z716&lt;3,0,IF(G944-Z716&lt;6,1,IF(G944-Z716&lt;9,2,IF(G944-Z716&lt;12,H882+3,IF(G944-Z716&lt;13,H882+4,IF(G944-Z716&lt;16,H882+5,IF(G944-Z716&lt;19,H882+6,IF(G944-Z716&lt;22,H882+7))))))))</f>
        <v>0</v>
      </c>
      <c r="J890" s="27"/>
      <c r="K890" s="27"/>
      <c r="L890" s="27" t="s">
        <v>471</v>
      </c>
      <c r="M890" s="27"/>
      <c r="N890" s="27"/>
      <c r="O890" s="27"/>
      <c r="P890" s="27"/>
      <c r="Q890" s="27"/>
      <c r="R890" s="27"/>
      <c r="S890" s="27"/>
      <c r="T890" s="27"/>
      <c r="U890" s="27"/>
      <c r="V890" s="27"/>
      <c r="W890" s="27"/>
      <c r="X890" s="27"/>
      <c r="Y890" s="27"/>
      <c r="Z890" s="27"/>
      <c r="AA890" s="27"/>
      <c r="AB890" s="27"/>
      <c r="AC890" s="27"/>
      <c r="AD890" s="27"/>
      <c r="AE890" s="27"/>
      <c r="AF890" s="27"/>
      <c r="AG890" s="27"/>
      <c r="AH890" s="27"/>
      <c r="AI890" s="27"/>
      <c r="AJ890" s="27"/>
      <c r="AK890" s="27"/>
      <c r="AL890" s="27"/>
      <c r="AM890" s="27"/>
      <c r="AN890" s="27"/>
      <c r="AO890" s="27"/>
      <c r="AP890" s="27"/>
      <c r="AQ890" s="27"/>
      <c r="AR890" s="27"/>
      <c r="AS890" s="27"/>
      <c r="AT890" s="27"/>
      <c r="AU890" s="27"/>
      <c r="AV890" s="27"/>
      <c r="AW890" s="27"/>
      <c r="AX890" s="27"/>
      <c r="AY890" s="27"/>
      <c r="AZ890" s="27"/>
      <c r="BA890" s="27"/>
      <c r="BB890" s="27"/>
      <c r="BC890" s="27"/>
      <c r="BD890" s="27"/>
      <c r="BE890" s="27"/>
      <c r="BF890" s="27"/>
      <c r="BG890" s="27"/>
      <c r="BH890" s="27"/>
      <c r="BI890" s="27"/>
      <c r="BJ890" s="27"/>
      <c r="BK890" s="27"/>
      <c r="BL890" s="27"/>
      <c r="BM890" s="27"/>
      <c r="BN890" s="27"/>
      <c r="BO890" s="27"/>
      <c r="BP890" s="27"/>
      <c r="BQ890" s="27"/>
      <c r="BR890" s="27"/>
      <c r="BS890" s="27"/>
      <c r="BT890" s="27"/>
      <c r="BU890" s="27"/>
      <c r="BV890" s="27"/>
      <c r="BW890" s="27"/>
      <c r="BX890" s="27"/>
      <c r="BY890" s="27"/>
      <c r="BZ890" s="27"/>
      <c r="CA890" s="27"/>
      <c r="CB890" s="27"/>
      <c r="CC890" s="27"/>
      <c r="CD890" s="27"/>
      <c r="CE890" s="27"/>
      <c r="CF890" s="27"/>
      <c r="CG890" s="27"/>
      <c r="CH890" s="27"/>
      <c r="CI890" s="27"/>
      <c r="CJ890" s="27"/>
      <c r="CK890" s="27"/>
      <c r="CL890" s="27"/>
      <c r="CM890" s="27"/>
      <c r="CN890" s="27"/>
      <c r="CO890" s="27"/>
      <c r="CP890" s="27"/>
      <c r="CQ890" s="27"/>
      <c r="CR890" s="27"/>
      <c r="CS890" s="27"/>
      <c r="CT890" s="27"/>
      <c r="CU890" s="27"/>
      <c r="CV890" s="27"/>
      <c r="CW890" s="27"/>
      <c r="CX890" s="27"/>
      <c r="CY890" s="27"/>
      <c r="CZ890" s="27"/>
      <c r="DA890" s="27"/>
      <c r="DB890" s="27"/>
      <c r="DC890" s="27"/>
      <c r="DD890" s="27"/>
      <c r="DE890" s="27"/>
      <c r="DF890" s="27"/>
      <c r="DG890" s="27"/>
      <c r="DH890" s="27"/>
      <c r="DI890" s="27"/>
      <c r="DJ890" s="27"/>
      <c r="DK890" s="27"/>
      <c r="DL890" s="27"/>
      <c r="DM890" s="27"/>
      <c r="DN890" s="27"/>
      <c r="DO890" s="27"/>
      <c r="DP890" s="27"/>
      <c r="DQ890" s="27"/>
      <c r="DR890" s="27"/>
      <c r="DS890" s="27"/>
      <c r="DT890" s="27"/>
    </row>
    <row r="891" spans="7:124" x14ac:dyDescent="0.2">
      <c r="G891" s="27"/>
      <c r="H891" s="27"/>
      <c r="I891" s="27"/>
      <c r="J891" s="27"/>
      <c r="K891" s="27"/>
      <c r="L891" s="27" t="s">
        <v>472</v>
      </c>
      <c r="M891" s="27"/>
      <c r="N891" s="27"/>
      <c r="O891" s="27"/>
      <c r="P891" s="27"/>
      <c r="Q891" s="27"/>
      <c r="R891" s="27"/>
      <c r="S891" s="27"/>
      <c r="T891" s="27"/>
      <c r="U891" s="27"/>
      <c r="V891" s="27"/>
      <c r="W891" s="27"/>
      <c r="X891" s="27"/>
      <c r="Y891" s="27"/>
      <c r="Z891" s="27"/>
      <c r="AA891" s="27"/>
      <c r="AB891" s="27"/>
      <c r="AC891" s="27"/>
      <c r="AD891" s="27"/>
      <c r="AE891" s="27"/>
      <c r="AF891" s="27"/>
      <c r="AG891" s="27"/>
      <c r="AH891" s="27"/>
      <c r="AI891" s="27"/>
      <c r="AJ891" s="27"/>
      <c r="AK891" s="27"/>
      <c r="AL891" s="27"/>
      <c r="AM891" s="27"/>
      <c r="AN891" s="27"/>
      <c r="AO891" s="27"/>
      <c r="AP891" s="27"/>
      <c r="AQ891" s="27"/>
      <c r="AR891" s="27"/>
      <c r="AS891" s="27"/>
      <c r="AT891" s="27"/>
      <c r="AU891" s="27"/>
      <c r="AV891" s="27"/>
      <c r="AW891" s="27"/>
      <c r="AX891" s="27"/>
      <c r="AY891" s="27"/>
      <c r="AZ891" s="27"/>
      <c r="BA891" s="27"/>
      <c r="BB891" s="27"/>
      <c r="BC891" s="27"/>
      <c r="BD891" s="27"/>
      <c r="BE891" s="27"/>
      <c r="BF891" s="27"/>
      <c r="BG891" s="27"/>
      <c r="BH891" s="27"/>
      <c r="BI891" s="27"/>
      <c r="BJ891" s="27"/>
      <c r="BK891" s="27"/>
      <c r="BL891" s="27"/>
      <c r="BM891" s="27"/>
      <c r="BN891" s="27"/>
      <c r="BO891" s="27"/>
      <c r="BP891" s="27"/>
      <c r="BQ891" s="27"/>
      <c r="BR891" s="27"/>
      <c r="BS891" s="27"/>
      <c r="BT891" s="27"/>
      <c r="BU891" s="27"/>
      <c r="BV891" s="27"/>
      <c r="BW891" s="27"/>
      <c r="BX891" s="27"/>
      <c r="BY891" s="27"/>
      <c r="BZ891" s="27"/>
      <c r="CA891" s="27"/>
      <c r="CB891" s="27"/>
      <c r="CC891" s="27"/>
      <c r="CD891" s="27"/>
      <c r="CE891" s="27"/>
      <c r="CF891" s="27"/>
      <c r="CG891" s="27"/>
      <c r="CH891" s="27"/>
      <c r="CI891" s="27"/>
      <c r="CJ891" s="27"/>
      <c r="CK891" s="27"/>
      <c r="CL891" s="27"/>
      <c r="CM891" s="27"/>
      <c r="CN891" s="27"/>
      <c r="CO891" s="27"/>
      <c r="CP891" s="27"/>
      <c r="CQ891" s="27"/>
      <c r="CR891" s="27"/>
      <c r="CS891" s="27"/>
      <c r="CT891" s="27"/>
      <c r="CU891" s="27"/>
      <c r="CV891" s="27"/>
      <c r="CW891" s="27"/>
      <c r="CX891" s="27"/>
      <c r="CY891" s="27"/>
      <c r="CZ891" s="27"/>
      <c r="DA891" s="27"/>
      <c r="DB891" s="27"/>
      <c r="DC891" s="27"/>
      <c r="DD891" s="27"/>
      <c r="DE891" s="27"/>
      <c r="DF891" s="27"/>
      <c r="DG891" s="27"/>
      <c r="DH891" s="27"/>
      <c r="DI891" s="27"/>
      <c r="DJ891" s="27"/>
      <c r="DK891" s="27"/>
      <c r="DL891" s="27"/>
      <c r="DM891" s="27"/>
      <c r="DN891" s="27"/>
      <c r="DO891" s="27"/>
      <c r="DP891" s="27"/>
      <c r="DQ891" s="27"/>
      <c r="DR891" s="27"/>
      <c r="DS891" s="27"/>
      <c r="DT891" s="27"/>
    </row>
    <row r="892" spans="7:124" x14ac:dyDescent="0.2">
      <c r="G892" s="27"/>
      <c r="H892" s="27" t="e">
        <f>E929</f>
        <v>#REF!</v>
      </c>
      <c r="I892" s="27"/>
      <c r="J892" s="27"/>
      <c r="K892" s="27"/>
      <c r="L892" s="27" t="s">
        <v>473</v>
      </c>
      <c r="M892" s="27"/>
      <c r="N892" s="27"/>
      <c r="O892" s="27"/>
      <c r="P892" s="27"/>
      <c r="Q892" s="27"/>
      <c r="R892" s="27"/>
      <c r="S892" s="27"/>
      <c r="T892" s="27"/>
      <c r="U892" s="27"/>
      <c r="V892" s="27"/>
      <c r="W892" s="27"/>
      <c r="X892" s="27"/>
      <c r="Y892" s="27"/>
      <c r="Z892" s="27"/>
      <c r="AA892" s="27"/>
      <c r="AB892" s="27"/>
      <c r="AC892" s="27"/>
      <c r="AD892" s="27"/>
      <c r="AE892" s="27"/>
      <c r="AF892" s="27"/>
      <c r="AG892" s="27"/>
      <c r="AH892" s="27"/>
      <c r="AI892" s="27"/>
      <c r="AJ892" s="27"/>
      <c r="AK892" s="27"/>
      <c r="AL892" s="27"/>
      <c r="AM892" s="27"/>
      <c r="AN892" s="27"/>
      <c r="AO892" s="27"/>
      <c r="AP892" s="27"/>
      <c r="AQ892" s="27"/>
      <c r="AR892" s="27"/>
      <c r="AS892" s="27"/>
      <c r="AT892" s="27"/>
      <c r="AU892" s="27"/>
      <c r="AV892" s="27"/>
      <c r="AW892" s="27"/>
      <c r="AX892" s="27"/>
      <c r="AY892" s="27"/>
      <c r="AZ892" s="27"/>
      <c r="BA892" s="27"/>
      <c r="BB892" s="27"/>
      <c r="BC892" s="27"/>
      <c r="BD892" s="27"/>
      <c r="BE892" s="27"/>
      <c r="BF892" s="27"/>
      <c r="BG892" s="27"/>
      <c r="BH892" s="27"/>
      <c r="BI892" s="27"/>
      <c r="BJ892" s="27"/>
      <c r="BK892" s="27"/>
      <c r="BL892" s="27"/>
      <c r="BM892" s="27"/>
      <c r="BN892" s="27"/>
      <c r="BO892" s="27"/>
      <c r="BP892" s="27"/>
      <c r="BQ892" s="27"/>
      <c r="BR892" s="27"/>
      <c r="BS892" s="27"/>
      <c r="BT892" s="27"/>
      <c r="BU892" s="27"/>
      <c r="BV892" s="27"/>
      <c r="BW892" s="27"/>
      <c r="BX892" s="27"/>
      <c r="BY892" s="27"/>
      <c r="BZ892" s="27"/>
      <c r="CA892" s="27"/>
      <c r="CB892" s="27"/>
      <c r="CC892" s="27"/>
      <c r="CD892" s="27"/>
      <c r="CE892" s="27"/>
      <c r="CF892" s="27"/>
      <c r="CG892" s="27"/>
      <c r="CH892" s="27"/>
      <c r="CI892" s="27"/>
      <c r="CJ892" s="27"/>
      <c r="CK892" s="27"/>
      <c r="CL892" s="27"/>
      <c r="CM892" s="27"/>
      <c r="CN892" s="27"/>
      <c r="CO892" s="27"/>
      <c r="CP892" s="27"/>
      <c r="CQ892" s="27"/>
      <c r="CR892" s="27"/>
      <c r="CS892" s="27"/>
      <c r="CT892" s="27"/>
      <c r="CU892" s="27"/>
      <c r="CV892" s="27"/>
      <c r="CW892" s="27"/>
      <c r="CX892" s="27"/>
      <c r="CY892" s="27"/>
      <c r="CZ892" s="27"/>
      <c r="DA892" s="27"/>
      <c r="DB892" s="27"/>
      <c r="DC892" s="27"/>
      <c r="DD892" s="27"/>
      <c r="DE892" s="27"/>
      <c r="DF892" s="27"/>
      <c r="DG892" s="27"/>
      <c r="DH892" s="27"/>
      <c r="DI892" s="27"/>
      <c r="DJ892" s="27"/>
      <c r="DK892" s="27"/>
      <c r="DL892" s="27"/>
      <c r="DM892" s="27"/>
      <c r="DN892" s="27"/>
      <c r="DO892" s="27"/>
      <c r="DP892" s="27"/>
      <c r="DQ892" s="27"/>
      <c r="DR892" s="27"/>
      <c r="DS892" s="27"/>
      <c r="DT892" s="27"/>
    </row>
    <row r="893" spans="7:124" x14ac:dyDescent="0.2">
      <c r="G893" s="27"/>
      <c r="H893" s="27"/>
      <c r="I893" s="27"/>
      <c r="J893" s="27"/>
      <c r="K893" s="27"/>
      <c r="L893" s="27"/>
      <c r="M893" s="27"/>
      <c r="N893" s="27"/>
      <c r="O893" s="27"/>
      <c r="P893" s="27"/>
      <c r="Q893" s="27"/>
      <c r="R893" s="27"/>
      <c r="S893" s="27"/>
      <c r="T893" s="27"/>
      <c r="U893" s="27"/>
      <c r="V893" s="27"/>
      <c r="W893" s="27"/>
      <c r="X893" s="27"/>
      <c r="Y893" s="27"/>
      <c r="Z893" s="27"/>
      <c r="AA893" s="27"/>
      <c r="AB893" s="27"/>
      <c r="AC893" s="27"/>
      <c r="AD893" s="27"/>
      <c r="AE893" s="27"/>
      <c r="AF893" s="27"/>
      <c r="AG893" s="27"/>
      <c r="AH893" s="27"/>
      <c r="AI893" s="27"/>
      <c r="AJ893" s="27"/>
      <c r="AK893" s="27"/>
      <c r="AL893" s="27"/>
      <c r="AM893" s="27"/>
      <c r="AN893" s="27"/>
      <c r="AO893" s="27"/>
      <c r="AP893" s="27"/>
      <c r="AQ893" s="27"/>
      <c r="AR893" s="27"/>
      <c r="AS893" s="27"/>
      <c r="AT893" s="27"/>
      <c r="AU893" s="27"/>
      <c r="AV893" s="27"/>
      <c r="AW893" s="27"/>
      <c r="AX893" s="27"/>
      <c r="AY893" s="27"/>
      <c r="AZ893" s="27"/>
      <c r="BA893" s="27"/>
      <c r="BB893" s="27"/>
      <c r="BC893" s="27"/>
      <c r="BD893" s="27"/>
      <c r="BE893" s="27"/>
      <c r="BF893" s="27"/>
      <c r="BG893" s="27"/>
      <c r="BH893" s="27"/>
      <c r="BI893" s="27"/>
      <c r="BJ893" s="27"/>
      <c r="BK893" s="27"/>
      <c r="BL893" s="27"/>
      <c r="BM893" s="27"/>
      <c r="BN893" s="27"/>
      <c r="BO893" s="27"/>
      <c r="BP893" s="27"/>
      <c r="BQ893" s="27"/>
      <c r="BR893" s="27"/>
      <c r="BS893" s="27"/>
      <c r="BT893" s="27"/>
      <c r="BU893" s="27"/>
      <c r="BV893" s="27"/>
      <c r="BW893" s="27"/>
      <c r="BX893" s="27"/>
      <c r="BY893" s="27"/>
      <c r="BZ893" s="27"/>
      <c r="CA893" s="27"/>
      <c r="CB893" s="27"/>
      <c r="CC893" s="27"/>
      <c r="CD893" s="27"/>
      <c r="CE893" s="27"/>
      <c r="CF893" s="27"/>
      <c r="CG893" s="27"/>
      <c r="CH893" s="27"/>
      <c r="CI893" s="27"/>
      <c r="CJ893" s="27"/>
      <c r="CK893" s="27"/>
      <c r="CL893" s="27"/>
      <c r="CM893" s="27"/>
      <c r="CN893" s="27"/>
      <c r="CO893" s="27"/>
      <c r="CP893" s="27"/>
      <c r="CQ893" s="27"/>
      <c r="CR893" s="27"/>
      <c r="CS893" s="27"/>
      <c r="CT893" s="27"/>
      <c r="CU893" s="27"/>
      <c r="CV893" s="27"/>
      <c r="CW893" s="27"/>
      <c r="CX893" s="27"/>
      <c r="CY893" s="27"/>
      <c r="CZ893" s="27"/>
      <c r="DA893" s="27"/>
      <c r="DB893" s="27"/>
      <c r="DC893" s="27"/>
      <c r="DD893" s="27"/>
      <c r="DE893" s="27"/>
      <c r="DF893" s="27"/>
      <c r="DG893" s="27"/>
      <c r="DH893" s="27"/>
      <c r="DI893" s="27"/>
      <c r="DJ893" s="27"/>
      <c r="DK893" s="27"/>
      <c r="DL893" s="27"/>
      <c r="DM893" s="27"/>
      <c r="DN893" s="27"/>
      <c r="DO893" s="27"/>
      <c r="DP893" s="27"/>
      <c r="DQ893" s="27"/>
      <c r="DR893" s="27"/>
      <c r="DS893" s="27"/>
      <c r="DT893" s="27"/>
    </row>
    <row r="894" spans="7:124" x14ac:dyDescent="0.2">
      <c r="G894" s="27"/>
      <c r="H894" s="27" t="s">
        <v>59</v>
      </c>
      <c r="I894" s="27"/>
      <c r="J894" s="27"/>
      <c r="K894" s="27"/>
      <c r="L894" s="27"/>
      <c r="M894" s="27"/>
      <c r="N894" s="27"/>
      <c r="O894" s="27"/>
      <c r="P894" s="27"/>
      <c r="Q894" s="27"/>
      <c r="R894" s="27"/>
      <c r="S894" s="27"/>
      <c r="T894" s="27"/>
      <c r="U894" s="27"/>
      <c r="V894" s="27"/>
      <c r="W894" s="27"/>
      <c r="X894" s="27"/>
      <c r="Y894" s="27"/>
      <c r="Z894" s="27"/>
      <c r="AA894" s="27"/>
      <c r="AB894" s="27"/>
      <c r="AC894" s="27"/>
      <c r="AD894" s="27"/>
      <c r="AE894" s="27"/>
      <c r="AF894" s="27"/>
      <c r="AG894" s="27"/>
      <c r="AH894" s="27"/>
      <c r="AI894" s="27"/>
      <c r="AJ894" s="27"/>
      <c r="AK894" s="27"/>
      <c r="AL894" s="27"/>
      <c r="AM894" s="27"/>
      <c r="AN894" s="27"/>
      <c r="AO894" s="27"/>
      <c r="AP894" s="27"/>
      <c r="AQ894" s="27"/>
      <c r="AR894" s="27"/>
      <c r="AS894" s="27"/>
      <c r="AT894" s="27"/>
      <c r="AU894" s="27"/>
      <c r="AV894" s="27"/>
      <c r="AW894" s="27"/>
      <c r="AX894" s="27"/>
      <c r="AY894" s="27"/>
      <c r="AZ894" s="27"/>
      <c r="BA894" s="27"/>
      <c r="BB894" s="27"/>
      <c r="BC894" s="27"/>
      <c r="BD894" s="27"/>
      <c r="BE894" s="27"/>
      <c r="BF894" s="27"/>
      <c r="BG894" s="27"/>
      <c r="BH894" s="27"/>
      <c r="BI894" s="27"/>
      <c r="BJ894" s="27"/>
      <c r="BK894" s="27"/>
      <c r="BL894" s="27"/>
      <c r="BM894" s="27"/>
      <c r="BN894" s="27"/>
      <c r="BO894" s="27"/>
      <c r="BP894" s="27"/>
      <c r="BQ894" s="27"/>
      <c r="BR894" s="27"/>
      <c r="BS894" s="27"/>
      <c r="BT894" s="27"/>
      <c r="BU894" s="27"/>
      <c r="BV894" s="27"/>
      <c r="BW894" s="27"/>
      <c r="BX894" s="27"/>
      <c r="BY894" s="27"/>
      <c r="BZ894" s="27"/>
      <c r="CA894" s="27"/>
      <c r="CB894" s="27"/>
      <c r="CC894" s="27"/>
      <c r="CD894" s="27"/>
      <c r="CE894" s="27"/>
      <c r="CF894" s="27"/>
      <c r="CG894" s="27"/>
      <c r="CH894" s="27"/>
      <c r="CI894" s="27"/>
      <c r="CJ894" s="27"/>
      <c r="CK894" s="27"/>
      <c r="CL894" s="27"/>
      <c r="CM894" s="27"/>
      <c r="CN894" s="27"/>
      <c r="CO894" s="27"/>
      <c r="CP894" s="27"/>
      <c r="CQ894" s="27"/>
      <c r="CR894" s="27"/>
      <c r="CS894" s="27"/>
      <c r="CT894" s="27"/>
      <c r="CU894" s="27"/>
      <c r="CV894" s="27"/>
      <c r="CW894" s="27"/>
      <c r="CX894" s="27"/>
      <c r="CY894" s="27"/>
      <c r="CZ894" s="27"/>
      <c r="DA894" s="27"/>
      <c r="DB894" s="27"/>
      <c r="DC894" s="27"/>
      <c r="DD894" s="27"/>
      <c r="DE894" s="27"/>
      <c r="DF894" s="27"/>
      <c r="DG894" s="27"/>
      <c r="DH894" s="27"/>
      <c r="DI894" s="27"/>
      <c r="DJ894" s="27"/>
      <c r="DK894" s="27"/>
      <c r="DL894" s="27"/>
      <c r="DM894" s="27"/>
      <c r="DN894" s="27"/>
      <c r="DO894" s="27"/>
      <c r="DP894" s="27"/>
      <c r="DQ894" s="27"/>
      <c r="DR894" s="27"/>
      <c r="DS894" s="27"/>
      <c r="DT894" s="27"/>
    </row>
    <row r="895" spans="7:124" x14ac:dyDescent="0.2">
      <c r="G895" s="27"/>
      <c r="H895" s="27" t="s">
        <v>59</v>
      </c>
      <c r="I895" s="27"/>
      <c r="J895" s="27"/>
      <c r="K895" s="27"/>
      <c r="L895" s="27"/>
      <c r="M895" s="27"/>
      <c r="N895" s="27"/>
      <c r="O895" s="27"/>
      <c r="P895" s="27"/>
      <c r="Q895" s="27"/>
      <c r="R895" s="27"/>
      <c r="S895" s="27"/>
      <c r="T895" s="27"/>
      <c r="U895" s="27"/>
      <c r="V895" s="27"/>
      <c r="W895" s="27"/>
      <c r="X895" s="27"/>
      <c r="Y895" s="27"/>
      <c r="Z895" s="27"/>
      <c r="AA895" s="27"/>
      <c r="AB895" s="27"/>
      <c r="AC895" s="27"/>
      <c r="AD895" s="27"/>
      <c r="AE895" s="27"/>
      <c r="AF895" s="27"/>
      <c r="AG895" s="27"/>
      <c r="AH895" s="27"/>
      <c r="AI895" s="27"/>
      <c r="AJ895" s="27"/>
      <c r="AK895" s="27"/>
      <c r="AL895" s="27"/>
      <c r="AM895" s="27"/>
      <c r="AN895" s="27"/>
      <c r="AO895" s="27"/>
      <c r="AP895" s="27"/>
      <c r="AQ895" s="27"/>
      <c r="AR895" s="27"/>
      <c r="AS895" s="27"/>
      <c r="AT895" s="27"/>
      <c r="AU895" s="27"/>
      <c r="AV895" s="27"/>
      <c r="AW895" s="27"/>
      <c r="AX895" s="27"/>
      <c r="AY895" s="27"/>
      <c r="AZ895" s="27"/>
      <c r="BA895" s="27"/>
      <c r="BB895" s="27"/>
      <c r="BC895" s="27"/>
      <c r="BD895" s="27"/>
      <c r="BE895" s="27"/>
      <c r="BF895" s="27"/>
      <c r="BG895" s="27"/>
      <c r="BH895" s="27"/>
      <c r="BI895" s="27"/>
      <c r="BJ895" s="27"/>
      <c r="BK895" s="27"/>
      <c r="BL895" s="27"/>
      <c r="BM895" s="27"/>
      <c r="BN895" s="27"/>
      <c r="BO895" s="27"/>
      <c r="BP895" s="27"/>
      <c r="BQ895" s="27"/>
      <c r="BR895" s="27"/>
      <c r="BS895" s="27"/>
      <c r="BT895" s="27"/>
      <c r="BU895" s="27"/>
      <c r="BV895" s="27"/>
      <c r="BW895" s="27"/>
      <c r="BX895" s="27"/>
      <c r="BY895" s="27"/>
      <c r="BZ895" s="27"/>
      <c r="CA895" s="27"/>
      <c r="CB895" s="27"/>
      <c r="CC895" s="27"/>
      <c r="CD895" s="27"/>
      <c r="CE895" s="27"/>
      <c r="CF895" s="27"/>
      <c r="CG895" s="27"/>
      <c r="CH895" s="27"/>
      <c r="CI895" s="27"/>
      <c r="CJ895" s="27"/>
      <c r="CK895" s="27"/>
      <c r="CL895" s="27"/>
      <c r="CM895" s="27"/>
      <c r="CN895" s="27"/>
      <c r="CO895" s="27"/>
      <c r="CP895" s="27"/>
      <c r="CQ895" s="27"/>
      <c r="CR895" s="27"/>
      <c r="CS895" s="27"/>
      <c r="CT895" s="27"/>
      <c r="CU895" s="27"/>
      <c r="CV895" s="27"/>
      <c r="CW895" s="27"/>
      <c r="CX895" s="27"/>
      <c r="CY895" s="27"/>
      <c r="CZ895" s="27"/>
      <c r="DA895" s="27"/>
      <c r="DB895" s="27"/>
      <c r="DC895" s="27"/>
      <c r="DD895" s="27"/>
      <c r="DE895" s="27"/>
      <c r="DF895" s="27"/>
      <c r="DG895" s="27"/>
      <c r="DH895" s="27"/>
      <c r="DI895" s="27"/>
      <c r="DJ895" s="27"/>
      <c r="DK895" s="27"/>
      <c r="DL895" s="27"/>
      <c r="DM895" s="27"/>
      <c r="DN895" s="27"/>
      <c r="DO895" s="27"/>
      <c r="DP895" s="27"/>
      <c r="DQ895" s="27"/>
      <c r="DR895" s="27"/>
      <c r="DS895" s="27"/>
      <c r="DT895" s="27"/>
    </row>
    <row r="896" spans="7:124" x14ac:dyDescent="0.2">
      <c r="G896" s="27"/>
      <c r="H896" s="27"/>
      <c r="I896" s="27"/>
      <c r="J896" s="27"/>
      <c r="K896" s="27"/>
      <c r="L896" s="27"/>
      <c r="M896" s="27"/>
      <c r="N896" s="27"/>
      <c r="O896" s="27"/>
      <c r="P896" s="27"/>
      <c r="Q896" s="27"/>
      <c r="R896" s="27"/>
      <c r="S896" s="27"/>
      <c r="T896" s="27"/>
      <c r="U896" s="27"/>
      <c r="V896" s="27"/>
      <c r="W896" s="27"/>
      <c r="X896" s="27"/>
      <c r="Y896" s="27"/>
      <c r="Z896" s="27"/>
      <c r="AA896" s="27"/>
      <c r="AB896" s="27"/>
      <c r="AC896" s="27"/>
      <c r="AD896" s="27"/>
      <c r="AE896" s="27"/>
      <c r="AF896" s="27"/>
      <c r="AG896" s="27"/>
      <c r="AH896" s="27"/>
      <c r="AI896" s="27"/>
      <c r="AJ896" s="27"/>
      <c r="AK896" s="27"/>
      <c r="AL896" s="27"/>
      <c r="AM896" s="27"/>
      <c r="AN896" s="27"/>
      <c r="AO896" s="27"/>
      <c r="AP896" s="27"/>
      <c r="AQ896" s="27"/>
      <c r="AR896" s="27"/>
      <c r="AS896" s="27"/>
      <c r="AT896" s="27"/>
      <c r="AU896" s="27"/>
      <c r="AV896" s="27"/>
      <c r="AW896" s="27"/>
      <c r="AX896" s="27"/>
      <c r="AY896" s="27"/>
      <c r="AZ896" s="27"/>
      <c r="BA896" s="27"/>
      <c r="BB896" s="27"/>
      <c r="BC896" s="27"/>
      <c r="BD896" s="27"/>
      <c r="BE896" s="27"/>
      <c r="BF896" s="27"/>
      <c r="BG896" s="27"/>
      <c r="BH896" s="27"/>
      <c r="BI896" s="27"/>
      <c r="BJ896" s="27"/>
      <c r="BK896" s="27"/>
      <c r="BL896" s="27"/>
      <c r="BM896" s="27"/>
      <c r="BN896" s="27"/>
      <c r="BO896" s="27"/>
      <c r="BP896" s="27"/>
      <c r="BQ896" s="27"/>
      <c r="BR896" s="27"/>
      <c r="BS896" s="27"/>
      <c r="BT896" s="27"/>
      <c r="BU896" s="27"/>
      <c r="BV896" s="27"/>
      <c r="BW896" s="27"/>
      <c r="BX896" s="27"/>
      <c r="BY896" s="27"/>
      <c r="BZ896" s="27"/>
      <c r="CA896" s="27"/>
      <c r="CB896" s="27"/>
      <c r="CC896" s="27"/>
      <c r="CD896" s="27"/>
      <c r="CE896" s="27"/>
      <c r="CF896" s="27"/>
      <c r="CG896" s="27"/>
      <c r="CH896" s="27"/>
      <c r="CI896" s="27"/>
      <c r="CJ896" s="27"/>
      <c r="CK896" s="27"/>
      <c r="CL896" s="27"/>
      <c r="CM896" s="27"/>
      <c r="CN896" s="27"/>
      <c r="CO896" s="27"/>
      <c r="CP896" s="27"/>
      <c r="CQ896" s="27"/>
      <c r="CR896" s="27"/>
      <c r="CS896" s="27"/>
      <c r="CT896" s="27"/>
      <c r="CU896" s="27"/>
      <c r="CV896" s="27"/>
      <c r="CW896" s="27"/>
      <c r="CX896" s="27"/>
      <c r="CY896" s="27"/>
      <c r="CZ896" s="27"/>
      <c r="DA896" s="27"/>
      <c r="DB896" s="27"/>
      <c r="DC896" s="27"/>
      <c r="DD896" s="27"/>
      <c r="DE896" s="27"/>
      <c r="DF896" s="27"/>
      <c r="DG896" s="27"/>
      <c r="DH896" s="27"/>
      <c r="DI896" s="27"/>
      <c r="DJ896" s="27"/>
      <c r="DK896" s="27"/>
      <c r="DL896" s="27"/>
      <c r="DM896" s="27"/>
      <c r="DN896" s="27"/>
      <c r="DO896" s="27"/>
      <c r="DP896" s="27"/>
      <c r="DQ896" s="27"/>
      <c r="DR896" s="27"/>
      <c r="DS896" s="27"/>
      <c r="DT896" s="27"/>
    </row>
    <row r="897" spans="2:124" ht="15" thickBot="1" x14ac:dyDescent="0.25">
      <c r="G897" s="27"/>
      <c r="H897" s="27"/>
      <c r="I897" s="27"/>
      <c r="J897" s="27"/>
      <c r="K897" s="27"/>
      <c r="L897" s="27"/>
      <c r="M897" s="27"/>
      <c r="N897" s="27"/>
      <c r="O897" s="27"/>
      <c r="P897" s="27"/>
      <c r="Q897" s="27"/>
      <c r="R897" s="27"/>
      <c r="S897" s="27"/>
      <c r="T897" s="27"/>
      <c r="U897" s="27"/>
      <c r="V897" s="27"/>
      <c r="W897" s="27"/>
      <c r="X897" s="27"/>
      <c r="Y897" s="27"/>
      <c r="Z897" s="27"/>
      <c r="AA897" s="27"/>
      <c r="AB897" s="27"/>
      <c r="AC897" s="27"/>
      <c r="AD897" s="27"/>
      <c r="AE897" s="27"/>
      <c r="AF897" s="27"/>
      <c r="AG897" s="27"/>
      <c r="AH897" s="27"/>
      <c r="AI897" s="27"/>
      <c r="AJ897" s="27"/>
      <c r="AK897" s="27"/>
      <c r="AL897" s="27"/>
      <c r="AM897" s="27"/>
      <c r="AN897" s="27"/>
      <c r="AO897" s="27"/>
      <c r="AP897" s="27"/>
      <c r="AQ897" s="27"/>
      <c r="AR897" s="27"/>
      <c r="AS897" s="27"/>
      <c r="AT897" s="27"/>
      <c r="AU897" s="27"/>
      <c r="AV897" s="27"/>
      <c r="AW897" s="27"/>
      <c r="AX897" s="27"/>
      <c r="AY897" s="27"/>
      <c r="AZ897" s="27"/>
      <c r="BA897" s="27"/>
      <c r="BB897" s="27"/>
      <c r="BC897" s="27"/>
      <c r="BD897" s="27"/>
      <c r="BE897" s="27"/>
      <c r="BF897" s="27"/>
      <c r="BG897" s="27"/>
      <c r="BH897" s="27"/>
      <c r="BI897" s="27"/>
      <c r="BJ897" s="27"/>
      <c r="BK897" s="27"/>
      <c r="BL897" s="27"/>
      <c r="BM897" s="27"/>
      <c r="BN897" s="27"/>
      <c r="BO897" s="27"/>
      <c r="BP897" s="27"/>
      <c r="BQ897" s="27"/>
      <c r="BR897" s="27"/>
      <c r="BS897" s="27"/>
      <c r="BT897" s="27"/>
      <c r="BU897" s="27"/>
      <c r="BV897" s="27"/>
      <c r="BW897" s="27"/>
      <c r="BX897" s="27"/>
      <c r="BY897" s="27"/>
      <c r="BZ897" s="27"/>
      <c r="CA897" s="27"/>
      <c r="CB897" s="27"/>
      <c r="CC897" s="27"/>
      <c r="CD897" s="27"/>
      <c r="CE897" s="27"/>
      <c r="CF897" s="27"/>
      <c r="CG897" s="27"/>
      <c r="CH897" s="27"/>
      <c r="CI897" s="27"/>
      <c r="CJ897" s="27"/>
      <c r="CK897" s="27"/>
      <c r="CL897" s="27"/>
      <c r="CM897" s="27"/>
      <c r="CN897" s="27"/>
      <c r="CO897" s="27"/>
      <c r="CP897" s="27"/>
      <c r="CQ897" s="27"/>
      <c r="CR897" s="27"/>
      <c r="CS897" s="27"/>
      <c r="CT897" s="27"/>
      <c r="CU897" s="27"/>
      <c r="CV897" s="27"/>
      <c r="CW897" s="27"/>
      <c r="CX897" s="27"/>
      <c r="CY897" s="27"/>
      <c r="CZ897" s="27"/>
      <c r="DA897" s="27"/>
      <c r="DB897" s="27"/>
      <c r="DC897" s="27"/>
      <c r="DD897" s="27"/>
      <c r="DE897" s="27"/>
      <c r="DF897" s="27"/>
      <c r="DG897" s="27"/>
      <c r="DH897" s="27"/>
      <c r="DI897" s="27"/>
      <c r="DJ897" s="27"/>
      <c r="DK897" s="27"/>
      <c r="DL897" s="27"/>
      <c r="DM897" s="27"/>
      <c r="DN897" s="27"/>
      <c r="DO897" s="27"/>
      <c r="DP897" s="27"/>
      <c r="DQ897" s="27"/>
      <c r="DR897" s="27"/>
      <c r="DS897" s="27"/>
      <c r="DT897" s="27"/>
    </row>
    <row r="898" spans="2:124" ht="16.5" thickTop="1" thickBot="1" x14ac:dyDescent="0.3">
      <c r="B898" s="69" t="s">
        <v>535</v>
      </c>
      <c r="C898" s="70" t="e">
        <f>#REF!</f>
        <v>#REF!</v>
      </c>
      <c r="G898" s="27"/>
      <c r="H898" s="27"/>
      <c r="I898" s="27" t="s">
        <v>59</v>
      </c>
      <c r="J898" s="27"/>
      <c r="K898" s="27"/>
      <c r="L898" s="27"/>
      <c r="M898" s="27"/>
      <c r="N898" s="27"/>
      <c r="O898" s="27"/>
      <c r="P898" s="27"/>
      <c r="Q898" s="27"/>
      <c r="R898" s="27"/>
      <c r="S898" s="27"/>
      <c r="T898" s="27"/>
      <c r="U898" s="27"/>
      <c r="V898" s="27"/>
      <c r="W898" s="27"/>
      <c r="X898" s="27"/>
      <c r="Y898" s="27"/>
      <c r="Z898" s="27"/>
      <c r="AA898" s="27"/>
      <c r="AB898" s="27"/>
      <c r="AC898" s="27"/>
      <c r="AD898" s="27"/>
      <c r="AE898" s="27"/>
      <c r="AF898" s="27"/>
      <c r="AG898" s="27"/>
      <c r="AH898" s="27"/>
      <c r="AI898" s="27"/>
      <c r="AJ898" s="27"/>
      <c r="AK898" s="27"/>
      <c r="AL898" s="27"/>
      <c r="AM898" s="27"/>
      <c r="AN898" s="27"/>
      <c r="AO898" s="27"/>
      <c r="AP898" s="27"/>
      <c r="AQ898" s="27"/>
      <c r="AR898" s="27"/>
      <c r="AS898" s="27"/>
      <c r="AT898" s="27"/>
      <c r="AU898" s="27"/>
      <c r="AV898" s="27"/>
      <c r="AW898" s="27"/>
      <c r="AX898" s="27"/>
      <c r="AY898" s="27"/>
      <c r="AZ898" s="27"/>
      <c r="BA898" s="27"/>
      <c r="BB898" s="27"/>
      <c r="BC898" s="27"/>
      <c r="BD898" s="27"/>
      <c r="BE898" s="27"/>
      <c r="BF898" s="27"/>
      <c r="BG898" s="27"/>
      <c r="BH898" s="27"/>
      <c r="BI898" s="27"/>
      <c r="BJ898" s="27"/>
      <c r="BK898" s="27"/>
      <c r="BL898" s="27"/>
      <c r="BM898" s="27"/>
      <c r="BN898" s="27"/>
      <c r="BO898" s="27"/>
      <c r="BP898" s="27"/>
      <c r="BQ898" s="27"/>
      <c r="BR898" s="27"/>
      <c r="BS898" s="27"/>
      <c r="BT898" s="27"/>
      <c r="BU898" s="27"/>
      <c r="BV898" s="27"/>
      <c r="BW898" s="27"/>
      <c r="BX898" s="27"/>
      <c r="BY898" s="27"/>
      <c r="BZ898" s="27"/>
      <c r="CA898" s="27"/>
      <c r="CB898" s="27"/>
      <c r="CC898" s="27"/>
      <c r="CD898" s="27"/>
      <c r="CE898" s="27"/>
      <c r="CF898" s="27"/>
      <c r="CG898" s="27"/>
      <c r="CH898" s="27"/>
      <c r="CI898" s="27"/>
      <c r="CJ898" s="27"/>
      <c r="CK898" s="27"/>
      <c r="CL898" s="27"/>
      <c r="CM898" s="27"/>
      <c r="CN898" s="27"/>
      <c r="CO898" s="27"/>
      <c r="CP898" s="27"/>
      <c r="CQ898" s="27"/>
      <c r="CR898" s="27"/>
      <c r="CS898" s="27"/>
      <c r="CT898" s="27"/>
      <c r="CU898" s="27"/>
      <c r="CV898" s="27"/>
      <c r="CW898" s="27"/>
      <c r="CX898" s="27"/>
      <c r="CY898" s="27"/>
      <c r="CZ898" s="27"/>
      <c r="DA898" s="27"/>
      <c r="DB898" s="27"/>
      <c r="DC898" s="27"/>
      <c r="DD898" s="27"/>
      <c r="DE898" s="27"/>
      <c r="DF898" s="27"/>
      <c r="DG898" s="27"/>
      <c r="DH898" s="27"/>
      <c r="DI898" s="27"/>
      <c r="DJ898" s="27"/>
      <c r="DK898" s="27"/>
      <c r="DL898" s="27"/>
      <c r="DM898" s="27"/>
      <c r="DN898" s="27"/>
      <c r="DO898" s="27"/>
      <c r="DP898" s="27"/>
      <c r="DQ898" s="27"/>
      <c r="DR898" s="27"/>
      <c r="DS898" s="27"/>
      <c r="DT898" s="27"/>
    </row>
    <row r="899" spans="2:124" ht="15.75" thickTop="1" x14ac:dyDescent="0.25">
      <c r="E899" s="71" t="s">
        <v>514</v>
      </c>
      <c r="G899" s="27"/>
      <c r="H899" s="27"/>
      <c r="I899" s="27"/>
      <c r="J899" s="27"/>
      <c r="K899" s="27"/>
      <c r="L899" s="27"/>
      <c r="M899" s="27"/>
      <c r="N899" s="27"/>
      <c r="O899" s="27"/>
      <c r="P899" s="27"/>
      <c r="Q899" s="27"/>
      <c r="R899" s="27"/>
      <c r="S899" s="27"/>
      <c r="T899" s="27"/>
      <c r="U899" s="27"/>
      <c r="V899" s="27"/>
      <c r="W899" s="27"/>
      <c r="X899" s="27"/>
      <c r="Y899" s="27"/>
      <c r="Z899" s="27"/>
      <c r="AA899" s="27"/>
      <c r="AB899" s="27"/>
      <c r="AC899" s="27"/>
      <c r="AD899" s="27"/>
      <c r="AE899" s="27"/>
      <c r="AF899" s="27"/>
      <c r="AG899" s="27"/>
      <c r="AH899" s="27"/>
      <c r="AI899" s="27"/>
      <c r="AJ899" s="27"/>
      <c r="AK899" s="27"/>
      <c r="AL899" s="27"/>
      <c r="AM899" s="27"/>
      <c r="AN899" s="27"/>
      <c r="AO899" s="27"/>
      <c r="AP899" s="27"/>
      <c r="AQ899" s="27"/>
      <c r="AR899" s="27"/>
      <c r="AS899" s="27"/>
      <c r="AT899" s="27"/>
      <c r="AU899" s="27"/>
      <c r="AV899" s="27"/>
      <c r="AW899" s="27"/>
      <c r="AX899" s="27"/>
      <c r="AY899" s="27"/>
      <c r="AZ899" s="27"/>
      <c r="BA899" s="27"/>
      <c r="BB899" s="27"/>
      <c r="BC899" s="27"/>
      <c r="BD899" s="27"/>
      <c r="BE899" s="27"/>
      <c r="BF899" s="27"/>
      <c r="BG899" s="27"/>
      <c r="BH899" s="27"/>
      <c r="BI899" s="27"/>
      <c r="BJ899" s="27"/>
      <c r="BK899" s="27"/>
      <c r="BL899" s="27"/>
      <c r="BM899" s="27"/>
      <c r="BN899" s="27"/>
      <c r="BO899" s="27"/>
      <c r="BP899" s="27"/>
      <c r="BQ899" s="27"/>
      <c r="BR899" s="27"/>
      <c r="BS899" s="27"/>
      <c r="BT899" s="27"/>
      <c r="BU899" s="27"/>
      <c r="BV899" s="27"/>
      <c r="BW899" s="27"/>
      <c r="BX899" s="27"/>
      <c r="BY899" s="27"/>
      <c r="BZ899" s="27"/>
      <c r="CA899" s="27"/>
      <c r="CB899" s="27"/>
      <c r="CC899" s="27"/>
      <c r="CD899" s="27"/>
      <c r="CE899" s="27"/>
      <c r="CF899" s="27"/>
      <c r="CG899" s="27"/>
      <c r="CH899" s="27"/>
      <c r="CI899" s="27"/>
      <c r="CJ899" s="27"/>
      <c r="CK899" s="27"/>
      <c r="CL899" s="27"/>
      <c r="CM899" s="27"/>
      <c r="CN899" s="27"/>
      <c r="CO899" s="27"/>
      <c r="CP899" s="27"/>
      <c r="CQ899" s="27"/>
      <c r="CR899" s="27"/>
      <c r="CS899" s="27"/>
      <c r="CT899" s="27"/>
      <c r="CU899" s="27"/>
      <c r="CV899" s="27"/>
      <c r="CW899" s="27"/>
      <c r="CX899" s="27"/>
      <c r="CY899" s="27"/>
      <c r="CZ899" s="27"/>
      <c r="DA899" s="27"/>
      <c r="DB899" s="27"/>
      <c r="DC899" s="27"/>
      <c r="DD899" s="27"/>
      <c r="DE899" s="27"/>
      <c r="DF899" s="27"/>
      <c r="DG899" s="27"/>
      <c r="DH899" s="27"/>
      <c r="DI899" s="27"/>
      <c r="DJ899" s="27"/>
      <c r="DK899" s="27"/>
      <c r="DL899" s="27"/>
      <c r="DM899" s="27"/>
      <c r="DN899" s="27"/>
      <c r="DO899" s="27"/>
      <c r="DP899" s="27"/>
      <c r="DQ899" s="27"/>
      <c r="DR899" s="27"/>
      <c r="DS899" s="27"/>
      <c r="DT899" s="27"/>
    </row>
    <row r="900" spans="2:124" ht="16.5" thickBot="1" x14ac:dyDescent="0.3">
      <c r="C900" s="72" t="s">
        <v>531</v>
      </c>
      <c r="D900" s="72"/>
      <c r="G900" s="27"/>
      <c r="H900" s="27"/>
      <c r="I900" s="27"/>
      <c r="J900" s="27"/>
      <c r="K900" s="27"/>
      <c r="L900" s="27"/>
      <c r="M900" s="27"/>
      <c r="N900" s="27"/>
      <c r="O900" s="27"/>
      <c r="P900" s="27"/>
      <c r="Q900" s="27"/>
      <c r="R900" s="27"/>
      <c r="S900" s="27"/>
      <c r="T900" s="27"/>
      <c r="U900" s="27"/>
      <c r="V900" s="27"/>
      <c r="W900" s="27"/>
      <c r="X900" s="27"/>
      <c r="Y900" s="27"/>
      <c r="Z900" s="27"/>
      <c r="AA900" s="27"/>
      <c r="AB900" s="27"/>
      <c r="AC900" s="27"/>
      <c r="AD900" s="27"/>
      <c r="AE900" s="27"/>
      <c r="AF900" s="27"/>
      <c r="AG900" s="27"/>
      <c r="AH900" s="27"/>
      <c r="AI900" s="27"/>
      <c r="AJ900" s="27"/>
      <c r="AK900" s="27"/>
      <c r="AL900" s="27"/>
      <c r="AM900" s="27"/>
      <c r="AN900" s="27"/>
      <c r="AO900" s="27"/>
      <c r="AP900" s="27"/>
      <c r="AQ900" s="27"/>
      <c r="AR900" s="27"/>
      <c r="AS900" s="27"/>
      <c r="AT900" s="27"/>
      <c r="AU900" s="27"/>
      <c r="AV900" s="27"/>
      <c r="AW900" s="27"/>
      <c r="AX900" s="27"/>
      <c r="AY900" s="27"/>
      <c r="AZ900" s="27"/>
      <c r="BA900" s="27"/>
      <c r="BB900" s="27"/>
      <c r="BC900" s="27"/>
      <c r="BD900" s="27"/>
      <c r="BE900" s="27"/>
      <c r="BF900" s="27"/>
      <c r="BG900" s="27"/>
      <c r="BH900" s="27"/>
      <c r="BI900" s="27"/>
      <c r="BJ900" s="27"/>
      <c r="BK900" s="27"/>
      <c r="BL900" s="27"/>
      <c r="BM900" s="27"/>
      <c r="BN900" s="27"/>
      <c r="BO900" s="27"/>
      <c r="BP900" s="27"/>
      <c r="BQ900" s="27"/>
      <c r="BR900" s="27"/>
      <c r="BS900" s="27"/>
      <c r="BT900" s="27"/>
      <c r="BU900" s="27"/>
      <c r="BV900" s="27"/>
      <c r="BW900" s="27"/>
      <c r="BX900" s="27"/>
      <c r="BY900" s="27"/>
      <c r="BZ900" s="27"/>
      <c r="CA900" s="27"/>
      <c r="CB900" s="27"/>
      <c r="CC900" s="27"/>
      <c r="CD900" s="27"/>
      <c r="CE900" s="27"/>
      <c r="CF900" s="27"/>
      <c r="CG900" s="27"/>
      <c r="CH900" s="27"/>
      <c r="CI900" s="27"/>
      <c r="CJ900" s="27"/>
      <c r="CK900" s="27"/>
      <c r="CL900" s="27"/>
      <c r="CM900" s="27"/>
      <c r="CN900" s="27"/>
      <c r="CO900" s="27"/>
      <c r="CP900" s="27"/>
      <c r="CQ900" s="27"/>
      <c r="CR900" s="27"/>
      <c r="CS900" s="27"/>
      <c r="CT900" s="27"/>
      <c r="CU900" s="27"/>
      <c r="CV900" s="27"/>
      <c r="CW900" s="27"/>
      <c r="CX900" s="27"/>
      <c r="CY900" s="27"/>
      <c r="CZ900" s="27"/>
      <c r="DA900" s="27"/>
      <c r="DB900" s="27"/>
      <c r="DC900" s="27"/>
      <c r="DD900" s="27"/>
      <c r="DE900" s="27"/>
      <c r="DF900" s="27"/>
      <c r="DG900" s="27"/>
      <c r="DH900" s="27"/>
      <c r="DI900" s="27"/>
      <c r="DJ900" s="27"/>
      <c r="DK900" s="27"/>
      <c r="DL900" s="27"/>
      <c r="DM900" s="27"/>
      <c r="DN900" s="27"/>
      <c r="DO900" s="27"/>
      <c r="DP900" s="27"/>
      <c r="DQ900" s="27"/>
      <c r="DR900" s="27"/>
      <c r="DS900" s="27"/>
      <c r="DT900" s="27"/>
    </row>
    <row r="901" spans="2:124" ht="16.5" thickBot="1" x14ac:dyDescent="0.3">
      <c r="D901" s="73" t="s">
        <v>533</v>
      </c>
      <c r="E901" s="74" t="s">
        <v>198</v>
      </c>
      <c r="G901" s="27" t="s">
        <v>493</v>
      </c>
      <c r="H901" s="27"/>
      <c r="I901" s="27"/>
      <c r="J901" s="27"/>
      <c r="K901" s="27"/>
      <c r="L901" s="27"/>
      <c r="M901" s="27"/>
      <c r="N901" s="27"/>
      <c r="O901" s="27"/>
      <c r="P901" s="27"/>
      <c r="Q901" s="27"/>
      <c r="R901" s="27"/>
      <c r="S901" s="27"/>
      <c r="T901" s="27"/>
      <c r="U901" s="27"/>
      <c r="V901" s="27"/>
      <c r="W901" s="27"/>
      <c r="X901" s="27"/>
      <c r="Y901" s="27"/>
      <c r="Z901" s="27"/>
      <c r="AA901" s="27"/>
      <c r="AB901" s="27"/>
      <c r="AC901" s="27"/>
      <c r="AD901" s="27"/>
      <c r="AE901" s="27"/>
      <c r="AF901" s="27"/>
      <c r="AG901" s="27"/>
      <c r="AH901" s="27"/>
      <c r="AI901" s="27"/>
      <c r="AJ901" s="27"/>
      <c r="AK901" s="27"/>
      <c r="AL901" s="27"/>
      <c r="AM901" s="27"/>
      <c r="AN901" s="27"/>
      <c r="AO901" s="27"/>
      <c r="AP901" s="27"/>
      <c r="AQ901" s="27"/>
      <c r="AR901" s="27"/>
      <c r="AS901" s="27"/>
      <c r="AT901" s="27"/>
      <c r="AU901" s="27"/>
      <c r="AV901" s="27"/>
      <c r="AW901" s="27"/>
      <c r="AX901" s="27"/>
      <c r="AY901" s="27"/>
      <c r="AZ901" s="27"/>
      <c r="BA901" s="27"/>
      <c r="BB901" s="27"/>
      <c r="BC901" s="27"/>
      <c r="BD901" s="27"/>
      <c r="BE901" s="27"/>
      <c r="BF901" s="27"/>
      <c r="BG901" s="27"/>
      <c r="BH901" s="27"/>
      <c r="BI901" s="27"/>
      <c r="BJ901" s="27"/>
      <c r="BK901" s="27"/>
      <c r="BL901" s="27"/>
      <c r="BM901" s="27"/>
      <c r="BN901" s="27"/>
      <c r="BO901" s="27"/>
      <c r="BP901" s="27"/>
      <c r="BQ901" s="27"/>
      <c r="BR901" s="27"/>
      <c r="BS901" s="27"/>
      <c r="BT901" s="27"/>
      <c r="BU901" s="27"/>
      <c r="BV901" s="27"/>
      <c r="BW901" s="27"/>
      <c r="BX901" s="27"/>
      <c r="BY901" s="27"/>
      <c r="BZ901" s="27"/>
      <c r="CA901" s="27"/>
      <c r="CB901" s="27"/>
      <c r="CC901" s="27"/>
      <c r="CD901" s="27"/>
      <c r="CE901" s="27"/>
      <c r="CF901" s="27"/>
      <c r="CG901" s="27"/>
      <c r="CH901" s="27"/>
      <c r="CI901" s="27"/>
      <c r="CJ901" s="27"/>
      <c r="CK901" s="27"/>
      <c r="CL901" s="27"/>
      <c r="CM901" s="27"/>
      <c r="CN901" s="27"/>
      <c r="CO901" s="27"/>
      <c r="CP901" s="27"/>
      <c r="CQ901" s="27"/>
      <c r="CR901" s="27"/>
      <c r="CS901" s="27"/>
      <c r="CT901" s="27"/>
      <c r="CU901" s="27"/>
      <c r="CV901" s="27"/>
      <c r="CW901" s="27"/>
      <c r="CX901" s="27"/>
      <c r="CY901" s="27"/>
      <c r="CZ901" s="27"/>
      <c r="DA901" s="27"/>
      <c r="DB901" s="27"/>
      <c r="DC901" s="27"/>
      <c r="DD901" s="27"/>
      <c r="DE901" s="27"/>
      <c r="DF901" s="27"/>
      <c r="DG901" s="27"/>
      <c r="DH901" s="27"/>
      <c r="DI901" s="27"/>
      <c r="DJ901" s="27"/>
      <c r="DK901" s="27"/>
      <c r="DL901" s="27"/>
      <c r="DM901" s="27"/>
      <c r="DN901" s="27"/>
      <c r="DO901" s="27"/>
      <c r="DP901" s="27"/>
      <c r="DQ901" s="27"/>
      <c r="DR901" s="27"/>
      <c r="DS901" s="27"/>
      <c r="DT901" s="27"/>
    </row>
    <row r="902" spans="2:124" ht="27" thickTop="1" x14ac:dyDescent="0.4">
      <c r="E902" s="76" t="s">
        <v>519</v>
      </c>
      <c r="F902" s="75" t="str">
        <f>W742</f>
        <v>תקציבית</v>
      </c>
      <c r="G902" s="27"/>
      <c r="H902" s="27"/>
      <c r="I902" s="27">
        <f>IF(AW722=0,0,IF((AW722+K887)&gt;36%,36%,AW722+K887))</f>
        <v>0</v>
      </c>
      <c r="J902" s="27"/>
      <c r="K902" s="27"/>
      <c r="L902" s="27"/>
      <c r="M902" s="27"/>
      <c r="N902" s="27"/>
      <c r="O902" s="27"/>
      <c r="P902" s="27"/>
      <c r="Q902" s="27"/>
      <c r="R902" s="27"/>
      <c r="S902" s="27"/>
      <c r="T902" s="27"/>
      <c r="U902" s="27"/>
      <c r="V902" s="27"/>
      <c r="W902" s="27"/>
      <c r="X902" s="27"/>
      <c r="Y902" s="27"/>
      <c r="Z902" s="27"/>
      <c r="AA902" s="27"/>
      <c r="AB902" s="27"/>
      <c r="AC902" s="27"/>
      <c r="AD902" s="27"/>
      <c r="AE902" s="27"/>
      <c r="AF902" s="27"/>
      <c r="AG902" s="27"/>
      <c r="AH902" s="27"/>
      <c r="AI902" s="27"/>
      <c r="AJ902" s="27"/>
      <c r="AK902" s="27"/>
      <c r="AL902" s="27"/>
      <c r="AM902" s="27"/>
      <c r="AN902" s="27"/>
      <c r="AO902" s="27"/>
      <c r="AP902" s="27"/>
      <c r="AQ902" s="27"/>
      <c r="AR902" s="27"/>
      <c r="AS902" s="27"/>
      <c r="AT902" s="27"/>
      <c r="AU902" s="27"/>
      <c r="AV902" s="27"/>
      <c r="AW902" s="27"/>
      <c r="AX902" s="27"/>
      <c r="AY902" s="27"/>
      <c r="AZ902" s="27"/>
      <c r="BA902" s="27"/>
      <c r="BB902" s="27"/>
      <c r="BC902" s="27"/>
      <c r="BD902" s="27"/>
      <c r="BE902" s="27"/>
      <c r="BF902" s="27"/>
      <c r="BG902" s="27"/>
      <c r="BH902" s="27"/>
      <c r="BI902" s="27"/>
      <c r="BJ902" s="27"/>
      <c r="BK902" s="27"/>
      <c r="BL902" s="27"/>
      <c r="BM902" s="27"/>
      <c r="BN902" s="27"/>
      <c r="BO902" s="27"/>
      <c r="BP902" s="27"/>
      <c r="BQ902" s="27"/>
      <c r="BR902" s="27"/>
      <c r="BS902" s="27"/>
      <c r="BT902" s="27"/>
      <c r="BU902" s="27"/>
      <c r="BV902" s="27"/>
      <c r="BW902" s="27"/>
      <c r="BX902" s="27"/>
      <c r="BY902" s="27"/>
      <c r="BZ902" s="27"/>
      <c r="CA902" s="27"/>
      <c r="CB902" s="27"/>
      <c r="CC902" s="27"/>
      <c r="CD902" s="27"/>
      <c r="CE902" s="27"/>
      <c r="CF902" s="27"/>
      <c r="CG902" s="27"/>
      <c r="CH902" s="27"/>
      <c r="CI902" s="27"/>
      <c r="CJ902" s="27"/>
      <c r="CK902" s="27"/>
      <c r="CL902" s="27"/>
      <c r="CM902" s="27"/>
      <c r="CN902" s="27"/>
      <c r="CO902" s="27"/>
      <c r="CP902" s="27"/>
      <c r="CQ902" s="27"/>
      <c r="CR902" s="27"/>
      <c r="CS902" s="27"/>
      <c r="CT902" s="27"/>
      <c r="CU902" s="27"/>
      <c r="CV902" s="27"/>
      <c r="CW902" s="27"/>
      <c r="CX902" s="27"/>
      <c r="CY902" s="27"/>
      <c r="CZ902" s="27"/>
      <c r="DA902" s="27"/>
      <c r="DB902" s="27"/>
      <c r="DC902" s="27"/>
      <c r="DD902" s="27"/>
      <c r="DE902" s="27"/>
      <c r="DF902" s="27"/>
      <c r="DG902" s="27"/>
      <c r="DH902" s="27"/>
      <c r="DI902" s="27"/>
      <c r="DJ902" s="27"/>
      <c r="DK902" s="27"/>
      <c r="DL902" s="27"/>
      <c r="DM902" s="27"/>
      <c r="DN902" s="27"/>
      <c r="DO902" s="27"/>
      <c r="DP902" s="27"/>
      <c r="DQ902" s="27"/>
      <c r="DR902" s="27"/>
      <c r="DS902" s="27"/>
      <c r="DT902" s="27"/>
    </row>
    <row r="903" spans="2:124" x14ac:dyDescent="0.2">
      <c r="B903" s="77"/>
      <c r="E903" s="78" t="s">
        <v>521</v>
      </c>
      <c r="F903" s="67">
        <f>67</f>
        <v>67</v>
      </c>
      <c r="G903" s="27"/>
      <c r="H903" s="27"/>
      <c r="I903" s="27">
        <f>VLOOKUP(INT(K888),ghad1,2,FALSE)</f>
        <v>0</v>
      </c>
      <c r="J903" s="27"/>
      <c r="K903" s="27"/>
      <c r="L903" s="27"/>
      <c r="M903" s="27"/>
      <c r="N903" s="27"/>
      <c r="O903" s="27"/>
      <c r="P903" s="27"/>
      <c r="Q903" s="27"/>
      <c r="R903" s="27"/>
      <c r="S903" s="27"/>
      <c r="T903" s="27"/>
      <c r="U903" s="27"/>
      <c r="V903" s="27"/>
      <c r="W903" s="27"/>
      <c r="X903" s="27"/>
      <c r="Y903" s="27"/>
      <c r="Z903" s="27"/>
      <c r="AA903" s="27"/>
      <c r="AB903" s="27"/>
      <c r="AC903" s="27"/>
      <c r="AD903" s="27"/>
      <c r="AE903" s="27"/>
      <c r="AF903" s="27"/>
      <c r="AG903" s="27"/>
      <c r="AH903" s="27"/>
      <c r="AI903" s="27"/>
      <c r="AJ903" s="27"/>
      <c r="AK903" s="27"/>
      <c r="AL903" s="27"/>
      <c r="AM903" s="27"/>
      <c r="AN903" s="27"/>
      <c r="AO903" s="27"/>
      <c r="AP903" s="27"/>
      <c r="AQ903" s="27"/>
      <c r="AR903" s="27"/>
      <c r="AS903" s="27"/>
      <c r="AT903" s="27"/>
      <c r="AU903" s="27"/>
      <c r="AV903" s="27"/>
      <c r="AW903" s="27"/>
      <c r="AX903" s="27"/>
      <c r="AY903" s="27"/>
      <c r="AZ903" s="27"/>
      <c r="BA903" s="27"/>
      <c r="BB903" s="27"/>
      <c r="BC903" s="27"/>
      <c r="BD903" s="27"/>
      <c r="BE903" s="27"/>
      <c r="BF903" s="27"/>
      <c r="BG903" s="27"/>
      <c r="BH903" s="27"/>
      <c r="BI903" s="27"/>
      <c r="BJ903" s="27"/>
      <c r="BK903" s="27"/>
      <c r="BL903" s="27"/>
      <c r="BM903" s="27"/>
      <c r="BN903" s="27"/>
      <c r="BO903" s="27"/>
      <c r="BP903" s="27"/>
      <c r="BQ903" s="27"/>
      <c r="BR903" s="27"/>
      <c r="BS903" s="27"/>
      <c r="BT903" s="27"/>
      <c r="BU903" s="27"/>
      <c r="BV903" s="27"/>
      <c r="BW903" s="27"/>
      <c r="BX903" s="27"/>
      <c r="BY903" s="27"/>
      <c r="BZ903" s="27"/>
      <c r="CA903" s="27"/>
      <c r="CB903" s="27"/>
      <c r="CC903" s="27"/>
      <c r="CD903" s="27"/>
      <c r="CE903" s="27"/>
      <c r="CF903" s="27"/>
      <c r="CG903" s="27"/>
      <c r="CH903" s="27"/>
      <c r="CI903" s="27"/>
      <c r="CJ903" s="27"/>
      <c r="CK903" s="27"/>
      <c r="CL903" s="27"/>
      <c r="CM903" s="27"/>
      <c r="CN903" s="27"/>
      <c r="CO903" s="27"/>
      <c r="CP903" s="27"/>
      <c r="CQ903" s="27"/>
      <c r="CR903" s="27"/>
      <c r="CS903" s="27"/>
      <c r="CT903" s="27"/>
      <c r="CU903" s="27"/>
      <c r="CV903" s="27"/>
      <c r="CW903" s="27"/>
      <c r="CX903" s="27"/>
      <c r="CY903" s="27"/>
      <c r="CZ903" s="27"/>
      <c r="DA903" s="27"/>
      <c r="DB903" s="27"/>
      <c r="DC903" s="27"/>
      <c r="DD903" s="27"/>
      <c r="DE903" s="27"/>
      <c r="DF903" s="27"/>
      <c r="DG903" s="27"/>
      <c r="DH903" s="27"/>
      <c r="DI903" s="27"/>
      <c r="DJ903" s="27"/>
      <c r="DK903" s="27"/>
      <c r="DL903" s="27"/>
      <c r="DM903" s="27"/>
      <c r="DN903" s="27"/>
      <c r="DO903" s="27"/>
      <c r="DP903" s="27"/>
      <c r="DQ903" s="27"/>
      <c r="DR903" s="27"/>
      <c r="DS903" s="27"/>
      <c r="DT903" s="27"/>
    </row>
    <row r="904" spans="2:124" ht="15" thickBot="1" x14ac:dyDescent="0.25">
      <c r="E904" s="79" t="s">
        <v>523</v>
      </c>
      <c r="F904" s="80" t="e">
        <f>#REF!</f>
        <v>#REF!</v>
      </c>
      <c r="G904" s="27" t="s">
        <v>495</v>
      </c>
      <c r="H904" s="27"/>
      <c r="I904" s="27"/>
      <c r="J904" s="27"/>
      <c r="K904" s="27"/>
      <c r="L904" s="27"/>
      <c r="M904" s="27"/>
      <c r="N904" s="27"/>
      <c r="O904" s="27"/>
      <c r="P904" s="27"/>
      <c r="Q904" s="27"/>
      <c r="R904" s="27"/>
      <c r="S904" s="27"/>
      <c r="T904" s="27"/>
      <c r="U904" s="27"/>
      <c r="V904" s="27"/>
      <c r="W904" s="27"/>
      <c r="X904" s="27"/>
      <c r="Y904" s="27"/>
      <c r="Z904" s="27"/>
      <c r="AA904" s="27"/>
      <c r="AB904" s="27"/>
      <c r="AC904" s="27"/>
      <c r="AD904" s="27"/>
      <c r="AE904" s="27"/>
      <c r="AF904" s="27"/>
      <c r="AG904" s="27"/>
      <c r="AH904" s="27"/>
      <c r="AI904" s="27"/>
      <c r="AJ904" s="27"/>
      <c r="AK904" s="27"/>
      <c r="AL904" s="27"/>
      <c r="AM904" s="27"/>
      <c r="AN904" s="27"/>
      <c r="AO904" s="27"/>
      <c r="AP904" s="27"/>
      <c r="AQ904" s="27"/>
      <c r="AR904" s="27"/>
      <c r="AS904" s="27"/>
      <c r="AT904" s="27"/>
      <c r="AU904" s="27"/>
      <c r="AV904" s="27"/>
      <c r="AW904" s="27"/>
      <c r="AX904" s="27"/>
      <c r="AY904" s="27"/>
      <c r="AZ904" s="27"/>
      <c r="BA904" s="27"/>
      <c r="BB904" s="27"/>
      <c r="BC904" s="27"/>
      <c r="BD904" s="27"/>
      <c r="BE904" s="27"/>
      <c r="BF904" s="27"/>
      <c r="BG904" s="27"/>
      <c r="BH904" s="27"/>
      <c r="BI904" s="27"/>
      <c r="BJ904" s="27"/>
      <c r="BK904" s="27"/>
      <c r="BL904" s="27"/>
      <c r="BM904" s="27"/>
      <c r="BN904" s="27"/>
      <c r="BO904" s="27"/>
      <c r="BP904" s="27"/>
      <c r="BQ904" s="27"/>
      <c r="BR904" s="27"/>
      <c r="BS904" s="27"/>
      <c r="BT904" s="27"/>
      <c r="BU904" s="27"/>
      <c r="BV904" s="27"/>
      <c r="BW904" s="27"/>
      <c r="BX904" s="27"/>
      <c r="BY904" s="27"/>
      <c r="BZ904" s="27"/>
      <c r="CA904" s="27"/>
      <c r="CB904" s="27"/>
      <c r="CC904" s="27"/>
      <c r="CD904" s="27"/>
      <c r="CE904" s="27"/>
      <c r="CF904" s="27"/>
      <c r="CG904" s="27"/>
      <c r="CH904" s="27"/>
      <c r="CI904" s="27"/>
      <c r="CJ904" s="27"/>
      <c r="CK904" s="27"/>
      <c r="CL904" s="27"/>
      <c r="CM904" s="27"/>
      <c r="CN904" s="27"/>
      <c r="CO904" s="27"/>
      <c r="CP904" s="27"/>
      <c r="CQ904" s="27"/>
      <c r="CR904" s="27"/>
      <c r="CS904" s="27"/>
      <c r="CT904" s="27"/>
      <c r="CU904" s="27"/>
      <c r="CV904" s="27"/>
      <c r="CW904" s="27"/>
      <c r="CX904" s="27"/>
      <c r="CY904" s="27"/>
      <c r="CZ904" s="27"/>
      <c r="DA904" s="27"/>
      <c r="DB904" s="27"/>
      <c r="DC904" s="27"/>
      <c r="DD904" s="27"/>
      <c r="DE904" s="27"/>
      <c r="DF904" s="27"/>
      <c r="DG904" s="27"/>
      <c r="DH904" s="27"/>
      <c r="DI904" s="27"/>
      <c r="DJ904" s="27"/>
      <c r="DK904" s="27"/>
      <c r="DL904" s="27"/>
      <c r="DM904" s="27"/>
      <c r="DN904" s="27"/>
      <c r="DO904" s="27"/>
      <c r="DP904" s="27"/>
      <c r="DQ904" s="27"/>
      <c r="DR904" s="27"/>
      <c r="DS904" s="27"/>
      <c r="DT904" s="27"/>
    </row>
    <row r="905" spans="2:124" ht="16.5" thickTop="1" thickBot="1" x14ac:dyDescent="0.3">
      <c r="B905" s="81" t="s">
        <v>541</v>
      </c>
      <c r="C905" s="82" t="s">
        <v>542</v>
      </c>
      <c r="D905" s="82"/>
      <c r="E905" s="81"/>
      <c r="F905" s="83">
        <f>F927</f>
        <v>52.87</v>
      </c>
      <c r="G905" s="27">
        <f>V745/12</f>
        <v>0</v>
      </c>
      <c r="H905" s="27"/>
      <c r="I905" s="27"/>
      <c r="J905" s="27"/>
      <c r="K905" s="27"/>
      <c r="L905" s="27"/>
      <c r="M905" s="27"/>
      <c r="N905" s="27"/>
      <c r="O905" s="27"/>
      <c r="P905" s="27"/>
      <c r="Q905" s="27"/>
      <c r="R905" s="27"/>
      <c r="S905" s="27"/>
      <c r="T905" s="27"/>
      <c r="U905" s="27"/>
      <c r="V905" s="27"/>
      <c r="W905" s="27"/>
      <c r="X905" s="27"/>
      <c r="Y905" s="27"/>
      <c r="Z905" s="27"/>
      <c r="AA905" s="27"/>
      <c r="AB905" s="27"/>
      <c r="AC905" s="27"/>
      <c r="AD905" s="27"/>
      <c r="AE905" s="27"/>
      <c r="AF905" s="27"/>
      <c r="AG905" s="27"/>
      <c r="AH905" s="27"/>
      <c r="AI905" s="27"/>
      <c r="AJ905" s="27"/>
      <c r="AK905" s="27"/>
      <c r="AL905" s="27"/>
      <c r="AM905" s="27"/>
      <c r="AN905" s="27"/>
      <c r="AO905" s="27"/>
      <c r="AP905" s="27"/>
      <c r="AQ905" s="27"/>
      <c r="AR905" s="27"/>
      <c r="AS905" s="27"/>
      <c r="AT905" s="27"/>
      <c r="AU905" s="27"/>
      <c r="AV905" s="27"/>
      <c r="AW905" s="27"/>
      <c r="AX905" s="27"/>
      <c r="AY905" s="27"/>
      <c r="AZ905" s="27"/>
      <c r="BA905" s="27"/>
      <c r="BB905" s="27"/>
      <c r="BC905" s="27"/>
      <c r="BD905" s="27"/>
      <c r="BE905" s="27"/>
      <c r="BF905" s="27"/>
      <c r="BG905" s="27"/>
      <c r="BH905" s="27"/>
      <c r="BI905" s="27"/>
      <c r="BJ905" s="27"/>
      <c r="BK905" s="27"/>
      <c r="BL905" s="27"/>
      <c r="BM905" s="27"/>
      <c r="BN905" s="27"/>
      <c r="BO905" s="27"/>
      <c r="BP905" s="27"/>
      <c r="BQ905" s="27"/>
      <c r="BR905" s="27"/>
      <c r="BS905" s="27"/>
      <c r="BT905" s="27"/>
      <c r="BU905" s="27"/>
      <c r="BV905" s="27"/>
      <c r="BW905" s="27"/>
      <c r="BX905" s="27"/>
      <c r="BY905" s="27"/>
      <c r="BZ905" s="27"/>
      <c r="CA905" s="27"/>
      <c r="CB905" s="27"/>
      <c r="CC905" s="27"/>
      <c r="CD905" s="27"/>
      <c r="CE905" s="27"/>
      <c r="CF905" s="27"/>
      <c r="CG905" s="27"/>
      <c r="CH905" s="27"/>
      <c r="CI905" s="27"/>
      <c r="CJ905" s="27"/>
      <c r="CK905" s="27"/>
      <c r="CL905" s="27"/>
      <c r="CM905" s="27"/>
      <c r="CN905" s="27"/>
      <c r="CO905" s="27"/>
      <c r="CP905" s="27"/>
      <c r="CQ905" s="27"/>
      <c r="CR905" s="27"/>
      <c r="CS905" s="27"/>
      <c r="CT905" s="27"/>
      <c r="CU905" s="27"/>
      <c r="CV905" s="27"/>
      <c r="CW905" s="27"/>
      <c r="CX905" s="27"/>
      <c r="CY905" s="27"/>
      <c r="CZ905" s="27"/>
      <c r="DA905" s="27"/>
      <c r="DB905" s="27"/>
      <c r="DC905" s="27"/>
      <c r="DD905" s="27"/>
      <c r="DE905" s="27"/>
      <c r="DF905" s="27"/>
      <c r="DG905" s="27"/>
      <c r="DH905" s="27"/>
      <c r="DI905" s="27"/>
      <c r="DJ905" s="27"/>
      <c r="DK905" s="27"/>
      <c r="DL905" s="27"/>
      <c r="DM905" s="27"/>
      <c r="DN905" s="27"/>
      <c r="DO905" s="27"/>
      <c r="DP905" s="27"/>
      <c r="DQ905" s="27"/>
      <c r="DR905" s="27"/>
      <c r="DS905" s="27"/>
      <c r="DT905" s="27"/>
    </row>
    <row r="906" spans="2:124" ht="15.75" thickTop="1" x14ac:dyDescent="0.25">
      <c r="B906" s="84" t="e">
        <f>#REF!</f>
        <v>#REF!</v>
      </c>
      <c r="C906" s="85" t="s">
        <v>543</v>
      </c>
      <c r="D906" s="86" t="s">
        <v>59</v>
      </c>
      <c r="E906" s="87" t="e">
        <f>#REF!/#REF!*E911</f>
        <v>#REF!</v>
      </c>
      <c r="F906" s="88" t="s">
        <v>526</v>
      </c>
      <c r="G906" s="27">
        <f ca="1">IF(ABS(BB771-AK741+AT739)&lt;0.26,0,BB771-AK741+AT739)</f>
        <v>-11.329999999999998</v>
      </c>
      <c r="H906" s="27"/>
      <c r="I906" s="27"/>
      <c r="J906" s="27"/>
      <c r="K906" s="27"/>
      <c r="L906" s="27"/>
      <c r="M906" s="27"/>
      <c r="N906" s="27"/>
      <c r="O906" s="27"/>
      <c r="P906" s="27"/>
      <c r="Q906" s="27"/>
      <c r="R906" s="27"/>
      <c r="S906" s="27"/>
      <c r="T906" s="27"/>
      <c r="U906" s="27"/>
      <c r="V906" s="27"/>
      <c r="W906" s="27"/>
      <c r="X906" s="27"/>
      <c r="Y906" s="27"/>
      <c r="Z906" s="27"/>
      <c r="AA906" s="27"/>
      <c r="AB906" s="27"/>
      <c r="AC906" s="27"/>
      <c r="AD906" s="27"/>
      <c r="AE906" s="27"/>
      <c r="AF906" s="27"/>
      <c r="AG906" s="27"/>
      <c r="AH906" s="27"/>
      <c r="AI906" s="27"/>
      <c r="AJ906" s="27"/>
      <c r="AK906" s="27"/>
      <c r="AL906" s="27"/>
      <c r="AM906" s="27"/>
      <c r="AN906" s="27"/>
      <c r="AO906" s="27"/>
      <c r="AP906" s="27"/>
      <c r="AQ906" s="27"/>
      <c r="AR906" s="27"/>
      <c r="AS906" s="27"/>
      <c r="AT906" s="27"/>
      <c r="AU906" s="27"/>
      <c r="AV906" s="27"/>
      <c r="AW906" s="27"/>
      <c r="AX906" s="27"/>
      <c r="AY906" s="27"/>
      <c r="AZ906" s="27"/>
      <c r="BA906" s="27"/>
      <c r="BB906" s="27"/>
      <c r="BC906" s="27"/>
      <c r="BD906" s="27"/>
      <c r="BE906" s="27"/>
      <c r="BF906" s="27"/>
      <c r="BG906" s="27"/>
      <c r="BH906" s="27"/>
      <c r="BI906" s="27"/>
      <c r="BJ906" s="27"/>
      <c r="BK906" s="27"/>
      <c r="BL906" s="27"/>
      <c r="BM906" s="27"/>
      <c r="BN906" s="27"/>
      <c r="BO906" s="27"/>
      <c r="BP906" s="27"/>
      <c r="BQ906" s="27"/>
      <c r="BR906" s="27"/>
      <c r="BS906" s="27"/>
      <c r="BT906" s="27"/>
      <c r="BU906" s="27"/>
      <c r="BV906" s="27"/>
      <c r="BW906" s="27"/>
      <c r="BX906" s="27"/>
      <c r="BY906" s="27"/>
      <c r="BZ906" s="27"/>
      <c r="CA906" s="27"/>
      <c r="CB906" s="27"/>
      <c r="CC906" s="27"/>
      <c r="CD906" s="27"/>
      <c r="CE906" s="27"/>
      <c r="CF906" s="27"/>
      <c r="CG906" s="27"/>
      <c r="CH906" s="27"/>
      <c r="CI906" s="27"/>
      <c r="CJ906" s="27"/>
      <c r="CK906" s="27"/>
      <c r="CL906" s="27"/>
      <c r="CM906" s="27"/>
      <c r="CN906" s="27"/>
      <c r="CO906" s="27"/>
      <c r="CP906" s="27"/>
      <c r="CQ906" s="27"/>
      <c r="CR906" s="27"/>
      <c r="CS906" s="27"/>
      <c r="CT906" s="27"/>
      <c r="CU906" s="27"/>
      <c r="CV906" s="27"/>
      <c r="CW906" s="27"/>
      <c r="CX906" s="27"/>
      <c r="CY906" s="27"/>
      <c r="CZ906" s="27"/>
      <c r="DA906" s="27"/>
      <c r="DB906" s="27"/>
      <c r="DC906" s="27"/>
      <c r="DD906" s="27"/>
      <c r="DE906" s="27"/>
      <c r="DF906" s="27"/>
      <c r="DG906" s="27"/>
      <c r="DH906" s="27"/>
      <c r="DI906" s="27"/>
      <c r="DJ906" s="27"/>
      <c r="DK906" s="27"/>
      <c r="DL906" s="27"/>
      <c r="DM906" s="27"/>
      <c r="DN906" s="27"/>
      <c r="DO906" s="27"/>
      <c r="DP906" s="27"/>
      <c r="DQ906" s="27"/>
      <c r="DR906" s="27"/>
      <c r="DS906" s="27"/>
      <c r="DT906" s="27"/>
    </row>
    <row r="907" spans="2:124" ht="15" x14ac:dyDescent="0.25">
      <c r="B907" s="89" t="e">
        <f>#REF!</f>
        <v>#REF!</v>
      </c>
      <c r="C907" s="90" t="s">
        <v>544</v>
      </c>
      <c r="D907" s="91" t="s">
        <v>59</v>
      </c>
      <c r="E907" s="92" t="e">
        <f>#REF!/#REF!*E911</f>
        <v>#REF!</v>
      </c>
      <c r="F907" s="93" t="str">
        <f ca="1">IF(G906&gt;0.26,"שנות ותק נגרר",IF(G906&lt;0.26,"תקופת חלת"))</f>
        <v>תקופת חלת</v>
      </c>
      <c r="G907" s="27">
        <f>(ROUND((ROUND((AF735-AL732)/365.25,4))*12,2)/12)</f>
        <v>32.415833333333332</v>
      </c>
      <c r="H907" s="27"/>
      <c r="I907" s="27"/>
      <c r="J907" s="27"/>
      <c r="K907" s="27"/>
      <c r="L907" s="27"/>
      <c r="M907" s="27"/>
      <c r="N907" s="27"/>
      <c r="O907" s="27"/>
      <c r="P907" s="27"/>
      <c r="Q907" s="27"/>
      <c r="R907" s="27"/>
      <c r="S907" s="27"/>
      <c r="T907" s="27"/>
      <c r="U907" s="27"/>
      <c r="V907" s="27"/>
      <c r="W907" s="27"/>
      <c r="X907" s="27"/>
      <c r="Y907" s="27"/>
      <c r="Z907" s="27"/>
      <c r="AA907" s="27"/>
      <c r="AB907" s="27"/>
      <c r="AC907" s="27"/>
      <c r="AD907" s="27"/>
      <c r="AE907" s="27"/>
      <c r="AF907" s="27"/>
      <c r="AG907" s="27"/>
      <c r="AH907" s="27"/>
      <c r="AI907" s="27"/>
      <c r="AJ907" s="27"/>
      <c r="AK907" s="27"/>
      <c r="AL907" s="27"/>
      <c r="AM907" s="27"/>
      <c r="AN907" s="27"/>
      <c r="AO907" s="27"/>
      <c r="AP907" s="27"/>
      <c r="AQ907" s="27"/>
      <c r="AR907" s="27"/>
      <c r="AS907" s="27"/>
      <c r="AT907" s="27"/>
      <c r="AU907" s="27"/>
      <c r="AV907" s="27"/>
      <c r="AW907" s="27"/>
      <c r="AX907" s="27"/>
      <c r="AY907" s="27"/>
      <c r="AZ907" s="27"/>
      <c r="BA907" s="27"/>
      <c r="BB907" s="27"/>
      <c r="BC907" s="27"/>
      <c r="BD907" s="27"/>
      <c r="BE907" s="27"/>
      <c r="BF907" s="27"/>
      <c r="BG907" s="27"/>
      <c r="BH907" s="27"/>
      <c r="BI907" s="27"/>
      <c r="BJ907" s="27"/>
      <c r="BK907" s="27"/>
      <c r="BL907" s="27"/>
      <c r="BM907" s="27"/>
      <c r="BN907" s="27"/>
      <c r="BO907" s="27"/>
      <c r="BP907" s="27"/>
      <c r="BQ907" s="27"/>
      <c r="BR907" s="27"/>
      <c r="BS907" s="27"/>
      <c r="BT907" s="27"/>
      <c r="BU907" s="27"/>
      <c r="BV907" s="27"/>
      <c r="BW907" s="27"/>
      <c r="BX907" s="27"/>
      <c r="BY907" s="27"/>
      <c r="BZ907" s="27"/>
      <c r="CA907" s="27"/>
      <c r="CB907" s="27"/>
      <c r="CC907" s="27"/>
      <c r="CD907" s="27"/>
      <c r="CE907" s="27"/>
      <c r="CF907" s="27"/>
      <c r="CG907" s="27"/>
      <c r="CH907" s="27"/>
      <c r="CI907" s="27"/>
      <c r="CJ907" s="27"/>
      <c r="CK907" s="27"/>
      <c r="CL907" s="27"/>
      <c r="CM907" s="27"/>
      <c r="CN907" s="27"/>
      <c r="CO907" s="27"/>
      <c r="CP907" s="27"/>
      <c r="CQ907" s="27"/>
      <c r="CR907" s="27"/>
      <c r="CS907" s="27"/>
      <c r="CT907" s="27"/>
      <c r="CU907" s="27"/>
      <c r="CV907" s="27"/>
      <c r="CW907" s="27"/>
      <c r="CX907" s="27"/>
      <c r="CY907" s="27"/>
      <c r="CZ907" s="27"/>
      <c r="DA907" s="27"/>
      <c r="DB907" s="27"/>
      <c r="DC907" s="27"/>
      <c r="DD907" s="27"/>
      <c r="DE907" s="27"/>
      <c r="DF907" s="27"/>
      <c r="DG907" s="27"/>
      <c r="DH907" s="27"/>
      <c r="DI907" s="27"/>
      <c r="DJ907" s="27"/>
      <c r="DK907" s="27"/>
      <c r="DL907" s="27"/>
      <c r="DM907" s="27"/>
      <c r="DN907" s="27"/>
      <c r="DO907" s="27"/>
      <c r="DP907" s="27"/>
      <c r="DQ907" s="27"/>
      <c r="DR907" s="27"/>
      <c r="DS907" s="27"/>
      <c r="DT907" s="27"/>
    </row>
    <row r="908" spans="2:124" ht="15" thickBot="1" x14ac:dyDescent="0.25">
      <c r="B908" s="89" t="e">
        <f>#REF!</f>
        <v>#REF!</v>
      </c>
      <c r="C908" s="94" t="s">
        <v>546</v>
      </c>
      <c r="D908" s="95" t="str">
        <f>E107&amp;"   :   מספר חודשים"</f>
        <v xml:space="preserve">   :   מספר חודשים</v>
      </c>
      <c r="E908" s="92" t="e">
        <f>#REF!/#REF!*E911</f>
        <v>#REF!</v>
      </c>
      <c r="F908" s="96" t="s">
        <v>530</v>
      </c>
      <c r="G908" s="27">
        <f>AF733/12</f>
        <v>32.416666666666664</v>
      </c>
      <c r="H908" s="27"/>
      <c r="I908" s="27"/>
      <c r="J908" s="27"/>
      <c r="K908" s="27"/>
      <c r="L908" s="27"/>
      <c r="M908" s="27"/>
      <c r="N908" s="27"/>
      <c r="O908" s="27"/>
      <c r="P908" s="27"/>
      <c r="Q908" s="27"/>
      <c r="R908" s="27"/>
      <c r="S908" s="27"/>
      <c r="T908" s="27"/>
      <c r="U908" s="27"/>
      <c r="V908" s="27"/>
      <c r="W908" s="27"/>
      <c r="X908" s="27"/>
      <c r="Y908" s="27"/>
      <c r="Z908" s="27"/>
      <c r="AA908" s="27"/>
      <c r="AB908" s="27"/>
      <c r="AC908" s="27"/>
      <c r="AD908" s="27"/>
      <c r="AE908" s="27"/>
      <c r="AF908" s="27"/>
      <c r="AG908" s="27"/>
      <c r="AH908" s="27"/>
      <c r="AI908" s="27"/>
      <c r="AJ908" s="27"/>
      <c r="AK908" s="27"/>
      <c r="AL908" s="27"/>
      <c r="AM908" s="27"/>
      <c r="AN908" s="27"/>
      <c r="AO908" s="27"/>
      <c r="AP908" s="27"/>
      <c r="AQ908" s="27"/>
      <c r="AR908" s="27"/>
      <c r="AS908" s="27"/>
      <c r="AT908" s="27"/>
      <c r="AU908" s="27"/>
      <c r="AV908" s="27"/>
      <c r="AW908" s="27"/>
      <c r="AX908" s="27"/>
      <c r="AY908" s="27"/>
      <c r="AZ908" s="27"/>
      <c r="BA908" s="27"/>
      <c r="BB908" s="27"/>
      <c r="BC908" s="27"/>
      <c r="BD908" s="27"/>
      <c r="BE908" s="27"/>
      <c r="BF908" s="27"/>
      <c r="BG908" s="27"/>
      <c r="BH908" s="27"/>
      <c r="BI908" s="27"/>
      <c r="BJ908" s="27"/>
      <c r="BK908" s="27"/>
      <c r="BL908" s="27"/>
      <c r="BM908" s="27"/>
      <c r="BN908" s="27"/>
      <c r="BO908" s="27"/>
      <c r="BP908" s="27"/>
      <c r="BQ908" s="27"/>
      <c r="BR908" s="27"/>
      <c r="BS908" s="27"/>
      <c r="BT908" s="27"/>
      <c r="BU908" s="27"/>
      <c r="BV908" s="27"/>
      <c r="BW908" s="27"/>
      <c r="BX908" s="27"/>
      <c r="BY908" s="27"/>
      <c r="BZ908" s="27"/>
      <c r="CA908" s="27"/>
      <c r="CB908" s="27"/>
      <c r="CC908" s="27"/>
      <c r="CD908" s="27"/>
      <c r="CE908" s="27"/>
      <c r="CF908" s="27"/>
      <c r="CG908" s="27"/>
      <c r="CH908" s="27"/>
      <c r="CI908" s="27"/>
      <c r="CJ908" s="27"/>
      <c r="CK908" s="27"/>
      <c r="CL908" s="27"/>
      <c r="CM908" s="27"/>
      <c r="CN908" s="27"/>
      <c r="CO908" s="27"/>
      <c r="CP908" s="27"/>
      <c r="CQ908" s="27"/>
      <c r="CR908" s="27"/>
      <c r="CS908" s="27"/>
      <c r="CT908" s="27"/>
      <c r="CU908" s="27"/>
      <c r="CV908" s="27"/>
      <c r="CW908" s="27"/>
      <c r="CX908" s="27"/>
      <c r="CY908" s="27"/>
      <c r="CZ908" s="27"/>
      <c r="DA908" s="27"/>
      <c r="DB908" s="27"/>
      <c r="DC908" s="27"/>
      <c r="DD908" s="27"/>
      <c r="DE908" s="27"/>
      <c r="DF908" s="27"/>
      <c r="DG908" s="27"/>
      <c r="DH908" s="27"/>
      <c r="DI908" s="27"/>
      <c r="DJ908" s="27"/>
      <c r="DK908" s="27"/>
      <c r="DL908" s="27"/>
      <c r="DM908" s="27"/>
      <c r="DN908" s="27"/>
      <c r="DO908" s="27"/>
      <c r="DP908" s="27"/>
      <c r="DQ908" s="27"/>
      <c r="DR908" s="27"/>
      <c r="DS908" s="27"/>
      <c r="DT908" s="27"/>
    </row>
    <row r="909" spans="2:124" ht="15.75" thickTop="1" thickBot="1" x14ac:dyDescent="0.25">
      <c r="B909" s="89" t="e">
        <f>#REF!</f>
        <v>#REF!</v>
      </c>
      <c r="C909" s="94" t="s">
        <v>547</v>
      </c>
      <c r="D909" s="95" t="e">
        <f>IF(#REF!=0,#REF!,INT(#REF!)&amp;" : ימי מחלה  לפדיון")</f>
        <v>#REF!</v>
      </c>
      <c r="E909" s="92" t="e">
        <f>#REF!/#REF!*E911</f>
        <v>#REF!</v>
      </c>
      <c r="F909" s="97" t="s">
        <v>532</v>
      </c>
      <c r="G909" s="27">
        <f>AF734</f>
        <v>0.59709999999999996</v>
      </c>
      <c r="H909" s="27"/>
      <c r="I909" s="27"/>
      <c r="J909" s="27"/>
      <c r="K909" s="27" t="e">
        <f ca="1">G961+G963+G964</f>
        <v>#REF!</v>
      </c>
      <c r="L909" s="27"/>
      <c r="M909" s="27"/>
      <c r="N909" s="27"/>
      <c r="O909" s="27"/>
      <c r="P909" s="27"/>
      <c r="Q909" s="27"/>
      <c r="R909" s="27"/>
      <c r="S909" s="27"/>
      <c r="T909" s="27"/>
      <c r="U909" s="27"/>
      <c r="V909" s="27"/>
      <c r="W909" s="27"/>
      <c r="X909" s="27"/>
      <c r="Y909" s="27"/>
      <c r="Z909" s="27"/>
      <c r="AA909" s="27"/>
      <c r="AB909" s="27"/>
      <c r="AC909" s="27"/>
      <c r="AD909" s="27"/>
      <c r="AE909" s="27"/>
      <c r="AF909" s="27"/>
      <c r="AG909" s="27"/>
      <c r="AH909" s="27"/>
      <c r="AI909" s="27"/>
      <c r="AJ909" s="27"/>
      <c r="AK909" s="27"/>
      <c r="AL909" s="27"/>
      <c r="AM909" s="27"/>
      <c r="AN909" s="27"/>
      <c r="AO909" s="27"/>
      <c r="AP909" s="27"/>
      <c r="AQ909" s="27"/>
      <c r="AR909" s="27"/>
      <c r="AS909" s="27"/>
      <c r="AT909" s="27"/>
      <c r="AU909" s="27"/>
      <c r="AV909" s="27"/>
      <c r="AW909" s="27"/>
      <c r="AX909" s="27"/>
      <c r="AY909" s="27"/>
      <c r="AZ909" s="27"/>
      <c r="BA909" s="27"/>
      <c r="BB909" s="27"/>
      <c r="BC909" s="27"/>
      <c r="BD909" s="27"/>
      <c r="BE909" s="27"/>
      <c r="BF909" s="27"/>
      <c r="BG909" s="27"/>
      <c r="BH909" s="27"/>
      <c r="BI909" s="27"/>
      <c r="BJ909" s="27"/>
      <c r="BK909" s="27"/>
      <c r="BL909" s="27"/>
      <c r="BM909" s="27"/>
      <c r="BN909" s="27"/>
      <c r="BO909" s="27"/>
      <c r="BP909" s="27"/>
      <c r="BQ909" s="27"/>
      <c r="BR909" s="27"/>
      <c r="BS909" s="27"/>
      <c r="BT909" s="27"/>
      <c r="BU909" s="27"/>
      <c r="BV909" s="27"/>
      <c r="BW909" s="27"/>
      <c r="BX909" s="27"/>
      <c r="BY909" s="27"/>
      <c r="BZ909" s="27"/>
      <c r="CA909" s="27"/>
      <c r="CB909" s="27"/>
      <c r="CC909" s="27"/>
      <c r="CD909" s="27"/>
      <c r="CE909" s="27"/>
      <c r="CF909" s="27"/>
      <c r="CG909" s="27"/>
      <c r="CH909" s="27"/>
      <c r="CI909" s="27"/>
      <c r="CJ909" s="27"/>
      <c r="CK909" s="27"/>
      <c r="CL909" s="27"/>
      <c r="CM909" s="27"/>
      <c r="CN909" s="27"/>
      <c r="CO909" s="27"/>
      <c r="CP909" s="27"/>
      <c r="CQ909" s="27"/>
      <c r="CR909" s="27"/>
      <c r="CS909" s="27"/>
      <c r="CT909" s="27"/>
      <c r="CU909" s="27"/>
      <c r="CV909" s="27"/>
      <c r="CW909" s="27"/>
      <c r="CX909" s="27"/>
      <c r="CY909" s="27"/>
      <c r="CZ909" s="27"/>
      <c r="DA909" s="27"/>
      <c r="DB909" s="27"/>
      <c r="DC909" s="27"/>
      <c r="DD909" s="27"/>
      <c r="DE909" s="27"/>
      <c r="DF909" s="27"/>
      <c r="DG909" s="27"/>
      <c r="DH909" s="27"/>
      <c r="DI909" s="27"/>
      <c r="DJ909" s="27"/>
      <c r="DK909" s="27"/>
      <c r="DL909" s="27"/>
      <c r="DM909" s="27"/>
      <c r="DN909" s="27"/>
      <c r="DO909" s="27"/>
      <c r="DP909" s="27"/>
      <c r="DQ909" s="27"/>
      <c r="DR909" s="27"/>
      <c r="DS909" s="27"/>
      <c r="DT909" s="27"/>
    </row>
    <row r="910" spans="2:124" ht="15.75" thickTop="1" thickBot="1" x14ac:dyDescent="0.25">
      <c r="B910" s="98" t="e">
        <f>#REF!</f>
        <v>#REF!</v>
      </c>
      <c r="C910" s="99" t="s">
        <v>548</v>
      </c>
      <c r="D910" s="100" t="e">
        <f>IF(#REF!=0,#REF!,TRUNC(#REF!,2)&amp; "  :מספר משכורות")</f>
        <v>#REF!</v>
      </c>
      <c r="E910" s="101" t="e">
        <f>#REF!/#REF!*E911</f>
        <v>#REF!</v>
      </c>
      <c r="F910" s="102" t="s">
        <v>534</v>
      </c>
      <c r="G910" s="27">
        <f>E110</f>
        <v>0</v>
      </c>
      <c r="H910" s="27"/>
      <c r="I910" s="27"/>
      <c r="J910" s="27"/>
      <c r="K910" s="27"/>
      <c r="L910" s="27"/>
      <c r="M910" s="27"/>
      <c r="N910" s="27"/>
      <c r="O910" s="27"/>
      <c r="P910" s="27"/>
      <c r="Q910" s="27"/>
      <c r="R910" s="27"/>
      <c r="S910" s="27"/>
      <c r="T910" s="27"/>
      <c r="U910" s="27"/>
      <c r="V910" s="27"/>
      <c r="W910" s="27"/>
      <c r="X910" s="27"/>
      <c r="Y910" s="27"/>
      <c r="Z910" s="27"/>
      <c r="AA910" s="27"/>
      <c r="AB910" s="27"/>
      <c r="AC910" s="27"/>
      <c r="AD910" s="27"/>
      <c r="AE910" s="27"/>
      <c r="AF910" s="27"/>
      <c r="AG910" s="27"/>
      <c r="AH910" s="27"/>
      <c r="AI910" s="27"/>
      <c r="AJ910" s="27"/>
      <c r="AK910" s="27"/>
      <c r="AL910" s="27"/>
      <c r="AM910" s="27"/>
      <c r="AN910" s="27"/>
      <c r="AO910" s="27"/>
      <c r="AP910" s="27"/>
      <c r="AQ910" s="27"/>
      <c r="AR910" s="27"/>
      <c r="AS910" s="27"/>
      <c r="AT910" s="27"/>
      <c r="AU910" s="27"/>
      <c r="AV910" s="27"/>
      <c r="AW910" s="27"/>
      <c r="AX910" s="27"/>
      <c r="AY910" s="27"/>
      <c r="AZ910" s="27"/>
      <c r="BA910" s="27"/>
      <c r="BB910" s="27"/>
      <c r="BC910" s="27"/>
      <c r="BD910" s="27"/>
      <c r="BE910" s="27"/>
      <c r="BF910" s="27"/>
      <c r="BG910" s="27"/>
      <c r="BH910" s="27"/>
      <c r="BI910" s="27"/>
      <c r="BJ910" s="27"/>
      <c r="BK910" s="27"/>
      <c r="BL910" s="27"/>
      <c r="BM910" s="27"/>
      <c r="BN910" s="27"/>
      <c r="BO910" s="27"/>
      <c r="BP910" s="27"/>
      <c r="BQ910" s="27"/>
      <c r="BR910" s="27"/>
      <c r="BS910" s="27"/>
      <c r="BT910" s="27"/>
      <c r="BU910" s="27"/>
      <c r="BV910" s="27"/>
      <c r="BW910" s="27"/>
      <c r="BX910" s="27"/>
      <c r="BY910" s="27"/>
      <c r="BZ910" s="27"/>
      <c r="CA910" s="27"/>
      <c r="CB910" s="27"/>
      <c r="CC910" s="27"/>
      <c r="CD910" s="27"/>
      <c r="CE910" s="27"/>
      <c r="CF910" s="27"/>
      <c r="CG910" s="27"/>
      <c r="CH910" s="27"/>
      <c r="CI910" s="27"/>
      <c r="CJ910" s="27"/>
      <c r="CK910" s="27"/>
      <c r="CL910" s="27"/>
      <c r="CM910" s="27"/>
      <c r="CN910" s="27"/>
      <c r="CO910" s="27"/>
      <c r="CP910" s="27"/>
      <c r="CQ910" s="27"/>
      <c r="CR910" s="27"/>
      <c r="CS910" s="27"/>
      <c r="CT910" s="27"/>
      <c r="CU910" s="27"/>
      <c r="CV910" s="27"/>
      <c r="CW910" s="27"/>
      <c r="CX910" s="27"/>
      <c r="CY910" s="27"/>
      <c r="CZ910" s="27"/>
      <c r="DA910" s="27"/>
      <c r="DB910" s="27"/>
      <c r="DC910" s="27"/>
      <c r="DD910" s="27"/>
      <c r="DE910" s="27"/>
      <c r="DF910" s="27"/>
      <c r="DG910" s="27"/>
      <c r="DH910" s="27"/>
      <c r="DI910" s="27"/>
      <c r="DJ910" s="27"/>
      <c r="DK910" s="27"/>
      <c r="DL910" s="27"/>
      <c r="DM910" s="27"/>
      <c r="DN910" s="27"/>
      <c r="DO910" s="27"/>
      <c r="DP910" s="27"/>
      <c r="DQ910" s="27"/>
      <c r="DR910" s="27"/>
      <c r="DS910" s="27"/>
      <c r="DT910" s="27"/>
    </row>
    <row r="911" spans="2:124" ht="17.25" thickTop="1" thickBot="1" x14ac:dyDescent="0.3">
      <c r="B911" s="103" t="e">
        <f>SUM(B906:B910)</f>
        <v>#REF!</v>
      </c>
      <c r="C911" s="104" t="s">
        <v>549</v>
      </c>
      <c r="D911" s="105" t="s">
        <v>550</v>
      </c>
      <c r="E911" s="106" t="e">
        <f>#REF!</f>
        <v>#REF!</v>
      </c>
      <c r="F911" s="68" t="s">
        <v>536</v>
      </c>
      <c r="G911" s="27">
        <f>IF((E110+G909)&gt;70%,70%,IF((E110+G909)&lt;20%,20%,E110+G909))</f>
        <v>0.59709999999999996</v>
      </c>
      <c r="H911" s="27"/>
      <c r="I911" s="27"/>
      <c r="J911" s="27"/>
      <c r="K911" s="27"/>
      <c r="L911" s="27"/>
      <c r="M911" s="27"/>
      <c r="N911" s="27"/>
      <c r="O911" s="27"/>
      <c r="P911" s="27"/>
      <c r="Q911" s="27"/>
      <c r="R911" s="27"/>
      <c r="S911" s="27"/>
      <c r="T911" s="27"/>
      <c r="U911" s="27"/>
      <c r="V911" s="27"/>
      <c r="W911" s="27"/>
      <c r="X911" s="27"/>
      <c r="Y911" s="27"/>
      <c r="Z911" s="27"/>
      <c r="AA911" s="27"/>
      <c r="AB911" s="27"/>
      <c r="AC911" s="27"/>
      <c r="AD911" s="27"/>
      <c r="AE911" s="27"/>
      <c r="AF911" s="27"/>
      <c r="AG911" s="27"/>
      <c r="AH911" s="27"/>
      <c r="AI911" s="27"/>
      <c r="AJ911" s="27"/>
      <c r="AK911" s="27"/>
      <c r="AL911" s="27"/>
      <c r="AM911" s="27"/>
      <c r="AN911" s="27"/>
      <c r="AO911" s="27"/>
      <c r="AP911" s="27"/>
      <c r="AQ911" s="27"/>
      <c r="AR911" s="27"/>
      <c r="AS911" s="27"/>
      <c r="AT911" s="27"/>
      <c r="AU911" s="27"/>
      <c r="AV911" s="27"/>
      <c r="AW911" s="27"/>
      <c r="AX911" s="27"/>
      <c r="AY911" s="27"/>
      <c r="AZ911" s="27"/>
      <c r="BA911" s="27"/>
      <c r="BB911" s="27"/>
      <c r="BC911" s="27"/>
      <c r="BD911" s="27"/>
      <c r="BE911" s="27"/>
      <c r="BF911" s="27"/>
      <c r="BG911" s="27"/>
      <c r="BH911" s="27"/>
      <c r="BI911" s="27"/>
      <c r="BJ911" s="27"/>
      <c r="BK911" s="27"/>
      <c r="BL911" s="27"/>
      <c r="BM911" s="27"/>
      <c r="BN911" s="27"/>
      <c r="BO911" s="27"/>
      <c r="BP911" s="27"/>
      <c r="BQ911" s="27"/>
      <c r="BR911" s="27"/>
      <c r="BS911" s="27"/>
      <c r="BT911" s="27"/>
      <c r="BU911" s="27"/>
      <c r="BV911" s="27"/>
      <c r="BW911" s="27"/>
      <c r="BX911" s="27"/>
      <c r="BY911" s="27"/>
      <c r="BZ911" s="27"/>
      <c r="CA911" s="27"/>
      <c r="CB911" s="27"/>
      <c r="CC911" s="27"/>
      <c r="CD911" s="27"/>
      <c r="CE911" s="27"/>
      <c r="CF911" s="27"/>
      <c r="CG911" s="27"/>
      <c r="CH911" s="27"/>
      <c r="CI911" s="27"/>
      <c r="CJ911" s="27"/>
      <c r="CK911" s="27"/>
      <c r="CL911" s="27"/>
      <c r="CM911" s="27"/>
      <c r="CN911" s="27"/>
      <c r="CO911" s="27"/>
      <c r="CP911" s="27"/>
      <c r="CQ911" s="27"/>
      <c r="CR911" s="27"/>
      <c r="CS911" s="27"/>
      <c r="CT911" s="27"/>
      <c r="CU911" s="27"/>
      <c r="CV911" s="27"/>
      <c r="CW911" s="27"/>
      <c r="CX911" s="27"/>
      <c r="CY911" s="27"/>
      <c r="CZ911" s="27"/>
      <c r="DA911" s="27"/>
      <c r="DB911" s="27"/>
      <c r="DC911" s="27"/>
      <c r="DD911" s="27"/>
      <c r="DE911" s="27"/>
      <c r="DF911" s="27"/>
      <c r="DG911" s="27"/>
      <c r="DH911" s="27"/>
      <c r="DI911" s="27"/>
      <c r="DJ911" s="27"/>
      <c r="DK911" s="27"/>
      <c r="DL911" s="27"/>
      <c r="DM911" s="27"/>
      <c r="DN911" s="27"/>
      <c r="DO911" s="27"/>
      <c r="DP911" s="27"/>
      <c r="DQ911" s="27"/>
      <c r="DR911" s="27"/>
      <c r="DS911" s="27"/>
      <c r="DT911" s="27"/>
    </row>
    <row r="912" spans="2:124" ht="17.25" thickTop="1" thickBot="1" x14ac:dyDescent="0.3">
      <c r="B912" s="107"/>
      <c r="C912" s="107" t="s">
        <v>551</v>
      </c>
      <c r="D912" s="108"/>
      <c r="E912" s="109" t="e">
        <f>E911-#REF!</f>
        <v>#REF!</v>
      </c>
      <c r="F912" s="110" t="s">
        <v>537</v>
      </c>
      <c r="G912" s="27" t="e">
        <f>G973</f>
        <v>#REF!</v>
      </c>
      <c r="H912" s="27"/>
      <c r="I912" s="27"/>
      <c r="J912" s="27"/>
      <c r="K912" s="27"/>
      <c r="L912" s="27"/>
      <c r="M912" s="27"/>
      <c r="N912" s="27"/>
      <c r="O912" s="27"/>
      <c r="P912" s="27"/>
      <c r="Q912" s="27"/>
      <c r="R912" s="27"/>
      <c r="S912" s="27"/>
      <c r="T912" s="27"/>
      <c r="U912" s="27"/>
      <c r="V912" s="27"/>
      <c r="W912" s="27"/>
      <c r="X912" s="27"/>
      <c r="Y912" s="27"/>
      <c r="Z912" s="27"/>
      <c r="AA912" s="27"/>
      <c r="AB912" s="27"/>
      <c r="AC912" s="27"/>
      <c r="AD912" s="27"/>
      <c r="AE912" s="27"/>
      <c r="AF912" s="27"/>
      <c r="AG912" s="27"/>
      <c r="AH912" s="27"/>
      <c r="AI912" s="27"/>
      <c r="AJ912" s="27"/>
      <c r="AK912" s="27"/>
      <c r="AL912" s="27"/>
      <c r="AM912" s="27"/>
      <c r="AN912" s="27"/>
      <c r="AO912" s="27"/>
      <c r="AP912" s="27"/>
      <c r="AQ912" s="27"/>
      <c r="AR912" s="27"/>
      <c r="AS912" s="27"/>
      <c r="AT912" s="27"/>
      <c r="AU912" s="27"/>
      <c r="AV912" s="27"/>
      <c r="AW912" s="27"/>
      <c r="AX912" s="27"/>
      <c r="AY912" s="27"/>
      <c r="AZ912" s="27"/>
      <c r="BA912" s="27"/>
      <c r="BB912" s="27"/>
      <c r="BC912" s="27"/>
      <c r="BD912" s="27"/>
      <c r="BE912" s="27"/>
      <c r="BF912" s="27"/>
      <c r="BG912" s="27"/>
      <c r="BH912" s="27"/>
      <c r="BI912" s="27"/>
      <c r="BJ912" s="27"/>
      <c r="BK912" s="27"/>
      <c r="BL912" s="27"/>
      <c r="BM912" s="27"/>
      <c r="BN912" s="27"/>
      <c r="BO912" s="27"/>
      <c r="BP912" s="27"/>
      <c r="BQ912" s="27"/>
      <c r="BR912" s="27"/>
      <c r="BS912" s="27"/>
      <c r="BT912" s="27"/>
      <c r="BU912" s="27"/>
      <c r="BV912" s="27"/>
      <c r="BW912" s="27"/>
      <c r="BX912" s="27"/>
      <c r="BY912" s="27"/>
      <c r="BZ912" s="27"/>
      <c r="CA912" s="27"/>
      <c r="CB912" s="27"/>
      <c r="CC912" s="27"/>
      <c r="CD912" s="27"/>
      <c r="CE912" s="27"/>
      <c r="CF912" s="27"/>
      <c r="CG912" s="27"/>
      <c r="CH912" s="27"/>
      <c r="CI912" s="27"/>
      <c r="CJ912" s="27"/>
      <c r="CK912" s="27"/>
      <c r="CL912" s="27"/>
      <c r="CM912" s="27"/>
      <c r="CN912" s="27"/>
      <c r="CO912" s="27"/>
      <c r="CP912" s="27"/>
      <c r="CQ912" s="27"/>
      <c r="CR912" s="27"/>
      <c r="CS912" s="27"/>
      <c r="CT912" s="27"/>
      <c r="CU912" s="27"/>
      <c r="CV912" s="27"/>
      <c r="CW912" s="27"/>
      <c r="CX912" s="27"/>
      <c r="CY912" s="27"/>
      <c r="CZ912" s="27"/>
      <c r="DA912" s="27"/>
      <c r="DB912" s="27"/>
      <c r="DC912" s="27"/>
      <c r="DD912" s="27"/>
      <c r="DE912" s="27"/>
      <c r="DF912" s="27"/>
      <c r="DG912" s="27"/>
      <c r="DH912" s="27"/>
      <c r="DI912" s="27"/>
      <c r="DJ912" s="27"/>
      <c r="DK912" s="27"/>
      <c r="DL912" s="27"/>
      <c r="DM912" s="27"/>
      <c r="DN912" s="27"/>
      <c r="DO912" s="27"/>
      <c r="DP912" s="27"/>
      <c r="DQ912" s="27"/>
      <c r="DR912" s="27"/>
      <c r="DS912" s="27"/>
      <c r="DT912" s="27"/>
    </row>
    <row r="913" spans="2:124" ht="19.5" thickTop="1" thickBot="1" x14ac:dyDescent="0.3">
      <c r="B913" s="111"/>
      <c r="C913" s="111" t="e">
        <f>"   החזרי מס במהלך   " &amp;#REF!&amp;" שנות פריסת המס  "</f>
        <v>#REF!</v>
      </c>
      <c r="D913" s="112"/>
      <c r="E913" s="113" t="e">
        <f>#REF!</f>
        <v>#REF!</v>
      </c>
      <c r="F913" s="114" t="s">
        <v>538</v>
      </c>
      <c r="G913" s="27"/>
      <c r="H913" s="27"/>
      <c r="I913" s="27"/>
      <c r="J913" s="27"/>
      <c r="K913" s="27"/>
      <c r="L913" s="27"/>
      <c r="M913" s="27"/>
      <c r="N913" s="27"/>
      <c r="O913" s="27"/>
      <c r="P913" s="27"/>
      <c r="Q913" s="27"/>
      <c r="R913" s="27"/>
      <c r="S913" s="27"/>
      <c r="T913" s="27"/>
      <c r="U913" s="27"/>
      <c r="V913" s="27"/>
      <c r="W913" s="27"/>
      <c r="X913" s="27"/>
      <c r="Y913" s="27"/>
      <c r="Z913" s="27"/>
      <c r="AA913" s="27"/>
      <c r="AB913" s="27"/>
      <c r="AC913" s="27"/>
      <c r="AD913" s="27"/>
      <c r="AE913" s="27"/>
      <c r="AF913" s="27"/>
      <c r="AG913" s="27"/>
      <c r="AH913" s="27"/>
      <c r="AI913" s="27"/>
      <c r="AJ913" s="27"/>
      <c r="AK913" s="27"/>
      <c r="AL913" s="27"/>
      <c r="AM913" s="27"/>
      <c r="AN913" s="27"/>
      <c r="AO913" s="27"/>
      <c r="AP913" s="27"/>
      <c r="AQ913" s="27"/>
      <c r="AR913" s="27"/>
      <c r="AS913" s="27"/>
      <c r="AT913" s="27"/>
      <c r="AU913" s="27"/>
      <c r="AV913" s="27"/>
      <c r="AW913" s="27"/>
      <c r="AX913" s="27"/>
      <c r="AY913" s="27"/>
      <c r="AZ913" s="27"/>
      <c r="BA913" s="27"/>
      <c r="BB913" s="27"/>
      <c r="BC913" s="27"/>
      <c r="BD913" s="27"/>
      <c r="BE913" s="27"/>
      <c r="BF913" s="27"/>
      <c r="BG913" s="27"/>
      <c r="BH913" s="27"/>
      <c r="BI913" s="27"/>
      <c r="BJ913" s="27"/>
      <c r="BK913" s="27"/>
      <c r="BL913" s="27"/>
      <c r="BM913" s="27"/>
      <c r="BN913" s="27"/>
      <c r="BO913" s="27"/>
      <c r="BP913" s="27"/>
      <c r="BQ913" s="27"/>
      <c r="BR913" s="27"/>
      <c r="BS913" s="27"/>
      <c r="BT913" s="27"/>
      <c r="BU913" s="27"/>
      <c r="BV913" s="27"/>
      <c r="BW913" s="27"/>
      <c r="BX913" s="27"/>
      <c r="BY913" s="27"/>
      <c r="BZ913" s="27"/>
      <c r="CA913" s="27"/>
      <c r="CB913" s="27"/>
      <c r="CC913" s="27"/>
      <c r="CD913" s="27"/>
      <c r="CE913" s="27"/>
      <c r="CF913" s="27"/>
      <c r="CG913" s="27"/>
      <c r="CH913" s="27"/>
      <c r="CI913" s="27"/>
      <c r="CJ913" s="27"/>
      <c r="CK913" s="27"/>
      <c r="CL913" s="27"/>
      <c r="CM913" s="27"/>
      <c r="CN913" s="27"/>
      <c r="CO913" s="27"/>
      <c r="CP913" s="27"/>
      <c r="CQ913" s="27"/>
      <c r="CR913" s="27"/>
      <c r="CS913" s="27"/>
      <c r="CT913" s="27"/>
      <c r="CU913" s="27"/>
      <c r="CV913" s="27"/>
      <c r="CW913" s="27"/>
      <c r="CX913" s="27"/>
      <c r="CY913" s="27"/>
      <c r="CZ913" s="27"/>
      <c r="DA913" s="27"/>
      <c r="DB913" s="27"/>
      <c r="DC913" s="27"/>
      <c r="DD913" s="27"/>
      <c r="DE913" s="27"/>
      <c r="DF913" s="27"/>
      <c r="DG913" s="27"/>
      <c r="DH913" s="27"/>
      <c r="DI913" s="27"/>
      <c r="DJ913" s="27"/>
      <c r="DK913" s="27"/>
      <c r="DL913" s="27"/>
      <c r="DM913" s="27"/>
      <c r="DN913" s="27"/>
      <c r="DO913" s="27"/>
      <c r="DP913" s="27"/>
      <c r="DQ913" s="27"/>
      <c r="DR913" s="27"/>
      <c r="DS913" s="27"/>
      <c r="DT913" s="27"/>
    </row>
    <row r="914" spans="2:124" ht="16.5" thickTop="1" thickBot="1" x14ac:dyDescent="0.3">
      <c r="B914" s="115" t="e">
        <f>#REF!</f>
        <v>#REF!</v>
      </c>
      <c r="C914" s="116" t="s">
        <v>552</v>
      </c>
      <c r="D914" s="117" t="e">
        <f>#REF!&amp;" : ימי חופש  לפדיון"</f>
        <v>#REF!</v>
      </c>
      <c r="E914" s="115" t="e">
        <f>#REF!-BF740</f>
        <v>#REF!</v>
      </c>
      <c r="F914" s="118" t="s">
        <v>539</v>
      </c>
      <c r="G914" s="27" t="s">
        <v>502</v>
      </c>
      <c r="H914" s="27"/>
      <c r="I914" s="27"/>
      <c r="J914" s="27"/>
      <c r="K914" s="27"/>
      <c r="L914" s="27"/>
      <c r="M914" s="27"/>
      <c r="N914" s="27"/>
      <c r="O914" s="27"/>
      <c r="P914" s="27"/>
      <c r="Q914" s="27"/>
      <c r="R914" s="27"/>
      <c r="S914" s="27"/>
      <c r="T914" s="27"/>
      <c r="U914" s="27"/>
      <c r="V914" s="27"/>
      <c r="W914" s="27"/>
      <c r="X914" s="27"/>
      <c r="Y914" s="27"/>
      <c r="Z914" s="27"/>
      <c r="AA914" s="27"/>
      <c r="AB914" s="27"/>
      <c r="AC914" s="27"/>
      <c r="AD914" s="27"/>
      <c r="AE914" s="27"/>
      <c r="AF914" s="27"/>
      <c r="AG914" s="27"/>
      <c r="AH914" s="27"/>
      <c r="AI914" s="27"/>
      <c r="AJ914" s="27"/>
      <c r="AK914" s="27"/>
      <c r="AL914" s="27"/>
      <c r="AM914" s="27"/>
      <c r="AN914" s="27"/>
      <c r="AO914" s="27"/>
      <c r="AP914" s="27"/>
      <c r="AQ914" s="27"/>
      <c r="AR914" s="27"/>
      <c r="AS914" s="27"/>
      <c r="AT914" s="27"/>
      <c r="AU914" s="27"/>
      <c r="AV914" s="27"/>
      <c r="AW914" s="27"/>
      <c r="AX914" s="27"/>
      <c r="AY914" s="27"/>
      <c r="AZ914" s="27"/>
      <c r="BA914" s="27"/>
      <c r="BB914" s="27"/>
      <c r="BC914" s="27"/>
      <c r="BD914" s="27"/>
      <c r="BE914" s="27"/>
      <c r="BF914" s="27"/>
      <c r="BG914" s="27"/>
      <c r="BH914" s="27"/>
      <c r="BI914" s="27"/>
      <c r="BJ914" s="27"/>
      <c r="BK914" s="27"/>
      <c r="BL914" s="27"/>
      <c r="BM914" s="27"/>
      <c r="BN914" s="27"/>
      <c r="BO914" s="27"/>
      <c r="BP914" s="27"/>
      <c r="BQ914" s="27"/>
      <c r="BR914" s="27"/>
      <c r="BS914" s="27"/>
      <c r="BT914" s="27"/>
      <c r="BU914" s="27"/>
      <c r="BV914" s="27"/>
      <c r="BW914" s="27"/>
      <c r="BX914" s="27"/>
      <c r="BY914" s="27"/>
      <c r="BZ914" s="27"/>
      <c r="CA914" s="27"/>
      <c r="CB914" s="27"/>
      <c r="CC914" s="27"/>
      <c r="CD914" s="27"/>
      <c r="CE914" s="27"/>
      <c r="CF914" s="27"/>
      <c r="CG914" s="27"/>
      <c r="CH914" s="27"/>
      <c r="CI914" s="27"/>
      <c r="CJ914" s="27"/>
      <c r="CK914" s="27"/>
      <c r="CL914" s="27"/>
      <c r="CM914" s="27"/>
      <c r="CN914" s="27"/>
      <c r="CO914" s="27"/>
      <c r="CP914" s="27"/>
      <c r="CQ914" s="27"/>
      <c r="CR914" s="27"/>
      <c r="CS914" s="27"/>
      <c r="CT914" s="27"/>
      <c r="CU914" s="27"/>
      <c r="CV914" s="27"/>
      <c r="CW914" s="27"/>
      <c r="CX914" s="27"/>
      <c r="CY914" s="27"/>
      <c r="CZ914" s="27"/>
      <c r="DA914" s="27"/>
      <c r="DB914" s="27"/>
      <c r="DC914" s="27"/>
      <c r="DD914" s="27"/>
      <c r="DE914" s="27"/>
      <c r="DF914" s="27"/>
      <c r="DG914" s="27"/>
      <c r="DH914" s="27"/>
      <c r="DI914" s="27"/>
      <c r="DJ914" s="27"/>
      <c r="DK914" s="27"/>
      <c r="DL914" s="27"/>
      <c r="DM914" s="27"/>
      <c r="DN914" s="27"/>
      <c r="DO914" s="27"/>
      <c r="DP914" s="27"/>
      <c r="DQ914" s="27"/>
      <c r="DR914" s="27"/>
      <c r="DS914" s="27"/>
      <c r="DT914" s="27"/>
    </row>
    <row r="915" spans="2:124" ht="15" x14ac:dyDescent="0.25">
      <c r="C915" s="119" t="s">
        <v>553</v>
      </c>
      <c r="D915" s="120"/>
      <c r="E915" s="121"/>
      <c r="F915" s="121" t="e">
        <f>IF(#REF!=0,0,#REF!-#REF!)</f>
        <v>#REF!</v>
      </c>
      <c r="G915" s="27" t="s">
        <v>503</v>
      </c>
      <c r="H915" s="27"/>
      <c r="I915" s="27"/>
      <c r="J915" s="27"/>
      <c r="K915" s="27"/>
      <c r="L915" s="27"/>
      <c r="M915" s="27"/>
      <c r="N915" s="27"/>
      <c r="O915" s="27"/>
      <c r="P915" s="27"/>
      <c r="Q915" s="27"/>
      <c r="R915" s="27"/>
      <c r="S915" s="27"/>
      <c r="T915" s="27"/>
      <c r="U915" s="27"/>
      <c r="V915" s="27"/>
      <c r="W915" s="27"/>
      <c r="X915" s="27"/>
      <c r="Y915" s="27"/>
      <c r="Z915" s="27"/>
      <c r="AA915" s="27"/>
      <c r="AB915" s="27"/>
      <c r="AC915" s="27"/>
      <c r="AD915" s="27"/>
      <c r="AE915" s="27"/>
      <c r="AF915" s="27"/>
      <c r="AG915" s="27"/>
      <c r="AH915" s="27"/>
      <c r="AI915" s="27"/>
      <c r="AJ915" s="27"/>
      <c r="AK915" s="27"/>
      <c r="AL915" s="27"/>
      <c r="AM915" s="27"/>
      <c r="AN915" s="27"/>
      <c r="AO915" s="27"/>
      <c r="AP915" s="27"/>
      <c r="AQ915" s="27"/>
      <c r="AR915" s="27"/>
      <c r="AS915" s="27"/>
      <c r="AT915" s="27"/>
      <c r="AU915" s="27"/>
      <c r="AV915" s="27"/>
      <c r="AW915" s="27"/>
      <c r="AX915" s="27"/>
      <c r="AY915" s="27"/>
      <c r="AZ915" s="27"/>
      <c r="BA915" s="27"/>
      <c r="BB915" s="27"/>
      <c r="BC915" s="27"/>
      <c r="BD915" s="27"/>
      <c r="BE915" s="27"/>
      <c r="BF915" s="27"/>
      <c r="BG915" s="27"/>
      <c r="BH915" s="27"/>
      <c r="BI915" s="27"/>
      <c r="BJ915" s="27"/>
      <c r="BK915" s="27"/>
      <c r="BL915" s="27"/>
      <c r="BM915" s="27"/>
      <c r="BN915" s="27"/>
      <c r="BO915" s="27"/>
      <c r="BP915" s="27"/>
      <c r="BQ915" s="27"/>
      <c r="BR915" s="27"/>
      <c r="BS915" s="27"/>
      <c r="BT915" s="27"/>
      <c r="BU915" s="27"/>
      <c r="BV915" s="27"/>
      <c r="BW915" s="27"/>
      <c r="BX915" s="27"/>
      <c r="BY915" s="27"/>
      <c r="BZ915" s="27"/>
      <c r="CA915" s="27"/>
      <c r="CB915" s="27"/>
      <c r="CC915" s="27"/>
      <c r="CD915" s="27"/>
      <c r="CE915" s="27"/>
      <c r="CF915" s="27"/>
      <c r="CG915" s="27"/>
      <c r="CH915" s="27"/>
      <c r="CI915" s="27"/>
      <c r="CJ915" s="27"/>
      <c r="CK915" s="27"/>
      <c r="CL915" s="27"/>
      <c r="CM915" s="27"/>
      <c r="CN915" s="27"/>
      <c r="CO915" s="27"/>
      <c r="CP915" s="27"/>
      <c r="CQ915" s="27"/>
      <c r="CR915" s="27"/>
      <c r="CS915" s="27"/>
      <c r="CT915" s="27"/>
      <c r="CU915" s="27"/>
      <c r="CV915" s="27"/>
      <c r="CW915" s="27"/>
      <c r="CX915" s="27"/>
      <c r="CY915" s="27"/>
      <c r="CZ915" s="27"/>
      <c r="DA915" s="27"/>
      <c r="DB915" s="27"/>
      <c r="DC915" s="27"/>
      <c r="DD915" s="27"/>
      <c r="DE915" s="27"/>
      <c r="DF915" s="27"/>
      <c r="DG915" s="27"/>
      <c r="DH915" s="27"/>
      <c r="DI915" s="27"/>
      <c r="DJ915" s="27"/>
      <c r="DK915" s="27"/>
      <c r="DL915" s="27"/>
      <c r="DM915" s="27"/>
      <c r="DN915" s="27"/>
      <c r="DO915" s="27"/>
      <c r="DP915" s="27"/>
      <c r="DQ915" s="27"/>
      <c r="DR915" s="27"/>
      <c r="DS915" s="27"/>
      <c r="DT915" s="27"/>
    </row>
    <row r="916" spans="2:124" ht="15.75" thickBot="1" x14ac:dyDescent="0.3">
      <c r="C916" s="122" t="s">
        <v>555</v>
      </c>
      <c r="D916" s="123"/>
      <c r="E916" s="124"/>
      <c r="F916" s="124"/>
      <c r="G916" s="27" t="s">
        <v>504</v>
      </c>
      <c r="H916" s="27"/>
      <c r="I916" s="27"/>
      <c r="J916" s="27"/>
      <c r="K916" s="27"/>
      <c r="L916" s="27"/>
      <c r="M916" s="27"/>
      <c r="N916" s="27"/>
      <c r="O916" s="27"/>
      <c r="P916" s="27"/>
      <c r="Q916" s="27"/>
      <c r="R916" s="27"/>
      <c r="S916" s="27"/>
      <c r="T916" s="27"/>
      <c r="U916" s="27"/>
      <c r="V916" s="27"/>
      <c r="W916" s="27"/>
      <c r="X916" s="27"/>
      <c r="Y916" s="27"/>
      <c r="Z916" s="27"/>
      <c r="AA916" s="27"/>
      <c r="AB916" s="27"/>
      <c r="AC916" s="27"/>
      <c r="AD916" s="27"/>
      <c r="AE916" s="27"/>
      <c r="AF916" s="27"/>
      <c r="AG916" s="27"/>
      <c r="AH916" s="27"/>
      <c r="AI916" s="27"/>
      <c r="AJ916" s="27"/>
      <c r="AK916" s="27"/>
      <c r="AL916" s="27"/>
      <c r="AM916" s="27"/>
      <c r="AN916" s="27"/>
      <c r="AO916" s="27"/>
      <c r="AP916" s="27"/>
      <c r="AQ916" s="27"/>
      <c r="AR916" s="27"/>
      <c r="AS916" s="27"/>
      <c r="AT916" s="27"/>
      <c r="AU916" s="27"/>
      <c r="AV916" s="27"/>
      <c r="AW916" s="27"/>
      <c r="AX916" s="27"/>
      <c r="AY916" s="27"/>
      <c r="AZ916" s="27"/>
      <c r="BA916" s="27"/>
      <c r="BB916" s="27"/>
      <c r="BC916" s="27"/>
      <c r="BD916" s="27"/>
      <c r="BE916" s="27"/>
      <c r="BF916" s="27"/>
      <c r="BG916" s="27"/>
      <c r="BH916" s="27"/>
      <c r="BI916" s="27"/>
      <c r="BJ916" s="27"/>
      <c r="BK916" s="27"/>
      <c r="BL916" s="27"/>
      <c r="BM916" s="27"/>
      <c r="BN916" s="27"/>
      <c r="BO916" s="27"/>
      <c r="BP916" s="27"/>
      <c r="BQ916" s="27"/>
      <c r="BR916" s="27"/>
      <c r="BS916" s="27"/>
      <c r="BT916" s="27"/>
      <c r="BU916" s="27"/>
      <c r="BV916" s="27"/>
      <c r="BW916" s="27"/>
      <c r="BX916" s="27"/>
      <c r="BY916" s="27"/>
      <c r="BZ916" s="27"/>
      <c r="CA916" s="27"/>
      <c r="CB916" s="27"/>
      <c r="CC916" s="27"/>
      <c r="CD916" s="27"/>
      <c r="CE916" s="27"/>
      <c r="CF916" s="27"/>
      <c r="CG916" s="27"/>
      <c r="CH916" s="27"/>
      <c r="CI916" s="27"/>
      <c r="CJ916" s="27"/>
      <c r="CK916" s="27"/>
      <c r="CL916" s="27"/>
      <c r="CM916" s="27"/>
      <c r="CN916" s="27"/>
      <c r="CO916" s="27"/>
      <c r="CP916" s="27"/>
      <c r="CQ916" s="27"/>
      <c r="CR916" s="27"/>
      <c r="CS916" s="27"/>
      <c r="CT916" s="27"/>
      <c r="CU916" s="27"/>
      <c r="CV916" s="27"/>
      <c r="CW916" s="27"/>
      <c r="CX916" s="27"/>
      <c r="CY916" s="27"/>
      <c r="CZ916" s="27"/>
      <c r="DA916" s="27"/>
      <c r="DB916" s="27"/>
      <c r="DC916" s="27"/>
      <c r="DD916" s="27"/>
      <c r="DE916" s="27"/>
      <c r="DF916" s="27"/>
      <c r="DG916" s="27"/>
      <c r="DH916" s="27"/>
      <c r="DI916" s="27"/>
      <c r="DJ916" s="27"/>
      <c r="DK916" s="27"/>
      <c r="DL916" s="27"/>
      <c r="DM916" s="27"/>
      <c r="DN916" s="27"/>
      <c r="DO916" s="27"/>
      <c r="DP916" s="27"/>
      <c r="DQ916" s="27"/>
      <c r="DR916" s="27"/>
      <c r="DS916" s="27"/>
      <c r="DT916" s="27"/>
    </row>
    <row r="917" spans="2:124" ht="15.75" thickTop="1" x14ac:dyDescent="0.25">
      <c r="B917" s="125" t="s">
        <v>556</v>
      </c>
      <c r="C917" s="126"/>
      <c r="D917" s="127"/>
      <c r="E917" s="128" t="e">
        <f>#REF!</f>
        <v>#REF!</v>
      </c>
      <c r="F917" s="128" t="s">
        <v>540</v>
      </c>
      <c r="G917" s="27"/>
      <c r="H917" s="27"/>
      <c r="I917" s="27"/>
      <c r="J917" s="27"/>
      <c r="K917" s="27"/>
      <c r="L917" s="27"/>
      <c r="M917" s="27"/>
      <c r="N917" s="27"/>
      <c r="O917" s="27"/>
      <c r="P917" s="27"/>
      <c r="Q917" s="27"/>
      <c r="R917" s="27"/>
      <c r="S917" s="27"/>
      <c r="T917" s="27"/>
      <c r="U917" s="27"/>
      <c r="V917" s="27"/>
      <c r="W917" s="27"/>
      <c r="X917" s="27"/>
      <c r="Y917" s="27"/>
      <c r="Z917" s="27"/>
      <c r="AA917" s="27"/>
      <c r="AB917" s="27"/>
      <c r="AC917" s="27"/>
      <c r="AD917" s="27"/>
      <c r="AE917" s="27"/>
      <c r="AF917" s="27"/>
      <c r="AG917" s="27"/>
      <c r="AH917" s="27"/>
      <c r="AI917" s="27"/>
      <c r="AJ917" s="27"/>
      <c r="AK917" s="27"/>
      <c r="AL917" s="27"/>
      <c r="AM917" s="27"/>
      <c r="AN917" s="27"/>
      <c r="AO917" s="27"/>
      <c r="AP917" s="27"/>
      <c r="AQ917" s="27"/>
      <c r="AR917" s="27"/>
      <c r="AS917" s="27"/>
      <c r="AT917" s="27"/>
      <c r="AU917" s="27"/>
      <c r="AV917" s="27"/>
      <c r="AW917" s="27"/>
      <c r="AX917" s="27"/>
      <c r="AY917" s="27"/>
      <c r="AZ917" s="27"/>
      <c r="BA917" s="27"/>
      <c r="BB917" s="27"/>
      <c r="BC917" s="27"/>
      <c r="BD917" s="27"/>
      <c r="BE917" s="27"/>
      <c r="BF917" s="27"/>
      <c r="BG917" s="27"/>
      <c r="BH917" s="27"/>
      <c r="BI917" s="27"/>
      <c r="BJ917" s="27"/>
      <c r="BK917" s="27"/>
      <c r="BL917" s="27"/>
      <c r="BM917" s="27"/>
      <c r="BN917" s="27"/>
      <c r="BO917" s="27"/>
      <c r="BP917" s="27"/>
      <c r="BQ917" s="27"/>
      <c r="BR917" s="27"/>
      <c r="BS917" s="27"/>
      <c r="BT917" s="27"/>
      <c r="BU917" s="27"/>
      <c r="BV917" s="27"/>
      <c r="BW917" s="27"/>
      <c r="BX917" s="27"/>
      <c r="BY917" s="27"/>
      <c r="BZ917" s="27"/>
      <c r="CA917" s="27"/>
      <c r="CB917" s="27"/>
      <c r="CC917" s="27"/>
      <c r="CD917" s="27"/>
      <c r="CE917" s="27"/>
      <c r="CF917" s="27"/>
      <c r="CG917" s="27"/>
      <c r="CH917" s="27"/>
      <c r="CI917" s="27"/>
      <c r="CJ917" s="27"/>
      <c r="CK917" s="27"/>
      <c r="CL917" s="27"/>
      <c r="CM917" s="27"/>
      <c r="CN917" s="27"/>
      <c r="CO917" s="27"/>
      <c r="CP917" s="27"/>
      <c r="CQ917" s="27"/>
      <c r="CR917" s="27"/>
      <c r="CS917" s="27"/>
      <c r="CT917" s="27"/>
      <c r="CU917" s="27"/>
      <c r="CV917" s="27"/>
      <c r="CW917" s="27"/>
      <c r="CX917" s="27"/>
      <c r="CY917" s="27"/>
      <c r="CZ917" s="27"/>
      <c r="DA917" s="27"/>
      <c r="DB917" s="27"/>
      <c r="DC917" s="27"/>
      <c r="DD917" s="27"/>
      <c r="DE917" s="27"/>
      <c r="DF917" s="27"/>
      <c r="DG917" s="27"/>
      <c r="DH917" s="27"/>
      <c r="DI917" s="27"/>
      <c r="DJ917" s="27"/>
      <c r="DK917" s="27"/>
      <c r="DL917" s="27"/>
      <c r="DM917" s="27"/>
      <c r="DN917" s="27"/>
      <c r="DO917" s="27"/>
      <c r="DP917" s="27"/>
      <c r="DQ917" s="27"/>
      <c r="DR917" s="27"/>
      <c r="DS917" s="27"/>
      <c r="DT917" s="27"/>
    </row>
    <row r="918" spans="2:124" ht="15" thickBot="1" x14ac:dyDescent="0.25">
      <c r="B918" s="129" t="s">
        <v>557</v>
      </c>
      <c r="C918" s="129"/>
      <c r="D918" s="129"/>
      <c r="E918" s="129"/>
      <c r="F918" s="130"/>
      <c r="G918" s="27"/>
      <c r="H918" s="27"/>
      <c r="I918" s="27"/>
      <c r="J918" s="27"/>
      <c r="K918" s="27"/>
      <c r="L918" s="27"/>
      <c r="M918" s="27"/>
      <c r="N918" s="27"/>
      <c r="O918" s="27"/>
      <c r="P918" s="27"/>
      <c r="Q918" s="27"/>
      <c r="R918" s="27"/>
      <c r="S918" s="27"/>
      <c r="T918" s="27"/>
      <c r="U918" s="27"/>
      <c r="V918" s="27"/>
      <c r="W918" s="27"/>
      <c r="X918" s="27"/>
      <c r="Y918" s="27"/>
      <c r="Z918" s="27"/>
      <c r="AA918" s="27"/>
      <c r="AB918" s="27"/>
      <c r="AC918" s="27"/>
      <c r="AD918" s="27"/>
      <c r="AE918" s="27"/>
      <c r="AF918" s="27"/>
      <c r="AG918" s="27"/>
      <c r="AH918" s="27"/>
      <c r="AI918" s="27"/>
      <c r="AJ918" s="27"/>
      <c r="AK918" s="27"/>
      <c r="AL918" s="27"/>
      <c r="AM918" s="27"/>
      <c r="AN918" s="27"/>
      <c r="AO918" s="27"/>
      <c r="AP918" s="27"/>
      <c r="AQ918" s="27"/>
      <c r="AR918" s="27"/>
      <c r="AS918" s="27"/>
      <c r="AT918" s="27"/>
      <c r="AU918" s="27"/>
      <c r="AV918" s="27"/>
      <c r="AW918" s="27"/>
      <c r="AX918" s="27"/>
      <c r="AY918" s="27"/>
      <c r="AZ918" s="27"/>
      <c r="BA918" s="27"/>
      <c r="BB918" s="27"/>
      <c r="BC918" s="27"/>
      <c r="BD918" s="27"/>
      <c r="BE918" s="27"/>
      <c r="BF918" s="27"/>
      <c r="BG918" s="27"/>
      <c r="BH918" s="27"/>
      <c r="BI918" s="27"/>
      <c r="BJ918" s="27"/>
      <c r="BK918" s="27"/>
      <c r="BL918" s="27"/>
      <c r="BM918" s="27"/>
      <c r="BN918" s="27"/>
      <c r="BO918" s="27"/>
      <c r="BP918" s="27"/>
      <c r="BQ918" s="27"/>
      <c r="BR918" s="27"/>
      <c r="BS918" s="27"/>
      <c r="BT918" s="27"/>
      <c r="BU918" s="27"/>
      <c r="BV918" s="27"/>
      <c r="BW918" s="27"/>
      <c r="BX918" s="27"/>
      <c r="BY918" s="27"/>
      <c r="BZ918" s="27"/>
      <c r="CA918" s="27"/>
      <c r="CB918" s="27"/>
      <c r="CC918" s="27"/>
      <c r="CD918" s="27"/>
      <c r="CE918" s="27"/>
      <c r="CF918" s="27"/>
      <c r="CG918" s="27"/>
      <c r="CH918" s="27"/>
      <c r="CI918" s="27"/>
      <c r="CJ918" s="27"/>
      <c r="CK918" s="27"/>
      <c r="CL918" s="27"/>
      <c r="CM918" s="27"/>
      <c r="CN918" s="27"/>
      <c r="CO918" s="27"/>
      <c r="CP918" s="27"/>
      <c r="CQ918" s="27"/>
      <c r="CR918" s="27"/>
      <c r="CS918" s="27"/>
      <c r="CT918" s="27"/>
      <c r="CU918" s="27"/>
      <c r="CV918" s="27"/>
      <c r="CW918" s="27"/>
      <c r="CX918" s="27"/>
      <c r="CY918" s="27"/>
      <c r="CZ918" s="27"/>
      <c r="DA918" s="27"/>
      <c r="DB918" s="27"/>
      <c r="DC918" s="27"/>
      <c r="DD918" s="27"/>
      <c r="DE918" s="27"/>
      <c r="DF918" s="27"/>
      <c r="DG918" s="27"/>
      <c r="DH918" s="27"/>
      <c r="DI918" s="27"/>
      <c r="DJ918" s="27"/>
      <c r="DK918" s="27"/>
      <c r="DL918" s="27"/>
      <c r="DM918" s="27"/>
      <c r="DN918" s="27"/>
      <c r="DO918" s="27"/>
      <c r="DP918" s="27"/>
      <c r="DQ918" s="27"/>
      <c r="DR918" s="27"/>
      <c r="DS918" s="27"/>
      <c r="DT918" s="27"/>
    </row>
    <row r="919" spans="2:124" ht="15.75" thickTop="1" x14ac:dyDescent="0.25">
      <c r="B919" s="77"/>
      <c r="C919" s="131" t="s">
        <v>559</v>
      </c>
      <c r="D919" s="108"/>
      <c r="E919" s="132"/>
      <c r="G919" s="27">
        <f ca="1">N738</f>
        <v>13.33</v>
      </c>
      <c r="H919" s="27"/>
      <c r="I919" s="27"/>
      <c r="J919" s="27"/>
      <c r="K919" s="27"/>
      <c r="L919" s="27"/>
      <c r="M919" s="27"/>
      <c r="N919" s="27"/>
      <c r="O919" s="27"/>
      <c r="P919" s="27"/>
      <c r="Q919" s="27"/>
      <c r="R919" s="27"/>
      <c r="S919" s="27"/>
      <c r="T919" s="27"/>
      <c r="U919" s="27"/>
      <c r="V919" s="27"/>
      <c r="W919" s="27"/>
      <c r="X919" s="27"/>
      <c r="Y919" s="27"/>
      <c r="Z919" s="27"/>
      <c r="AA919" s="27"/>
      <c r="AB919" s="27"/>
      <c r="AC919" s="27"/>
      <c r="AD919" s="27"/>
      <c r="AE919" s="27"/>
      <c r="AF919" s="27"/>
      <c r="AG919" s="27"/>
      <c r="AH919" s="27"/>
      <c r="AI919" s="27"/>
      <c r="AJ919" s="27"/>
      <c r="AK919" s="27"/>
      <c r="AL919" s="27"/>
      <c r="AM919" s="27"/>
      <c r="AN919" s="27"/>
      <c r="AO919" s="27"/>
      <c r="AP919" s="27"/>
      <c r="AQ919" s="27"/>
      <c r="AR919" s="27"/>
      <c r="AS919" s="27"/>
      <c r="AT919" s="27"/>
      <c r="AU919" s="27"/>
      <c r="AV919" s="27"/>
      <c r="AW919" s="27"/>
      <c r="AX919" s="27"/>
      <c r="AY919" s="27"/>
      <c r="AZ919" s="27"/>
      <c r="BA919" s="27"/>
      <c r="BB919" s="27"/>
      <c r="BC919" s="27"/>
      <c r="BD919" s="27"/>
      <c r="BE919" s="27"/>
      <c r="BF919" s="27"/>
      <c r="BG919" s="27"/>
      <c r="BH919" s="27"/>
      <c r="BI919" s="27"/>
      <c r="BJ919" s="27"/>
      <c r="BK919" s="27"/>
      <c r="BL919" s="27"/>
      <c r="BM919" s="27"/>
      <c r="BN919" s="27"/>
      <c r="BO919" s="27"/>
      <c r="BP919" s="27"/>
      <c r="BQ919" s="27"/>
      <c r="BR919" s="27"/>
      <c r="BS919" s="27"/>
      <c r="BT919" s="27"/>
      <c r="BU919" s="27"/>
      <c r="BV919" s="27"/>
      <c r="BW919" s="27"/>
      <c r="BX919" s="27"/>
      <c r="BY919" s="27"/>
      <c r="BZ919" s="27"/>
      <c r="CA919" s="27"/>
      <c r="CB919" s="27"/>
      <c r="CC919" s="27"/>
      <c r="CD919" s="27"/>
      <c r="CE919" s="27"/>
      <c r="CF919" s="27"/>
      <c r="CG919" s="27"/>
      <c r="CH919" s="27"/>
      <c r="CI919" s="27"/>
      <c r="CJ919" s="27"/>
      <c r="CK919" s="27"/>
      <c r="CL919" s="27"/>
      <c r="CM919" s="27"/>
      <c r="CN919" s="27"/>
      <c r="CO919" s="27"/>
      <c r="CP919" s="27"/>
      <c r="CQ919" s="27"/>
      <c r="CR919" s="27"/>
      <c r="CS919" s="27"/>
      <c r="CT919" s="27"/>
      <c r="CU919" s="27"/>
      <c r="CV919" s="27"/>
      <c r="CW919" s="27"/>
      <c r="CX919" s="27"/>
      <c r="CY919" s="27"/>
      <c r="CZ919" s="27"/>
      <c r="DA919" s="27"/>
      <c r="DB919" s="27"/>
      <c r="DC919" s="27"/>
      <c r="DD919" s="27"/>
      <c r="DE919" s="27"/>
      <c r="DF919" s="27"/>
      <c r="DG919" s="27"/>
      <c r="DH919" s="27"/>
      <c r="DI919" s="27"/>
      <c r="DJ919" s="27"/>
      <c r="DK919" s="27"/>
      <c r="DL919" s="27"/>
      <c r="DM919" s="27"/>
      <c r="DN919" s="27"/>
      <c r="DO919" s="27"/>
      <c r="DP919" s="27"/>
      <c r="DQ919" s="27"/>
      <c r="DR919" s="27"/>
      <c r="DS919" s="27"/>
      <c r="DT919" s="27"/>
    </row>
    <row r="920" spans="2:124" ht="15.75" x14ac:dyDescent="0.25">
      <c r="B920" s="133" t="s">
        <v>59</v>
      </c>
      <c r="C920" s="131" t="s">
        <v>560</v>
      </c>
      <c r="D920" s="108"/>
      <c r="E920" s="132"/>
      <c r="F920" s="134" t="s">
        <v>545</v>
      </c>
      <c r="G920" s="27"/>
      <c r="H920" s="27"/>
      <c r="I920" s="27"/>
      <c r="J920" s="27"/>
      <c r="K920" s="27"/>
      <c r="L920" s="27"/>
      <c r="M920" s="27"/>
      <c r="N920" s="27"/>
      <c r="O920" s="27"/>
      <c r="P920" s="27"/>
      <c r="Q920" s="27"/>
      <c r="R920" s="27"/>
      <c r="S920" s="27"/>
      <c r="T920" s="27"/>
      <c r="U920" s="27"/>
      <c r="V920" s="27"/>
      <c r="W920" s="27"/>
      <c r="X920" s="27"/>
      <c r="Y920" s="27"/>
      <c r="Z920" s="27"/>
      <c r="AA920" s="27"/>
      <c r="AB920" s="27"/>
      <c r="AC920" s="27"/>
      <c r="AD920" s="27"/>
      <c r="AE920" s="27"/>
      <c r="AF920" s="27"/>
      <c r="AG920" s="27"/>
      <c r="AH920" s="27"/>
      <c r="AI920" s="27"/>
      <c r="AJ920" s="27"/>
      <c r="AK920" s="27"/>
      <c r="AL920" s="27"/>
      <c r="AM920" s="27"/>
      <c r="AN920" s="27"/>
      <c r="AO920" s="27"/>
      <c r="AP920" s="27"/>
      <c r="AQ920" s="27"/>
      <c r="AR920" s="27"/>
      <c r="AS920" s="27"/>
      <c r="AT920" s="27"/>
      <c r="AU920" s="27"/>
      <c r="AV920" s="27"/>
      <c r="AW920" s="27"/>
      <c r="AX920" s="27"/>
      <c r="AY920" s="27"/>
      <c r="AZ920" s="27"/>
      <c r="BA920" s="27"/>
      <c r="BB920" s="27"/>
      <c r="BC920" s="27"/>
      <c r="BD920" s="27"/>
      <c r="BE920" s="27"/>
      <c r="BF920" s="27"/>
      <c r="BG920" s="27"/>
      <c r="BH920" s="27"/>
      <c r="BI920" s="27"/>
      <c r="BJ920" s="27"/>
      <c r="BK920" s="27"/>
      <c r="BL920" s="27"/>
      <c r="BM920" s="27"/>
      <c r="BN920" s="27"/>
      <c r="BO920" s="27"/>
      <c r="BP920" s="27"/>
      <c r="BQ920" s="27"/>
      <c r="BR920" s="27"/>
      <c r="BS920" s="27"/>
      <c r="BT920" s="27"/>
      <c r="BU920" s="27"/>
      <c r="BV920" s="27"/>
      <c r="BW920" s="27"/>
      <c r="BX920" s="27"/>
      <c r="BY920" s="27"/>
      <c r="BZ920" s="27"/>
      <c r="CA920" s="27"/>
      <c r="CB920" s="27"/>
      <c r="CC920" s="27"/>
      <c r="CD920" s="27"/>
      <c r="CE920" s="27"/>
      <c r="CF920" s="27"/>
      <c r="CG920" s="27"/>
      <c r="CH920" s="27"/>
      <c r="CI920" s="27"/>
      <c r="CJ920" s="27"/>
      <c r="CK920" s="27"/>
      <c r="CL920" s="27"/>
      <c r="CM920" s="27"/>
      <c r="CN920" s="27"/>
      <c r="CO920" s="27"/>
      <c r="CP920" s="27"/>
      <c r="CQ920" s="27"/>
      <c r="CR920" s="27"/>
      <c r="CS920" s="27"/>
      <c r="CT920" s="27"/>
      <c r="CU920" s="27"/>
      <c r="CV920" s="27"/>
      <c r="CW920" s="27"/>
      <c r="CX920" s="27"/>
      <c r="CY920" s="27"/>
      <c r="CZ920" s="27"/>
      <c r="DA920" s="27"/>
      <c r="DB920" s="27"/>
      <c r="DC920" s="27"/>
      <c r="DD920" s="27"/>
      <c r="DE920" s="27"/>
      <c r="DF920" s="27"/>
      <c r="DG920" s="27"/>
      <c r="DH920" s="27"/>
      <c r="DI920" s="27"/>
      <c r="DJ920" s="27"/>
      <c r="DK920" s="27"/>
      <c r="DL920" s="27"/>
      <c r="DM920" s="27"/>
      <c r="DN920" s="27"/>
      <c r="DO920" s="27"/>
      <c r="DP920" s="27"/>
      <c r="DQ920" s="27"/>
      <c r="DR920" s="27"/>
      <c r="DS920" s="27"/>
      <c r="DT920" s="27"/>
    </row>
    <row r="921" spans="2:124" x14ac:dyDescent="0.2">
      <c r="G921" s="27"/>
      <c r="H921" s="27"/>
      <c r="I921" s="27"/>
      <c r="J921" s="27"/>
      <c r="K921" s="27"/>
      <c r="L921" s="27"/>
      <c r="M921" s="27"/>
      <c r="N921" s="27"/>
      <c r="O921" s="27"/>
      <c r="P921" s="27"/>
      <c r="Q921" s="27"/>
      <c r="R921" s="27"/>
      <c r="S921" s="27"/>
      <c r="T921" s="27"/>
      <c r="U921" s="27"/>
      <c r="V921" s="27"/>
      <c r="W921" s="27"/>
      <c r="X921" s="27"/>
      <c r="Y921" s="27"/>
      <c r="Z921" s="27"/>
      <c r="AA921" s="27"/>
      <c r="AB921" s="27"/>
      <c r="AC921" s="27"/>
      <c r="AD921" s="27"/>
      <c r="AE921" s="27"/>
      <c r="AF921" s="27"/>
      <c r="AG921" s="27"/>
      <c r="AH921" s="27"/>
      <c r="AI921" s="27"/>
      <c r="AJ921" s="27"/>
      <c r="AK921" s="27"/>
      <c r="AL921" s="27"/>
      <c r="AM921" s="27"/>
      <c r="AN921" s="27"/>
      <c r="AO921" s="27"/>
      <c r="AP921" s="27"/>
      <c r="AQ921" s="27"/>
      <c r="AR921" s="27"/>
      <c r="AS921" s="27"/>
      <c r="AT921" s="27"/>
      <c r="AU921" s="27"/>
      <c r="AV921" s="27"/>
      <c r="AW921" s="27"/>
      <c r="AX921" s="27"/>
      <c r="AY921" s="27"/>
      <c r="AZ921" s="27"/>
      <c r="BA921" s="27"/>
      <c r="BB921" s="27"/>
      <c r="BC921" s="27"/>
      <c r="BD921" s="27"/>
      <c r="BE921" s="27"/>
      <c r="BF921" s="27"/>
      <c r="BG921" s="27"/>
      <c r="BH921" s="27"/>
      <c r="BI921" s="27"/>
      <c r="BJ921" s="27"/>
      <c r="BK921" s="27"/>
      <c r="BL921" s="27"/>
      <c r="BM921" s="27"/>
      <c r="BN921" s="27"/>
      <c r="BO921" s="27"/>
      <c r="BP921" s="27"/>
      <c r="BQ921" s="27"/>
      <c r="BR921" s="27"/>
      <c r="BS921" s="27"/>
      <c r="BT921" s="27"/>
      <c r="BU921" s="27"/>
      <c r="BV921" s="27"/>
      <c r="BW921" s="27"/>
      <c r="BX921" s="27"/>
      <c r="BY921" s="27"/>
      <c r="BZ921" s="27"/>
      <c r="CA921" s="27"/>
      <c r="CB921" s="27"/>
      <c r="CC921" s="27"/>
      <c r="CD921" s="27"/>
      <c r="CE921" s="27"/>
      <c r="CF921" s="27"/>
      <c r="CG921" s="27"/>
      <c r="CH921" s="27"/>
      <c r="CI921" s="27"/>
      <c r="CJ921" s="27"/>
      <c r="CK921" s="27"/>
      <c r="CL921" s="27"/>
      <c r="CM921" s="27"/>
      <c r="CN921" s="27"/>
      <c r="CO921" s="27"/>
      <c r="CP921" s="27"/>
      <c r="CQ921" s="27"/>
      <c r="CR921" s="27"/>
      <c r="CS921" s="27"/>
      <c r="CT921" s="27"/>
      <c r="CU921" s="27"/>
      <c r="CV921" s="27"/>
      <c r="CW921" s="27"/>
      <c r="CX921" s="27"/>
      <c r="CY921" s="27"/>
      <c r="CZ921" s="27"/>
      <c r="DA921" s="27"/>
      <c r="DB921" s="27"/>
      <c r="DC921" s="27"/>
      <c r="DD921" s="27"/>
      <c r="DE921" s="27"/>
      <c r="DF921" s="27"/>
      <c r="DG921" s="27"/>
      <c r="DH921" s="27"/>
      <c r="DI921" s="27"/>
      <c r="DJ921" s="27"/>
      <c r="DK921" s="27"/>
      <c r="DL921" s="27"/>
      <c r="DM921" s="27"/>
      <c r="DN921" s="27"/>
      <c r="DO921" s="27"/>
      <c r="DP921" s="27"/>
      <c r="DQ921" s="27"/>
      <c r="DR921" s="27"/>
      <c r="DS921" s="27"/>
      <c r="DT921" s="27"/>
    </row>
    <row r="922" spans="2:124" x14ac:dyDescent="0.2">
      <c r="E922" s="10" t="s">
        <v>59</v>
      </c>
      <c r="G922" s="27" t="s">
        <v>59</v>
      </c>
      <c r="H922" s="27"/>
      <c r="I922" s="27"/>
      <c r="J922" s="27"/>
      <c r="K922" s="27"/>
      <c r="L922" s="27"/>
      <c r="M922" s="27"/>
      <c r="N922" s="27"/>
      <c r="O922" s="27"/>
      <c r="P922" s="27"/>
      <c r="Q922" s="27"/>
      <c r="R922" s="27"/>
      <c r="S922" s="27"/>
      <c r="T922" s="27"/>
      <c r="U922" s="27"/>
      <c r="V922" s="27"/>
      <c r="W922" s="27"/>
      <c r="X922" s="27"/>
      <c r="Y922" s="27"/>
      <c r="Z922" s="27"/>
      <c r="AA922" s="27"/>
      <c r="AB922" s="27"/>
      <c r="AC922" s="27"/>
      <c r="AD922" s="27"/>
      <c r="AE922" s="27"/>
      <c r="AF922" s="27"/>
      <c r="AG922" s="27"/>
      <c r="AH922" s="27"/>
      <c r="AI922" s="27"/>
      <c r="AJ922" s="27"/>
      <c r="AK922" s="27"/>
      <c r="AL922" s="27"/>
      <c r="AM922" s="27"/>
      <c r="AN922" s="27"/>
      <c r="AO922" s="27"/>
      <c r="AP922" s="27"/>
      <c r="AQ922" s="27"/>
      <c r="AR922" s="27"/>
      <c r="AS922" s="27"/>
      <c r="AT922" s="27"/>
      <c r="AU922" s="27"/>
      <c r="AV922" s="27"/>
      <c r="AW922" s="27"/>
      <c r="AX922" s="27"/>
      <c r="AY922" s="27"/>
      <c r="AZ922" s="27"/>
      <c r="BA922" s="27"/>
      <c r="BB922" s="27"/>
      <c r="BC922" s="27"/>
      <c r="BD922" s="27"/>
      <c r="BE922" s="27"/>
      <c r="BF922" s="27"/>
      <c r="BG922" s="27"/>
      <c r="BH922" s="27"/>
      <c r="BI922" s="27"/>
      <c r="BJ922" s="27"/>
      <c r="BK922" s="27"/>
      <c r="BL922" s="27"/>
      <c r="BM922" s="27"/>
      <c r="BN922" s="27"/>
      <c r="BO922" s="27"/>
      <c r="BP922" s="27"/>
      <c r="BQ922" s="27"/>
      <c r="BR922" s="27"/>
      <c r="BS922" s="27"/>
      <c r="BT922" s="27"/>
      <c r="BU922" s="27"/>
      <c r="BV922" s="27"/>
      <c r="BW922" s="27"/>
      <c r="BX922" s="27"/>
      <c r="BY922" s="27"/>
      <c r="BZ922" s="27"/>
      <c r="CA922" s="27"/>
      <c r="CB922" s="27"/>
      <c r="CC922" s="27"/>
      <c r="CD922" s="27"/>
      <c r="CE922" s="27"/>
      <c r="CF922" s="27"/>
      <c r="CG922" s="27"/>
      <c r="CH922" s="27"/>
      <c r="CI922" s="27"/>
      <c r="CJ922" s="27"/>
      <c r="CK922" s="27"/>
      <c r="CL922" s="27"/>
      <c r="CM922" s="27"/>
      <c r="CN922" s="27"/>
      <c r="CO922" s="27"/>
      <c r="CP922" s="27"/>
      <c r="CQ922" s="27"/>
      <c r="CR922" s="27"/>
      <c r="CS922" s="27"/>
      <c r="CT922" s="27"/>
      <c r="CU922" s="27"/>
      <c r="CV922" s="27"/>
      <c r="CW922" s="27"/>
      <c r="CX922" s="27"/>
      <c r="CY922" s="27"/>
      <c r="CZ922" s="27"/>
      <c r="DA922" s="27"/>
      <c r="DB922" s="27"/>
      <c r="DC922" s="27"/>
      <c r="DD922" s="27"/>
      <c r="DE922" s="27"/>
      <c r="DF922" s="27"/>
      <c r="DG922" s="27"/>
      <c r="DH922" s="27"/>
      <c r="DI922" s="27"/>
      <c r="DJ922" s="27"/>
      <c r="DK922" s="27"/>
      <c r="DL922" s="27"/>
      <c r="DM922" s="27"/>
      <c r="DN922" s="27"/>
      <c r="DO922" s="27"/>
      <c r="DP922" s="27"/>
      <c r="DQ922" s="27"/>
      <c r="DR922" s="27"/>
      <c r="DS922" s="27"/>
      <c r="DT922" s="27"/>
    </row>
    <row r="923" spans="2:124" x14ac:dyDescent="0.2">
      <c r="G923" s="27"/>
      <c r="H923" s="27"/>
      <c r="I923" s="27"/>
      <c r="J923" s="27"/>
      <c r="K923" s="27"/>
      <c r="L923" s="27"/>
      <c r="M923" s="27"/>
      <c r="N923" s="27"/>
      <c r="O923" s="27"/>
      <c r="P923" s="27"/>
      <c r="Q923" s="27"/>
      <c r="R923" s="27"/>
      <c r="S923" s="27"/>
      <c r="T923" s="27"/>
      <c r="U923" s="27"/>
      <c r="V923" s="27"/>
      <c r="W923" s="27"/>
      <c r="X923" s="27"/>
      <c r="Y923" s="27"/>
      <c r="Z923" s="27"/>
      <c r="AA923" s="27"/>
      <c r="AB923" s="27"/>
      <c r="AC923" s="27"/>
      <c r="AD923" s="27"/>
      <c r="AE923" s="27"/>
      <c r="AF923" s="27"/>
      <c r="AG923" s="27"/>
      <c r="AH923" s="27"/>
      <c r="AI923" s="27"/>
      <c r="AJ923" s="27"/>
      <c r="AK923" s="27"/>
      <c r="AL923" s="27"/>
      <c r="AM923" s="27"/>
      <c r="AN923" s="27"/>
      <c r="AO923" s="27"/>
      <c r="AP923" s="27"/>
      <c r="AQ923" s="27"/>
      <c r="AR923" s="27"/>
      <c r="AS923" s="27"/>
      <c r="AT923" s="27"/>
      <c r="AU923" s="27"/>
      <c r="AV923" s="27"/>
      <c r="AW923" s="27"/>
      <c r="AX923" s="27"/>
      <c r="AY923" s="27"/>
      <c r="AZ923" s="27"/>
      <c r="BA923" s="27"/>
      <c r="BB923" s="27"/>
      <c r="BC923" s="27"/>
      <c r="BD923" s="27"/>
      <c r="BE923" s="27"/>
      <c r="BF923" s="27"/>
      <c r="BG923" s="27"/>
      <c r="BH923" s="27"/>
      <c r="BI923" s="27"/>
      <c r="BJ923" s="27"/>
      <c r="BK923" s="27"/>
      <c r="BL923" s="27"/>
      <c r="BM923" s="27"/>
      <c r="BN923" s="27"/>
      <c r="BO923" s="27"/>
      <c r="BP923" s="27"/>
      <c r="BQ923" s="27"/>
      <c r="BR923" s="27"/>
      <c r="BS923" s="27"/>
      <c r="BT923" s="27"/>
      <c r="BU923" s="27"/>
      <c r="BV923" s="27"/>
      <c r="BW923" s="27"/>
      <c r="BX923" s="27"/>
      <c r="BY923" s="27"/>
      <c r="BZ923" s="27"/>
      <c r="CA923" s="27"/>
      <c r="CB923" s="27"/>
      <c r="CC923" s="27"/>
      <c r="CD923" s="27"/>
      <c r="CE923" s="27"/>
      <c r="CF923" s="27"/>
      <c r="CG923" s="27"/>
      <c r="CH923" s="27"/>
      <c r="CI923" s="27"/>
      <c r="CJ923" s="27"/>
      <c r="CK923" s="27"/>
      <c r="CL923" s="27"/>
      <c r="CM923" s="27"/>
      <c r="CN923" s="27"/>
      <c r="CO923" s="27"/>
      <c r="CP923" s="27"/>
      <c r="CQ923" s="27"/>
      <c r="CR923" s="27"/>
      <c r="CS923" s="27"/>
      <c r="CT923" s="27"/>
      <c r="CU923" s="27"/>
      <c r="CV923" s="27"/>
      <c r="CW923" s="27"/>
      <c r="CX923" s="27"/>
      <c r="CY923" s="27"/>
      <c r="CZ923" s="27"/>
      <c r="DA923" s="27"/>
      <c r="DB923" s="27"/>
      <c r="DC923" s="27"/>
      <c r="DD923" s="27"/>
      <c r="DE923" s="27"/>
      <c r="DF923" s="27"/>
      <c r="DG923" s="27"/>
      <c r="DH923" s="27"/>
      <c r="DI923" s="27"/>
      <c r="DJ923" s="27"/>
      <c r="DK923" s="27"/>
      <c r="DL923" s="27"/>
      <c r="DM923" s="27"/>
      <c r="DN923" s="27"/>
      <c r="DO923" s="27"/>
      <c r="DP923" s="27"/>
      <c r="DQ923" s="27"/>
      <c r="DR923" s="27"/>
      <c r="DS923" s="27"/>
      <c r="DT923" s="27"/>
    </row>
    <row r="924" spans="2:124" x14ac:dyDescent="0.2">
      <c r="G924" s="27"/>
      <c r="H924" s="27" t="s">
        <v>581</v>
      </c>
      <c r="I924" s="27"/>
      <c r="J924" s="27"/>
      <c r="K924" s="27"/>
      <c r="L924" s="27"/>
      <c r="M924" s="27"/>
      <c r="N924" s="27"/>
      <c r="O924" s="27"/>
      <c r="P924" s="27"/>
      <c r="Q924" s="27"/>
      <c r="R924" s="27"/>
      <c r="S924" s="27"/>
      <c r="T924" s="27"/>
      <c r="U924" s="27"/>
      <c r="V924" s="27"/>
      <c r="W924" s="27"/>
      <c r="X924" s="27"/>
      <c r="Y924" s="27"/>
      <c r="Z924" s="27"/>
      <c r="AA924" s="27"/>
      <c r="AB924" s="27"/>
      <c r="AC924" s="27"/>
      <c r="AD924" s="27"/>
      <c r="AE924" s="27"/>
      <c r="AF924" s="27"/>
      <c r="AG924" s="27"/>
      <c r="AH924" s="27"/>
      <c r="AI924" s="27"/>
      <c r="AJ924" s="27"/>
      <c r="AK924" s="27"/>
      <c r="AL924" s="27"/>
      <c r="AM924" s="27"/>
      <c r="AN924" s="27"/>
      <c r="AO924" s="27"/>
      <c r="AP924" s="27"/>
      <c r="AQ924" s="27"/>
      <c r="AR924" s="27"/>
      <c r="AS924" s="27"/>
      <c r="AT924" s="27"/>
      <c r="AU924" s="27"/>
      <c r="AV924" s="27"/>
      <c r="AW924" s="27"/>
      <c r="AX924" s="27"/>
      <c r="AY924" s="27"/>
      <c r="AZ924" s="27"/>
      <c r="BA924" s="27"/>
      <c r="BB924" s="27"/>
      <c r="BC924" s="27"/>
      <c r="BD924" s="27"/>
      <c r="BE924" s="27"/>
      <c r="BF924" s="27"/>
      <c r="BG924" s="27"/>
      <c r="BH924" s="27"/>
      <c r="BI924" s="27"/>
      <c r="BJ924" s="27"/>
      <c r="BK924" s="27"/>
      <c r="BL924" s="27"/>
      <c r="BM924" s="27"/>
      <c r="BN924" s="27"/>
      <c r="BO924" s="27"/>
      <c r="BP924" s="27"/>
      <c r="BQ924" s="27"/>
      <c r="BR924" s="27"/>
      <c r="BS924" s="27"/>
      <c r="BT924" s="27"/>
      <c r="BU924" s="27"/>
      <c r="BV924" s="27"/>
      <c r="BW924" s="27"/>
      <c r="BX924" s="27"/>
      <c r="BY924" s="27"/>
      <c r="BZ924" s="27"/>
      <c r="CA924" s="27"/>
      <c r="CB924" s="27"/>
      <c r="CC924" s="27"/>
      <c r="CD924" s="27"/>
      <c r="CE924" s="27"/>
      <c r="CF924" s="27"/>
      <c r="CG924" s="27"/>
      <c r="CH924" s="27"/>
      <c r="CI924" s="27"/>
      <c r="CJ924" s="27"/>
      <c r="CK924" s="27"/>
      <c r="CL924" s="27"/>
      <c r="CM924" s="27"/>
      <c r="CN924" s="27"/>
      <c r="CO924" s="27"/>
      <c r="CP924" s="27"/>
      <c r="CQ924" s="27"/>
      <c r="CR924" s="27"/>
      <c r="CS924" s="27"/>
      <c r="CT924" s="27"/>
      <c r="CU924" s="27"/>
      <c r="CV924" s="27"/>
      <c r="CW924" s="27"/>
      <c r="CX924" s="27"/>
      <c r="CY924" s="27"/>
      <c r="CZ924" s="27"/>
      <c r="DA924" s="27"/>
      <c r="DB924" s="27"/>
      <c r="DC924" s="27"/>
      <c r="DD924" s="27"/>
      <c r="DE924" s="27"/>
      <c r="DF924" s="27"/>
      <c r="DG924" s="27"/>
      <c r="DH924" s="27"/>
      <c r="DI924" s="27"/>
      <c r="DJ924" s="27"/>
      <c r="DK924" s="27"/>
      <c r="DL924" s="27"/>
      <c r="DM924" s="27"/>
      <c r="DN924" s="27"/>
      <c r="DO924" s="27"/>
      <c r="DP924" s="27"/>
      <c r="DQ924" s="27"/>
      <c r="DR924" s="27"/>
      <c r="DS924" s="27"/>
      <c r="DT924" s="27"/>
    </row>
    <row r="925" spans="2:124" x14ac:dyDescent="0.2">
      <c r="G925" s="27" t="s">
        <v>513</v>
      </c>
      <c r="H925" s="27">
        <f>Z717</f>
        <v>1</v>
      </c>
      <c r="I925" s="27"/>
      <c r="J925" s="27"/>
      <c r="K925" s="27"/>
      <c r="L925" s="27"/>
      <c r="M925" s="27"/>
      <c r="N925" s="27"/>
      <c r="O925" s="27"/>
      <c r="P925" s="27"/>
      <c r="Q925" s="27"/>
      <c r="R925" s="27"/>
      <c r="S925" s="27"/>
      <c r="T925" s="27"/>
      <c r="U925" s="27"/>
      <c r="V925" s="27"/>
      <c r="W925" s="27"/>
      <c r="X925" s="27"/>
      <c r="Y925" s="27"/>
      <c r="Z925" s="27"/>
      <c r="AA925" s="27"/>
      <c r="AB925" s="27"/>
      <c r="AC925" s="27"/>
      <c r="AD925" s="27"/>
      <c r="AE925" s="27"/>
      <c r="AF925" s="27"/>
      <c r="AG925" s="27"/>
      <c r="AH925" s="27"/>
      <c r="AI925" s="27"/>
      <c r="AJ925" s="27"/>
      <c r="AK925" s="27"/>
      <c r="AL925" s="27"/>
      <c r="AM925" s="27"/>
      <c r="AN925" s="27"/>
      <c r="AO925" s="27"/>
      <c r="AP925" s="27"/>
      <c r="AQ925" s="27"/>
      <c r="AR925" s="27"/>
      <c r="AS925" s="27"/>
      <c r="AT925" s="27"/>
      <c r="AU925" s="27"/>
      <c r="AV925" s="27"/>
      <c r="AW925" s="27"/>
      <c r="AX925" s="27"/>
      <c r="AY925" s="27"/>
      <c r="AZ925" s="27"/>
      <c r="BA925" s="27"/>
      <c r="BB925" s="27"/>
      <c r="BC925" s="27"/>
      <c r="BD925" s="27"/>
      <c r="BE925" s="27"/>
      <c r="BF925" s="27"/>
      <c r="BG925" s="27"/>
      <c r="BH925" s="27"/>
      <c r="BI925" s="27"/>
      <c r="BJ925" s="27"/>
      <c r="BK925" s="27"/>
      <c r="BL925" s="27"/>
      <c r="BM925" s="27"/>
      <c r="BN925" s="27"/>
      <c r="BO925" s="27"/>
      <c r="BP925" s="27"/>
      <c r="BQ925" s="27"/>
      <c r="BR925" s="27"/>
      <c r="BS925" s="27"/>
      <c r="BT925" s="27"/>
      <c r="BU925" s="27"/>
      <c r="BV925" s="27"/>
      <c r="BW925" s="27"/>
      <c r="BX925" s="27"/>
      <c r="BY925" s="27"/>
      <c r="BZ925" s="27"/>
      <c r="CA925" s="27"/>
      <c r="CB925" s="27"/>
      <c r="CC925" s="27"/>
      <c r="CD925" s="27"/>
      <c r="CE925" s="27"/>
      <c r="CF925" s="27"/>
      <c r="CG925" s="27"/>
      <c r="CH925" s="27"/>
      <c r="CI925" s="27"/>
      <c r="CJ925" s="27"/>
      <c r="CK925" s="27"/>
      <c r="CL925" s="27"/>
      <c r="CM925" s="27"/>
      <c r="CN925" s="27"/>
      <c r="CO925" s="27"/>
      <c r="CP925" s="27"/>
      <c r="CQ925" s="27"/>
      <c r="CR925" s="27"/>
      <c r="CS925" s="27"/>
      <c r="CT925" s="27"/>
      <c r="CU925" s="27"/>
      <c r="CV925" s="27"/>
      <c r="CW925" s="27"/>
      <c r="CX925" s="27"/>
      <c r="CY925" s="27"/>
      <c r="CZ925" s="27"/>
      <c r="DA925" s="27"/>
      <c r="DB925" s="27"/>
      <c r="DC925" s="27"/>
      <c r="DD925" s="27"/>
      <c r="DE925" s="27"/>
      <c r="DF925" s="27"/>
      <c r="DG925" s="27"/>
      <c r="DH925" s="27"/>
      <c r="DI925" s="27"/>
      <c r="DJ925" s="27"/>
      <c r="DK925" s="27"/>
      <c r="DL925" s="27"/>
      <c r="DM925" s="27"/>
      <c r="DN925" s="27"/>
      <c r="DO925" s="27"/>
      <c r="DP925" s="27"/>
      <c r="DQ925" s="27"/>
      <c r="DR925" s="27"/>
      <c r="DS925" s="27"/>
      <c r="DT925" s="27"/>
    </row>
    <row r="926" spans="2:124" ht="16.5" thickBot="1" x14ac:dyDescent="0.3">
      <c r="B926" s="134" t="s">
        <v>545</v>
      </c>
      <c r="F926" s="135">
        <f>VLOOKUP(INT(G946),ofek4,INT(BB770)+2,FALSE)*(1+AB746/100)*AX737*T719*T705</f>
        <v>14401.146916299316</v>
      </c>
      <c r="G926" s="27"/>
      <c r="H926" s="27"/>
      <c r="I926" s="27"/>
      <c r="J926" s="27"/>
      <c r="K926" s="27"/>
      <c r="L926" s="27"/>
      <c r="M926" s="27"/>
      <c r="N926" s="27"/>
      <c r="O926" s="27"/>
      <c r="P926" s="27"/>
      <c r="Q926" s="27"/>
      <c r="R926" s="27"/>
      <c r="S926" s="27"/>
      <c r="T926" s="27"/>
      <c r="U926" s="27"/>
      <c r="V926" s="27"/>
      <c r="W926" s="27"/>
      <c r="X926" s="27"/>
      <c r="Y926" s="27"/>
      <c r="Z926" s="27"/>
      <c r="AA926" s="27"/>
      <c r="AB926" s="27"/>
      <c r="AC926" s="27"/>
      <c r="AD926" s="27"/>
      <c r="AE926" s="27"/>
      <c r="AF926" s="27"/>
      <c r="AG926" s="27"/>
      <c r="AH926" s="27"/>
      <c r="AI926" s="27"/>
      <c r="AJ926" s="27"/>
      <c r="AK926" s="27"/>
      <c r="AL926" s="27"/>
      <c r="AM926" s="27"/>
      <c r="AN926" s="27"/>
      <c r="AO926" s="27"/>
      <c r="AP926" s="27"/>
      <c r="AQ926" s="27"/>
      <c r="AR926" s="27"/>
      <c r="AS926" s="27"/>
      <c r="AT926" s="27"/>
      <c r="AU926" s="27"/>
      <c r="AV926" s="27"/>
      <c r="AW926" s="27"/>
      <c r="AX926" s="27"/>
      <c r="AY926" s="27"/>
      <c r="AZ926" s="27"/>
      <c r="BA926" s="27"/>
      <c r="BB926" s="27"/>
      <c r="BC926" s="27"/>
      <c r="BD926" s="27"/>
      <c r="BE926" s="27"/>
      <c r="BF926" s="27"/>
      <c r="BG926" s="27"/>
      <c r="BH926" s="27"/>
      <c r="BI926" s="27"/>
      <c r="BJ926" s="27"/>
      <c r="BK926" s="27"/>
      <c r="BL926" s="27"/>
      <c r="BM926" s="27"/>
      <c r="BN926" s="27"/>
      <c r="BO926" s="27"/>
      <c r="BP926" s="27"/>
      <c r="BQ926" s="27"/>
      <c r="BR926" s="27"/>
      <c r="BS926" s="27"/>
      <c r="BT926" s="27"/>
      <c r="BU926" s="27"/>
      <c r="BV926" s="27"/>
      <c r="BW926" s="27"/>
      <c r="BX926" s="27"/>
      <c r="BY926" s="27"/>
      <c r="BZ926" s="27"/>
      <c r="CA926" s="27"/>
      <c r="CB926" s="27"/>
      <c r="CC926" s="27"/>
      <c r="CD926" s="27"/>
      <c r="CE926" s="27"/>
      <c r="CF926" s="27"/>
      <c r="CG926" s="27"/>
      <c r="CH926" s="27"/>
      <c r="CI926" s="27"/>
      <c r="CJ926" s="27"/>
      <c r="CK926" s="27"/>
      <c r="CL926" s="27"/>
      <c r="CM926" s="27"/>
      <c r="CN926" s="27"/>
      <c r="CO926" s="27"/>
      <c r="CP926" s="27"/>
      <c r="CQ926" s="27"/>
      <c r="CR926" s="27"/>
      <c r="CS926" s="27"/>
      <c r="CT926" s="27"/>
      <c r="CU926" s="27"/>
      <c r="CV926" s="27"/>
      <c r="CW926" s="27"/>
      <c r="CX926" s="27"/>
      <c r="CY926" s="27"/>
      <c r="CZ926" s="27"/>
      <c r="DA926" s="27"/>
      <c r="DB926" s="27"/>
      <c r="DC926" s="27"/>
      <c r="DD926" s="27"/>
      <c r="DE926" s="27"/>
      <c r="DF926" s="27"/>
      <c r="DG926" s="27"/>
      <c r="DH926" s="27"/>
      <c r="DI926" s="27"/>
      <c r="DJ926" s="27"/>
      <c r="DK926" s="27"/>
      <c r="DL926" s="27"/>
      <c r="DM926" s="27"/>
      <c r="DN926" s="27"/>
      <c r="DO926" s="27"/>
      <c r="DP926" s="27"/>
      <c r="DQ926" s="27"/>
      <c r="DR926" s="27"/>
      <c r="DS926" s="27"/>
      <c r="DT926" s="27"/>
    </row>
    <row r="927" spans="2:124" ht="19.5" thickTop="1" thickBot="1" x14ac:dyDescent="0.3">
      <c r="E927" s="63" t="s">
        <v>554</v>
      </c>
      <c r="F927" s="136">
        <f>ROUND((AF735-AL723)/365.25,2)</f>
        <v>52.87</v>
      </c>
      <c r="G927" s="27"/>
      <c r="H927" s="27"/>
      <c r="I927" s="27"/>
      <c r="J927" s="27"/>
      <c r="K927" s="27"/>
      <c r="L927" s="27"/>
      <c r="M927" s="27"/>
      <c r="N927" s="27"/>
      <c r="O927" s="27"/>
      <c r="P927" s="27"/>
      <c r="Q927" s="27"/>
      <c r="R927" s="27"/>
      <c r="S927" s="27"/>
      <c r="T927" s="27"/>
      <c r="U927" s="27"/>
      <c r="V927" s="27"/>
      <c r="W927" s="27"/>
      <c r="X927" s="27"/>
      <c r="Y927" s="27"/>
      <c r="Z927" s="27"/>
      <c r="AA927" s="27"/>
      <c r="AB927" s="27"/>
      <c r="AC927" s="27"/>
      <c r="AD927" s="27"/>
      <c r="AE927" s="27"/>
      <c r="AF927" s="27"/>
      <c r="AG927" s="27"/>
      <c r="AH927" s="27"/>
      <c r="AI927" s="27"/>
      <c r="AJ927" s="27"/>
      <c r="AK927" s="27"/>
      <c r="AL927" s="27"/>
      <c r="AM927" s="27"/>
      <c r="AN927" s="27"/>
      <c r="AO927" s="27"/>
      <c r="AP927" s="27"/>
      <c r="AQ927" s="27"/>
      <c r="AR927" s="27"/>
      <c r="AS927" s="27"/>
      <c r="AT927" s="27"/>
      <c r="AU927" s="27"/>
      <c r="AV927" s="27"/>
      <c r="AW927" s="27"/>
      <c r="AX927" s="27"/>
      <c r="AY927" s="27"/>
      <c r="AZ927" s="27"/>
      <c r="BA927" s="27"/>
      <c r="BB927" s="27"/>
      <c r="BC927" s="27"/>
      <c r="BD927" s="27"/>
      <c r="BE927" s="27"/>
      <c r="BF927" s="27"/>
      <c r="BG927" s="27"/>
      <c r="BH927" s="27"/>
      <c r="BI927" s="27"/>
      <c r="BJ927" s="27"/>
      <c r="BK927" s="27"/>
      <c r="BL927" s="27"/>
      <c r="BM927" s="27"/>
      <c r="BN927" s="27"/>
      <c r="BO927" s="27"/>
      <c r="BP927" s="27"/>
      <c r="BQ927" s="27"/>
      <c r="BR927" s="27"/>
      <c r="BS927" s="27"/>
      <c r="BT927" s="27"/>
      <c r="BU927" s="27"/>
      <c r="BV927" s="27"/>
      <c r="BW927" s="27"/>
      <c r="BX927" s="27"/>
      <c r="BY927" s="27"/>
      <c r="BZ927" s="27"/>
      <c r="CA927" s="27"/>
      <c r="CB927" s="27"/>
      <c r="CC927" s="27"/>
      <c r="CD927" s="27"/>
      <c r="CE927" s="27"/>
      <c r="CF927" s="27"/>
      <c r="CG927" s="27"/>
      <c r="CH927" s="27"/>
      <c r="CI927" s="27"/>
      <c r="CJ927" s="27"/>
      <c r="CK927" s="27"/>
      <c r="CL927" s="27"/>
      <c r="CM927" s="27"/>
      <c r="CN927" s="27"/>
      <c r="CO927" s="27"/>
      <c r="CP927" s="27"/>
      <c r="CQ927" s="27"/>
      <c r="CR927" s="27"/>
      <c r="CS927" s="27"/>
      <c r="CT927" s="27"/>
      <c r="CU927" s="27"/>
      <c r="CV927" s="27"/>
      <c r="CW927" s="27"/>
      <c r="CX927" s="27"/>
      <c r="CY927" s="27"/>
      <c r="CZ927" s="27"/>
      <c r="DA927" s="27"/>
      <c r="DB927" s="27"/>
      <c r="DC927" s="27"/>
      <c r="DD927" s="27"/>
      <c r="DE927" s="27"/>
      <c r="DF927" s="27"/>
      <c r="DG927" s="27"/>
      <c r="DH927" s="27"/>
      <c r="DI927" s="27"/>
      <c r="DJ927" s="27"/>
      <c r="DK927" s="27"/>
      <c r="DL927" s="27"/>
      <c r="DM927" s="27"/>
      <c r="DN927" s="27"/>
      <c r="DO927" s="27"/>
      <c r="DP927" s="27"/>
      <c r="DQ927" s="27"/>
      <c r="DR927" s="27"/>
      <c r="DS927" s="27"/>
      <c r="DT927" s="27"/>
    </row>
    <row r="928" spans="2:124" ht="15.75" thickTop="1" thickBot="1" x14ac:dyDescent="0.25">
      <c r="E928" s="137">
        <f>IF(E108=AI705,IF(BB770+I890&gt;9,9,IF(BB770=D102+I890,BB770,IF(INT(BB770+I890)=BB770+I890,BB770+I890,BB770+I890+0.5))),E108)</f>
        <v>0</v>
      </c>
      <c r="F928" s="138">
        <f>AF735</f>
        <v>40574</v>
      </c>
      <c r="G928" s="27"/>
      <c r="H928" s="27"/>
      <c r="I928" s="27"/>
      <c r="J928" s="27"/>
      <c r="K928" s="27"/>
      <c r="L928" s="27"/>
      <c r="M928" s="27"/>
      <c r="N928" s="27"/>
      <c r="O928" s="27"/>
      <c r="P928" s="27"/>
      <c r="Q928" s="27"/>
      <c r="R928" s="27"/>
      <c r="S928" s="27"/>
      <c r="T928" s="27"/>
      <c r="U928" s="27"/>
      <c r="V928" s="27"/>
      <c r="W928" s="27"/>
      <c r="X928" s="27"/>
      <c r="Y928" s="27"/>
      <c r="Z928" s="27"/>
      <c r="AA928" s="27"/>
      <c r="AB928" s="27"/>
      <c r="AC928" s="27"/>
      <c r="AD928" s="27"/>
      <c r="AE928" s="27"/>
      <c r="AF928" s="27"/>
      <c r="AG928" s="27"/>
      <c r="AH928" s="27"/>
      <c r="AI928" s="27"/>
      <c r="AJ928" s="27"/>
      <c r="AK928" s="27"/>
      <c r="AL928" s="27"/>
      <c r="AM928" s="27"/>
      <c r="AN928" s="27"/>
      <c r="AO928" s="27"/>
      <c r="AP928" s="27"/>
      <c r="AQ928" s="27"/>
      <c r="AR928" s="27"/>
      <c r="AS928" s="27"/>
      <c r="AT928" s="27"/>
      <c r="AU928" s="27"/>
      <c r="AV928" s="27"/>
      <c r="AW928" s="27"/>
      <c r="AX928" s="27"/>
      <c r="AY928" s="27"/>
      <c r="AZ928" s="27"/>
      <c r="BA928" s="27"/>
      <c r="BB928" s="27"/>
      <c r="BC928" s="27"/>
      <c r="BD928" s="27"/>
      <c r="BE928" s="27"/>
      <c r="BF928" s="27"/>
      <c r="BG928" s="27"/>
      <c r="BH928" s="27"/>
      <c r="BI928" s="27"/>
      <c r="BJ928" s="27"/>
      <c r="BK928" s="27"/>
      <c r="BL928" s="27"/>
      <c r="BM928" s="27"/>
      <c r="BN928" s="27"/>
      <c r="BO928" s="27"/>
      <c r="BP928" s="27"/>
      <c r="BQ928" s="27"/>
      <c r="BR928" s="27"/>
      <c r="BS928" s="27"/>
      <c r="BT928" s="27"/>
      <c r="BU928" s="27"/>
      <c r="BV928" s="27"/>
      <c r="BW928" s="27"/>
      <c r="BX928" s="27"/>
      <c r="BY928" s="27"/>
      <c r="BZ928" s="27"/>
      <c r="CA928" s="27"/>
      <c r="CB928" s="27"/>
      <c r="CC928" s="27"/>
      <c r="CD928" s="27"/>
      <c r="CE928" s="27"/>
      <c r="CF928" s="27"/>
      <c r="CG928" s="27"/>
      <c r="CH928" s="27"/>
      <c r="CI928" s="27"/>
      <c r="CJ928" s="27"/>
      <c r="CK928" s="27"/>
      <c r="CL928" s="27"/>
      <c r="CM928" s="27"/>
      <c r="CN928" s="27"/>
      <c r="CO928" s="27"/>
      <c r="CP928" s="27"/>
      <c r="CQ928" s="27"/>
      <c r="CR928" s="27"/>
      <c r="CS928" s="27"/>
      <c r="CT928" s="27"/>
      <c r="CU928" s="27"/>
      <c r="CV928" s="27"/>
      <c r="CW928" s="27"/>
      <c r="CX928" s="27"/>
      <c r="CY928" s="27"/>
      <c r="CZ928" s="27"/>
      <c r="DA928" s="27"/>
      <c r="DB928" s="27"/>
      <c r="DC928" s="27"/>
      <c r="DD928" s="27"/>
      <c r="DE928" s="27"/>
      <c r="DF928" s="27"/>
      <c r="DG928" s="27"/>
      <c r="DH928" s="27"/>
      <c r="DI928" s="27"/>
      <c r="DJ928" s="27"/>
      <c r="DK928" s="27"/>
      <c r="DL928" s="27"/>
      <c r="DM928" s="27"/>
      <c r="DN928" s="27"/>
      <c r="DO928" s="27"/>
      <c r="DP928" s="27"/>
      <c r="DQ928" s="27"/>
      <c r="DR928" s="27"/>
      <c r="DS928" s="27"/>
      <c r="DT928" s="27"/>
    </row>
    <row r="929" spans="3:124" ht="16.5" thickTop="1" thickBot="1" x14ac:dyDescent="0.3">
      <c r="E929" s="139" t="e">
        <f>VLOOKUP(INT(G946),ofek4,E928+2,FALSE)*((1+AE738/100)^(AB746+AD746))*AX737*T719*T705</f>
        <v>#REF!</v>
      </c>
      <c r="F929" s="140" t="str">
        <f>BB769</f>
        <v>ד"ר</v>
      </c>
      <c r="G929" s="27"/>
      <c r="H929" s="27"/>
      <c r="I929" s="27"/>
      <c r="J929" s="27"/>
      <c r="K929" s="27"/>
      <c r="L929" s="27"/>
      <c r="M929" s="27"/>
      <c r="N929" s="27"/>
      <c r="O929" s="27"/>
      <c r="P929" s="27"/>
      <c r="Q929" s="27"/>
      <c r="R929" s="27"/>
      <c r="S929" s="27"/>
      <c r="T929" s="27"/>
      <c r="U929" s="27"/>
      <c r="V929" s="27"/>
      <c r="W929" s="27"/>
      <c r="X929" s="27"/>
      <c r="Y929" s="27"/>
      <c r="Z929" s="27"/>
      <c r="AA929" s="27"/>
      <c r="AB929" s="27"/>
      <c r="AC929" s="27"/>
      <c r="AD929" s="27"/>
      <c r="AE929" s="27"/>
      <c r="AF929" s="27"/>
      <c r="AG929" s="27"/>
      <c r="AH929" s="27"/>
      <c r="AI929" s="27"/>
      <c r="AJ929" s="27"/>
      <c r="AK929" s="27"/>
      <c r="AL929" s="27"/>
      <c r="AM929" s="27"/>
      <c r="AN929" s="27"/>
      <c r="AO929" s="27"/>
      <c r="AP929" s="27"/>
      <c r="AQ929" s="27"/>
      <c r="AR929" s="27"/>
      <c r="AS929" s="27"/>
      <c r="AT929" s="27"/>
      <c r="AU929" s="27"/>
      <c r="AV929" s="27"/>
      <c r="AW929" s="27"/>
      <c r="AX929" s="27"/>
      <c r="AY929" s="27"/>
      <c r="AZ929" s="27"/>
      <c r="BA929" s="27"/>
      <c r="BB929" s="27"/>
      <c r="BC929" s="27"/>
      <c r="BD929" s="27"/>
      <c r="BE929" s="27"/>
      <c r="BF929" s="27"/>
      <c r="BG929" s="27"/>
      <c r="BH929" s="27"/>
      <c r="BI929" s="27"/>
      <c r="BJ929" s="27"/>
      <c r="BK929" s="27"/>
      <c r="BL929" s="27"/>
      <c r="BM929" s="27"/>
      <c r="BN929" s="27"/>
      <c r="BO929" s="27"/>
      <c r="BP929" s="27"/>
      <c r="BQ929" s="27"/>
      <c r="BR929" s="27"/>
      <c r="BS929" s="27"/>
      <c r="BT929" s="27"/>
      <c r="BU929" s="27"/>
      <c r="BV929" s="27"/>
      <c r="BW929" s="27"/>
      <c r="BX929" s="27"/>
      <c r="BY929" s="27"/>
      <c r="BZ929" s="27"/>
      <c r="CA929" s="27"/>
      <c r="CB929" s="27"/>
      <c r="CC929" s="27"/>
      <c r="CD929" s="27"/>
      <c r="CE929" s="27"/>
      <c r="CF929" s="27"/>
      <c r="CG929" s="27"/>
      <c r="CH929" s="27"/>
      <c r="CI929" s="27"/>
      <c r="CJ929" s="27"/>
      <c r="CK929" s="27"/>
      <c r="CL929" s="27"/>
      <c r="CM929" s="27"/>
      <c r="CN929" s="27"/>
      <c r="CO929" s="27"/>
      <c r="CP929" s="27"/>
      <c r="CQ929" s="27"/>
      <c r="CR929" s="27"/>
      <c r="CS929" s="27"/>
      <c r="CT929" s="27"/>
      <c r="CU929" s="27"/>
      <c r="CV929" s="27"/>
      <c r="CW929" s="27"/>
      <c r="CX929" s="27"/>
      <c r="CY929" s="27"/>
      <c r="CZ929" s="27"/>
      <c r="DA929" s="27"/>
      <c r="DB929" s="27"/>
      <c r="DC929" s="27"/>
      <c r="DD929" s="27"/>
      <c r="DE929" s="27"/>
      <c r="DF929" s="27"/>
      <c r="DG929" s="27"/>
      <c r="DH929" s="27"/>
      <c r="DI929" s="27"/>
      <c r="DJ929" s="27"/>
      <c r="DK929" s="27"/>
      <c r="DL929" s="27"/>
      <c r="DM929" s="27"/>
      <c r="DN929" s="27"/>
      <c r="DO929" s="27"/>
      <c r="DP929" s="27"/>
      <c r="DQ929" s="27"/>
      <c r="DR929" s="27"/>
      <c r="DS929" s="27"/>
      <c r="DT929" s="27"/>
    </row>
    <row r="930" spans="3:124" ht="15" thickTop="1" x14ac:dyDescent="0.2">
      <c r="E930" s="139">
        <v>0</v>
      </c>
      <c r="G930" s="27"/>
      <c r="H930" s="27"/>
      <c r="I930" s="27"/>
      <c r="J930" s="27"/>
      <c r="K930" s="27"/>
      <c r="L930" s="27"/>
      <c r="M930" s="27"/>
      <c r="N930" s="27"/>
      <c r="O930" s="27"/>
      <c r="P930" s="27"/>
      <c r="Q930" s="27"/>
      <c r="R930" s="27"/>
      <c r="S930" s="27"/>
      <c r="T930" s="27"/>
      <c r="U930" s="27"/>
      <c r="V930" s="27"/>
      <c r="W930" s="27"/>
      <c r="X930" s="27"/>
      <c r="Y930" s="27"/>
      <c r="Z930" s="27"/>
      <c r="AA930" s="27"/>
      <c r="AB930" s="27"/>
      <c r="AC930" s="27"/>
      <c r="AD930" s="27"/>
      <c r="AE930" s="27"/>
      <c r="AF930" s="27"/>
      <c r="AG930" s="27"/>
      <c r="AH930" s="27"/>
      <c r="AI930" s="27"/>
      <c r="AJ930" s="27"/>
      <c r="AK930" s="27"/>
      <c r="AL930" s="27"/>
      <c r="AM930" s="27"/>
      <c r="AN930" s="27"/>
      <c r="AO930" s="27"/>
      <c r="AP930" s="27"/>
      <c r="AQ930" s="27"/>
      <c r="AR930" s="27"/>
      <c r="AS930" s="27"/>
      <c r="AT930" s="27"/>
      <c r="AU930" s="27"/>
      <c r="AV930" s="27"/>
      <c r="AW930" s="27"/>
      <c r="AX930" s="27"/>
      <c r="AY930" s="27"/>
      <c r="AZ930" s="27"/>
      <c r="BA930" s="27"/>
      <c r="BB930" s="27"/>
      <c r="BC930" s="27"/>
      <c r="BD930" s="27"/>
      <c r="BE930" s="27"/>
      <c r="BF930" s="27"/>
      <c r="BG930" s="27"/>
      <c r="BH930" s="27"/>
      <c r="BI930" s="27"/>
      <c r="BJ930" s="27"/>
      <c r="BK930" s="27"/>
      <c r="BL930" s="27"/>
      <c r="BM930" s="27"/>
      <c r="BN930" s="27"/>
      <c r="BO930" s="27"/>
      <c r="BP930" s="27"/>
      <c r="BQ930" s="27"/>
      <c r="BR930" s="27"/>
      <c r="BS930" s="27"/>
      <c r="BT930" s="27"/>
      <c r="BU930" s="27"/>
      <c r="BV930" s="27"/>
      <c r="BW930" s="27"/>
      <c r="BX930" s="27"/>
      <c r="BY930" s="27"/>
      <c r="BZ930" s="27"/>
      <c r="CA930" s="27"/>
      <c r="CB930" s="27"/>
      <c r="CC930" s="27"/>
      <c r="CD930" s="27"/>
      <c r="CE930" s="27"/>
      <c r="CF930" s="27"/>
      <c r="CG930" s="27"/>
      <c r="CH930" s="27"/>
      <c r="CI930" s="27"/>
      <c r="CJ930" s="27"/>
      <c r="CK930" s="27"/>
      <c r="CL930" s="27"/>
      <c r="CM930" s="27"/>
      <c r="CN930" s="27"/>
      <c r="CO930" s="27"/>
      <c r="CP930" s="27"/>
      <c r="CQ930" s="27"/>
      <c r="CR930" s="27"/>
      <c r="CS930" s="27"/>
      <c r="CT930" s="27"/>
      <c r="CU930" s="27"/>
      <c r="CV930" s="27"/>
      <c r="CW930" s="27"/>
      <c r="CX930" s="27"/>
      <c r="CY930" s="27"/>
      <c r="CZ930" s="27"/>
      <c r="DA930" s="27"/>
      <c r="DB930" s="27"/>
      <c r="DC930" s="27"/>
      <c r="DD930" s="27"/>
      <c r="DE930" s="27"/>
      <c r="DF930" s="27"/>
      <c r="DG930" s="27"/>
      <c r="DH930" s="27"/>
      <c r="DI930" s="27"/>
      <c r="DJ930" s="27"/>
      <c r="DK930" s="27"/>
      <c r="DL930" s="27"/>
      <c r="DM930" s="27"/>
      <c r="DN930" s="27"/>
      <c r="DO930" s="27"/>
      <c r="DP930" s="27"/>
      <c r="DQ930" s="27"/>
      <c r="DR930" s="27"/>
      <c r="DS930" s="27"/>
      <c r="DT930" s="27"/>
    </row>
    <row r="931" spans="3:124" x14ac:dyDescent="0.2">
      <c r="E931" s="139">
        <v>0</v>
      </c>
      <c r="G931" s="27"/>
      <c r="H931" s="27"/>
      <c r="I931" s="27"/>
      <c r="J931" s="27"/>
      <c r="K931" s="27"/>
      <c r="L931" s="27"/>
      <c r="M931" s="27"/>
      <c r="N931" s="27"/>
      <c r="O931" s="27"/>
      <c r="P931" s="27"/>
      <c r="Q931" s="27"/>
      <c r="R931" s="27"/>
      <c r="S931" s="27"/>
      <c r="T931" s="27"/>
      <c r="U931" s="27"/>
      <c r="V931" s="27"/>
      <c r="W931" s="27"/>
      <c r="X931" s="27"/>
      <c r="Y931" s="27"/>
      <c r="Z931" s="27"/>
      <c r="AA931" s="27"/>
      <c r="AB931" s="27"/>
      <c r="AC931" s="27"/>
      <c r="AD931" s="27"/>
      <c r="AE931" s="27"/>
      <c r="AF931" s="27"/>
      <c r="AG931" s="27"/>
      <c r="AH931" s="27"/>
      <c r="AI931" s="27"/>
      <c r="AJ931" s="27"/>
      <c r="AK931" s="27"/>
      <c r="AL931" s="27"/>
      <c r="AM931" s="27"/>
      <c r="AN931" s="27"/>
      <c r="AO931" s="27"/>
      <c r="AP931" s="27"/>
      <c r="AQ931" s="27"/>
      <c r="AR931" s="27"/>
      <c r="AS931" s="27"/>
      <c r="AT931" s="27"/>
      <c r="AU931" s="27"/>
      <c r="AV931" s="27"/>
      <c r="AW931" s="27"/>
      <c r="AX931" s="27"/>
      <c r="AY931" s="27"/>
      <c r="AZ931" s="27"/>
      <c r="BA931" s="27"/>
      <c r="BB931" s="27"/>
      <c r="BC931" s="27"/>
      <c r="BD931" s="27"/>
      <c r="BE931" s="27"/>
      <c r="BF931" s="27"/>
      <c r="BG931" s="27"/>
      <c r="BH931" s="27"/>
      <c r="BI931" s="27"/>
      <c r="BJ931" s="27"/>
      <c r="BK931" s="27"/>
      <c r="BL931" s="27"/>
      <c r="BM931" s="27"/>
      <c r="BN931" s="27"/>
      <c r="BO931" s="27"/>
      <c r="BP931" s="27"/>
      <c r="BQ931" s="27"/>
      <c r="BR931" s="27"/>
      <c r="BS931" s="27"/>
      <c r="BT931" s="27"/>
      <c r="BU931" s="27"/>
      <c r="BV931" s="27"/>
      <c r="BW931" s="27"/>
      <c r="BX931" s="27"/>
      <c r="BY931" s="27"/>
      <c r="BZ931" s="27"/>
      <c r="CA931" s="27"/>
      <c r="CB931" s="27"/>
      <c r="CC931" s="27"/>
      <c r="CD931" s="27"/>
      <c r="CE931" s="27"/>
      <c r="CF931" s="27"/>
      <c r="CG931" s="27"/>
      <c r="CH931" s="27"/>
      <c r="CI931" s="27"/>
      <c r="CJ931" s="27"/>
      <c r="CK931" s="27"/>
      <c r="CL931" s="27"/>
      <c r="CM931" s="27"/>
      <c r="CN931" s="27"/>
      <c r="CO931" s="27"/>
      <c r="CP931" s="27"/>
      <c r="CQ931" s="27"/>
      <c r="CR931" s="27"/>
      <c r="CS931" s="27"/>
      <c r="CT931" s="27"/>
      <c r="CU931" s="27"/>
      <c r="CV931" s="27"/>
      <c r="CW931" s="27"/>
      <c r="CX931" s="27"/>
      <c r="CY931" s="27"/>
      <c r="CZ931" s="27"/>
      <c r="DA931" s="27"/>
      <c r="DB931" s="27"/>
      <c r="DC931" s="27"/>
      <c r="DD931" s="27"/>
      <c r="DE931" s="27"/>
      <c r="DF931" s="27"/>
      <c r="DG931" s="27"/>
      <c r="DH931" s="27"/>
      <c r="DI931" s="27"/>
      <c r="DJ931" s="27"/>
      <c r="DK931" s="27"/>
      <c r="DL931" s="27"/>
      <c r="DM931" s="27"/>
      <c r="DN931" s="27"/>
      <c r="DO931" s="27"/>
      <c r="DP931" s="27"/>
      <c r="DQ931" s="27"/>
      <c r="DR931" s="27"/>
      <c r="DS931" s="27"/>
      <c r="DT931" s="27"/>
    </row>
    <row r="932" spans="3:124" x14ac:dyDescent="0.2">
      <c r="E932" s="139">
        <v>0</v>
      </c>
      <c r="G932" s="27"/>
      <c r="H932" s="27" t="s">
        <v>59</v>
      </c>
      <c r="I932" s="27"/>
      <c r="J932" s="27"/>
      <c r="K932" s="27"/>
      <c r="L932" s="27"/>
      <c r="M932" s="27"/>
      <c r="N932" s="27"/>
      <c r="O932" s="27"/>
      <c r="P932" s="27"/>
      <c r="Q932" s="27"/>
      <c r="R932" s="27"/>
      <c r="S932" s="27"/>
      <c r="T932" s="27"/>
      <c r="U932" s="27"/>
      <c r="V932" s="27"/>
      <c r="W932" s="27"/>
      <c r="X932" s="27"/>
      <c r="Y932" s="27"/>
      <c r="Z932" s="27"/>
      <c r="AA932" s="27"/>
      <c r="AB932" s="27"/>
      <c r="AC932" s="27"/>
      <c r="AD932" s="27"/>
      <c r="AE932" s="27"/>
      <c r="AF932" s="27"/>
      <c r="AG932" s="27"/>
      <c r="AH932" s="27"/>
      <c r="AI932" s="27"/>
      <c r="AJ932" s="27"/>
      <c r="AK932" s="27"/>
      <c r="AL932" s="27"/>
      <c r="AM932" s="27"/>
      <c r="AN932" s="27"/>
      <c r="AO932" s="27"/>
      <c r="AP932" s="27"/>
      <c r="AQ932" s="27"/>
      <c r="AR932" s="27"/>
      <c r="AS932" s="27"/>
      <c r="AT932" s="27"/>
      <c r="AU932" s="27"/>
      <c r="AV932" s="27"/>
      <c r="AW932" s="27"/>
      <c r="AX932" s="27"/>
      <c r="AY932" s="27"/>
      <c r="AZ932" s="27"/>
      <c r="BA932" s="27"/>
      <c r="BB932" s="27"/>
      <c r="BC932" s="27"/>
      <c r="BD932" s="27"/>
      <c r="BE932" s="27"/>
      <c r="BF932" s="27"/>
      <c r="BG932" s="27"/>
      <c r="BH932" s="27"/>
      <c r="BI932" s="27"/>
      <c r="BJ932" s="27"/>
      <c r="BK932" s="27"/>
      <c r="BL932" s="27"/>
      <c r="BM932" s="27"/>
      <c r="BN932" s="27"/>
      <c r="BO932" s="27"/>
      <c r="BP932" s="27"/>
      <c r="BQ932" s="27"/>
      <c r="BR932" s="27"/>
      <c r="BS932" s="27"/>
      <c r="BT932" s="27"/>
      <c r="BU932" s="27"/>
      <c r="BV932" s="27"/>
      <c r="BW932" s="27"/>
      <c r="BX932" s="27"/>
      <c r="BY932" s="27"/>
      <c r="BZ932" s="27"/>
      <c r="CA932" s="27"/>
      <c r="CB932" s="27"/>
      <c r="CC932" s="27"/>
      <c r="CD932" s="27"/>
      <c r="CE932" s="27"/>
      <c r="CF932" s="27"/>
      <c r="CG932" s="27"/>
      <c r="CH932" s="27"/>
      <c r="CI932" s="27"/>
      <c r="CJ932" s="27"/>
      <c r="CK932" s="27"/>
      <c r="CL932" s="27"/>
      <c r="CM932" s="27"/>
      <c r="CN932" s="27"/>
      <c r="CO932" s="27"/>
      <c r="CP932" s="27"/>
      <c r="CQ932" s="27"/>
      <c r="CR932" s="27"/>
      <c r="CS932" s="27"/>
      <c r="CT932" s="27"/>
      <c r="CU932" s="27"/>
      <c r="CV932" s="27"/>
      <c r="CW932" s="27"/>
      <c r="CX932" s="27"/>
      <c r="CY932" s="27"/>
      <c r="CZ932" s="27"/>
      <c r="DA932" s="27"/>
      <c r="DB932" s="27"/>
      <c r="DC932" s="27"/>
      <c r="DD932" s="27"/>
      <c r="DE932" s="27"/>
      <c r="DF932" s="27"/>
      <c r="DG932" s="27"/>
      <c r="DH932" s="27"/>
      <c r="DI932" s="27"/>
      <c r="DJ932" s="27"/>
      <c r="DK932" s="27"/>
      <c r="DL932" s="27"/>
      <c r="DM932" s="27"/>
      <c r="DN932" s="27"/>
      <c r="DO932" s="27"/>
      <c r="DP932" s="27"/>
      <c r="DQ932" s="27"/>
      <c r="DR932" s="27"/>
      <c r="DS932" s="27"/>
      <c r="DT932" s="27"/>
    </row>
    <row r="933" spans="3:124" x14ac:dyDescent="0.2">
      <c r="E933" s="139">
        <v>0</v>
      </c>
      <c r="G933" s="27"/>
      <c r="H933" s="27"/>
      <c r="I933" s="27"/>
      <c r="J933" s="27"/>
      <c r="K933" s="27"/>
      <c r="L933" s="27"/>
      <c r="M933" s="27"/>
      <c r="N933" s="27"/>
      <c r="O933" s="27"/>
      <c r="P933" s="27"/>
      <c r="Q933" s="27"/>
      <c r="R933" s="27"/>
      <c r="S933" s="27"/>
      <c r="T933" s="27"/>
      <c r="U933" s="27"/>
      <c r="V933" s="27"/>
      <c r="W933" s="27"/>
      <c r="X933" s="27"/>
      <c r="Y933" s="27"/>
      <c r="Z933" s="27"/>
      <c r="AA933" s="27"/>
      <c r="AB933" s="27"/>
      <c r="AC933" s="27"/>
      <c r="AD933" s="27"/>
      <c r="AE933" s="27"/>
      <c r="AF933" s="27"/>
      <c r="AG933" s="27"/>
      <c r="AH933" s="27"/>
      <c r="AI933" s="27"/>
      <c r="AJ933" s="27"/>
      <c r="AK933" s="27"/>
      <c r="AL933" s="27"/>
      <c r="AM933" s="27"/>
      <c r="AN933" s="27"/>
      <c r="AO933" s="27"/>
      <c r="AP933" s="27"/>
      <c r="AQ933" s="27"/>
      <c r="AR933" s="27"/>
      <c r="AS933" s="27"/>
      <c r="AT933" s="27"/>
      <c r="AU933" s="27"/>
      <c r="AV933" s="27"/>
      <c r="AW933" s="27"/>
      <c r="AX933" s="27"/>
      <c r="AY933" s="27"/>
      <c r="AZ933" s="27"/>
      <c r="BA933" s="27"/>
      <c r="BB933" s="27"/>
      <c r="BC933" s="27"/>
      <c r="BD933" s="27"/>
      <c r="BE933" s="27"/>
      <c r="BF933" s="27"/>
      <c r="BG933" s="27"/>
      <c r="BH933" s="27"/>
      <c r="BI933" s="27"/>
      <c r="BJ933" s="27"/>
      <c r="BK933" s="27"/>
      <c r="BL933" s="27"/>
      <c r="BM933" s="27"/>
      <c r="BN933" s="27"/>
      <c r="BO933" s="27"/>
      <c r="BP933" s="27"/>
      <c r="BQ933" s="27"/>
      <c r="BR933" s="27"/>
      <c r="BS933" s="27"/>
      <c r="BT933" s="27"/>
      <c r="BU933" s="27"/>
      <c r="BV933" s="27"/>
      <c r="BW933" s="27"/>
      <c r="BX933" s="27"/>
      <c r="BY933" s="27"/>
      <c r="BZ933" s="27"/>
      <c r="CA933" s="27"/>
      <c r="CB933" s="27"/>
      <c r="CC933" s="27"/>
      <c r="CD933" s="27"/>
      <c r="CE933" s="27"/>
      <c r="CF933" s="27"/>
      <c r="CG933" s="27"/>
      <c r="CH933" s="27"/>
      <c r="CI933" s="27"/>
      <c r="CJ933" s="27"/>
      <c r="CK933" s="27"/>
      <c r="CL933" s="27"/>
      <c r="CM933" s="27"/>
      <c r="CN933" s="27"/>
      <c r="CO933" s="27"/>
      <c r="CP933" s="27"/>
      <c r="CQ933" s="27"/>
      <c r="CR933" s="27"/>
      <c r="CS933" s="27"/>
      <c r="CT933" s="27"/>
      <c r="CU933" s="27"/>
      <c r="CV933" s="27"/>
      <c r="CW933" s="27"/>
      <c r="CX933" s="27"/>
      <c r="CY933" s="27"/>
      <c r="CZ933" s="27"/>
      <c r="DA933" s="27"/>
      <c r="DB933" s="27"/>
      <c r="DC933" s="27"/>
      <c r="DD933" s="27"/>
      <c r="DE933" s="27"/>
      <c r="DF933" s="27"/>
      <c r="DG933" s="27"/>
      <c r="DH933" s="27"/>
      <c r="DI933" s="27"/>
      <c r="DJ933" s="27"/>
      <c r="DK933" s="27"/>
      <c r="DL933" s="27"/>
      <c r="DM933" s="27"/>
      <c r="DN933" s="27"/>
      <c r="DO933" s="27"/>
      <c r="DP933" s="27"/>
      <c r="DQ933" s="27"/>
      <c r="DR933" s="27"/>
      <c r="DS933" s="27"/>
      <c r="DT933" s="27"/>
    </row>
    <row r="934" spans="3:124" x14ac:dyDescent="0.2">
      <c r="C934" s="44" t="str">
        <f>BA783</f>
        <v>תוספת ערבה</v>
      </c>
      <c r="D934" s="141">
        <f>W749</f>
        <v>0</v>
      </c>
      <c r="E934" s="139">
        <f>BB783</f>
        <v>0</v>
      </c>
      <c r="G934" s="27"/>
      <c r="H934" s="27"/>
      <c r="I934" s="27"/>
      <c r="J934" s="27"/>
      <c r="K934" s="27"/>
      <c r="L934" s="27"/>
      <c r="M934" s="27"/>
      <c r="N934" s="27"/>
      <c r="O934" s="27"/>
      <c r="P934" s="27"/>
      <c r="Q934" s="27"/>
      <c r="R934" s="27"/>
      <c r="S934" s="27"/>
      <c r="T934" s="27"/>
      <c r="U934" s="27"/>
      <c r="V934" s="27"/>
      <c r="W934" s="27"/>
      <c r="X934" s="27"/>
      <c r="Y934" s="27"/>
      <c r="Z934" s="27"/>
      <c r="AA934" s="27"/>
      <c r="AB934" s="27"/>
      <c r="AC934" s="27"/>
      <c r="AD934" s="27"/>
      <c r="AE934" s="27"/>
      <c r="AF934" s="27"/>
      <c r="AG934" s="27"/>
      <c r="AH934" s="27"/>
      <c r="AI934" s="27"/>
      <c r="AJ934" s="27"/>
      <c r="AK934" s="27"/>
      <c r="AL934" s="27"/>
      <c r="AM934" s="27"/>
      <c r="AN934" s="27"/>
      <c r="AO934" s="27"/>
      <c r="AP934" s="27"/>
      <c r="AQ934" s="27"/>
      <c r="AR934" s="27"/>
      <c r="AS934" s="27"/>
      <c r="AT934" s="27"/>
      <c r="AU934" s="27"/>
      <c r="AV934" s="27"/>
      <c r="AW934" s="27"/>
      <c r="AX934" s="27"/>
      <c r="AY934" s="27"/>
      <c r="AZ934" s="27"/>
      <c r="BA934" s="27"/>
      <c r="BB934" s="27"/>
      <c r="BC934" s="27"/>
      <c r="BD934" s="27"/>
      <c r="BE934" s="27"/>
      <c r="BF934" s="27"/>
      <c r="BG934" s="27"/>
      <c r="BH934" s="27"/>
      <c r="BI934" s="27"/>
      <c r="BJ934" s="27"/>
      <c r="BK934" s="27"/>
      <c r="BL934" s="27"/>
      <c r="BM934" s="27"/>
      <c r="BN934" s="27"/>
      <c r="BO934" s="27"/>
      <c r="BP934" s="27"/>
      <c r="BQ934" s="27"/>
      <c r="BR934" s="27"/>
      <c r="BS934" s="27"/>
      <c r="BT934" s="27"/>
      <c r="BU934" s="27"/>
      <c r="BV934" s="27"/>
      <c r="BW934" s="27"/>
      <c r="BX934" s="27"/>
      <c r="BY934" s="27"/>
      <c r="BZ934" s="27"/>
      <c r="CA934" s="27"/>
      <c r="CB934" s="27"/>
      <c r="CC934" s="27"/>
      <c r="CD934" s="27"/>
      <c r="CE934" s="27"/>
      <c r="CF934" s="27"/>
      <c r="CG934" s="27"/>
      <c r="CH934" s="27"/>
      <c r="CI934" s="27"/>
      <c r="CJ934" s="27"/>
      <c r="CK934" s="27"/>
      <c r="CL934" s="27"/>
      <c r="CM934" s="27"/>
      <c r="CN934" s="27"/>
      <c r="CO934" s="27"/>
      <c r="CP934" s="27"/>
      <c r="CQ934" s="27"/>
      <c r="CR934" s="27"/>
      <c r="CS934" s="27"/>
      <c r="CT934" s="27"/>
      <c r="CU934" s="27"/>
      <c r="CV934" s="27"/>
      <c r="CW934" s="27"/>
      <c r="CX934" s="27"/>
      <c r="CY934" s="27"/>
      <c r="CZ934" s="27"/>
      <c r="DA934" s="27"/>
      <c r="DB934" s="27"/>
      <c r="DC934" s="27"/>
      <c r="DD934" s="27"/>
      <c r="DE934" s="27"/>
      <c r="DF934" s="27"/>
      <c r="DG934" s="27"/>
      <c r="DH934" s="27"/>
      <c r="DI934" s="27"/>
      <c r="DJ934" s="27"/>
      <c r="DK934" s="27"/>
      <c r="DL934" s="27"/>
      <c r="DM934" s="27"/>
      <c r="DN934" s="27"/>
      <c r="DO934" s="27"/>
      <c r="DP934" s="27"/>
      <c r="DQ934" s="27"/>
      <c r="DR934" s="27"/>
      <c r="DS934" s="27"/>
      <c r="DT934" s="27"/>
    </row>
    <row r="935" spans="3:124" x14ac:dyDescent="0.2">
      <c r="E935" s="139">
        <f>IF(BB775=S709,0,IF(BB775=S710,10%*K877,IF(BB775=S711,20%*K877,IF(BB775=S712,11.5%*K877,6%*K877))))</f>
        <v>0</v>
      </c>
      <c r="G935" s="27"/>
      <c r="H935" s="27"/>
      <c r="I935" s="27"/>
      <c r="J935" s="27"/>
      <c r="K935" s="27"/>
      <c r="L935" s="27"/>
      <c r="M935" s="27"/>
      <c r="N935" s="27"/>
      <c r="O935" s="27"/>
      <c r="P935" s="27"/>
      <c r="Q935" s="27"/>
      <c r="R935" s="27"/>
      <c r="S935" s="27"/>
      <c r="T935" s="27"/>
      <c r="U935" s="27"/>
      <c r="V935" s="27"/>
      <c r="W935" s="27"/>
      <c r="X935" s="27"/>
      <c r="Y935" s="27"/>
      <c r="Z935" s="27"/>
      <c r="AA935" s="27"/>
      <c r="AB935" s="27"/>
      <c r="AC935" s="27"/>
      <c r="AD935" s="27"/>
      <c r="AE935" s="27"/>
      <c r="AF935" s="27"/>
      <c r="AG935" s="27"/>
      <c r="AH935" s="27"/>
      <c r="AI935" s="27"/>
      <c r="AJ935" s="27"/>
      <c r="AK935" s="27"/>
      <c r="AL935" s="27"/>
      <c r="AM935" s="27"/>
      <c r="AN935" s="27"/>
      <c r="AO935" s="27"/>
      <c r="AP935" s="27"/>
      <c r="AQ935" s="27"/>
      <c r="AR935" s="27"/>
      <c r="AS935" s="27"/>
      <c r="AT935" s="27"/>
      <c r="AU935" s="27"/>
      <c r="AV935" s="27"/>
      <c r="AW935" s="27"/>
      <c r="AX935" s="27"/>
      <c r="AY935" s="27"/>
      <c r="AZ935" s="27"/>
      <c r="BA935" s="27"/>
      <c r="BB935" s="27"/>
      <c r="BC935" s="27"/>
      <c r="BD935" s="27"/>
      <c r="BE935" s="27"/>
      <c r="BF935" s="27"/>
      <c r="BG935" s="27"/>
      <c r="BH935" s="27"/>
      <c r="BI935" s="27"/>
      <c r="BJ935" s="27"/>
      <c r="BK935" s="27"/>
      <c r="BL935" s="27"/>
      <c r="BM935" s="27"/>
      <c r="BN935" s="27"/>
      <c r="BO935" s="27"/>
      <c r="BP935" s="27"/>
      <c r="BQ935" s="27"/>
      <c r="BR935" s="27"/>
      <c r="BS935" s="27"/>
      <c r="BT935" s="27"/>
      <c r="BU935" s="27"/>
      <c r="BV935" s="27"/>
      <c r="BW935" s="27"/>
      <c r="BX935" s="27"/>
      <c r="BY935" s="27"/>
      <c r="BZ935" s="27"/>
      <c r="CA935" s="27"/>
      <c r="CB935" s="27"/>
      <c r="CC935" s="27"/>
      <c r="CD935" s="27"/>
      <c r="CE935" s="27"/>
      <c r="CF935" s="27"/>
      <c r="CG935" s="27"/>
      <c r="CH935" s="27"/>
      <c r="CI935" s="27"/>
      <c r="CJ935" s="27"/>
      <c r="CK935" s="27"/>
      <c r="CL935" s="27"/>
      <c r="CM935" s="27"/>
      <c r="CN935" s="27"/>
      <c r="CO935" s="27"/>
      <c r="CP935" s="27"/>
      <c r="CQ935" s="27"/>
      <c r="CR935" s="27"/>
      <c r="CS935" s="27"/>
      <c r="CT935" s="27"/>
      <c r="CU935" s="27"/>
      <c r="CV935" s="27"/>
      <c r="CW935" s="27"/>
      <c r="CX935" s="27"/>
      <c r="CY935" s="27"/>
      <c r="CZ935" s="27"/>
      <c r="DA935" s="27"/>
      <c r="DB935" s="27"/>
      <c r="DC935" s="27"/>
      <c r="DD935" s="27"/>
      <c r="DE935" s="27"/>
      <c r="DF935" s="27"/>
      <c r="DG935" s="27"/>
      <c r="DH935" s="27"/>
      <c r="DI935" s="27"/>
      <c r="DJ935" s="27"/>
      <c r="DK935" s="27"/>
      <c r="DL935" s="27"/>
      <c r="DM935" s="27"/>
      <c r="DN935" s="27"/>
      <c r="DO935" s="27"/>
      <c r="DP935" s="27"/>
      <c r="DQ935" s="27"/>
      <c r="DR935" s="27"/>
      <c r="DS935" s="27"/>
      <c r="DT935" s="27"/>
    </row>
    <row r="936" spans="3:124" x14ac:dyDescent="0.2">
      <c r="C936" s="44" t="str">
        <f>K792</f>
        <v>גמול הכנה לבגרות</v>
      </c>
      <c r="D936" s="141">
        <f>W750</f>
        <v>0</v>
      </c>
      <c r="E936" s="139">
        <f>BB776</f>
        <v>0</v>
      </c>
      <c r="F936" s="10" t="s">
        <v>59</v>
      </c>
      <c r="G936" s="27"/>
      <c r="H936" s="27" t="s">
        <v>582</v>
      </c>
      <c r="I936" s="27"/>
      <c r="J936" s="27"/>
      <c r="K936" s="27"/>
      <c r="L936" s="27"/>
      <c r="M936" s="27"/>
      <c r="N936" s="27"/>
      <c r="O936" s="27"/>
      <c r="P936" s="27"/>
      <c r="Q936" s="27"/>
      <c r="R936" s="27"/>
      <c r="S936" s="27"/>
      <c r="T936" s="27"/>
      <c r="U936" s="27"/>
      <c r="V936" s="27"/>
      <c r="W936" s="27"/>
      <c r="X936" s="27"/>
      <c r="Y936" s="27"/>
      <c r="Z936" s="27"/>
      <c r="AA936" s="27"/>
      <c r="AB936" s="27"/>
      <c r="AC936" s="27"/>
      <c r="AD936" s="27"/>
      <c r="AE936" s="27"/>
      <c r="AF936" s="27"/>
      <c r="AG936" s="27"/>
      <c r="AH936" s="27"/>
      <c r="AI936" s="27"/>
      <c r="AJ936" s="27"/>
      <c r="AK936" s="27"/>
      <c r="AL936" s="27"/>
      <c r="AM936" s="27"/>
      <c r="AN936" s="27"/>
      <c r="AO936" s="27"/>
      <c r="AP936" s="27"/>
      <c r="AQ936" s="27"/>
      <c r="AR936" s="27"/>
      <c r="AS936" s="27"/>
      <c r="AT936" s="27"/>
      <c r="AU936" s="27"/>
      <c r="AV936" s="27"/>
      <c r="AW936" s="27"/>
      <c r="AX936" s="27"/>
      <c r="AY936" s="27"/>
      <c r="AZ936" s="27"/>
      <c r="BA936" s="27"/>
      <c r="BB936" s="27"/>
      <c r="BC936" s="27"/>
      <c r="BD936" s="27"/>
      <c r="BE936" s="27"/>
      <c r="BF936" s="27"/>
      <c r="BG936" s="27"/>
      <c r="BH936" s="27"/>
      <c r="BI936" s="27"/>
      <c r="BJ936" s="27"/>
      <c r="BK936" s="27"/>
      <c r="BL936" s="27"/>
      <c r="BM936" s="27"/>
      <c r="BN936" s="27"/>
      <c r="BO936" s="27"/>
      <c r="BP936" s="27"/>
      <c r="BQ936" s="27"/>
      <c r="BR936" s="27"/>
      <c r="BS936" s="27"/>
      <c r="BT936" s="27"/>
      <c r="BU936" s="27"/>
      <c r="BV936" s="27"/>
      <c r="BW936" s="27"/>
      <c r="BX936" s="27"/>
      <c r="BY936" s="27"/>
      <c r="BZ936" s="27"/>
      <c r="CA936" s="27"/>
      <c r="CB936" s="27"/>
      <c r="CC936" s="27"/>
      <c r="CD936" s="27"/>
      <c r="CE936" s="27"/>
      <c r="CF936" s="27"/>
      <c r="CG936" s="27"/>
      <c r="CH936" s="27"/>
      <c r="CI936" s="27"/>
      <c r="CJ936" s="27"/>
      <c r="CK936" s="27"/>
      <c r="CL936" s="27"/>
      <c r="CM936" s="27"/>
      <c r="CN936" s="27"/>
      <c r="CO936" s="27"/>
      <c r="CP936" s="27"/>
      <c r="CQ936" s="27"/>
      <c r="CR936" s="27"/>
      <c r="CS936" s="27"/>
      <c r="CT936" s="27"/>
      <c r="CU936" s="27"/>
      <c r="CV936" s="27"/>
      <c r="CW936" s="27"/>
      <c r="CX936" s="27"/>
      <c r="CY936" s="27"/>
      <c r="CZ936" s="27"/>
      <c r="DA936" s="27"/>
      <c r="DB936" s="27"/>
      <c r="DC936" s="27"/>
      <c r="DD936" s="27"/>
      <c r="DE936" s="27"/>
      <c r="DF936" s="27"/>
      <c r="DG936" s="27"/>
      <c r="DH936" s="27"/>
      <c r="DI936" s="27"/>
      <c r="DJ936" s="27"/>
      <c r="DK936" s="27"/>
      <c r="DL936" s="27"/>
      <c r="DM936" s="27"/>
      <c r="DN936" s="27"/>
      <c r="DO936" s="27"/>
      <c r="DP936" s="27"/>
      <c r="DQ936" s="27"/>
      <c r="DR936" s="27"/>
      <c r="DS936" s="27"/>
      <c r="DT936" s="27"/>
    </row>
    <row r="937" spans="3:124" x14ac:dyDescent="0.2">
      <c r="C937" s="44" t="str">
        <f>K793</f>
        <v xml:space="preserve">גמול יעוץ </v>
      </c>
      <c r="D937" s="141" t="e">
        <f>IF(#REF!= 0,0,(K878+#REF!+K878*S705)*(70%*#REF!))</f>
        <v>#REF!</v>
      </c>
      <c r="E937" s="139" t="e">
        <f>Y714*K877</f>
        <v>#REF!</v>
      </c>
      <c r="G937" s="27"/>
      <c r="H937" s="27"/>
      <c r="I937" s="27"/>
      <c r="J937" s="27"/>
      <c r="K937" s="27"/>
      <c r="L937" s="27"/>
      <c r="M937" s="27"/>
      <c r="N937" s="27"/>
      <c r="O937" s="27"/>
      <c r="P937" s="27"/>
      <c r="Q937" s="27"/>
      <c r="R937" s="27"/>
      <c r="S937" s="27"/>
      <c r="T937" s="27"/>
      <c r="U937" s="27"/>
      <c r="V937" s="27"/>
      <c r="W937" s="27"/>
      <c r="X937" s="27"/>
      <c r="Y937" s="27"/>
      <c r="Z937" s="27"/>
      <c r="AA937" s="27"/>
      <c r="AB937" s="27"/>
      <c r="AC937" s="27"/>
      <c r="AD937" s="27"/>
      <c r="AE937" s="27"/>
      <c r="AF937" s="27"/>
      <c r="AG937" s="27"/>
      <c r="AH937" s="27"/>
      <c r="AI937" s="27"/>
      <c r="AJ937" s="27"/>
      <c r="AK937" s="27"/>
      <c r="AL937" s="27"/>
      <c r="AM937" s="27"/>
      <c r="AN937" s="27"/>
      <c r="AO937" s="27"/>
      <c r="AP937" s="27"/>
      <c r="AQ937" s="27"/>
      <c r="AR937" s="27"/>
      <c r="AS937" s="27"/>
      <c r="AT937" s="27"/>
      <c r="AU937" s="27"/>
      <c r="AV937" s="27"/>
      <c r="AW937" s="27"/>
      <c r="AX937" s="27"/>
      <c r="AY937" s="27"/>
      <c r="AZ937" s="27"/>
      <c r="BA937" s="27"/>
      <c r="BB937" s="27"/>
      <c r="BC937" s="27"/>
      <c r="BD937" s="27"/>
      <c r="BE937" s="27"/>
      <c r="BF937" s="27"/>
      <c r="BG937" s="27"/>
      <c r="BH937" s="27"/>
      <c r="BI937" s="27"/>
      <c r="BJ937" s="27"/>
      <c r="BK937" s="27"/>
      <c r="BL937" s="27"/>
      <c r="BM937" s="27"/>
      <c r="BN937" s="27"/>
      <c r="BO937" s="27"/>
      <c r="BP937" s="27"/>
      <c r="BQ937" s="27"/>
      <c r="BR937" s="27"/>
      <c r="BS937" s="27"/>
      <c r="BT937" s="27"/>
      <c r="BU937" s="27"/>
      <c r="BV937" s="27"/>
      <c r="BW937" s="27"/>
      <c r="BX937" s="27"/>
      <c r="BY937" s="27"/>
      <c r="BZ937" s="27"/>
      <c r="CA937" s="27"/>
      <c r="CB937" s="27"/>
      <c r="CC937" s="27"/>
      <c r="CD937" s="27"/>
      <c r="CE937" s="27"/>
      <c r="CF937" s="27"/>
      <c r="CG937" s="27"/>
      <c r="CH937" s="27"/>
      <c r="CI937" s="27"/>
      <c r="CJ937" s="27"/>
      <c r="CK937" s="27"/>
      <c r="CL937" s="27"/>
      <c r="CM937" s="27"/>
      <c r="CN937" s="27"/>
      <c r="CO937" s="27"/>
      <c r="CP937" s="27"/>
      <c r="CQ937" s="27"/>
      <c r="CR937" s="27"/>
      <c r="CS937" s="27"/>
      <c r="CT937" s="27"/>
      <c r="CU937" s="27"/>
      <c r="CV937" s="27"/>
      <c r="CW937" s="27"/>
      <c r="CX937" s="27"/>
      <c r="CY937" s="27"/>
      <c r="CZ937" s="27"/>
      <c r="DA937" s="27"/>
      <c r="DB937" s="27"/>
      <c r="DC937" s="27"/>
      <c r="DD937" s="27"/>
      <c r="DE937" s="27"/>
      <c r="DF937" s="27"/>
      <c r="DG937" s="27"/>
      <c r="DH937" s="27"/>
      <c r="DI937" s="27"/>
      <c r="DJ937" s="27"/>
      <c r="DK937" s="27"/>
      <c r="DL937" s="27"/>
      <c r="DM937" s="27"/>
      <c r="DN937" s="27"/>
      <c r="DO937" s="27"/>
      <c r="DP937" s="27"/>
      <c r="DQ937" s="27"/>
      <c r="DR937" s="27"/>
      <c r="DS937" s="27"/>
      <c r="DT937" s="27"/>
    </row>
    <row r="938" spans="3:124" x14ac:dyDescent="0.2">
      <c r="C938" s="44" t="str">
        <f>K794</f>
        <v>גמול ניהול /סגנות/גננות</v>
      </c>
      <c r="D938" s="141" t="e">
        <f>SUM(#REF!)*G101</f>
        <v>#REF!</v>
      </c>
      <c r="E938" s="139" t="e">
        <f>SUM(E929:E932)*BB778</f>
        <v>#REF!</v>
      </c>
      <c r="G938" s="27"/>
      <c r="H938" s="27"/>
      <c r="I938" s="27"/>
      <c r="J938" s="27"/>
      <c r="K938" s="27"/>
      <c r="L938" s="27"/>
      <c r="M938" s="27"/>
      <c r="N938" s="27"/>
      <c r="O938" s="27"/>
      <c r="P938" s="27"/>
      <c r="Q938" s="27"/>
      <c r="R938" s="27"/>
      <c r="S938" s="27"/>
      <c r="T938" s="27"/>
      <c r="U938" s="27"/>
      <c r="V938" s="27"/>
      <c r="W938" s="27"/>
      <c r="X938" s="27"/>
      <c r="Y938" s="27"/>
      <c r="Z938" s="27"/>
      <c r="AA938" s="27"/>
      <c r="AB938" s="27"/>
      <c r="AC938" s="27"/>
      <c r="AD938" s="27"/>
      <c r="AE938" s="27"/>
      <c r="AF938" s="27"/>
      <c r="AG938" s="27"/>
      <c r="AH938" s="27"/>
      <c r="AI938" s="27"/>
      <c r="AJ938" s="27"/>
      <c r="AK938" s="27"/>
      <c r="AL938" s="27"/>
      <c r="AM938" s="27"/>
      <c r="AN938" s="27"/>
      <c r="AO938" s="27"/>
      <c r="AP938" s="27"/>
      <c r="AQ938" s="27"/>
      <c r="AR938" s="27"/>
      <c r="AS938" s="27"/>
      <c r="AT938" s="27"/>
      <c r="AU938" s="27"/>
      <c r="AV938" s="27"/>
      <c r="AW938" s="27"/>
      <c r="AX938" s="27"/>
      <c r="AY938" s="27"/>
      <c r="AZ938" s="27"/>
      <c r="BA938" s="27"/>
      <c r="BB938" s="27"/>
      <c r="BC938" s="27"/>
      <c r="BD938" s="27"/>
      <c r="BE938" s="27"/>
      <c r="BF938" s="27"/>
      <c r="BG938" s="27"/>
      <c r="BH938" s="27"/>
      <c r="BI938" s="27"/>
      <c r="BJ938" s="27"/>
      <c r="BK938" s="27"/>
      <c r="BL938" s="27"/>
      <c r="BM938" s="27"/>
      <c r="BN938" s="27"/>
      <c r="BO938" s="27"/>
      <c r="BP938" s="27"/>
      <c r="BQ938" s="27"/>
      <c r="BR938" s="27"/>
      <c r="BS938" s="27"/>
      <c r="BT938" s="27"/>
      <c r="BU938" s="27"/>
      <c r="BV938" s="27"/>
      <c r="BW938" s="27"/>
      <c r="BX938" s="27"/>
      <c r="BY938" s="27"/>
      <c r="BZ938" s="27"/>
      <c r="CA938" s="27"/>
      <c r="CB938" s="27"/>
      <c r="CC938" s="27"/>
      <c r="CD938" s="27"/>
      <c r="CE938" s="27"/>
      <c r="CF938" s="27"/>
      <c r="CG938" s="27"/>
      <c r="CH938" s="27"/>
      <c r="CI938" s="27"/>
      <c r="CJ938" s="27"/>
      <c r="CK938" s="27"/>
      <c r="CL938" s="27"/>
      <c r="CM938" s="27"/>
      <c r="CN938" s="27"/>
      <c r="CO938" s="27"/>
      <c r="CP938" s="27"/>
      <c r="CQ938" s="27"/>
      <c r="CR938" s="27"/>
      <c r="CS938" s="27"/>
      <c r="CT938" s="27"/>
      <c r="CU938" s="27"/>
      <c r="CV938" s="27"/>
      <c r="CW938" s="27"/>
      <c r="CX938" s="27"/>
      <c r="CY938" s="27"/>
      <c r="CZ938" s="27"/>
      <c r="DA938" s="27"/>
      <c r="DB938" s="27"/>
      <c r="DC938" s="27"/>
      <c r="DD938" s="27"/>
      <c r="DE938" s="27"/>
      <c r="DF938" s="27"/>
      <c r="DG938" s="27"/>
      <c r="DH938" s="27"/>
      <c r="DI938" s="27"/>
      <c r="DJ938" s="27"/>
      <c r="DK938" s="27"/>
      <c r="DL938" s="27"/>
      <c r="DM938" s="27"/>
      <c r="DN938" s="27"/>
      <c r="DO938" s="27"/>
      <c r="DP938" s="27"/>
      <c r="DQ938" s="27"/>
      <c r="DR938" s="27"/>
      <c r="DS938" s="27"/>
      <c r="DT938" s="27"/>
    </row>
    <row r="939" spans="3:124" x14ac:dyDescent="0.2">
      <c r="C939" s="44" t="str">
        <f>K795</f>
        <v>ותק בניהול למנהל ולסגנו/גננת</v>
      </c>
      <c r="D939" s="141" t="e">
        <f>D938*AW723</f>
        <v>#REF!</v>
      </c>
      <c r="E939" s="139" t="e">
        <f>I902*E938</f>
        <v>#REF!</v>
      </c>
      <c r="G939" s="27"/>
      <c r="H939" s="27"/>
      <c r="I939" s="27"/>
      <c r="J939" s="27"/>
      <c r="K939" s="27"/>
      <c r="L939" s="27"/>
      <c r="M939" s="27"/>
      <c r="N939" s="27"/>
      <c r="O939" s="27"/>
      <c r="P939" s="27"/>
      <c r="Q939" s="27"/>
      <c r="R939" s="27"/>
      <c r="S939" s="27"/>
      <c r="T939" s="27"/>
      <c r="U939" s="27"/>
      <c r="V939" s="27"/>
      <c r="W939" s="27"/>
      <c r="X939" s="27"/>
      <c r="Y939" s="27"/>
      <c r="Z939" s="27"/>
      <c r="AA939" s="27"/>
      <c r="AB939" s="27"/>
      <c r="AC939" s="27"/>
      <c r="AD939" s="27"/>
      <c r="AE939" s="27"/>
      <c r="AF939" s="27"/>
      <c r="AG939" s="27"/>
      <c r="AH939" s="27"/>
      <c r="AI939" s="27"/>
      <c r="AJ939" s="27"/>
      <c r="AK939" s="27"/>
      <c r="AL939" s="27"/>
      <c r="AM939" s="27"/>
      <c r="AN939" s="27"/>
      <c r="AO939" s="27"/>
      <c r="AP939" s="27"/>
      <c r="AQ939" s="27"/>
      <c r="AR939" s="27"/>
      <c r="AS939" s="27"/>
      <c r="AT939" s="27"/>
      <c r="AU939" s="27"/>
      <c r="AV939" s="27"/>
      <c r="AW939" s="27"/>
      <c r="AX939" s="27"/>
      <c r="AY939" s="27"/>
      <c r="AZ939" s="27"/>
      <c r="BA939" s="27"/>
      <c r="BB939" s="27"/>
      <c r="BC939" s="27"/>
      <c r="BD939" s="27"/>
      <c r="BE939" s="27"/>
      <c r="BF939" s="27"/>
      <c r="BG939" s="27"/>
      <c r="BH939" s="27"/>
      <c r="BI939" s="27"/>
      <c r="BJ939" s="27"/>
      <c r="BK939" s="27"/>
      <c r="BL939" s="27"/>
      <c r="BM939" s="27"/>
      <c r="BN939" s="27"/>
      <c r="BO939" s="27"/>
      <c r="BP939" s="27"/>
      <c r="BQ939" s="27"/>
      <c r="BR939" s="27"/>
      <c r="BS939" s="27"/>
      <c r="BT939" s="27"/>
      <c r="BU939" s="27"/>
      <c r="BV939" s="27"/>
      <c r="BW939" s="27"/>
      <c r="BX939" s="27"/>
      <c r="BY939" s="27"/>
      <c r="BZ939" s="27"/>
      <c r="CA939" s="27"/>
      <c r="CB939" s="27"/>
      <c r="CC939" s="27"/>
      <c r="CD939" s="27"/>
      <c r="CE939" s="27"/>
      <c r="CF939" s="27"/>
      <c r="CG939" s="27"/>
      <c r="CH939" s="27"/>
      <c r="CI939" s="27"/>
      <c r="CJ939" s="27"/>
      <c r="CK939" s="27"/>
      <c r="CL939" s="27"/>
      <c r="CM939" s="27"/>
      <c r="CN939" s="27"/>
      <c r="CO939" s="27"/>
      <c r="CP939" s="27"/>
      <c r="CQ939" s="27"/>
      <c r="CR939" s="27"/>
      <c r="CS939" s="27"/>
      <c r="CT939" s="27"/>
      <c r="CU939" s="27"/>
      <c r="CV939" s="27"/>
      <c r="CW939" s="27"/>
      <c r="CX939" s="27"/>
      <c r="CY939" s="27"/>
      <c r="CZ939" s="27"/>
      <c r="DA939" s="27"/>
      <c r="DB939" s="27"/>
      <c r="DC939" s="27"/>
      <c r="DD939" s="27"/>
      <c r="DE939" s="27"/>
      <c r="DF939" s="27"/>
      <c r="DG939" s="27"/>
      <c r="DH939" s="27"/>
      <c r="DI939" s="27"/>
      <c r="DJ939" s="27"/>
      <c r="DK939" s="27"/>
      <c r="DL939" s="27"/>
      <c r="DM939" s="27"/>
      <c r="DN939" s="27"/>
      <c r="DO939" s="27"/>
      <c r="DP939" s="27"/>
      <c r="DQ939" s="27"/>
      <c r="DR939" s="27"/>
      <c r="DS939" s="27"/>
      <c r="DT939" s="27"/>
    </row>
    <row r="940" spans="3:124" x14ac:dyDescent="0.2">
      <c r="C940" s="44" t="str">
        <f>K803</f>
        <v>ותק הדרכה לגמול פיקוח/הדרכה</v>
      </c>
      <c r="D940" s="141" t="e">
        <f>IF(G103=AC755,0,K876*43%)</f>
        <v>#REF!</v>
      </c>
      <c r="E940" s="139" t="e">
        <f>I903*E929</f>
        <v>#REF!</v>
      </c>
      <c r="F940" s="10" t="s">
        <v>59</v>
      </c>
      <c r="G940" s="27"/>
      <c r="H940" s="27"/>
      <c r="I940" s="27"/>
      <c r="J940" s="27"/>
      <c r="K940" s="27"/>
      <c r="L940" s="27"/>
      <c r="M940" s="27"/>
      <c r="N940" s="27"/>
      <c r="O940" s="27"/>
      <c r="P940" s="27"/>
      <c r="Q940" s="27"/>
      <c r="R940" s="27"/>
      <c r="S940" s="27"/>
      <c r="T940" s="27"/>
      <c r="U940" s="27"/>
      <c r="V940" s="27"/>
      <c r="W940" s="27"/>
      <c r="X940" s="27"/>
      <c r="Y940" s="27"/>
      <c r="Z940" s="27"/>
      <c r="AA940" s="27"/>
      <c r="AB940" s="27"/>
      <c r="AC940" s="27"/>
      <c r="AD940" s="27"/>
      <c r="AE940" s="27"/>
      <c r="AF940" s="27"/>
      <c r="AG940" s="27"/>
      <c r="AH940" s="27"/>
      <c r="AI940" s="27"/>
      <c r="AJ940" s="27"/>
      <c r="AK940" s="27"/>
      <c r="AL940" s="27"/>
      <c r="AM940" s="27"/>
      <c r="AN940" s="27"/>
      <c r="AO940" s="27"/>
      <c r="AP940" s="27"/>
      <c r="AQ940" s="27"/>
      <c r="AR940" s="27"/>
      <c r="AS940" s="27"/>
      <c r="AT940" s="27"/>
      <c r="AU940" s="27"/>
      <c r="AV940" s="27"/>
      <c r="AW940" s="27"/>
      <c r="AX940" s="27"/>
      <c r="AY940" s="27"/>
      <c r="AZ940" s="27"/>
      <c r="BA940" s="27"/>
      <c r="BB940" s="27"/>
      <c r="BC940" s="27"/>
      <c r="BD940" s="27"/>
      <c r="BE940" s="27"/>
      <c r="BF940" s="27"/>
      <c r="BG940" s="27"/>
      <c r="BH940" s="27"/>
      <c r="BI940" s="27"/>
      <c r="BJ940" s="27"/>
      <c r="BK940" s="27"/>
      <c r="BL940" s="27"/>
      <c r="BM940" s="27"/>
      <c r="BN940" s="27"/>
      <c r="BO940" s="27"/>
      <c r="BP940" s="27"/>
      <c r="BQ940" s="27"/>
      <c r="BR940" s="27"/>
      <c r="BS940" s="27"/>
      <c r="BT940" s="27"/>
      <c r="BU940" s="27"/>
      <c r="BV940" s="27"/>
      <c r="BW940" s="27"/>
      <c r="BX940" s="27"/>
      <c r="BY940" s="27"/>
      <c r="BZ940" s="27"/>
      <c r="CA940" s="27"/>
      <c r="CB940" s="27"/>
      <c r="CC940" s="27"/>
      <c r="CD940" s="27"/>
      <c r="CE940" s="27"/>
      <c r="CF940" s="27"/>
      <c r="CG940" s="27"/>
      <c r="CH940" s="27"/>
      <c r="CI940" s="27"/>
      <c r="CJ940" s="27"/>
      <c r="CK940" s="27"/>
      <c r="CL940" s="27"/>
      <c r="CM940" s="27"/>
      <c r="CN940" s="27"/>
      <c r="CO940" s="27"/>
      <c r="CP940" s="27"/>
      <c r="CQ940" s="27"/>
      <c r="CR940" s="27"/>
      <c r="CS940" s="27"/>
      <c r="CT940" s="27"/>
      <c r="CU940" s="27"/>
      <c r="CV940" s="27"/>
      <c r="CW940" s="27"/>
      <c r="CX940" s="27"/>
      <c r="CY940" s="27"/>
      <c r="CZ940" s="27"/>
      <c r="DA940" s="27"/>
      <c r="DB940" s="27"/>
      <c r="DC940" s="27"/>
      <c r="DD940" s="27"/>
      <c r="DE940" s="27"/>
      <c r="DF940" s="27"/>
      <c r="DG940" s="27"/>
      <c r="DH940" s="27"/>
      <c r="DI940" s="27"/>
      <c r="DJ940" s="27"/>
      <c r="DK940" s="27"/>
      <c r="DL940" s="27"/>
      <c r="DM940" s="27"/>
      <c r="DN940" s="27"/>
      <c r="DO940" s="27"/>
      <c r="DP940" s="27"/>
      <c r="DQ940" s="27"/>
      <c r="DR940" s="27"/>
      <c r="DS940" s="27"/>
      <c r="DT940" s="27"/>
    </row>
    <row r="941" spans="3:124" x14ac:dyDescent="0.2">
      <c r="C941" s="44" t="str">
        <f>V739</f>
        <v>תוספת סמינרים  12%</v>
      </c>
      <c r="D941" s="141" t="e">
        <f>SUM(#REF!)*#REF!</f>
        <v>#REF!</v>
      </c>
      <c r="E941" s="139" t="e">
        <f>SUM(E929:E932)*W739</f>
        <v>#REF!</v>
      </c>
      <c r="G941" s="27"/>
      <c r="H941" s="27"/>
      <c r="I941" s="27"/>
      <c r="J941" s="27"/>
      <c r="K941" s="27"/>
      <c r="L941" s="27"/>
      <c r="M941" s="27"/>
      <c r="N941" s="27"/>
      <c r="O941" s="27"/>
      <c r="P941" s="27"/>
      <c r="Q941" s="27"/>
      <c r="R941" s="27"/>
      <c r="S941" s="27"/>
      <c r="T941" s="27"/>
      <c r="U941" s="27"/>
      <c r="V941" s="27"/>
      <c r="W941" s="27"/>
      <c r="X941" s="27"/>
      <c r="Y941" s="27"/>
      <c r="Z941" s="27"/>
      <c r="AA941" s="27"/>
      <c r="AB941" s="27"/>
      <c r="AC941" s="27"/>
      <c r="AD941" s="27"/>
      <c r="AE941" s="27"/>
      <c r="AF941" s="27"/>
      <c r="AG941" s="27"/>
      <c r="AH941" s="27"/>
      <c r="AI941" s="27"/>
      <c r="AJ941" s="27"/>
      <c r="AK941" s="27"/>
      <c r="AL941" s="27"/>
      <c r="AM941" s="27"/>
      <c r="AN941" s="27"/>
      <c r="AO941" s="27"/>
      <c r="AP941" s="27"/>
      <c r="AQ941" s="27"/>
      <c r="AR941" s="27"/>
      <c r="AS941" s="27"/>
      <c r="AT941" s="27"/>
      <c r="AU941" s="27"/>
      <c r="AV941" s="27"/>
      <c r="AW941" s="27"/>
      <c r="AX941" s="27"/>
      <c r="AY941" s="27"/>
      <c r="AZ941" s="27"/>
      <c r="BA941" s="27"/>
      <c r="BB941" s="27"/>
      <c r="BC941" s="27"/>
      <c r="BD941" s="27"/>
      <c r="BE941" s="27"/>
      <c r="BF941" s="27"/>
      <c r="BG941" s="27"/>
      <c r="BH941" s="27"/>
      <c r="BI941" s="27"/>
      <c r="BJ941" s="27"/>
      <c r="BK941" s="27"/>
      <c r="BL941" s="27"/>
      <c r="BM941" s="27"/>
      <c r="BN941" s="27"/>
      <c r="BO941" s="27"/>
      <c r="BP941" s="27"/>
      <c r="BQ941" s="27"/>
      <c r="BR941" s="27"/>
      <c r="BS941" s="27"/>
      <c r="BT941" s="27"/>
      <c r="BU941" s="27"/>
      <c r="BV941" s="27"/>
      <c r="BW941" s="27"/>
      <c r="BX941" s="27"/>
      <c r="BY941" s="27"/>
      <c r="BZ941" s="27"/>
      <c r="CA941" s="27"/>
      <c r="CB941" s="27"/>
      <c r="CC941" s="27"/>
      <c r="CD941" s="27"/>
      <c r="CE941" s="27"/>
      <c r="CF941" s="27"/>
      <c r="CG941" s="27"/>
      <c r="CH941" s="27"/>
      <c r="CI941" s="27"/>
      <c r="CJ941" s="27"/>
      <c r="CK941" s="27"/>
      <c r="CL941" s="27"/>
      <c r="CM941" s="27"/>
      <c r="CN941" s="27"/>
      <c r="CO941" s="27"/>
      <c r="CP941" s="27"/>
      <c r="CQ941" s="27"/>
      <c r="CR941" s="27"/>
      <c r="CS941" s="27"/>
      <c r="CT941" s="27"/>
      <c r="CU941" s="27"/>
      <c r="CV941" s="27"/>
      <c r="CW941" s="27"/>
      <c r="CX941" s="27"/>
      <c r="CY941" s="27"/>
      <c r="CZ941" s="27"/>
      <c r="DA941" s="27"/>
      <c r="DB941" s="27"/>
      <c r="DC941" s="27"/>
      <c r="DD941" s="27"/>
      <c r="DE941" s="27"/>
      <c r="DF941" s="27"/>
      <c r="DG941" s="27"/>
      <c r="DH941" s="27"/>
      <c r="DI941" s="27"/>
      <c r="DJ941" s="27"/>
      <c r="DK941" s="27"/>
      <c r="DL941" s="27"/>
      <c r="DM941" s="27"/>
      <c r="DN941" s="27"/>
      <c r="DO941" s="27"/>
      <c r="DP941" s="27"/>
      <c r="DQ941" s="27"/>
      <c r="DR941" s="27"/>
      <c r="DS941" s="27"/>
      <c r="DT941" s="27"/>
    </row>
    <row r="942" spans="3:124" x14ac:dyDescent="0.2">
      <c r="C942" s="44" t="str">
        <f>BA782</f>
        <v xml:space="preserve">תוספת דרגת קידום </v>
      </c>
      <c r="D942" s="141" t="e">
        <f>#REF!*#REF!</f>
        <v>#REF!</v>
      </c>
      <c r="E942" s="139" t="e">
        <f>E929*BB782</f>
        <v>#REF!</v>
      </c>
      <c r="G942" s="27"/>
      <c r="H942" s="27"/>
      <c r="I942" s="27"/>
      <c r="J942" s="27"/>
      <c r="K942" s="27"/>
      <c r="L942" s="27"/>
      <c r="M942" s="27"/>
      <c r="N942" s="27"/>
      <c r="O942" s="27"/>
      <c r="P942" s="27"/>
      <c r="Q942" s="27"/>
      <c r="R942" s="27"/>
      <c r="S942" s="27"/>
      <c r="T942" s="27"/>
      <c r="U942" s="27"/>
      <c r="V942" s="27"/>
      <c r="W942" s="27"/>
      <c r="X942" s="27"/>
      <c r="Y942" s="27"/>
      <c r="Z942" s="27"/>
      <c r="AA942" s="27"/>
      <c r="AB942" s="27"/>
      <c r="AC942" s="27"/>
      <c r="AD942" s="27"/>
      <c r="AE942" s="27"/>
      <c r="AF942" s="27"/>
      <c r="AG942" s="27"/>
      <c r="AH942" s="27"/>
      <c r="AI942" s="27"/>
      <c r="AJ942" s="27"/>
      <c r="AK942" s="27"/>
      <c r="AL942" s="27"/>
      <c r="AM942" s="27"/>
      <c r="AN942" s="27"/>
      <c r="AO942" s="27"/>
      <c r="AP942" s="27"/>
      <c r="AQ942" s="27"/>
      <c r="AR942" s="27"/>
      <c r="AS942" s="27"/>
      <c r="AT942" s="27"/>
      <c r="AU942" s="27"/>
      <c r="AV942" s="27"/>
      <c r="AW942" s="27"/>
      <c r="AX942" s="27"/>
      <c r="AY942" s="27"/>
      <c r="AZ942" s="27"/>
      <c r="BA942" s="27"/>
      <c r="BB942" s="27"/>
      <c r="BC942" s="27"/>
      <c r="BD942" s="27"/>
      <c r="BE942" s="27"/>
      <c r="BF942" s="27"/>
      <c r="BG942" s="27"/>
      <c r="BH942" s="27"/>
      <c r="BI942" s="27"/>
      <c r="BJ942" s="27"/>
      <c r="BK942" s="27"/>
      <c r="BL942" s="27"/>
      <c r="BM942" s="27"/>
      <c r="BN942" s="27"/>
      <c r="BO942" s="27"/>
      <c r="BP942" s="27"/>
      <c r="BQ942" s="27"/>
      <c r="BR942" s="27"/>
      <c r="BS942" s="27"/>
      <c r="BT942" s="27"/>
      <c r="BU942" s="27"/>
      <c r="BV942" s="27"/>
      <c r="BW942" s="27"/>
      <c r="BX942" s="27"/>
      <c r="BY942" s="27"/>
      <c r="BZ942" s="27"/>
      <c r="CA942" s="27"/>
      <c r="CB942" s="27"/>
      <c r="CC942" s="27"/>
      <c r="CD942" s="27"/>
      <c r="CE942" s="27"/>
      <c r="CF942" s="27"/>
      <c r="CG942" s="27"/>
      <c r="CH942" s="27"/>
      <c r="CI942" s="27"/>
      <c r="CJ942" s="27"/>
      <c r="CK942" s="27"/>
      <c r="CL942" s="27"/>
      <c r="CM942" s="27"/>
      <c r="CN942" s="27"/>
      <c r="CO942" s="27"/>
      <c r="CP942" s="27"/>
      <c r="CQ942" s="27"/>
      <c r="CR942" s="27"/>
      <c r="CS942" s="27"/>
      <c r="CT942" s="27"/>
      <c r="CU942" s="27"/>
      <c r="CV942" s="27"/>
      <c r="CW942" s="27"/>
      <c r="CX942" s="27"/>
      <c r="CY942" s="27"/>
      <c r="CZ942" s="27"/>
      <c r="DA942" s="27"/>
      <c r="DB942" s="27"/>
      <c r="DC942" s="27"/>
      <c r="DD942" s="27"/>
      <c r="DE942" s="27"/>
      <c r="DF942" s="27"/>
      <c r="DG942" s="27"/>
      <c r="DH942" s="27"/>
      <c r="DI942" s="27"/>
      <c r="DJ942" s="27"/>
      <c r="DK942" s="27"/>
      <c r="DL942" s="27"/>
      <c r="DM942" s="27"/>
      <c r="DN942" s="27"/>
      <c r="DO942" s="27"/>
      <c r="DP942" s="27"/>
      <c r="DQ942" s="27"/>
      <c r="DR942" s="27"/>
      <c r="DS942" s="27"/>
      <c r="DT942" s="27"/>
    </row>
    <row r="943" spans="3:124" x14ac:dyDescent="0.2">
      <c r="C943" s="44" t="s">
        <v>32</v>
      </c>
      <c r="D943" s="141" t="e">
        <f>BB774*#REF!</f>
        <v>#REF!</v>
      </c>
      <c r="E943" s="139" t="e">
        <f>SUM(E929:E932)*BB774</f>
        <v>#REF!</v>
      </c>
      <c r="G943" s="27"/>
      <c r="H943" s="27"/>
      <c r="I943" s="27"/>
      <c r="J943" s="27"/>
      <c r="K943" s="27"/>
      <c r="L943" s="27"/>
      <c r="M943" s="27"/>
      <c r="N943" s="27"/>
      <c r="O943" s="27"/>
      <c r="P943" s="27"/>
      <c r="Q943" s="27"/>
      <c r="R943" s="27"/>
      <c r="S943" s="27"/>
      <c r="T943" s="27"/>
      <c r="U943" s="27"/>
      <c r="V943" s="27"/>
      <c r="W943" s="27"/>
      <c r="X943" s="27"/>
      <c r="Y943" s="27"/>
      <c r="Z943" s="27"/>
      <c r="AA943" s="27"/>
      <c r="AB943" s="27"/>
      <c r="AC943" s="27"/>
      <c r="AD943" s="27"/>
      <c r="AE943" s="27"/>
      <c r="AF943" s="27"/>
      <c r="AG943" s="27"/>
      <c r="AH943" s="27"/>
      <c r="AI943" s="27"/>
      <c r="AJ943" s="27"/>
      <c r="AK943" s="27"/>
      <c r="AL943" s="27"/>
      <c r="AM943" s="27"/>
      <c r="AN943" s="27"/>
      <c r="AO943" s="27"/>
      <c r="AP943" s="27"/>
      <c r="AQ943" s="27"/>
      <c r="AR943" s="27"/>
      <c r="AS943" s="27"/>
      <c r="AT943" s="27"/>
      <c r="AU943" s="27"/>
      <c r="AV943" s="27"/>
      <c r="AW943" s="27"/>
      <c r="AX943" s="27"/>
      <c r="AY943" s="27"/>
      <c r="AZ943" s="27"/>
      <c r="BA943" s="27"/>
      <c r="BB943" s="27"/>
      <c r="BC943" s="27"/>
      <c r="BD943" s="27"/>
      <c r="BE943" s="27"/>
      <c r="BF943" s="27"/>
      <c r="BG943" s="27"/>
      <c r="BH943" s="27"/>
      <c r="BI943" s="27"/>
      <c r="BJ943" s="27"/>
      <c r="BK943" s="27"/>
      <c r="BL943" s="27"/>
      <c r="BM943" s="27"/>
      <c r="BN943" s="27"/>
      <c r="BO943" s="27"/>
      <c r="BP943" s="27"/>
      <c r="BQ943" s="27"/>
      <c r="BR943" s="27"/>
      <c r="BS943" s="27"/>
      <c r="BT943" s="27"/>
      <c r="BU943" s="27"/>
      <c r="BV943" s="27"/>
      <c r="BW943" s="27"/>
      <c r="BX943" s="27"/>
      <c r="BY943" s="27"/>
      <c r="BZ943" s="27"/>
      <c r="CA943" s="27"/>
      <c r="CB943" s="27"/>
      <c r="CC943" s="27"/>
      <c r="CD943" s="27"/>
      <c r="CE943" s="27"/>
      <c r="CF943" s="27"/>
      <c r="CG943" s="27"/>
      <c r="CH943" s="27"/>
      <c r="CI943" s="27"/>
      <c r="CJ943" s="27"/>
      <c r="CK943" s="27"/>
      <c r="CL943" s="27"/>
      <c r="CM943" s="27"/>
      <c r="CN943" s="27"/>
      <c r="CO943" s="27"/>
      <c r="CP943" s="27"/>
      <c r="CQ943" s="27"/>
      <c r="CR943" s="27"/>
      <c r="CS943" s="27"/>
      <c r="CT943" s="27"/>
      <c r="CU943" s="27"/>
      <c r="CV943" s="27"/>
      <c r="CW943" s="27"/>
      <c r="CX943" s="27"/>
      <c r="CY943" s="27"/>
      <c r="CZ943" s="27"/>
      <c r="DA943" s="27"/>
      <c r="DB943" s="27"/>
      <c r="DC943" s="27"/>
      <c r="DD943" s="27"/>
      <c r="DE943" s="27"/>
      <c r="DF943" s="27"/>
      <c r="DG943" s="27"/>
      <c r="DH943" s="27"/>
      <c r="DI943" s="27"/>
      <c r="DJ943" s="27"/>
      <c r="DK943" s="27"/>
      <c r="DL943" s="27"/>
      <c r="DM943" s="27"/>
      <c r="DN943" s="27"/>
      <c r="DO943" s="27"/>
      <c r="DP943" s="27"/>
      <c r="DQ943" s="27"/>
      <c r="DR943" s="27"/>
      <c r="DS943" s="27"/>
      <c r="DT943" s="27"/>
    </row>
    <row r="944" spans="3:124" ht="15" thickBot="1" x14ac:dyDescent="0.25">
      <c r="E944" s="139">
        <v>0</v>
      </c>
      <c r="G944" s="27">
        <f>ROUND((AF735-AT720)/365.25,2)</f>
        <v>0.36</v>
      </c>
      <c r="H944" s="27"/>
      <c r="I944" s="27"/>
      <c r="J944" s="27"/>
      <c r="K944" s="27"/>
      <c r="L944" s="27"/>
      <c r="M944" s="27"/>
      <c r="N944" s="27"/>
      <c r="O944" s="27"/>
      <c r="P944" s="27"/>
      <c r="Q944" s="27"/>
      <c r="R944" s="27"/>
      <c r="S944" s="27"/>
      <c r="T944" s="27"/>
      <c r="U944" s="27"/>
      <c r="V944" s="27"/>
      <c r="W944" s="27"/>
      <c r="X944" s="27"/>
      <c r="Y944" s="27"/>
      <c r="Z944" s="27"/>
      <c r="AA944" s="27"/>
      <c r="AB944" s="27"/>
      <c r="AC944" s="27"/>
      <c r="AD944" s="27"/>
      <c r="AE944" s="27"/>
      <c r="AF944" s="27"/>
      <c r="AG944" s="27"/>
      <c r="AH944" s="27"/>
      <c r="AI944" s="27"/>
      <c r="AJ944" s="27"/>
      <c r="AK944" s="27"/>
      <c r="AL944" s="27"/>
      <c r="AM944" s="27"/>
      <c r="AN944" s="27"/>
      <c r="AO944" s="27"/>
      <c r="AP944" s="27"/>
      <c r="AQ944" s="27"/>
      <c r="AR944" s="27"/>
      <c r="AS944" s="27"/>
      <c r="AT944" s="27"/>
      <c r="AU944" s="27"/>
      <c r="AV944" s="27"/>
      <c r="AW944" s="27"/>
      <c r="AX944" s="27"/>
      <c r="AY944" s="27"/>
      <c r="AZ944" s="27"/>
      <c r="BA944" s="27"/>
      <c r="BB944" s="27"/>
      <c r="BC944" s="27"/>
      <c r="BD944" s="27"/>
      <c r="BE944" s="27"/>
      <c r="BF944" s="27"/>
      <c r="BG944" s="27"/>
      <c r="BH944" s="27"/>
      <c r="BI944" s="27"/>
      <c r="BJ944" s="27"/>
      <c r="BK944" s="27"/>
      <c r="BL944" s="27"/>
      <c r="BM944" s="27"/>
      <c r="BN944" s="27"/>
      <c r="BO944" s="27"/>
      <c r="BP944" s="27"/>
      <c r="BQ944" s="27"/>
      <c r="BR944" s="27"/>
      <c r="BS944" s="27"/>
      <c r="BT944" s="27"/>
      <c r="BU944" s="27"/>
      <c r="BV944" s="27"/>
      <c r="BW944" s="27"/>
      <c r="BX944" s="27"/>
      <c r="BY944" s="27"/>
      <c r="BZ944" s="27"/>
      <c r="CA944" s="27"/>
      <c r="CB944" s="27"/>
      <c r="CC944" s="27"/>
      <c r="CD944" s="27"/>
      <c r="CE944" s="27"/>
      <c r="CF944" s="27"/>
      <c r="CG944" s="27"/>
      <c r="CH944" s="27"/>
      <c r="CI944" s="27"/>
      <c r="CJ944" s="27"/>
      <c r="CK944" s="27"/>
      <c r="CL944" s="27"/>
      <c r="CM944" s="27"/>
      <c r="CN944" s="27"/>
      <c r="CO944" s="27"/>
      <c r="CP944" s="27"/>
      <c r="CQ944" s="27"/>
      <c r="CR944" s="27"/>
      <c r="CS944" s="27"/>
      <c r="CT944" s="27"/>
      <c r="CU944" s="27"/>
      <c r="CV944" s="27"/>
      <c r="CW944" s="27"/>
      <c r="CX944" s="27"/>
      <c r="CY944" s="27"/>
      <c r="CZ944" s="27"/>
      <c r="DA944" s="27"/>
      <c r="DB944" s="27"/>
      <c r="DC944" s="27"/>
      <c r="DD944" s="27"/>
      <c r="DE944" s="27"/>
      <c r="DF944" s="27"/>
      <c r="DG944" s="27"/>
      <c r="DH944" s="27"/>
      <c r="DI944" s="27"/>
      <c r="DJ944" s="27"/>
      <c r="DK944" s="27"/>
      <c r="DL944" s="27"/>
      <c r="DM944" s="27"/>
      <c r="DN944" s="27"/>
      <c r="DO944" s="27"/>
      <c r="DP944" s="27"/>
      <c r="DQ944" s="27"/>
      <c r="DR944" s="27"/>
      <c r="DS944" s="27"/>
      <c r="DT944" s="27"/>
    </row>
    <row r="945" spans="2:124" ht="15.75" thickTop="1" thickBot="1" x14ac:dyDescent="0.25">
      <c r="E945" s="139">
        <v>0</v>
      </c>
      <c r="F945" s="142" t="s">
        <v>561</v>
      </c>
      <c r="G945" s="27">
        <f>G908-G944</f>
        <v>32.056666666666665</v>
      </c>
      <c r="H945" s="27"/>
      <c r="I945" s="27"/>
      <c r="J945" s="27"/>
      <c r="K945" s="27"/>
      <c r="L945" s="27"/>
      <c r="M945" s="27"/>
      <c r="N945" s="27"/>
      <c r="O945" s="27"/>
      <c r="P945" s="27"/>
      <c r="Q945" s="27"/>
      <c r="R945" s="27"/>
      <c r="S945" s="27"/>
      <c r="T945" s="27"/>
      <c r="U945" s="27"/>
      <c r="V945" s="27"/>
      <c r="W945" s="27"/>
      <c r="X945" s="27"/>
      <c r="Y945" s="27"/>
      <c r="Z945" s="27"/>
      <c r="AA945" s="27"/>
      <c r="AB945" s="27"/>
      <c r="AC945" s="27"/>
      <c r="AD945" s="27"/>
      <c r="AE945" s="27"/>
      <c r="AF945" s="27"/>
      <c r="AG945" s="27"/>
      <c r="AH945" s="27"/>
      <c r="AI945" s="27"/>
      <c r="AJ945" s="27"/>
      <c r="AK945" s="27"/>
      <c r="AL945" s="27"/>
      <c r="AM945" s="27"/>
      <c r="AN945" s="27"/>
      <c r="AO945" s="27"/>
      <c r="AP945" s="27"/>
      <c r="AQ945" s="27"/>
      <c r="AR945" s="27"/>
      <c r="AS945" s="27"/>
      <c r="AT945" s="27"/>
      <c r="AU945" s="27"/>
      <c r="AV945" s="27"/>
      <c r="AW945" s="27"/>
      <c r="AX945" s="27"/>
      <c r="AY945" s="27"/>
      <c r="AZ945" s="27"/>
      <c r="BA945" s="27"/>
      <c r="BB945" s="27"/>
      <c r="BC945" s="27"/>
      <c r="BD945" s="27"/>
      <c r="BE945" s="27"/>
      <c r="BF945" s="27"/>
      <c r="BG945" s="27"/>
      <c r="BH945" s="27"/>
      <c r="BI945" s="27"/>
      <c r="BJ945" s="27"/>
      <c r="BK945" s="27"/>
      <c r="BL945" s="27"/>
      <c r="BM945" s="27"/>
      <c r="BN945" s="27"/>
      <c r="BO945" s="27"/>
      <c r="BP945" s="27"/>
      <c r="BQ945" s="27"/>
      <c r="BR945" s="27"/>
      <c r="BS945" s="27"/>
      <c r="BT945" s="27"/>
      <c r="BU945" s="27"/>
      <c r="BV945" s="27"/>
      <c r="BW945" s="27"/>
      <c r="BX945" s="27"/>
      <c r="BY945" s="27"/>
      <c r="BZ945" s="27"/>
      <c r="CA945" s="27"/>
      <c r="CB945" s="27"/>
      <c r="CC945" s="27"/>
      <c r="CD945" s="27"/>
      <c r="CE945" s="27"/>
      <c r="CF945" s="27"/>
      <c r="CG945" s="27"/>
      <c r="CH945" s="27"/>
      <c r="CI945" s="27"/>
      <c r="CJ945" s="27"/>
      <c r="CK945" s="27"/>
      <c r="CL945" s="27"/>
      <c r="CM945" s="27"/>
      <c r="CN945" s="27"/>
      <c r="CO945" s="27"/>
      <c r="CP945" s="27"/>
      <c r="CQ945" s="27"/>
      <c r="CR945" s="27"/>
      <c r="CS945" s="27"/>
      <c r="CT945" s="27"/>
      <c r="CU945" s="27"/>
      <c r="CV945" s="27"/>
      <c r="CW945" s="27"/>
      <c r="CX945" s="27"/>
      <c r="CY945" s="27"/>
      <c r="CZ945" s="27"/>
      <c r="DA945" s="27"/>
      <c r="DB945" s="27"/>
      <c r="DC945" s="27"/>
      <c r="DD945" s="27"/>
      <c r="DE945" s="27"/>
      <c r="DF945" s="27"/>
      <c r="DG945" s="27"/>
      <c r="DH945" s="27"/>
      <c r="DI945" s="27"/>
      <c r="DJ945" s="27"/>
      <c r="DK945" s="27"/>
      <c r="DL945" s="27"/>
      <c r="DM945" s="27"/>
      <c r="DN945" s="27"/>
      <c r="DO945" s="27"/>
      <c r="DP945" s="27"/>
      <c r="DQ945" s="27"/>
      <c r="DR945" s="27"/>
      <c r="DS945" s="27"/>
      <c r="DT945" s="27"/>
    </row>
    <row r="946" spans="2:124" ht="16.5" thickTop="1" thickBot="1" x14ac:dyDescent="0.3">
      <c r="B946" t="s">
        <v>59</v>
      </c>
      <c r="C946" s="143" t="s">
        <v>563</v>
      </c>
      <c r="D946" s="144" t="e">
        <f>D951</f>
        <v>#REF!</v>
      </c>
      <c r="E946" s="145" t="e">
        <f>SUM(E929:E945)</f>
        <v>#REF!</v>
      </c>
      <c r="F946" s="146" t="s">
        <v>562</v>
      </c>
      <c r="G946" s="27">
        <f>G908</f>
        <v>32.416666666666664</v>
      </c>
      <c r="H946" s="27"/>
      <c r="I946" s="27"/>
      <c r="J946" s="27"/>
      <c r="K946" s="27"/>
      <c r="L946" s="27"/>
      <c r="M946" s="27"/>
      <c r="N946" s="27"/>
      <c r="O946" s="27"/>
      <c r="P946" s="27"/>
      <c r="Q946" s="27"/>
      <c r="R946" s="27"/>
      <c r="S946" s="27"/>
      <c r="T946" s="27"/>
      <c r="U946" s="27"/>
      <c r="V946" s="27"/>
      <c r="W946" s="27"/>
      <c r="X946" s="27"/>
      <c r="Y946" s="27"/>
      <c r="Z946" s="27"/>
      <c r="AA946" s="27"/>
      <c r="AB946" s="27"/>
      <c r="AC946" s="27"/>
      <c r="AD946" s="27"/>
      <c r="AE946" s="27"/>
      <c r="AF946" s="27"/>
      <c r="AG946" s="27"/>
      <c r="AH946" s="27"/>
      <c r="AI946" s="27"/>
      <c r="AJ946" s="27"/>
      <c r="AK946" s="27"/>
      <c r="AL946" s="27"/>
      <c r="AM946" s="27"/>
      <c r="AN946" s="27"/>
      <c r="AO946" s="27"/>
      <c r="AP946" s="27"/>
      <c r="AQ946" s="27"/>
      <c r="AR946" s="27"/>
      <c r="AS946" s="27"/>
      <c r="AT946" s="27"/>
      <c r="AU946" s="27"/>
      <c r="AV946" s="27"/>
      <c r="AW946" s="27"/>
      <c r="AX946" s="27"/>
      <c r="AY946" s="27"/>
      <c r="AZ946" s="27"/>
      <c r="BA946" s="27"/>
      <c r="BB946" s="27"/>
      <c r="BC946" s="27"/>
      <c r="BD946" s="27"/>
      <c r="BE946" s="27"/>
      <c r="BF946" s="27"/>
      <c r="BG946" s="27"/>
      <c r="BH946" s="27"/>
      <c r="BI946" s="27"/>
      <c r="BJ946" s="27"/>
      <c r="BK946" s="27"/>
      <c r="BL946" s="27"/>
      <c r="BM946" s="27"/>
      <c r="BN946" s="27"/>
      <c r="BO946" s="27"/>
      <c r="BP946" s="27"/>
      <c r="BQ946" s="27"/>
      <c r="BR946" s="27"/>
      <c r="BS946" s="27"/>
      <c r="BT946" s="27"/>
      <c r="BU946" s="27"/>
      <c r="BV946" s="27"/>
      <c r="BW946" s="27"/>
      <c r="BX946" s="27"/>
      <c r="BY946" s="27"/>
      <c r="BZ946" s="27"/>
      <c r="CA946" s="27"/>
      <c r="CB946" s="27"/>
      <c r="CC946" s="27"/>
      <c r="CD946" s="27"/>
      <c r="CE946" s="27"/>
      <c r="CF946" s="27"/>
      <c r="CG946" s="27"/>
      <c r="CH946" s="27"/>
      <c r="CI946" s="27"/>
      <c r="CJ946" s="27"/>
      <c r="CK946" s="27"/>
      <c r="CL946" s="27"/>
      <c r="CM946" s="27"/>
      <c r="CN946" s="27"/>
      <c r="CO946" s="27"/>
      <c r="CP946" s="27"/>
      <c r="CQ946" s="27"/>
      <c r="CR946" s="27"/>
      <c r="CS946" s="27"/>
      <c r="CT946" s="27"/>
      <c r="CU946" s="27"/>
      <c r="CV946" s="27"/>
      <c r="CW946" s="27"/>
      <c r="CX946" s="27"/>
      <c r="CY946" s="27"/>
      <c r="CZ946" s="27"/>
      <c r="DA946" s="27"/>
      <c r="DB946" s="27"/>
      <c r="DC946" s="27"/>
      <c r="DD946" s="27"/>
      <c r="DE946" s="27"/>
      <c r="DF946" s="27"/>
      <c r="DG946" s="27"/>
      <c r="DH946" s="27"/>
      <c r="DI946" s="27"/>
      <c r="DJ946" s="27"/>
      <c r="DK946" s="27"/>
      <c r="DL946" s="27"/>
      <c r="DM946" s="27"/>
      <c r="DN946" s="27"/>
      <c r="DO946" s="27"/>
      <c r="DP946" s="27"/>
      <c r="DQ946" s="27"/>
      <c r="DR946" s="27"/>
      <c r="DS946" s="27"/>
      <c r="DT946" s="27"/>
    </row>
    <row r="947" spans="2:124" ht="19.5" thickTop="1" thickBot="1" x14ac:dyDescent="0.3">
      <c r="B947" s="10" t="s">
        <v>59</v>
      </c>
      <c r="C947" s="147" t="s">
        <v>583</v>
      </c>
      <c r="D947" s="148"/>
      <c r="E947" s="149" t="e">
        <f>(E946*G944+D946*G945)/G946</f>
        <v>#REF!</v>
      </c>
      <c r="F947" s="150" t="s">
        <v>584</v>
      </c>
      <c r="G947" s="27" t="s">
        <v>545</v>
      </c>
      <c r="H947" s="27"/>
      <c r="I947" s="27"/>
      <c r="J947" s="27"/>
      <c r="K947" s="27"/>
      <c r="L947" s="27"/>
      <c r="M947" s="27"/>
      <c r="N947" s="27"/>
      <c r="O947" s="27"/>
      <c r="P947" s="27"/>
      <c r="Q947" s="27"/>
      <c r="R947" s="27"/>
      <c r="S947" s="27"/>
      <c r="T947" s="27"/>
      <c r="U947" s="27"/>
      <c r="V947" s="27"/>
      <c r="W947" s="27"/>
      <c r="X947" s="27"/>
      <c r="Y947" s="27"/>
      <c r="Z947" s="27"/>
      <c r="AA947" s="27"/>
      <c r="AB947" s="27"/>
      <c r="AC947" s="27"/>
      <c r="AD947" s="27"/>
      <c r="AE947" s="27"/>
      <c r="AF947" s="27"/>
      <c r="AG947" s="27"/>
      <c r="AH947" s="27"/>
      <c r="AI947" s="27"/>
      <c r="AJ947" s="27"/>
      <c r="AK947" s="27"/>
      <c r="AL947" s="27"/>
      <c r="AM947" s="27"/>
      <c r="AN947" s="27"/>
      <c r="AO947" s="27"/>
      <c r="AP947" s="27"/>
      <c r="AQ947" s="27"/>
      <c r="AR947" s="27"/>
      <c r="AS947" s="27"/>
      <c r="AT947" s="27"/>
      <c r="AU947" s="27"/>
      <c r="AV947" s="27"/>
      <c r="AW947" s="27"/>
      <c r="AX947" s="27"/>
      <c r="AY947" s="27"/>
      <c r="AZ947" s="27"/>
      <c r="BA947" s="27"/>
      <c r="BB947" s="27"/>
      <c r="BC947" s="27"/>
      <c r="BD947" s="27"/>
      <c r="BE947" s="27"/>
      <c r="BF947" s="27"/>
      <c r="BG947" s="27"/>
      <c r="BH947" s="27"/>
      <c r="BI947" s="27"/>
      <c r="BJ947" s="27"/>
      <c r="BK947" s="27"/>
      <c r="BL947" s="27"/>
      <c r="BM947" s="27"/>
      <c r="BN947" s="27"/>
      <c r="BO947" s="27"/>
      <c r="BP947" s="27"/>
      <c r="BQ947" s="27"/>
      <c r="BR947" s="27"/>
      <c r="BS947" s="27"/>
      <c r="BT947" s="27"/>
      <c r="BU947" s="27"/>
      <c r="BV947" s="27"/>
      <c r="BW947" s="27"/>
      <c r="BX947" s="27"/>
      <c r="BY947" s="27"/>
      <c r="BZ947" s="27"/>
      <c r="CA947" s="27"/>
      <c r="CB947" s="27"/>
      <c r="CC947" s="27"/>
      <c r="CD947" s="27"/>
      <c r="CE947" s="27"/>
      <c r="CF947" s="27"/>
      <c r="CG947" s="27"/>
      <c r="CH947" s="27"/>
      <c r="CI947" s="27"/>
      <c r="CJ947" s="27"/>
      <c r="CK947" s="27"/>
      <c r="CL947" s="27"/>
      <c r="CM947" s="27"/>
      <c r="CN947" s="27"/>
      <c r="CO947" s="27"/>
      <c r="CP947" s="27"/>
      <c r="CQ947" s="27"/>
      <c r="CR947" s="27"/>
      <c r="CS947" s="27"/>
      <c r="CT947" s="27"/>
      <c r="CU947" s="27"/>
      <c r="CV947" s="27"/>
      <c r="CW947" s="27"/>
      <c r="CX947" s="27"/>
      <c r="CY947" s="27"/>
      <c r="CZ947" s="27"/>
      <c r="DA947" s="27"/>
      <c r="DB947" s="27"/>
      <c r="DC947" s="27"/>
      <c r="DD947" s="27"/>
      <c r="DE947" s="27"/>
      <c r="DF947" s="27"/>
      <c r="DG947" s="27"/>
      <c r="DH947" s="27"/>
      <c r="DI947" s="27"/>
      <c r="DJ947" s="27"/>
      <c r="DK947" s="27"/>
      <c r="DL947" s="27"/>
      <c r="DM947" s="27"/>
      <c r="DN947" s="27"/>
      <c r="DO947" s="27"/>
      <c r="DP947" s="27"/>
      <c r="DQ947" s="27"/>
      <c r="DR947" s="27"/>
      <c r="DS947" s="27"/>
      <c r="DT947" s="27"/>
    </row>
    <row r="948" spans="2:124" ht="17.25" thickTop="1" thickBot="1" x14ac:dyDescent="0.3">
      <c r="B948" s="134" t="s">
        <v>545</v>
      </c>
      <c r="G948" s="27" t="s">
        <v>59</v>
      </c>
      <c r="H948" s="27"/>
      <c r="I948" s="27"/>
      <c r="J948" s="27"/>
      <c r="K948" s="27"/>
      <c r="L948" s="27"/>
      <c r="M948" s="27"/>
      <c r="N948" s="27"/>
      <c r="O948" s="27"/>
      <c r="P948" s="27"/>
      <c r="Q948" s="27"/>
      <c r="R948" s="27"/>
      <c r="S948" s="27"/>
      <c r="T948" s="27"/>
      <c r="U948" s="27"/>
      <c r="V948" s="27"/>
      <c r="W948" s="27"/>
      <c r="X948" s="27"/>
      <c r="Y948" s="27"/>
      <c r="Z948" s="27"/>
      <c r="AA948" s="27"/>
      <c r="AB948" s="27"/>
      <c r="AC948" s="27"/>
      <c r="AD948" s="27"/>
      <c r="AE948" s="27"/>
      <c r="AF948" s="27"/>
      <c r="AG948" s="27"/>
      <c r="AH948" s="27"/>
      <c r="AI948" s="27"/>
      <c r="AJ948" s="27"/>
      <c r="AK948" s="27"/>
      <c r="AL948" s="27"/>
      <c r="AM948" s="27"/>
      <c r="AN948" s="27"/>
      <c r="AO948" s="27"/>
      <c r="AP948" s="27"/>
      <c r="AQ948" s="27"/>
      <c r="AR948" s="27"/>
      <c r="AS948" s="27"/>
      <c r="AT948" s="27"/>
      <c r="AU948" s="27"/>
      <c r="AV948" s="27"/>
      <c r="AW948" s="27"/>
      <c r="AX948" s="27"/>
      <c r="AY948" s="27"/>
      <c r="AZ948" s="27"/>
      <c r="BA948" s="27"/>
      <c r="BB948" s="27"/>
      <c r="BC948" s="27"/>
      <c r="BD948" s="27"/>
      <c r="BE948" s="27"/>
      <c r="BF948" s="27"/>
      <c r="BG948" s="27"/>
      <c r="BH948" s="27"/>
      <c r="BI948" s="27"/>
      <c r="BJ948" s="27"/>
      <c r="BK948" s="27"/>
      <c r="BL948" s="27"/>
      <c r="BM948" s="27"/>
      <c r="BN948" s="27"/>
      <c r="BO948" s="27"/>
      <c r="BP948" s="27"/>
      <c r="BQ948" s="27"/>
      <c r="BR948" s="27"/>
      <c r="BS948" s="27"/>
      <c r="BT948" s="27"/>
      <c r="BU948" s="27"/>
      <c r="BV948" s="27"/>
      <c r="BW948" s="27"/>
      <c r="BX948" s="27"/>
      <c r="BY948" s="27"/>
      <c r="BZ948" s="27"/>
      <c r="CA948" s="27"/>
      <c r="CB948" s="27"/>
      <c r="CC948" s="27"/>
      <c r="CD948" s="27"/>
      <c r="CE948" s="27"/>
      <c r="CF948" s="27"/>
      <c r="CG948" s="27"/>
      <c r="CH948" s="27"/>
      <c r="CI948" s="27"/>
      <c r="CJ948" s="27"/>
      <c r="CK948" s="27"/>
      <c r="CL948" s="27"/>
      <c r="CM948" s="27"/>
      <c r="CN948" s="27"/>
      <c r="CO948" s="27"/>
      <c r="CP948" s="27"/>
      <c r="CQ948" s="27"/>
      <c r="CR948" s="27"/>
      <c r="CS948" s="27"/>
      <c r="CT948" s="27"/>
      <c r="CU948" s="27"/>
      <c r="CV948" s="27"/>
      <c r="CW948" s="27"/>
      <c r="CX948" s="27"/>
      <c r="CY948" s="27"/>
      <c r="CZ948" s="27"/>
      <c r="DA948" s="27"/>
      <c r="DB948" s="27"/>
      <c r="DC948" s="27"/>
      <c r="DD948" s="27"/>
      <c r="DE948" s="27"/>
      <c r="DF948" s="27"/>
      <c r="DG948" s="27"/>
      <c r="DH948" s="27"/>
      <c r="DI948" s="27"/>
      <c r="DJ948" s="27"/>
      <c r="DK948" s="27"/>
      <c r="DL948" s="27"/>
      <c r="DM948" s="27"/>
      <c r="DN948" s="27"/>
      <c r="DO948" s="27"/>
      <c r="DP948" s="27"/>
      <c r="DQ948" s="27"/>
      <c r="DR948" s="27"/>
      <c r="DS948" s="27"/>
      <c r="DT948" s="27"/>
    </row>
    <row r="949" spans="2:124" ht="15" thickTop="1" x14ac:dyDescent="0.2">
      <c r="B949" s="10"/>
      <c r="C949" s="10" t="s">
        <v>585</v>
      </c>
      <c r="D949" s="151" t="e">
        <f>SUM(D929:D945)</f>
        <v>#REF!</v>
      </c>
      <c r="G949" s="27"/>
      <c r="H949" s="27"/>
      <c r="I949" s="27"/>
      <c r="J949" s="27"/>
      <c r="K949" s="27"/>
      <c r="L949" s="27"/>
      <c r="M949" s="27"/>
      <c r="N949" s="27"/>
      <c r="O949" s="27"/>
      <c r="P949" s="27"/>
      <c r="Q949" s="27"/>
      <c r="R949" s="27"/>
      <c r="S949" s="27"/>
      <c r="T949" s="27"/>
      <c r="U949" s="27"/>
      <c r="V949" s="27"/>
      <c r="W949" s="27"/>
      <c r="X949" s="27"/>
      <c r="Y949" s="27"/>
      <c r="Z949" s="27"/>
      <c r="AA949" s="27"/>
      <c r="AB949" s="27"/>
      <c r="AC949" s="27"/>
      <c r="AD949" s="27"/>
      <c r="AE949" s="27"/>
      <c r="AF949" s="27"/>
      <c r="AG949" s="27"/>
      <c r="AH949" s="27"/>
      <c r="AI949" s="27"/>
      <c r="AJ949" s="27"/>
      <c r="AK949" s="27"/>
      <c r="AL949" s="27"/>
      <c r="AM949" s="27"/>
      <c r="AN949" s="27"/>
      <c r="AO949" s="27"/>
      <c r="AP949" s="27"/>
      <c r="AQ949" s="27"/>
      <c r="AR949" s="27"/>
      <c r="AS949" s="27"/>
      <c r="AT949" s="27"/>
      <c r="AU949" s="27"/>
      <c r="AV949" s="27"/>
      <c r="AW949" s="27"/>
      <c r="AX949" s="27"/>
      <c r="AY949" s="27"/>
      <c r="AZ949" s="27"/>
      <c r="BA949" s="27"/>
      <c r="BB949" s="27"/>
      <c r="BC949" s="27"/>
      <c r="BD949" s="27"/>
      <c r="BE949" s="27"/>
      <c r="BF949" s="27"/>
      <c r="BG949" s="27"/>
      <c r="BH949" s="27"/>
      <c r="BI949" s="27"/>
      <c r="BJ949" s="27"/>
      <c r="BK949" s="27"/>
      <c r="BL949" s="27"/>
      <c r="BM949" s="27"/>
      <c r="BN949" s="27"/>
      <c r="BO949" s="27"/>
      <c r="BP949" s="27"/>
      <c r="BQ949" s="27"/>
      <c r="BR949" s="27"/>
      <c r="BS949" s="27"/>
      <c r="BT949" s="27"/>
      <c r="BU949" s="27"/>
      <c r="BV949" s="27"/>
      <c r="BW949" s="27"/>
      <c r="BX949" s="27"/>
      <c r="BY949" s="27"/>
      <c r="BZ949" s="27"/>
      <c r="CA949" s="27"/>
      <c r="CB949" s="27"/>
      <c r="CC949" s="27"/>
      <c r="CD949" s="27"/>
      <c r="CE949" s="27"/>
      <c r="CF949" s="27"/>
      <c r="CG949" s="27"/>
      <c r="CH949" s="27"/>
      <c r="CI949" s="27"/>
      <c r="CJ949" s="27"/>
      <c r="CK949" s="27"/>
      <c r="CL949" s="27"/>
      <c r="CM949" s="27"/>
      <c r="CN949" s="27"/>
      <c r="CO949" s="27"/>
      <c r="CP949" s="27"/>
      <c r="CQ949" s="27"/>
      <c r="CR949" s="27"/>
      <c r="CS949" s="27"/>
      <c r="CT949" s="27"/>
      <c r="CU949" s="27"/>
      <c r="CV949" s="27"/>
      <c r="CW949" s="27"/>
      <c r="CX949" s="27"/>
      <c r="CY949" s="27"/>
      <c r="CZ949" s="27"/>
      <c r="DA949" s="27"/>
      <c r="DB949" s="27"/>
      <c r="DC949" s="27"/>
      <c r="DD949" s="27"/>
      <c r="DE949" s="27"/>
      <c r="DF949" s="27"/>
      <c r="DG949" s="27"/>
      <c r="DH949" s="27"/>
      <c r="DI949" s="27"/>
      <c r="DJ949" s="27"/>
      <c r="DK949" s="27"/>
      <c r="DL949" s="27"/>
      <c r="DM949" s="27"/>
      <c r="DN949" s="27"/>
      <c r="DO949" s="27"/>
      <c r="DP949" s="27"/>
      <c r="DQ949" s="27"/>
      <c r="DR949" s="27"/>
      <c r="DS949" s="27"/>
      <c r="DT949" s="27"/>
    </row>
    <row r="950" spans="2:124" ht="15" thickBot="1" x14ac:dyDescent="0.25">
      <c r="B950" s="10" t="s">
        <v>586</v>
      </c>
      <c r="C950" s="152">
        <f>INT(G944)/100</f>
        <v>0</v>
      </c>
      <c r="D950" s="153" t="e">
        <f>D949*(1+(INT(G944)/100))</f>
        <v>#REF!</v>
      </c>
      <c r="G950" s="27"/>
      <c r="H950" s="27"/>
      <c r="I950" s="27"/>
      <c r="J950" s="27"/>
      <c r="K950" s="27"/>
      <c r="L950" s="27"/>
      <c r="M950" s="27"/>
      <c r="N950" s="27"/>
      <c r="O950" s="27"/>
      <c r="P950" s="27"/>
      <c r="Q950" s="27"/>
      <c r="R950" s="27"/>
      <c r="S950" s="27"/>
      <c r="T950" s="27"/>
      <c r="U950" s="27"/>
      <c r="V950" s="27"/>
      <c r="W950" s="27"/>
      <c r="X950" s="27"/>
      <c r="Y950" s="27"/>
      <c r="Z950" s="27"/>
      <c r="AA950" s="27"/>
      <c r="AB950" s="27"/>
      <c r="AC950" s="27"/>
      <c r="AD950" s="27"/>
      <c r="AE950" s="27"/>
      <c r="AF950" s="27"/>
      <c r="AG950" s="27"/>
      <c r="AH950" s="27"/>
      <c r="AI950" s="27"/>
      <c r="AJ950" s="27"/>
      <c r="AK950" s="27"/>
      <c r="AL950" s="27"/>
      <c r="AM950" s="27"/>
      <c r="AN950" s="27"/>
      <c r="AO950" s="27"/>
      <c r="AP950" s="27"/>
      <c r="AQ950" s="27"/>
      <c r="AR950" s="27"/>
      <c r="AS950" s="27"/>
      <c r="AT950" s="27"/>
      <c r="AU950" s="27"/>
      <c r="AV950" s="27"/>
      <c r="AW950" s="27"/>
      <c r="AX950" s="27"/>
      <c r="AY950" s="27"/>
      <c r="AZ950" s="27"/>
      <c r="BA950" s="27"/>
      <c r="BB950" s="27"/>
      <c r="BC950" s="27"/>
      <c r="BD950" s="27"/>
      <c r="BE950" s="27"/>
      <c r="BF950" s="27"/>
      <c r="BG950" s="27"/>
      <c r="BH950" s="27"/>
      <c r="BI950" s="27"/>
      <c r="BJ950" s="27"/>
      <c r="BK950" s="27"/>
      <c r="BL950" s="27"/>
      <c r="BM950" s="27"/>
      <c r="BN950" s="27"/>
      <c r="BO950" s="27"/>
      <c r="BP950" s="27"/>
      <c r="BQ950" s="27"/>
      <c r="BR950" s="27"/>
      <c r="BS950" s="27"/>
      <c r="BT950" s="27"/>
      <c r="BU950" s="27"/>
      <c r="BV950" s="27"/>
      <c r="BW950" s="27"/>
      <c r="BX950" s="27"/>
      <c r="BY950" s="27"/>
      <c r="BZ950" s="27"/>
      <c r="CA950" s="27"/>
      <c r="CB950" s="27"/>
      <c r="CC950" s="27"/>
      <c r="CD950" s="27"/>
      <c r="CE950" s="27"/>
      <c r="CF950" s="27"/>
      <c r="CG950" s="27"/>
      <c r="CH950" s="27"/>
      <c r="CI950" s="27"/>
      <c r="CJ950" s="27"/>
      <c r="CK950" s="27"/>
      <c r="CL950" s="27"/>
      <c r="CM950" s="27"/>
      <c r="CN950" s="27"/>
      <c r="CO950" s="27"/>
      <c r="CP950" s="27"/>
      <c r="CQ950" s="27"/>
      <c r="CR950" s="27"/>
      <c r="CS950" s="27"/>
      <c r="CT950" s="27"/>
      <c r="CU950" s="27"/>
      <c r="CV950" s="27"/>
      <c r="CW950" s="27"/>
      <c r="CX950" s="27"/>
      <c r="CY950" s="27"/>
      <c r="CZ950" s="27"/>
      <c r="DA950" s="27"/>
      <c r="DB950" s="27"/>
      <c r="DC950" s="27"/>
      <c r="DD950" s="27"/>
      <c r="DE950" s="27"/>
      <c r="DF950" s="27"/>
      <c r="DG950" s="27"/>
      <c r="DH950" s="27"/>
      <c r="DI950" s="27"/>
      <c r="DJ950" s="27"/>
      <c r="DK950" s="27"/>
      <c r="DL950" s="27"/>
      <c r="DM950" s="27"/>
      <c r="DN950" s="27"/>
      <c r="DO950" s="27"/>
      <c r="DP950" s="27"/>
      <c r="DQ950" s="27"/>
      <c r="DR950" s="27"/>
      <c r="DS950" s="27"/>
      <c r="DT950" s="27"/>
    </row>
    <row r="951" spans="2:124" ht="16.5" thickTop="1" thickBot="1" x14ac:dyDescent="0.3">
      <c r="B951" s="10" t="s">
        <v>587</v>
      </c>
      <c r="C951" s="154">
        <f>IF(E928&lt;7,K880*7.5%,IF(E928=7,K880*7.5%+0.5%,IF(E928=8,K880*7.5%+1%,IF(E928=9,K880*7.5%+1.5%,IF(E928=10,K880*7.5%+2%)))))</f>
        <v>0</v>
      </c>
      <c r="D951" s="144" t="e">
        <f>D950*(1+C951)</f>
        <v>#REF!</v>
      </c>
      <c r="G951" s="27"/>
      <c r="H951" s="27"/>
      <c r="I951" s="27"/>
      <c r="J951" s="27"/>
      <c r="K951" s="27"/>
      <c r="L951" s="27"/>
      <c r="M951" s="27"/>
      <c r="N951" s="27"/>
      <c r="O951" s="27"/>
      <c r="P951" s="27"/>
      <c r="Q951" s="27"/>
      <c r="R951" s="27"/>
      <c r="S951" s="27"/>
      <c r="T951" s="27"/>
      <c r="U951" s="27"/>
      <c r="V951" s="27"/>
      <c r="W951" s="27"/>
      <c r="X951" s="27"/>
      <c r="Y951" s="27"/>
      <c r="Z951" s="27"/>
      <c r="AA951" s="27"/>
      <c r="AB951" s="27"/>
      <c r="AC951" s="27"/>
      <c r="AD951" s="27"/>
      <c r="AE951" s="27"/>
      <c r="AF951" s="27"/>
      <c r="AG951" s="27"/>
      <c r="AH951" s="27"/>
      <c r="AI951" s="27"/>
      <c r="AJ951" s="27"/>
      <c r="AK951" s="27"/>
      <c r="AL951" s="27"/>
      <c r="AM951" s="27"/>
      <c r="AN951" s="27"/>
      <c r="AO951" s="27"/>
      <c r="AP951" s="27"/>
      <c r="AQ951" s="27"/>
      <c r="AR951" s="27"/>
      <c r="AS951" s="27"/>
      <c r="AT951" s="27"/>
      <c r="AU951" s="27"/>
      <c r="AV951" s="27"/>
      <c r="AW951" s="27"/>
      <c r="AX951" s="27"/>
      <c r="AY951" s="27"/>
      <c r="AZ951" s="27"/>
      <c r="BA951" s="27"/>
      <c r="BB951" s="27"/>
      <c r="BC951" s="27"/>
      <c r="BD951" s="27"/>
      <c r="BE951" s="27"/>
      <c r="BF951" s="27"/>
      <c r="BG951" s="27"/>
      <c r="BH951" s="27"/>
      <c r="BI951" s="27"/>
      <c r="BJ951" s="27"/>
      <c r="BK951" s="27"/>
      <c r="BL951" s="27"/>
      <c r="BM951" s="27"/>
      <c r="BN951" s="27"/>
      <c r="BO951" s="27"/>
      <c r="BP951" s="27"/>
      <c r="BQ951" s="27"/>
      <c r="BR951" s="27"/>
      <c r="BS951" s="27"/>
      <c r="BT951" s="27"/>
      <c r="BU951" s="27"/>
      <c r="BV951" s="27"/>
      <c r="BW951" s="27"/>
      <c r="BX951" s="27"/>
      <c r="BY951" s="27"/>
      <c r="BZ951" s="27"/>
      <c r="CA951" s="27"/>
      <c r="CB951" s="27"/>
      <c r="CC951" s="27"/>
      <c r="CD951" s="27"/>
      <c r="CE951" s="27"/>
      <c r="CF951" s="27"/>
      <c r="CG951" s="27"/>
      <c r="CH951" s="27"/>
      <c r="CI951" s="27"/>
      <c r="CJ951" s="27"/>
      <c r="CK951" s="27"/>
      <c r="CL951" s="27"/>
      <c r="CM951" s="27"/>
      <c r="CN951" s="27"/>
      <c r="CO951" s="27"/>
      <c r="CP951" s="27"/>
      <c r="CQ951" s="27"/>
      <c r="CR951" s="27"/>
      <c r="CS951" s="27"/>
      <c r="CT951" s="27"/>
      <c r="CU951" s="27"/>
      <c r="CV951" s="27"/>
      <c r="CW951" s="27"/>
      <c r="CX951" s="27"/>
      <c r="CY951" s="27"/>
      <c r="CZ951" s="27"/>
      <c r="DA951" s="27"/>
      <c r="DB951" s="27"/>
      <c r="DC951" s="27"/>
      <c r="DD951" s="27"/>
      <c r="DE951" s="27"/>
      <c r="DF951" s="27"/>
      <c r="DG951" s="27"/>
      <c r="DH951" s="27"/>
      <c r="DI951" s="27"/>
      <c r="DJ951" s="27"/>
      <c r="DK951" s="27"/>
      <c r="DL951" s="27"/>
      <c r="DM951" s="27"/>
      <c r="DN951" s="27"/>
      <c r="DO951" s="27"/>
      <c r="DP951" s="27"/>
      <c r="DQ951" s="27"/>
      <c r="DR951" s="27"/>
      <c r="DS951" s="27"/>
      <c r="DT951" s="27"/>
    </row>
    <row r="952" spans="2:124" ht="15" thickTop="1" x14ac:dyDescent="0.2">
      <c r="B952" s="64" t="s">
        <v>59</v>
      </c>
      <c r="G952" s="27"/>
      <c r="H952" s="27"/>
      <c r="I952" s="27"/>
      <c r="J952" s="27"/>
      <c r="K952" s="27"/>
      <c r="L952" s="27"/>
      <c r="M952" s="27"/>
      <c r="N952" s="27"/>
      <c r="O952" s="27"/>
      <c r="P952" s="27"/>
      <c r="Q952" s="27"/>
      <c r="R952" s="27"/>
      <c r="S952" s="27"/>
      <c r="T952" s="27"/>
      <c r="U952" s="27"/>
      <c r="V952" s="27"/>
      <c r="W952" s="27"/>
      <c r="X952" s="27"/>
      <c r="Y952" s="27"/>
      <c r="Z952" s="27"/>
      <c r="AA952" s="27"/>
      <c r="AB952" s="27"/>
      <c r="AC952" s="27"/>
      <c r="AD952" s="27"/>
      <c r="AE952" s="27"/>
      <c r="AF952" s="27"/>
      <c r="AG952" s="27"/>
      <c r="AH952" s="27"/>
      <c r="AI952" s="27"/>
      <c r="AJ952" s="27"/>
      <c r="AK952" s="27"/>
      <c r="AL952" s="27"/>
      <c r="AM952" s="27"/>
      <c r="AN952" s="27"/>
      <c r="AO952" s="27"/>
      <c r="AP952" s="27"/>
      <c r="AQ952" s="27"/>
      <c r="AR952" s="27"/>
      <c r="AS952" s="27"/>
      <c r="AT952" s="27"/>
      <c r="AU952" s="27"/>
      <c r="AV952" s="27"/>
      <c r="AW952" s="27"/>
      <c r="AX952" s="27"/>
      <c r="AY952" s="27"/>
      <c r="AZ952" s="27"/>
      <c r="BA952" s="27"/>
      <c r="BB952" s="27"/>
      <c r="BC952" s="27"/>
      <c r="BD952" s="27"/>
      <c r="BE952" s="27"/>
      <c r="BF952" s="27"/>
      <c r="BG952" s="27"/>
      <c r="BH952" s="27"/>
      <c r="BI952" s="27"/>
      <c r="BJ952" s="27"/>
      <c r="BK952" s="27"/>
      <c r="BL952" s="27"/>
      <c r="BM952" s="27"/>
      <c r="BN952" s="27"/>
      <c r="BO952" s="27"/>
      <c r="BP952" s="27"/>
      <c r="BQ952" s="27"/>
      <c r="BR952" s="27"/>
      <c r="BS952" s="27"/>
      <c r="BT952" s="27"/>
      <c r="BU952" s="27"/>
      <c r="BV952" s="27"/>
      <c r="BW952" s="27"/>
      <c r="BX952" s="27"/>
      <c r="BY952" s="27"/>
      <c r="BZ952" s="27"/>
      <c r="CA952" s="27"/>
      <c r="CB952" s="27"/>
      <c r="CC952" s="27"/>
      <c r="CD952" s="27"/>
      <c r="CE952" s="27"/>
      <c r="CF952" s="27"/>
      <c r="CG952" s="27"/>
      <c r="CH952" s="27"/>
      <c r="CI952" s="27"/>
      <c r="CJ952" s="27"/>
      <c r="CK952" s="27"/>
      <c r="CL952" s="27"/>
      <c r="CM952" s="27"/>
      <c r="CN952" s="27"/>
      <c r="CO952" s="27"/>
      <c r="CP952" s="27"/>
      <c r="CQ952" s="27"/>
      <c r="CR952" s="27"/>
      <c r="CS952" s="27"/>
      <c r="CT952" s="27"/>
      <c r="CU952" s="27"/>
      <c r="CV952" s="27"/>
      <c r="CW952" s="27"/>
      <c r="CX952" s="27"/>
      <c r="CY952" s="27"/>
      <c r="CZ952" s="27"/>
      <c r="DA952" s="27"/>
      <c r="DB952" s="27"/>
      <c r="DC952" s="27"/>
      <c r="DD952" s="27"/>
      <c r="DE952" s="27"/>
      <c r="DF952" s="27"/>
      <c r="DG952" s="27"/>
      <c r="DH952" s="27"/>
      <c r="DI952" s="27"/>
      <c r="DJ952" s="27"/>
      <c r="DK952" s="27"/>
      <c r="DL952" s="27"/>
      <c r="DM952" s="27"/>
      <c r="DN952" s="27"/>
      <c r="DO952" s="27"/>
      <c r="DP952" s="27"/>
      <c r="DQ952" s="27"/>
      <c r="DR952" s="27"/>
      <c r="DS952" s="27"/>
      <c r="DT952" s="27"/>
    </row>
    <row r="953" spans="2:124" x14ac:dyDescent="0.2">
      <c r="B953" s="64"/>
      <c r="G953" s="27"/>
      <c r="H953" s="27"/>
      <c r="I953" s="27"/>
      <c r="J953" s="27"/>
      <c r="K953" s="27"/>
      <c r="L953" s="27"/>
      <c r="M953" s="27"/>
      <c r="N953" s="27"/>
      <c r="O953" s="27"/>
      <c r="P953" s="27"/>
      <c r="Q953" s="27"/>
      <c r="R953" s="27"/>
      <c r="S953" s="27"/>
      <c r="T953" s="27"/>
      <c r="U953" s="27"/>
      <c r="V953" s="27"/>
      <c r="W953" s="27"/>
      <c r="X953" s="27"/>
      <c r="Y953" s="27"/>
      <c r="Z953" s="27"/>
      <c r="AA953" s="27"/>
      <c r="AB953" s="27"/>
      <c r="AC953" s="27"/>
      <c r="AD953" s="27"/>
      <c r="AE953" s="27"/>
      <c r="AF953" s="27"/>
      <c r="AG953" s="27"/>
      <c r="AH953" s="27"/>
      <c r="AI953" s="27"/>
      <c r="AJ953" s="27"/>
      <c r="AK953" s="27"/>
      <c r="AL953" s="27"/>
      <c r="AM953" s="27"/>
      <c r="AN953" s="27"/>
      <c r="AO953" s="27"/>
      <c r="AP953" s="27"/>
      <c r="AQ953" s="27"/>
      <c r="AR953" s="27"/>
      <c r="AS953" s="27"/>
      <c r="AT953" s="27"/>
      <c r="AU953" s="27"/>
      <c r="AV953" s="27"/>
      <c r="AW953" s="27"/>
      <c r="AX953" s="27"/>
      <c r="AY953" s="27"/>
      <c r="AZ953" s="27"/>
      <c r="BA953" s="27"/>
      <c r="BB953" s="27"/>
      <c r="BC953" s="27"/>
      <c r="BD953" s="27"/>
      <c r="BE953" s="27"/>
      <c r="BF953" s="27"/>
      <c r="BG953" s="27"/>
      <c r="BH953" s="27"/>
      <c r="BI953" s="27"/>
      <c r="BJ953" s="27"/>
      <c r="BK953" s="27"/>
      <c r="BL953" s="27"/>
      <c r="BM953" s="27"/>
      <c r="BN953" s="27"/>
      <c r="BO953" s="27"/>
      <c r="BP953" s="27"/>
      <c r="BQ953" s="27"/>
      <c r="BR953" s="27"/>
      <c r="BS953" s="27"/>
      <c r="BT953" s="27"/>
      <c r="BU953" s="27"/>
      <c r="BV953" s="27"/>
      <c r="BW953" s="27"/>
      <c r="BX953" s="27"/>
      <c r="BY953" s="27"/>
      <c r="BZ953" s="27"/>
      <c r="CA953" s="27"/>
      <c r="CB953" s="27"/>
      <c r="CC953" s="27"/>
      <c r="CD953" s="27"/>
      <c r="CE953" s="27"/>
      <c r="CF953" s="27"/>
      <c r="CG953" s="27"/>
      <c r="CH953" s="27"/>
      <c r="CI953" s="27"/>
      <c r="CJ953" s="27"/>
      <c r="CK953" s="27"/>
      <c r="CL953" s="27"/>
      <c r="CM953" s="27"/>
      <c r="CN953" s="27"/>
      <c r="CO953" s="27"/>
      <c r="CP953" s="27"/>
      <c r="CQ953" s="27"/>
      <c r="CR953" s="27"/>
      <c r="CS953" s="27"/>
      <c r="CT953" s="27"/>
      <c r="CU953" s="27"/>
      <c r="CV953" s="27"/>
      <c r="CW953" s="27"/>
      <c r="CX953" s="27"/>
      <c r="CY953" s="27"/>
      <c r="CZ953" s="27"/>
      <c r="DA953" s="27"/>
      <c r="DB953" s="27"/>
      <c r="DC953" s="27"/>
      <c r="DD953" s="27"/>
      <c r="DE953" s="27"/>
      <c r="DF953" s="27"/>
      <c r="DG953" s="27"/>
      <c r="DH953" s="27"/>
      <c r="DI953" s="27"/>
      <c r="DJ953" s="27"/>
      <c r="DK953" s="27"/>
      <c r="DL953" s="27"/>
      <c r="DM953" s="27"/>
      <c r="DN953" s="27"/>
      <c r="DO953" s="27"/>
      <c r="DP953" s="27"/>
      <c r="DQ953" s="27"/>
      <c r="DR953" s="27"/>
      <c r="DS953" s="27"/>
      <c r="DT953" s="27"/>
    </row>
    <row r="954" spans="2:124" x14ac:dyDescent="0.2">
      <c r="B954" s="64" t="s">
        <v>59</v>
      </c>
      <c r="C954" s="66" t="s">
        <v>59</v>
      </c>
      <c r="G954" s="27"/>
      <c r="H954" s="27"/>
      <c r="I954" s="27"/>
      <c r="J954" s="27"/>
      <c r="K954" s="27"/>
      <c r="L954" s="27"/>
      <c r="M954" s="27"/>
      <c r="N954" s="27"/>
      <c r="O954" s="27"/>
      <c r="P954" s="27"/>
      <c r="Q954" s="27"/>
      <c r="R954" s="27"/>
      <c r="S954" s="27"/>
      <c r="T954" s="27"/>
      <c r="U954" s="27"/>
      <c r="V954" s="27"/>
      <c r="W954" s="27"/>
      <c r="X954" s="27"/>
      <c r="Y954" s="27"/>
      <c r="Z954" s="27"/>
      <c r="AA954" s="27"/>
      <c r="AB954" s="27"/>
      <c r="AC954" s="27"/>
      <c r="AD954" s="27"/>
      <c r="AE954" s="27"/>
      <c r="AF954" s="27"/>
      <c r="AG954" s="27"/>
      <c r="AH954" s="27"/>
      <c r="AI954" s="27"/>
      <c r="AJ954" s="27"/>
      <c r="AK954" s="27"/>
      <c r="AL954" s="27"/>
      <c r="AM954" s="27"/>
      <c r="AN954" s="27"/>
      <c r="AO954" s="27"/>
      <c r="AP954" s="27"/>
      <c r="AQ954" s="27"/>
      <c r="AR954" s="27"/>
      <c r="AS954" s="27"/>
      <c r="AT954" s="27"/>
      <c r="AU954" s="27"/>
      <c r="AV954" s="27"/>
      <c r="AW954" s="27"/>
      <c r="AX954" s="27"/>
      <c r="AY954" s="27"/>
      <c r="AZ954" s="27"/>
      <c r="BA954" s="27"/>
      <c r="BB954" s="27"/>
      <c r="BC954" s="27"/>
      <c r="BD954" s="27"/>
      <c r="BE954" s="27"/>
      <c r="BF954" s="27"/>
      <c r="BG954" s="27"/>
      <c r="BH954" s="27"/>
      <c r="BI954" s="27"/>
      <c r="BJ954" s="27"/>
      <c r="BK954" s="27"/>
      <c r="BL954" s="27"/>
      <c r="BM954" s="27"/>
      <c r="BN954" s="27"/>
      <c r="BO954" s="27"/>
      <c r="BP954" s="27"/>
      <c r="BQ954" s="27"/>
      <c r="BR954" s="27"/>
      <c r="BS954" s="27"/>
      <c r="BT954" s="27"/>
      <c r="BU954" s="27"/>
      <c r="BV954" s="27"/>
      <c r="BW954" s="27"/>
      <c r="BX954" s="27"/>
      <c r="BY954" s="27"/>
      <c r="BZ954" s="27"/>
      <c r="CA954" s="27"/>
      <c r="CB954" s="27"/>
      <c r="CC954" s="27"/>
      <c r="CD954" s="27"/>
      <c r="CE954" s="27"/>
      <c r="CF954" s="27"/>
      <c r="CG954" s="27"/>
      <c r="CH954" s="27"/>
      <c r="CI954" s="27"/>
      <c r="CJ954" s="27"/>
      <c r="CK954" s="27"/>
      <c r="CL954" s="27"/>
      <c r="CM954" s="27"/>
      <c r="CN954" s="27"/>
      <c r="CO954" s="27"/>
      <c r="CP954" s="27"/>
      <c r="CQ954" s="27"/>
      <c r="CR954" s="27"/>
      <c r="CS954" s="27"/>
      <c r="CT954" s="27"/>
      <c r="CU954" s="27"/>
      <c r="CV954" s="27"/>
      <c r="CW954" s="27"/>
      <c r="CX954" s="27"/>
      <c r="CY954" s="27"/>
      <c r="CZ954" s="27"/>
      <c r="DA954" s="27"/>
      <c r="DB954" s="27"/>
      <c r="DC954" s="27"/>
      <c r="DD954" s="27"/>
      <c r="DE954" s="27"/>
      <c r="DF954" s="27"/>
      <c r="DG954" s="27"/>
      <c r="DH954" s="27"/>
      <c r="DI954" s="27"/>
      <c r="DJ954" s="27"/>
      <c r="DK954" s="27"/>
      <c r="DL954" s="27"/>
      <c r="DM954" s="27"/>
      <c r="DN954" s="27"/>
      <c r="DO954" s="27"/>
      <c r="DP954" s="27"/>
      <c r="DQ954" s="27"/>
      <c r="DR954" s="27"/>
      <c r="DS954" s="27"/>
      <c r="DT954" s="27"/>
    </row>
    <row r="955" spans="2:124" x14ac:dyDescent="0.2">
      <c r="B955" s="64" t="s">
        <v>59</v>
      </c>
      <c r="C955" s="66" t="s">
        <v>59</v>
      </c>
      <c r="G955" s="27"/>
      <c r="H955" s="27"/>
      <c r="I955" s="27"/>
      <c r="J955" s="27"/>
      <c r="K955" s="27"/>
      <c r="L955" s="27"/>
      <c r="M955" s="27"/>
      <c r="N955" s="27"/>
      <c r="O955" s="27"/>
      <c r="P955" s="27"/>
      <c r="Q955" s="27"/>
      <c r="R955" s="27"/>
      <c r="S955" s="27"/>
      <c r="T955" s="27"/>
      <c r="U955" s="27"/>
      <c r="V955" s="27"/>
      <c r="W955" s="27"/>
      <c r="X955" s="27"/>
      <c r="Y955" s="27"/>
      <c r="Z955" s="27"/>
      <c r="AA955" s="27"/>
      <c r="AB955" s="27"/>
      <c r="AC955" s="27"/>
      <c r="AD955" s="27"/>
      <c r="AE955" s="27"/>
      <c r="AF955" s="27"/>
      <c r="AG955" s="27"/>
      <c r="AH955" s="27"/>
      <c r="AI955" s="27"/>
      <c r="AJ955" s="27"/>
      <c r="AK955" s="27"/>
      <c r="AL955" s="27"/>
      <c r="AM955" s="27"/>
      <c r="AN955" s="27"/>
      <c r="AO955" s="27"/>
      <c r="AP955" s="27"/>
      <c r="AQ955" s="27"/>
      <c r="AR955" s="27"/>
      <c r="AS955" s="27"/>
      <c r="AT955" s="27"/>
      <c r="AU955" s="27"/>
      <c r="AV955" s="27"/>
      <c r="AW955" s="27"/>
      <c r="AX955" s="27"/>
      <c r="AY955" s="27"/>
      <c r="AZ955" s="27"/>
      <c r="BA955" s="27"/>
      <c r="BB955" s="27"/>
      <c r="BC955" s="27"/>
      <c r="BD955" s="27"/>
      <c r="BE955" s="27"/>
      <c r="BF955" s="27"/>
      <c r="BG955" s="27"/>
      <c r="BH955" s="27"/>
      <c r="BI955" s="27"/>
      <c r="BJ955" s="27"/>
      <c r="BK955" s="27"/>
      <c r="BL955" s="27"/>
      <c r="BM955" s="27"/>
      <c r="BN955" s="27"/>
      <c r="BO955" s="27"/>
      <c r="BP955" s="27"/>
      <c r="BQ955" s="27"/>
      <c r="BR955" s="27"/>
      <c r="BS955" s="27"/>
      <c r="BT955" s="27"/>
      <c r="BU955" s="27"/>
      <c r="BV955" s="27"/>
      <c r="BW955" s="27"/>
      <c r="BX955" s="27"/>
      <c r="BY955" s="27"/>
      <c r="BZ955" s="27"/>
      <c r="CA955" s="27"/>
      <c r="CB955" s="27"/>
      <c r="CC955" s="27"/>
      <c r="CD955" s="27"/>
      <c r="CE955" s="27"/>
      <c r="CF955" s="27"/>
      <c r="CG955" s="27"/>
      <c r="CH955" s="27"/>
      <c r="CI955" s="27"/>
      <c r="CJ955" s="27"/>
      <c r="CK955" s="27"/>
      <c r="CL955" s="27"/>
      <c r="CM955" s="27"/>
      <c r="CN955" s="27"/>
      <c r="CO955" s="27"/>
      <c r="CP955" s="27"/>
      <c r="CQ955" s="27"/>
      <c r="CR955" s="27"/>
      <c r="CS955" s="27"/>
      <c r="CT955" s="27"/>
      <c r="CU955" s="27"/>
      <c r="CV955" s="27"/>
      <c r="CW955" s="27"/>
      <c r="CX955" s="27"/>
      <c r="CY955" s="27"/>
      <c r="CZ955" s="27"/>
      <c r="DA955" s="27"/>
      <c r="DB955" s="27"/>
      <c r="DC955" s="27"/>
      <c r="DD955" s="27"/>
      <c r="DE955" s="27"/>
      <c r="DF955" s="27"/>
      <c r="DG955" s="27"/>
      <c r="DH955" s="27"/>
      <c r="DI955" s="27"/>
      <c r="DJ955" s="27"/>
      <c r="DK955" s="27"/>
      <c r="DL955" s="27"/>
      <c r="DM955" s="27"/>
      <c r="DN955" s="27"/>
      <c r="DO955" s="27"/>
      <c r="DP955" s="27"/>
      <c r="DQ955" s="27"/>
      <c r="DR955" s="27"/>
      <c r="DS955" s="27"/>
      <c r="DT955" s="27"/>
    </row>
    <row r="956" spans="2:124" x14ac:dyDescent="0.2">
      <c r="B956" s="64"/>
      <c r="G956" s="27" t="s">
        <v>69</v>
      </c>
      <c r="H956" s="27"/>
      <c r="I956" s="27"/>
      <c r="J956" s="27"/>
      <c r="K956" s="27"/>
      <c r="L956" s="27"/>
      <c r="M956" s="27"/>
      <c r="N956" s="27"/>
      <c r="O956" s="27"/>
      <c r="P956" s="27"/>
      <c r="Q956" s="27"/>
      <c r="R956" s="27"/>
      <c r="S956" s="27"/>
      <c r="T956" s="27"/>
      <c r="U956" s="27"/>
      <c r="V956" s="27"/>
      <c r="W956" s="27"/>
      <c r="X956" s="27"/>
      <c r="Y956" s="27"/>
      <c r="Z956" s="27"/>
      <c r="AA956" s="27"/>
      <c r="AB956" s="27"/>
      <c r="AC956" s="27"/>
      <c r="AD956" s="27"/>
      <c r="AE956" s="27"/>
      <c r="AF956" s="27"/>
      <c r="AG956" s="27"/>
      <c r="AH956" s="27"/>
      <c r="AI956" s="27"/>
      <c r="AJ956" s="27"/>
      <c r="AK956" s="27"/>
      <c r="AL956" s="27"/>
      <c r="AM956" s="27"/>
      <c r="AN956" s="27"/>
      <c r="AO956" s="27"/>
      <c r="AP956" s="27"/>
      <c r="AQ956" s="27"/>
      <c r="AR956" s="27"/>
      <c r="AS956" s="27"/>
      <c r="AT956" s="27"/>
      <c r="AU956" s="27"/>
      <c r="AV956" s="27"/>
      <c r="AW956" s="27"/>
      <c r="AX956" s="27"/>
      <c r="AY956" s="27"/>
      <c r="AZ956" s="27"/>
      <c r="BA956" s="27"/>
      <c r="BB956" s="27"/>
      <c r="BC956" s="27"/>
      <c r="BD956" s="27"/>
      <c r="BE956" s="27"/>
      <c r="BF956" s="27"/>
      <c r="BG956" s="27"/>
      <c r="BH956" s="27"/>
      <c r="BI956" s="27"/>
      <c r="BJ956" s="27"/>
      <c r="BK956" s="27"/>
      <c r="BL956" s="27"/>
      <c r="BM956" s="27"/>
      <c r="BN956" s="27"/>
      <c r="BO956" s="27"/>
      <c r="BP956" s="27"/>
      <c r="BQ956" s="27"/>
      <c r="BR956" s="27"/>
      <c r="BS956" s="27"/>
      <c r="BT956" s="27"/>
      <c r="BU956" s="27"/>
      <c r="BV956" s="27"/>
      <c r="BW956" s="27"/>
      <c r="BX956" s="27"/>
      <c r="BY956" s="27"/>
      <c r="BZ956" s="27"/>
      <c r="CA956" s="27"/>
      <c r="CB956" s="27"/>
      <c r="CC956" s="27"/>
      <c r="CD956" s="27"/>
      <c r="CE956" s="27"/>
      <c r="CF956" s="27"/>
      <c r="CG956" s="27"/>
      <c r="CH956" s="27"/>
      <c r="CI956" s="27"/>
      <c r="CJ956" s="27"/>
      <c r="CK956" s="27"/>
      <c r="CL956" s="27"/>
      <c r="CM956" s="27"/>
      <c r="CN956" s="27"/>
      <c r="CO956" s="27"/>
      <c r="CP956" s="27"/>
      <c r="CQ956" s="27"/>
      <c r="CR956" s="27"/>
      <c r="CS956" s="27"/>
      <c r="CT956" s="27"/>
      <c r="CU956" s="27"/>
      <c r="CV956" s="27"/>
      <c r="CW956" s="27"/>
      <c r="CX956" s="27"/>
      <c r="CY956" s="27"/>
      <c r="CZ956" s="27"/>
      <c r="DA956" s="27"/>
      <c r="DB956" s="27"/>
      <c r="DC956" s="27"/>
      <c r="DD956" s="27"/>
      <c r="DE956" s="27"/>
      <c r="DF956" s="27"/>
      <c r="DG956" s="27"/>
      <c r="DH956" s="27"/>
      <c r="DI956" s="27"/>
      <c r="DJ956" s="27"/>
      <c r="DK956" s="27"/>
      <c r="DL956" s="27"/>
      <c r="DM956" s="27"/>
      <c r="DN956" s="27"/>
      <c r="DO956" s="27"/>
      <c r="DP956" s="27"/>
      <c r="DQ956" s="27"/>
      <c r="DR956" s="27"/>
      <c r="DS956" s="27"/>
      <c r="DT956" s="27"/>
    </row>
    <row r="957" spans="2:124" x14ac:dyDescent="0.2">
      <c r="B957" s="64"/>
      <c r="F957" s="78" t="s">
        <v>68</v>
      </c>
      <c r="G957" s="27"/>
      <c r="H957" s="27"/>
      <c r="I957" s="27"/>
      <c r="J957" s="27"/>
      <c r="K957" s="27"/>
      <c r="L957" s="27"/>
      <c r="M957" s="27"/>
      <c r="N957" s="27"/>
      <c r="O957" s="27"/>
      <c r="P957" s="27"/>
      <c r="Q957" s="27"/>
      <c r="R957" s="27"/>
      <c r="S957" s="27"/>
      <c r="T957" s="27"/>
      <c r="U957" s="27"/>
      <c r="V957" s="27"/>
      <c r="W957" s="27"/>
      <c r="X957" s="27"/>
      <c r="Y957" s="27"/>
      <c r="Z957" s="27"/>
      <c r="AA957" s="27"/>
      <c r="AB957" s="27"/>
      <c r="AC957" s="27"/>
      <c r="AD957" s="27"/>
      <c r="AE957" s="27"/>
      <c r="AF957" s="27"/>
      <c r="AG957" s="27"/>
      <c r="AH957" s="27"/>
      <c r="AI957" s="27"/>
      <c r="AJ957" s="27"/>
      <c r="AK957" s="27"/>
      <c r="AL957" s="27"/>
      <c r="AM957" s="27"/>
      <c r="AN957" s="27"/>
      <c r="AO957" s="27"/>
      <c r="AP957" s="27"/>
      <c r="AQ957" s="27"/>
      <c r="AR957" s="27"/>
      <c r="AS957" s="27"/>
      <c r="AT957" s="27"/>
      <c r="AU957" s="27"/>
      <c r="AV957" s="27"/>
      <c r="AW957" s="27"/>
      <c r="AX957" s="27"/>
      <c r="AY957" s="27"/>
      <c r="AZ957" s="27"/>
      <c r="BA957" s="27"/>
      <c r="BB957" s="27"/>
      <c r="BC957" s="27"/>
      <c r="BD957" s="27"/>
      <c r="BE957" s="27"/>
      <c r="BF957" s="27"/>
      <c r="BG957" s="27"/>
      <c r="BH957" s="27"/>
      <c r="BI957" s="27"/>
      <c r="BJ957" s="27"/>
      <c r="BK957" s="27"/>
      <c r="BL957" s="27"/>
      <c r="BM957" s="27"/>
      <c r="BN957" s="27"/>
      <c r="BO957" s="27"/>
      <c r="BP957" s="27"/>
      <c r="BQ957" s="27"/>
      <c r="BR957" s="27"/>
      <c r="BS957" s="27"/>
      <c r="BT957" s="27"/>
      <c r="BU957" s="27"/>
      <c r="BV957" s="27"/>
      <c r="BW957" s="27"/>
      <c r="BX957" s="27"/>
      <c r="BY957" s="27"/>
      <c r="BZ957" s="27"/>
      <c r="CA957" s="27"/>
      <c r="CB957" s="27"/>
      <c r="CC957" s="27"/>
      <c r="CD957" s="27"/>
      <c r="CE957" s="27"/>
      <c r="CF957" s="27"/>
      <c r="CG957" s="27"/>
      <c r="CH957" s="27"/>
      <c r="CI957" s="27"/>
      <c r="CJ957" s="27"/>
      <c r="CK957" s="27"/>
      <c r="CL957" s="27"/>
      <c r="CM957" s="27"/>
      <c r="CN957" s="27"/>
      <c r="CO957" s="27"/>
      <c r="CP957" s="27"/>
      <c r="CQ957" s="27"/>
      <c r="CR957" s="27"/>
      <c r="CS957" s="27"/>
      <c r="CT957" s="27"/>
      <c r="CU957" s="27"/>
      <c r="CV957" s="27"/>
      <c r="CW957" s="27"/>
      <c r="CX957" s="27"/>
      <c r="CY957" s="27"/>
      <c r="CZ957" s="27"/>
      <c r="DA957" s="27"/>
      <c r="DB957" s="27"/>
      <c r="DC957" s="27"/>
      <c r="DD957" s="27"/>
      <c r="DE957" s="27"/>
      <c r="DF957" s="27"/>
      <c r="DG957" s="27"/>
      <c r="DH957" s="27"/>
      <c r="DI957" s="27"/>
      <c r="DJ957" s="27"/>
      <c r="DK957" s="27"/>
      <c r="DL957" s="27"/>
      <c r="DM957" s="27"/>
      <c r="DN957" s="27"/>
      <c r="DO957" s="27"/>
      <c r="DP957" s="27"/>
      <c r="DQ957" s="27"/>
      <c r="DR957" s="27"/>
      <c r="DS957" s="27"/>
      <c r="DT957" s="27"/>
    </row>
    <row r="958" spans="2:124" x14ac:dyDescent="0.2">
      <c r="B958" s="64"/>
      <c r="F958" s="78" t="s">
        <v>588</v>
      </c>
      <c r="G958" s="27"/>
      <c r="H958" s="27"/>
      <c r="I958" s="27"/>
      <c r="J958" s="27"/>
      <c r="K958" s="27"/>
      <c r="L958" s="27"/>
      <c r="M958" s="27"/>
      <c r="N958" s="27"/>
      <c r="O958" s="27"/>
      <c r="P958" s="27"/>
      <c r="Q958" s="27"/>
      <c r="R958" s="27"/>
      <c r="S958" s="27"/>
      <c r="T958" s="27"/>
      <c r="U958" s="27"/>
      <c r="V958" s="27"/>
      <c r="W958" s="27"/>
      <c r="X958" s="27"/>
      <c r="Y958" s="27"/>
      <c r="Z958" s="27"/>
      <c r="AA958" s="27"/>
      <c r="AB958" s="27"/>
      <c r="AC958" s="27"/>
      <c r="AD958" s="27"/>
      <c r="AE958" s="27"/>
      <c r="AF958" s="27"/>
      <c r="AG958" s="27"/>
      <c r="AH958" s="27"/>
      <c r="AI958" s="27"/>
      <c r="AJ958" s="27"/>
      <c r="AK958" s="27"/>
      <c r="AL958" s="27"/>
      <c r="AM958" s="27"/>
      <c r="AN958" s="27"/>
      <c r="AO958" s="27"/>
      <c r="AP958" s="27"/>
      <c r="AQ958" s="27"/>
      <c r="AR958" s="27"/>
      <c r="AS958" s="27"/>
      <c r="AT958" s="27"/>
      <c r="AU958" s="27"/>
      <c r="AV958" s="27"/>
      <c r="AW958" s="27"/>
      <c r="AX958" s="27"/>
      <c r="AY958" s="27"/>
      <c r="AZ958" s="27"/>
      <c r="BA958" s="27"/>
      <c r="BB958" s="27"/>
      <c r="BC958" s="27"/>
      <c r="BD958" s="27"/>
      <c r="BE958" s="27"/>
      <c r="BF958" s="27"/>
      <c r="BG958" s="27"/>
      <c r="BH958" s="27"/>
      <c r="BI958" s="27"/>
      <c r="BJ958" s="27"/>
      <c r="BK958" s="27"/>
      <c r="BL958" s="27"/>
      <c r="BM958" s="27"/>
      <c r="BN958" s="27"/>
      <c r="BO958" s="27"/>
      <c r="BP958" s="27"/>
      <c r="BQ958" s="27"/>
      <c r="BR958" s="27"/>
      <c r="BS958" s="27"/>
      <c r="BT958" s="27"/>
      <c r="BU958" s="27"/>
      <c r="BV958" s="27"/>
      <c r="BW958" s="27"/>
      <c r="BX958" s="27"/>
      <c r="BY958" s="27"/>
      <c r="BZ958" s="27"/>
      <c r="CA958" s="27"/>
      <c r="CB958" s="27"/>
      <c r="CC958" s="27"/>
      <c r="CD958" s="27"/>
      <c r="CE958" s="27"/>
      <c r="CF958" s="27"/>
      <c r="CG958" s="27"/>
      <c r="CH958" s="27"/>
      <c r="CI958" s="27"/>
      <c r="CJ958" s="27"/>
      <c r="CK958" s="27"/>
      <c r="CL958" s="27"/>
      <c r="CM958" s="27"/>
      <c r="CN958" s="27"/>
      <c r="CO958" s="27"/>
      <c r="CP958" s="27"/>
      <c r="CQ958" s="27"/>
      <c r="CR958" s="27"/>
      <c r="CS958" s="27"/>
      <c r="CT958" s="27"/>
      <c r="CU958" s="27"/>
      <c r="CV958" s="27"/>
      <c r="CW958" s="27"/>
      <c r="CX958" s="27"/>
      <c r="CY958" s="27"/>
      <c r="CZ958" s="27"/>
      <c r="DA958" s="27"/>
      <c r="DB958" s="27"/>
      <c r="DC958" s="27"/>
      <c r="DD958" s="27"/>
      <c r="DE958" s="27"/>
      <c r="DF958" s="27"/>
      <c r="DG958" s="27"/>
      <c r="DH958" s="27"/>
      <c r="DI958" s="27"/>
      <c r="DJ958" s="27"/>
      <c r="DK958" s="27"/>
      <c r="DL958" s="27"/>
      <c r="DM958" s="27"/>
      <c r="DN958" s="27"/>
      <c r="DO958" s="27"/>
      <c r="DP958" s="27"/>
      <c r="DQ958" s="27"/>
      <c r="DR958" s="27"/>
      <c r="DS958" s="27"/>
      <c r="DT958" s="27"/>
    </row>
    <row r="959" spans="2:124" ht="15" thickBot="1" x14ac:dyDescent="0.25">
      <c r="B959" s="64"/>
      <c r="F959" s="67">
        <v>67</v>
      </c>
      <c r="G959" s="27"/>
      <c r="H959" s="27"/>
      <c r="I959" s="27"/>
      <c r="J959" s="27"/>
      <c r="K959" s="27"/>
      <c r="L959" s="27"/>
      <c r="M959" s="27"/>
      <c r="N959" s="27"/>
      <c r="O959" s="27"/>
      <c r="P959" s="27"/>
      <c r="Q959" s="27"/>
      <c r="R959" s="27"/>
      <c r="S959" s="27"/>
      <c r="T959" s="27"/>
      <c r="U959" s="27"/>
      <c r="V959" s="27"/>
      <c r="W959" s="27"/>
      <c r="X959" s="27"/>
      <c r="Y959" s="27"/>
      <c r="Z959" s="27"/>
      <c r="AA959" s="27"/>
      <c r="AB959" s="27"/>
      <c r="AC959" s="27"/>
      <c r="AD959" s="27"/>
      <c r="AE959" s="27"/>
      <c r="AF959" s="27"/>
      <c r="AG959" s="27"/>
      <c r="AH959" s="27"/>
      <c r="AI959" s="27"/>
      <c r="AJ959" s="27"/>
      <c r="AK959" s="27"/>
      <c r="AL959" s="27"/>
      <c r="AM959" s="27"/>
      <c r="AN959" s="27"/>
      <c r="AO959" s="27"/>
      <c r="AP959" s="27"/>
      <c r="AQ959" s="27"/>
      <c r="AR959" s="27"/>
      <c r="AS959" s="27"/>
      <c r="AT959" s="27"/>
      <c r="AU959" s="27"/>
      <c r="AV959" s="27"/>
      <c r="AW959" s="27"/>
      <c r="AX959" s="27"/>
      <c r="AY959" s="27"/>
      <c r="AZ959" s="27"/>
      <c r="BA959" s="27"/>
      <c r="BB959" s="27"/>
      <c r="BC959" s="27"/>
      <c r="BD959" s="27"/>
      <c r="BE959" s="27"/>
      <c r="BF959" s="27"/>
      <c r="BG959" s="27"/>
      <c r="BH959" s="27"/>
      <c r="BI959" s="27"/>
      <c r="BJ959" s="27"/>
      <c r="BK959" s="27"/>
      <c r="BL959" s="27"/>
      <c r="BM959" s="27"/>
      <c r="BN959" s="27"/>
      <c r="BO959" s="27"/>
      <c r="BP959" s="27"/>
      <c r="BQ959" s="27"/>
      <c r="BR959" s="27"/>
      <c r="BS959" s="27"/>
      <c r="BT959" s="27"/>
      <c r="BU959" s="27"/>
      <c r="BV959" s="27"/>
      <c r="BW959" s="27"/>
      <c r="BX959" s="27"/>
      <c r="BY959" s="27"/>
      <c r="BZ959" s="27"/>
      <c r="CA959" s="27"/>
      <c r="CB959" s="27"/>
      <c r="CC959" s="27"/>
      <c r="CD959" s="27"/>
      <c r="CE959" s="27"/>
      <c r="CF959" s="27"/>
      <c r="CG959" s="27"/>
      <c r="CH959" s="27"/>
      <c r="CI959" s="27"/>
      <c r="CJ959" s="27"/>
      <c r="CK959" s="27"/>
      <c r="CL959" s="27"/>
      <c r="CM959" s="27"/>
      <c r="CN959" s="27"/>
      <c r="CO959" s="27"/>
      <c r="CP959" s="27"/>
      <c r="CQ959" s="27"/>
      <c r="CR959" s="27"/>
      <c r="CS959" s="27"/>
      <c r="CT959" s="27"/>
      <c r="CU959" s="27"/>
      <c r="CV959" s="27"/>
      <c r="CW959" s="27"/>
      <c r="CX959" s="27"/>
      <c r="CY959" s="27"/>
      <c r="CZ959" s="27"/>
      <c r="DA959" s="27"/>
      <c r="DB959" s="27"/>
      <c r="DC959" s="27"/>
      <c r="DD959" s="27"/>
      <c r="DE959" s="27"/>
      <c r="DF959" s="27"/>
      <c r="DG959" s="27"/>
      <c r="DH959" s="27"/>
      <c r="DI959" s="27"/>
      <c r="DJ959" s="27"/>
      <c r="DK959" s="27"/>
      <c r="DL959" s="27"/>
      <c r="DM959" s="27"/>
      <c r="DN959" s="27"/>
      <c r="DO959" s="27"/>
      <c r="DP959" s="27"/>
      <c r="DQ959" s="27"/>
      <c r="DR959" s="27"/>
      <c r="DS959" s="27"/>
      <c r="DT959" s="27"/>
    </row>
    <row r="960" spans="2:124" ht="16.5" thickTop="1" thickBot="1" x14ac:dyDescent="0.3">
      <c r="B960" s="64"/>
      <c r="D960" s="155" t="s">
        <v>589</v>
      </c>
      <c r="E960" s="156"/>
      <c r="F960" s="157" t="s">
        <v>590</v>
      </c>
      <c r="G960" s="27">
        <f>G911</f>
        <v>0.59709999999999996</v>
      </c>
      <c r="H960" s="27"/>
      <c r="I960" s="27"/>
      <c r="J960" s="27"/>
      <c r="K960" s="27"/>
      <c r="L960" s="27"/>
      <c r="M960" s="27"/>
      <c r="N960" s="27"/>
      <c r="O960" s="27"/>
      <c r="P960" s="27"/>
      <c r="Q960" s="27"/>
      <c r="R960" s="27"/>
      <c r="S960" s="27"/>
      <c r="T960" s="27"/>
      <c r="U960" s="27"/>
      <c r="V960" s="27"/>
      <c r="W960" s="27"/>
      <c r="X960" s="27"/>
      <c r="Y960" s="27"/>
      <c r="Z960" s="27"/>
      <c r="AA960" s="27"/>
      <c r="AB960" s="27"/>
      <c r="AC960" s="27"/>
      <c r="AD960" s="27"/>
      <c r="AE960" s="27"/>
      <c r="AF960" s="27"/>
      <c r="AG960" s="27"/>
      <c r="AH960" s="27"/>
      <c r="AI960" s="27"/>
      <c r="AJ960" s="27"/>
      <c r="AK960" s="27"/>
      <c r="AL960" s="27"/>
      <c r="AM960" s="27"/>
      <c r="AN960" s="27"/>
      <c r="AO960" s="27"/>
      <c r="AP960" s="27"/>
      <c r="AQ960" s="27"/>
      <c r="AR960" s="27"/>
      <c r="AS960" s="27"/>
      <c r="AT960" s="27"/>
      <c r="AU960" s="27"/>
      <c r="AV960" s="27"/>
      <c r="AW960" s="27"/>
      <c r="AX960" s="27"/>
      <c r="AY960" s="27"/>
      <c r="AZ960" s="27"/>
      <c r="BA960" s="27"/>
      <c r="BB960" s="27"/>
      <c r="BC960" s="27"/>
      <c r="BD960" s="27"/>
      <c r="BE960" s="27"/>
      <c r="BF960" s="27"/>
      <c r="BG960" s="27"/>
      <c r="BH960" s="27"/>
      <c r="BI960" s="27"/>
      <c r="BJ960" s="27"/>
      <c r="BK960" s="27"/>
      <c r="BL960" s="27"/>
      <c r="BM960" s="27"/>
      <c r="BN960" s="27"/>
      <c r="BO960" s="27"/>
      <c r="BP960" s="27"/>
      <c r="BQ960" s="27"/>
      <c r="BR960" s="27"/>
      <c r="BS960" s="27"/>
      <c r="BT960" s="27"/>
      <c r="BU960" s="27"/>
      <c r="BV960" s="27"/>
      <c r="BW960" s="27"/>
      <c r="BX960" s="27"/>
      <c r="BY960" s="27"/>
      <c r="BZ960" s="27"/>
      <c r="CA960" s="27"/>
      <c r="CB960" s="27"/>
      <c r="CC960" s="27"/>
      <c r="CD960" s="27"/>
      <c r="CE960" s="27"/>
      <c r="CF960" s="27"/>
      <c r="CG960" s="27"/>
      <c r="CH960" s="27"/>
      <c r="CI960" s="27"/>
      <c r="CJ960" s="27"/>
      <c r="CK960" s="27"/>
      <c r="CL960" s="27"/>
      <c r="CM960" s="27"/>
      <c r="CN960" s="27"/>
      <c r="CO960" s="27"/>
      <c r="CP960" s="27"/>
      <c r="CQ960" s="27"/>
      <c r="CR960" s="27"/>
      <c r="CS960" s="27"/>
      <c r="CT960" s="27"/>
      <c r="CU960" s="27"/>
      <c r="CV960" s="27"/>
      <c r="CW960" s="27"/>
      <c r="CX960" s="27"/>
      <c r="CY960" s="27"/>
      <c r="CZ960" s="27"/>
      <c r="DA960" s="27"/>
      <c r="DB960" s="27"/>
      <c r="DC960" s="27"/>
      <c r="DD960" s="27"/>
      <c r="DE960" s="27"/>
      <c r="DF960" s="27"/>
      <c r="DG960" s="27"/>
      <c r="DH960" s="27"/>
      <c r="DI960" s="27"/>
      <c r="DJ960" s="27"/>
      <c r="DK960" s="27"/>
      <c r="DL960" s="27"/>
      <c r="DM960" s="27"/>
      <c r="DN960" s="27"/>
      <c r="DO960" s="27"/>
      <c r="DP960" s="27"/>
      <c r="DQ960" s="27"/>
      <c r="DR960" s="27"/>
      <c r="DS960" s="27"/>
      <c r="DT960" s="27"/>
    </row>
    <row r="961" spans="2:124" ht="15.75" thickTop="1" thickBot="1" x14ac:dyDescent="0.25">
      <c r="B961" s="64"/>
      <c r="D961" s="158" t="s">
        <v>591</v>
      </c>
      <c r="E961" s="159"/>
      <c r="F961" s="160" t="s">
        <v>592</v>
      </c>
      <c r="G961" s="27" t="e">
        <f>IF(W742=S735,G966,E947*G911)</f>
        <v>#REF!</v>
      </c>
      <c r="H961" s="27"/>
      <c r="I961" s="27"/>
      <c r="J961" s="27"/>
      <c r="K961" s="27"/>
      <c r="L961" s="27"/>
      <c r="M961" s="27"/>
      <c r="N961" s="27"/>
      <c r="O961" s="27"/>
      <c r="P961" s="27"/>
      <c r="Q961" s="27"/>
      <c r="R961" s="27"/>
      <c r="S961" s="27"/>
      <c r="T961" s="27"/>
      <c r="U961" s="27"/>
      <c r="V961" s="27"/>
      <c r="W961" s="27"/>
      <c r="X961" s="27"/>
      <c r="Y961" s="27"/>
      <c r="Z961" s="27"/>
      <c r="AA961" s="27"/>
      <c r="AB961" s="27"/>
      <c r="AC961" s="27"/>
      <c r="AD961" s="27"/>
      <c r="AE961" s="27"/>
      <c r="AF961" s="27"/>
      <c r="AG961" s="27"/>
      <c r="AH961" s="27"/>
      <c r="AI961" s="27"/>
      <c r="AJ961" s="27"/>
      <c r="AK961" s="27"/>
      <c r="AL961" s="27"/>
      <c r="AM961" s="27"/>
      <c r="AN961" s="27"/>
      <c r="AO961" s="27"/>
      <c r="AP961" s="27"/>
      <c r="AQ961" s="27"/>
      <c r="AR961" s="27"/>
      <c r="AS961" s="27"/>
      <c r="AT961" s="27"/>
      <c r="AU961" s="27"/>
      <c r="AV961" s="27"/>
      <c r="AW961" s="27"/>
      <c r="AX961" s="27"/>
      <c r="AY961" s="27"/>
      <c r="AZ961" s="27"/>
      <c r="BA961" s="27"/>
      <c r="BB961" s="27"/>
      <c r="BC961" s="27"/>
      <c r="BD961" s="27"/>
      <c r="BE961" s="27"/>
      <c r="BF961" s="27"/>
      <c r="BG961" s="27"/>
      <c r="BH961" s="27"/>
      <c r="BI961" s="27"/>
      <c r="BJ961" s="27"/>
      <c r="BK961" s="27"/>
      <c r="BL961" s="27"/>
      <c r="BM961" s="27"/>
      <c r="BN961" s="27"/>
      <c r="BO961" s="27"/>
      <c r="BP961" s="27"/>
      <c r="BQ961" s="27"/>
      <c r="BR961" s="27"/>
      <c r="BS961" s="27"/>
      <c r="BT961" s="27"/>
      <c r="BU961" s="27"/>
      <c r="BV961" s="27"/>
      <c r="BW961" s="27"/>
      <c r="BX961" s="27"/>
      <c r="BY961" s="27"/>
      <c r="BZ961" s="27"/>
      <c r="CA961" s="27"/>
      <c r="CB961" s="27"/>
      <c r="CC961" s="27"/>
      <c r="CD961" s="27"/>
      <c r="CE961" s="27"/>
      <c r="CF961" s="27"/>
      <c r="CG961" s="27"/>
      <c r="CH961" s="27"/>
      <c r="CI961" s="27"/>
      <c r="CJ961" s="27"/>
      <c r="CK961" s="27"/>
      <c r="CL961" s="27"/>
      <c r="CM961" s="27"/>
      <c r="CN961" s="27"/>
      <c r="CO961" s="27"/>
      <c r="CP961" s="27"/>
      <c r="CQ961" s="27"/>
      <c r="CR961" s="27"/>
      <c r="CS961" s="27"/>
      <c r="CT961" s="27"/>
      <c r="CU961" s="27"/>
      <c r="CV961" s="27"/>
      <c r="CW961" s="27"/>
      <c r="CX961" s="27"/>
      <c r="CY961" s="27"/>
      <c r="CZ961" s="27"/>
      <c r="DA961" s="27"/>
      <c r="DB961" s="27"/>
      <c r="DC961" s="27"/>
      <c r="DD961" s="27"/>
      <c r="DE961" s="27"/>
      <c r="DF961" s="27"/>
      <c r="DG961" s="27"/>
      <c r="DH961" s="27"/>
      <c r="DI961" s="27"/>
      <c r="DJ961" s="27"/>
      <c r="DK961" s="27"/>
      <c r="DL961" s="27"/>
      <c r="DM961" s="27"/>
      <c r="DN961" s="27"/>
      <c r="DO961" s="27"/>
      <c r="DP961" s="27"/>
      <c r="DQ961" s="27"/>
      <c r="DR961" s="27"/>
      <c r="DS961" s="27"/>
      <c r="DT961" s="27"/>
    </row>
    <row r="962" spans="2:124" ht="15" thickTop="1" x14ac:dyDescent="0.2">
      <c r="B962" s="64"/>
      <c r="D962" s="161" t="s">
        <v>593</v>
      </c>
      <c r="E962" s="162" t="e">
        <f>E947</f>
        <v>#REF!</v>
      </c>
      <c r="F962" s="163" t="s">
        <v>594</v>
      </c>
      <c r="G962" s="27">
        <f ca="1">IF(E963=0,0,((G961*60%)/12))</f>
        <v>0</v>
      </c>
      <c r="H962" s="27"/>
      <c r="I962" s="27"/>
      <c r="J962" s="27"/>
      <c r="K962" s="27"/>
      <c r="L962" s="27"/>
      <c r="M962" s="27"/>
      <c r="N962" s="27"/>
      <c r="O962" s="27"/>
      <c r="P962" s="27"/>
      <c r="Q962" s="27"/>
      <c r="R962" s="27"/>
      <c r="S962" s="27"/>
      <c r="T962" s="27"/>
      <c r="U962" s="27"/>
      <c r="V962" s="27"/>
      <c r="W962" s="27"/>
      <c r="X962" s="27"/>
      <c r="Y962" s="27"/>
      <c r="Z962" s="27"/>
      <c r="AA962" s="27"/>
      <c r="AB962" s="27"/>
      <c r="AC962" s="27"/>
      <c r="AD962" s="27"/>
      <c r="AE962" s="27"/>
      <c r="AF962" s="27"/>
      <c r="AG962" s="27"/>
      <c r="AH962" s="27"/>
      <c r="AI962" s="27"/>
      <c r="AJ962" s="27"/>
      <c r="AK962" s="27"/>
      <c r="AL962" s="27"/>
      <c r="AM962" s="27"/>
      <c r="AN962" s="27"/>
      <c r="AO962" s="27"/>
      <c r="AP962" s="27"/>
      <c r="AQ962" s="27"/>
      <c r="AR962" s="27"/>
      <c r="AS962" s="27"/>
      <c r="AT962" s="27"/>
      <c r="AU962" s="27"/>
      <c r="AV962" s="27"/>
      <c r="AW962" s="27"/>
      <c r="AX962" s="27"/>
      <c r="AY962" s="27"/>
      <c r="AZ962" s="27"/>
      <c r="BA962" s="27"/>
      <c r="BB962" s="27"/>
      <c r="BC962" s="27"/>
      <c r="BD962" s="27"/>
      <c r="BE962" s="27"/>
      <c r="BF962" s="27"/>
      <c r="BG962" s="27"/>
      <c r="BH962" s="27"/>
      <c r="BI962" s="27"/>
      <c r="BJ962" s="27"/>
      <c r="BK962" s="27"/>
      <c r="BL962" s="27"/>
      <c r="BM962" s="27"/>
      <c r="BN962" s="27"/>
      <c r="BO962" s="27"/>
      <c r="BP962" s="27"/>
      <c r="BQ962" s="27"/>
      <c r="BR962" s="27"/>
      <c r="BS962" s="27"/>
      <c r="BT962" s="27"/>
      <c r="BU962" s="27"/>
      <c r="BV962" s="27"/>
      <c r="BW962" s="27"/>
      <c r="BX962" s="27"/>
      <c r="BY962" s="27"/>
      <c r="BZ962" s="27"/>
      <c r="CA962" s="27"/>
      <c r="CB962" s="27"/>
      <c r="CC962" s="27"/>
      <c r="CD962" s="27"/>
      <c r="CE962" s="27"/>
      <c r="CF962" s="27"/>
      <c r="CG962" s="27"/>
      <c r="CH962" s="27"/>
      <c r="CI962" s="27"/>
      <c r="CJ962" s="27"/>
      <c r="CK962" s="27"/>
      <c r="CL962" s="27"/>
      <c r="CM962" s="27"/>
      <c r="CN962" s="27"/>
      <c r="CO962" s="27"/>
      <c r="CP962" s="27"/>
      <c r="CQ962" s="27"/>
      <c r="CR962" s="27"/>
      <c r="CS962" s="27"/>
      <c r="CT962" s="27"/>
      <c r="CU962" s="27"/>
      <c r="CV962" s="27"/>
      <c r="CW962" s="27"/>
      <c r="CX962" s="27"/>
      <c r="CY962" s="27"/>
      <c r="CZ962" s="27"/>
      <c r="DA962" s="27"/>
      <c r="DB962" s="27"/>
      <c r="DC962" s="27"/>
      <c r="DD962" s="27"/>
      <c r="DE962" s="27"/>
      <c r="DF962" s="27"/>
      <c r="DG962" s="27"/>
      <c r="DH962" s="27"/>
      <c r="DI962" s="27"/>
      <c r="DJ962" s="27"/>
      <c r="DK962" s="27"/>
      <c r="DL962" s="27"/>
      <c r="DM962" s="27"/>
      <c r="DN962" s="27"/>
      <c r="DO962" s="27"/>
      <c r="DP962" s="27"/>
      <c r="DQ962" s="27"/>
      <c r="DR962" s="27"/>
      <c r="DS962" s="27"/>
      <c r="DT962" s="27"/>
    </row>
    <row r="963" spans="2:124" x14ac:dyDescent="0.2">
      <c r="B963" s="64"/>
      <c r="D963" s="164" t="s">
        <v>595</v>
      </c>
      <c r="E963" s="165">
        <f ca="1">IF(G906+G907+BB772-AJ752&gt;=AJ750,'[1]נתוני מס'!I16*E947,0)</f>
        <v>0</v>
      </c>
      <c r="F963" s="166">
        <f ca="1">E963*G960</f>
        <v>0</v>
      </c>
      <c r="G963" s="27">
        <f>E964/12*G911</f>
        <v>100.21328333333334</v>
      </c>
      <c r="H963" s="27"/>
      <c r="I963" s="27"/>
      <c r="J963" s="27"/>
      <c r="K963" s="27"/>
      <c r="L963" s="27"/>
      <c r="M963" s="27"/>
      <c r="N963" s="27"/>
      <c r="O963" s="27"/>
      <c r="P963" s="27"/>
      <c r="Q963" s="27"/>
      <c r="R963" s="27"/>
      <c r="S963" s="27"/>
      <c r="T963" s="27"/>
      <c r="U963" s="27"/>
      <c r="V963" s="27"/>
      <c r="W963" s="27"/>
      <c r="X963" s="27"/>
      <c r="Y963" s="27"/>
      <c r="Z963" s="27"/>
      <c r="AA963" s="27"/>
      <c r="AB963" s="27"/>
      <c r="AC963" s="27"/>
      <c r="AD963" s="27"/>
      <c r="AE963" s="27"/>
      <c r="AF963" s="27"/>
      <c r="AG963" s="27"/>
      <c r="AH963" s="27"/>
      <c r="AI963" s="27"/>
      <c r="AJ963" s="27"/>
      <c r="AK963" s="27"/>
      <c r="AL963" s="27"/>
      <c r="AM963" s="27"/>
      <c r="AN963" s="27"/>
      <c r="AO963" s="27"/>
      <c r="AP963" s="27"/>
      <c r="AQ963" s="27"/>
      <c r="AR963" s="27"/>
      <c r="AS963" s="27"/>
      <c r="AT963" s="27"/>
      <c r="AU963" s="27"/>
      <c r="AV963" s="27"/>
      <c r="AW963" s="27"/>
      <c r="AX963" s="27"/>
      <c r="AY963" s="27"/>
      <c r="AZ963" s="27"/>
      <c r="BA963" s="27"/>
      <c r="BB963" s="27"/>
      <c r="BC963" s="27"/>
      <c r="BD963" s="27"/>
      <c r="BE963" s="27"/>
      <c r="BF963" s="27"/>
      <c r="BG963" s="27"/>
      <c r="BH963" s="27"/>
      <c r="BI963" s="27"/>
      <c r="BJ963" s="27"/>
      <c r="BK963" s="27"/>
      <c r="BL963" s="27"/>
      <c r="BM963" s="27"/>
      <c r="BN963" s="27"/>
      <c r="BO963" s="27"/>
      <c r="BP963" s="27"/>
      <c r="BQ963" s="27"/>
      <c r="BR963" s="27"/>
      <c r="BS963" s="27"/>
      <c r="BT963" s="27"/>
      <c r="BU963" s="27"/>
      <c r="BV963" s="27"/>
      <c r="BW963" s="27"/>
      <c r="BX963" s="27"/>
      <c r="BY963" s="27"/>
      <c r="BZ963" s="27"/>
      <c r="CA963" s="27"/>
      <c r="CB963" s="27"/>
      <c r="CC963" s="27"/>
      <c r="CD963" s="27"/>
      <c r="CE963" s="27"/>
      <c r="CF963" s="27"/>
      <c r="CG963" s="27"/>
      <c r="CH963" s="27"/>
      <c r="CI963" s="27"/>
      <c r="CJ963" s="27"/>
      <c r="CK963" s="27"/>
      <c r="CL963" s="27"/>
      <c r="CM963" s="27"/>
      <c r="CN963" s="27"/>
      <c r="CO963" s="27"/>
      <c r="CP963" s="27"/>
      <c r="CQ963" s="27"/>
      <c r="CR963" s="27"/>
      <c r="CS963" s="27"/>
      <c r="CT963" s="27"/>
      <c r="CU963" s="27"/>
      <c r="CV963" s="27"/>
      <c r="CW963" s="27"/>
      <c r="CX963" s="27"/>
      <c r="CY963" s="27"/>
      <c r="CZ963" s="27"/>
      <c r="DA963" s="27"/>
      <c r="DB963" s="27"/>
      <c r="DC963" s="27"/>
      <c r="DD963" s="27"/>
      <c r="DE963" s="27"/>
      <c r="DF963" s="27"/>
      <c r="DG963" s="27"/>
      <c r="DH963" s="27"/>
      <c r="DI963" s="27"/>
      <c r="DJ963" s="27"/>
      <c r="DK963" s="27"/>
      <c r="DL963" s="27"/>
      <c r="DM963" s="27"/>
      <c r="DN963" s="27"/>
      <c r="DO963" s="27"/>
      <c r="DP963" s="27"/>
      <c r="DQ963" s="27"/>
      <c r="DR963" s="27"/>
      <c r="DS963" s="27"/>
      <c r="DT963" s="27"/>
    </row>
    <row r="964" spans="2:124" x14ac:dyDescent="0.2">
      <c r="B964" s="64"/>
      <c r="D964" s="164" t="s">
        <v>94</v>
      </c>
      <c r="E964" s="165">
        <f>IF(G946&lt;26,'[1]נתוני מס'!I18*AX737,'[1]נתוני מס'!I19*AX737)</f>
        <v>2014</v>
      </c>
      <c r="F964" s="166">
        <f>E964*G960</f>
        <v>1202.5593999999999</v>
      </c>
      <c r="G964" s="27">
        <f ca="1">E965/12*G911</f>
        <v>235.85449999999997</v>
      </c>
      <c r="H964" s="27"/>
      <c r="I964" s="27"/>
      <c r="J964" s="27"/>
      <c r="K964" s="27"/>
      <c r="L964" s="27"/>
      <c r="M964" s="27"/>
      <c r="N964" s="27"/>
      <c r="O964" s="27"/>
      <c r="P964" s="27"/>
      <c r="Q964" s="27"/>
      <c r="R964" s="27"/>
      <c r="S964" s="27"/>
      <c r="T964" s="27"/>
      <c r="U964" s="27"/>
      <c r="V964" s="27"/>
      <c r="W964" s="27"/>
      <c r="X964" s="27"/>
      <c r="Y964" s="27"/>
      <c r="Z964" s="27"/>
      <c r="AA964" s="27"/>
      <c r="AB964" s="27"/>
      <c r="AC964" s="27"/>
      <c r="AD964" s="27"/>
      <c r="AE964" s="27"/>
      <c r="AF964" s="27"/>
      <c r="AG964" s="27"/>
      <c r="AH964" s="27"/>
      <c r="AI964" s="27"/>
      <c r="AJ964" s="27"/>
      <c r="AK964" s="27"/>
      <c r="AL964" s="27"/>
      <c r="AM964" s="27"/>
      <c r="AN964" s="27"/>
      <c r="AO964" s="27"/>
      <c r="AP964" s="27"/>
      <c r="AQ964" s="27"/>
      <c r="AR964" s="27"/>
      <c r="AS964" s="27"/>
      <c r="AT964" s="27"/>
      <c r="AU964" s="27"/>
      <c r="AV964" s="27"/>
      <c r="AW964" s="27"/>
      <c r="AX964" s="27"/>
      <c r="AY964" s="27"/>
      <c r="AZ964" s="27"/>
      <c r="BA964" s="27"/>
      <c r="BB964" s="27"/>
      <c r="BC964" s="27"/>
      <c r="BD964" s="27"/>
      <c r="BE964" s="27"/>
      <c r="BF964" s="27"/>
      <c r="BG964" s="27"/>
      <c r="BH964" s="27"/>
      <c r="BI964" s="27"/>
      <c r="BJ964" s="27"/>
      <c r="BK964" s="27"/>
      <c r="BL964" s="27"/>
      <c r="BM964" s="27"/>
      <c r="BN964" s="27"/>
      <c r="BO964" s="27"/>
      <c r="BP964" s="27"/>
      <c r="BQ964" s="27"/>
      <c r="BR964" s="27"/>
      <c r="BS964" s="27"/>
      <c r="BT964" s="27"/>
      <c r="BU964" s="27"/>
      <c r="BV964" s="27"/>
      <c r="BW964" s="27"/>
      <c r="BX964" s="27"/>
      <c r="BY964" s="27"/>
      <c r="BZ964" s="27"/>
      <c r="CA964" s="27"/>
      <c r="CB964" s="27"/>
      <c r="CC964" s="27"/>
      <c r="CD964" s="27"/>
      <c r="CE964" s="27"/>
      <c r="CF964" s="27"/>
      <c r="CG964" s="27"/>
      <c r="CH964" s="27"/>
      <c r="CI964" s="27"/>
      <c r="CJ964" s="27"/>
      <c r="CK964" s="27"/>
      <c r="CL964" s="27"/>
      <c r="CM964" s="27"/>
      <c r="CN964" s="27"/>
      <c r="CO964" s="27"/>
      <c r="CP964" s="27"/>
      <c r="CQ964" s="27"/>
      <c r="CR964" s="27"/>
      <c r="CS964" s="27"/>
      <c r="CT964" s="27"/>
      <c r="CU964" s="27"/>
      <c r="CV964" s="27"/>
      <c r="CW964" s="27"/>
      <c r="CX964" s="27"/>
      <c r="CY964" s="27"/>
      <c r="CZ964" s="27"/>
      <c r="DA964" s="27"/>
      <c r="DB964" s="27"/>
      <c r="DC964" s="27"/>
      <c r="DD964" s="27"/>
      <c r="DE964" s="27"/>
      <c r="DF964" s="27"/>
      <c r="DG964" s="27"/>
      <c r="DH964" s="27"/>
      <c r="DI964" s="27"/>
      <c r="DJ964" s="27"/>
      <c r="DK964" s="27"/>
      <c r="DL964" s="27"/>
      <c r="DM964" s="27"/>
      <c r="DN964" s="27"/>
      <c r="DO964" s="27"/>
      <c r="DP964" s="27"/>
      <c r="DQ964" s="27"/>
      <c r="DR964" s="27"/>
      <c r="DS964" s="27"/>
      <c r="DT964" s="27"/>
    </row>
    <row r="965" spans="2:124" ht="15" thickBot="1" x14ac:dyDescent="0.25">
      <c r="B965" s="64"/>
      <c r="D965" s="167" t="s">
        <v>102</v>
      </c>
      <c r="E965" s="168">
        <f ca="1">AM722*AM737*AX737</f>
        <v>4740</v>
      </c>
      <c r="F965" s="169">
        <f ca="1">G960*E965</f>
        <v>2830.2539999999999</v>
      </c>
      <c r="G965" s="27" t="e">
        <f>G961*0.0382</f>
        <v>#REF!</v>
      </c>
      <c r="H965" s="27"/>
      <c r="I965" s="27"/>
      <c r="J965" s="27"/>
      <c r="K965" s="27"/>
      <c r="L965" s="27"/>
      <c r="M965" s="27"/>
      <c r="N965" s="27"/>
      <c r="O965" s="27"/>
      <c r="P965" s="27"/>
      <c r="Q965" s="27"/>
      <c r="R965" s="27"/>
      <c r="S965" s="27"/>
      <c r="T965" s="27"/>
      <c r="U965" s="27"/>
      <c r="V965" s="27"/>
      <c r="W965" s="27"/>
      <c r="X965" s="27"/>
      <c r="Y965" s="27"/>
      <c r="Z965" s="27"/>
      <c r="AA965" s="27"/>
      <c r="AB965" s="27"/>
      <c r="AC965" s="27"/>
      <c r="AD965" s="27"/>
      <c r="AE965" s="27"/>
      <c r="AF965" s="27"/>
      <c r="AG965" s="27"/>
      <c r="AH965" s="27"/>
      <c r="AI965" s="27"/>
      <c r="AJ965" s="27"/>
      <c r="AK965" s="27"/>
      <c r="AL965" s="27"/>
      <c r="AM965" s="27"/>
      <c r="AN965" s="27"/>
      <c r="AO965" s="27"/>
      <c r="AP965" s="27"/>
      <c r="AQ965" s="27"/>
      <c r="AR965" s="27"/>
      <c r="AS965" s="27"/>
      <c r="AT965" s="27"/>
      <c r="AU965" s="27"/>
      <c r="AV965" s="27"/>
      <c r="AW965" s="27"/>
      <c r="AX965" s="27"/>
      <c r="AY965" s="27"/>
      <c r="AZ965" s="27"/>
      <c r="BA965" s="27"/>
      <c r="BB965" s="27"/>
      <c r="BC965" s="27"/>
      <c r="BD965" s="27"/>
      <c r="BE965" s="27"/>
      <c r="BF965" s="27"/>
      <c r="BG965" s="27"/>
      <c r="BH965" s="27"/>
      <c r="BI965" s="27"/>
      <c r="BJ965" s="27"/>
      <c r="BK965" s="27"/>
      <c r="BL965" s="27"/>
      <c r="BM965" s="27"/>
      <c r="BN965" s="27"/>
      <c r="BO965" s="27"/>
      <c r="BP965" s="27"/>
      <c r="BQ965" s="27"/>
      <c r="BR965" s="27"/>
      <c r="BS965" s="27"/>
      <c r="BT965" s="27"/>
      <c r="BU965" s="27"/>
      <c r="BV965" s="27"/>
      <c r="BW965" s="27"/>
      <c r="BX965" s="27"/>
      <c r="BY965" s="27"/>
      <c r="BZ965" s="27"/>
      <c r="CA965" s="27"/>
      <c r="CB965" s="27"/>
      <c r="CC965" s="27"/>
      <c r="CD965" s="27"/>
      <c r="CE965" s="27"/>
      <c r="CF965" s="27"/>
      <c r="CG965" s="27"/>
      <c r="CH965" s="27"/>
      <c r="CI965" s="27"/>
      <c r="CJ965" s="27"/>
      <c r="CK965" s="27"/>
      <c r="CL965" s="27"/>
      <c r="CM965" s="27"/>
      <c r="CN965" s="27"/>
      <c r="CO965" s="27"/>
      <c r="CP965" s="27"/>
      <c r="CQ965" s="27"/>
      <c r="CR965" s="27"/>
      <c r="CS965" s="27"/>
      <c r="CT965" s="27"/>
      <c r="CU965" s="27"/>
      <c r="CV965" s="27"/>
      <c r="CW965" s="27"/>
      <c r="CX965" s="27"/>
      <c r="CY965" s="27"/>
      <c r="CZ965" s="27"/>
      <c r="DA965" s="27"/>
      <c r="DB965" s="27"/>
      <c r="DC965" s="27"/>
      <c r="DD965" s="27"/>
      <c r="DE965" s="27"/>
      <c r="DF965" s="27"/>
      <c r="DG965" s="27"/>
      <c r="DH965" s="27"/>
      <c r="DI965" s="27"/>
      <c r="DJ965" s="27"/>
      <c r="DK965" s="27"/>
      <c r="DL965" s="27"/>
      <c r="DM965" s="27"/>
      <c r="DN965" s="27"/>
      <c r="DO965" s="27"/>
      <c r="DP965" s="27"/>
      <c r="DQ965" s="27"/>
      <c r="DR965" s="27"/>
      <c r="DS965" s="27"/>
      <c r="DT965" s="27"/>
    </row>
    <row r="966" spans="2:124" ht="15.75" thickTop="1" thickBot="1" x14ac:dyDescent="0.25">
      <c r="B966" s="64"/>
      <c r="D966" s="170"/>
      <c r="F966" s="166" t="s">
        <v>596</v>
      </c>
      <c r="G966" s="27" t="e">
        <f>IF(W742=S734,SUM(G961:G965),#REF!)</f>
        <v>#REF!</v>
      </c>
      <c r="H966" s="27"/>
      <c r="I966" s="27"/>
      <c r="J966" s="27"/>
      <c r="K966" s="27"/>
      <c r="L966" s="27"/>
      <c r="M966" s="27"/>
      <c r="N966" s="27"/>
      <c r="O966" s="27"/>
      <c r="P966" s="27"/>
      <c r="Q966" s="27"/>
      <c r="R966" s="27"/>
      <c r="S966" s="27"/>
      <c r="T966" s="27"/>
      <c r="U966" s="27"/>
      <c r="V966" s="27"/>
      <c r="W966" s="27"/>
      <c r="X966" s="27"/>
      <c r="Y966" s="27"/>
      <c r="Z966" s="27"/>
      <c r="AA966" s="27"/>
      <c r="AB966" s="27"/>
      <c r="AC966" s="27"/>
      <c r="AD966" s="27"/>
      <c r="AE966" s="27"/>
      <c r="AF966" s="27"/>
      <c r="AG966" s="27"/>
      <c r="AH966" s="27"/>
      <c r="AI966" s="27"/>
      <c r="AJ966" s="27"/>
      <c r="AK966" s="27"/>
      <c r="AL966" s="27"/>
      <c r="AM966" s="27"/>
      <c r="AN966" s="27"/>
      <c r="AO966" s="27"/>
      <c r="AP966" s="27"/>
      <c r="AQ966" s="27"/>
      <c r="AR966" s="27"/>
      <c r="AS966" s="27"/>
      <c r="AT966" s="27"/>
      <c r="AU966" s="27"/>
      <c r="AV966" s="27"/>
      <c r="AW966" s="27"/>
      <c r="AX966" s="27"/>
      <c r="AY966" s="27"/>
      <c r="AZ966" s="27"/>
      <c r="BA966" s="27"/>
      <c r="BB966" s="27"/>
      <c r="BC966" s="27"/>
      <c r="BD966" s="27"/>
      <c r="BE966" s="27"/>
      <c r="BF966" s="27"/>
      <c r="BG966" s="27"/>
      <c r="BH966" s="27"/>
      <c r="BI966" s="27"/>
      <c r="BJ966" s="27"/>
      <c r="BK966" s="27"/>
      <c r="BL966" s="27"/>
      <c r="BM966" s="27"/>
      <c r="BN966" s="27"/>
      <c r="BO966" s="27"/>
      <c r="BP966" s="27"/>
      <c r="BQ966" s="27"/>
      <c r="BR966" s="27"/>
      <c r="BS966" s="27"/>
      <c r="BT966" s="27"/>
      <c r="BU966" s="27"/>
      <c r="BV966" s="27"/>
      <c r="BW966" s="27"/>
      <c r="BX966" s="27"/>
      <c r="BY966" s="27"/>
      <c r="BZ966" s="27"/>
      <c r="CA966" s="27"/>
      <c r="CB966" s="27"/>
      <c r="CC966" s="27"/>
      <c r="CD966" s="27"/>
      <c r="CE966" s="27"/>
      <c r="CF966" s="27"/>
      <c r="CG966" s="27"/>
      <c r="CH966" s="27"/>
      <c r="CI966" s="27"/>
      <c r="CJ966" s="27"/>
      <c r="CK966" s="27"/>
      <c r="CL966" s="27"/>
      <c r="CM966" s="27"/>
      <c r="CN966" s="27"/>
      <c r="CO966" s="27"/>
      <c r="CP966" s="27"/>
      <c r="CQ966" s="27"/>
      <c r="CR966" s="27"/>
      <c r="CS966" s="27"/>
      <c r="CT966" s="27"/>
      <c r="CU966" s="27"/>
      <c r="CV966" s="27"/>
      <c r="CW966" s="27"/>
      <c r="CX966" s="27"/>
      <c r="CY966" s="27"/>
      <c r="CZ966" s="27"/>
      <c r="DA966" s="27"/>
      <c r="DB966" s="27"/>
      <c r="DC966" s="27"/>
      <c r="DD966" s="27"/>
      <c r="DE966" s="27"/>
      <c r="DF966" s="27"/>
      <c r="DG966" s="27"/>
      <c r="DH966" s="27"/>
      <c r="DI966" s="27"/>
      <c r="DJ966" s="27"/>
      <c r="DK966" s="27"/>
      <c r="DL966" s="27"/>
      <c r="DM966" s="27"/>
      <c r="DN966" s="27"/>
      <c r="DO966" s="27"/>
      <c r="DP966" s="27"/>
      <c r="DQ966" s="27"/>
      <c r="DR966" s="27"/>
      <c r="DS966" s="27"/>
      <c r="DT966" s="27"/>
    </row>
    <row r="967" spans="2:124" ht="16.5" thickTop="1" thickBot="1" x14ac:dyDescent="0.3">
      <c r="B967" s="64"/>
      <c r="D967" s="171"/>
      <c r="E967" s="172" t="s">
        <v>59</v>
      </c>
      <c r="F967" s="173" t="s">
        <v>597</v>
      </c>
      <c r="G967" s="27" t="e">
        <f>BE739</f>
        <v>#REF!</v>
      </c>
      <c r="H967" s="27"/>
      <c r="I967" s="27"/>
      <c r="J967" s="27"/>
      <c r="K967" s="27"/>
      <c r="L967" s="27"/>
      <c r="M967" s="27"/>
      <c r="N967" s="27"/>
      <c r="O967" s="27"/>
      <c r="P967" s="27"/>
      <c r="Q967" s="27"/>
      <c r="R967" s="27"/>
      <c r="S967" s="27"/>
      <c r="T967" s="27"/>
      <c r="U967" s="27"/>
      <c r="V967" s="27"/>
      <c r="W967" s="27"/>
      <c r="X967" s="27"/>
      <c r="Y967" s="27"/>
      <c r="Z967" s="27"/>
      <c r="AA967" s="27"/>
      <c r="AB967" s="27"/>
      <c r="AC967" s="27"/>
      <c r="AD967" s="27"/>
      <c r="AE967" s="27"/>
      <c r="AF967" s="27"/>
      <c r="AG967" s="27"/>
      <c r="AH967" s="27"/>
      <c r="AI967" s="27"/>
      <c r="AJ967" s="27"/>
      <c r="AK967" s="27"/>
      <c r="AL967" s="27"/>
      <c r="AM967" s="27"/>
      <c r="AN967" s="27"/>
      <c r="AO967" s="27"/>
      <c r="AP967" s="27"/>
      <c r="AQ967" s="27"/>
      <c r="AR967" s="27"/>
      <c r="AS967" s="27"/>
      <c r="AT967" s="27"/>
      <c r="AU967" s="27"/>
      <c r="AV967" s="27"/>
      <c r="AW967" s="27"/>
      <c r="AX967" s="27"/>
      <c r="AY967" s="27"/>
      <c r="AZ967" s="27"/>
      <c r="BA967" s="27"/>
      <c r="BB967" s="27"/>
      <c r="BC967" s="27"/>
      <c r="BD967" s="27"/>
      <c r="BE967" s="27"/>
      <c r="BF967" s="27"/>
      <c r="BG967" s="27"/>
      <c r="BH967" s="27"/>
      <c r="BI967" s="27"/>
      <c r="BJ967" s="27"/>
      <c r="BK967" s="27"/>
      <c r="BL967" s="27"/>
      <c r="BM967" s="27"/>
      <c r="BN967" s="27"/>
      <c r="BO967" s="27"/>
      <c r="BP967" s="27"/>
      <c r="BQ967" s="27"/>
      <c r="BR967" s="27"/>
      <c r="BS967" s="27"/>
      <c r="BT967" s="27"/>
      <c r="BU967" s="27"/>
      <c r="BV967" s="27"/>
      <c r="BW967" s="27"/>
      <c r="BX967" s="27"/>
      <c r="BY967" s="27"/>
      <c r="BZ967" s="27"/>
      <c r="CA967" s="27"/>
      <c r="CB967" s="27"/>
      <c r="CC967" s="27"/>
      <c r="CD967" s="27"/>
      <c r="CE967" s="27"/>
      <c r="CF967" s="27"/>
      <c r="CG967" s="27"/>
      <c r="CH967" s="27"/>
      <c r="CI967" s="27"/>
      <c r="CJ967" s="27"/>
      <c r="CK967" s="27"/>
      <c r="CL967" s="27"/>
      <c r="CM967" s="27"/>
      <c r="CN967" s="27"/>
      <c r="CO967" s="27"/>
      <c r="CP967" s="27"/>
      <c r="CQ967" s="27"/>
      <c r="CR967" s="27"/>
      <c r="CS967" s="27"/>
      <c r="CT967" s="27"/>
      <c r="CU967" s="27"/>
      <c r="CV967" s="27"/>
      <c r="CW967" s="27"/>
      <c r="CX967" s="27"/>
      <c r="CY967" s="27"/>
      <c r="CZ967" s="27"/>
      <c r="DA967" s="27"/>
      <c r="DB967" s="27"/>
      <c r="DC967" s="27"/>
      <c r="DD967" s="27"/>
      <c r="DE967" s="27"/>
      <c r="DF967" s="27"/>
      <c r="DG967" s="27"/>
      <c r="DH967" s="27"/>
      <c r="DI967" s="27"/>
      <c r="DJ967" s="27"/>
      <c r="DK967" s="27"/>
      <c r="DL967" s="27"/>
      <c r="DM967" s="27"/>
      <c r="DN967" s="27"/>
      <c r="DO967" s="27"/>
      <c r="DP967" s="27"/>
      <c r="DQ967" s="27"/>
      <c r="DR967" s="27"/>
      <c r="DS967" s="27"/>
      <c r="DT967" s="27"/>
    </row>
    <row r="968" spans="2:124" ht="15" thickTop="1" x14ac:dyDescent="0.2">
      <c r="B968" s="64"/>
      <c r="D968" s="171"/>
      <c r="E968" s="174" t="s">
        <v>598</v>
      </c>
      <c r="F968" s="175" t="s">
        <v>325</v>
      </c>
      <c r="G968" s="27">
        <f>(BB786*'[1]נתוני מס'!I14*-1)*AX737</f>
        <v>-574.75</v>
      </c>
      <c r="H968" s="27"/>
      <c r="I968" s="27"/>
      <c r="J968" s="27"/>
      <c r="K968" s="27"/>
      <c r="L968" s="27"/>
      <c r="M968" s="27"/>
      <c r="N968" s="27"/>
      <c r="O968" s="27"/>
      <c r="P968" s="27"/>
      <c r="Q968" s="27"/>
      <c r="R968" s="27"/>
      <c r="S968" s="27"/>
      <c r="T968" s="27"/>
      <c r="U968" s="27"/>
      <c r="V968" s="27"/>
      <c r="W968" s="27"/>
      <c r="X968" s="27"/>
      <c r="Y968" s="27"/>
      <c r="Z968" s="27"/>
      <c r="AA968" s="27"/>
      <c r="AB968" s="27"/>
      <c r="AC968" s="27"/>
      <c r="AD968" s="27"/>
      <c r="AE968" s="27"/>
      <c r="AF968" s="27"/>
      <c r="AG968" s="27"/>
      <c r="AH968" s="27"/>
      <c r="AI968" s="27"/>
      <c r="AJ968" s="27"/>
      <c r="AK968" s="27"/>
      <c r="AL968" s="27"/>
      <c r="AM968" s="27"/>
      <c r="AN968" s="27"/>
      <c r="AO968" s="27"/>
      <c r="AP968" s="27"/>
      <c r="AQ968" s="27"/>
      <c r="AR968" s="27"/>
      <c r="AS968" s="27"/>
      <c r="AT968" s="27"/>
      <c r="AU968" s="27"/>
      <c r="AV968" s="27"/>
      <c r="AW968" s="27"/>
      <c r="AX968" s="27"/>
      <c r="AY968" s="27"/>
      <c r="AZ968" s="27"/>
      <c r="BA968" s="27"/>
      <c r="BB968" s="27"/>
      <c r="BC968" s="27"/>
      <c r="BD968" s="27"/>
      <c r="BE968" s="27"/>
      <c r="BF968" s="27"/>
      <c r="BG968" s="27"/>
      <c r="BH968" s="27"/>
      <c r="BI968" s="27"/>
      <c r="BJ968" s="27"/>
      <c r="BK968" s="27"/>
      <c r="BL968" s="27"/>
      <c r="BM968" s="27"/>
      <c r="BN968" s="27"/>
      <c r="BO968" s="27"/>
      <c r="BP968" s="27"/>
      <c r="BQ968" s="27"/>
      <c r="BR968" s="27"/>
      <c r="BS968" s="27"/>
      <c r="BT968" s="27"/>
      <c r="BU968" s="27"/>
      <c r="BV968" s="27"/>
      <c r="BW968" s="27"/>
      <c r="BX968" s="27"/>
      <c r="BY968" s="27"/>
      <c r="BZ968" s="27"/>
      <c r="CA968" s="27"/>
      <c r="CB968" s="27"/>
      <c r="CC968" s="27"/>
      <c r="CD968" s="27"/>
      <c r="CE968" s="27"/>
      <c r="CF968" s="27"/>
      <c r="CG968" s="27"/>
      <c r="CH968" s="27"/>
      <c r="CI968" s="27"/>
      <c r="CJ968" s="27"/>
      <c r="CK968" s="27"/>
      <c r="CL968" s="27"/>
      <c r="CM968" s="27"/>
      <c r="CN968" s="27"/>
      <c r="CO968" s="27"/>
      <c r="CP968" s="27"/>
      <c r="CQ968" s="27"/>
      <c r="CR968" s="27"/>
      <c r="CS968" s="27"/>
      <c r="CT968" s="27"/>
      <c r="CU968" s="27"/>
      <c r="CV968" s="27"/>
      <c r="CW968" s="27"/>
      <c r="CX968" s="27"/>
      <c r="CY968" s="27"/>
      <c r="CZ968" s="27"/>
      <c r="DA968" s="27"/>
      <c r="DB968" s="27"/>
      <c r="DC968" s="27"/>
      <c r="DD968" s="27"/>
      <c r="DE968" s="27"/>
      <c r="DF968" s="27"/>
      <c r="DG968" s="27"/>
      <c r="DH968" s="27"/>
      <c r="DI968" s="27"/>
      <c r="DJ968" s="27"/>
      <c r="DK968" s="27"/>
      <c r="DL968" s="27"/>
      <c r="DM968" s="27"/>
      <c r="DN968" s="27"/>
      <c r="DO968" s="27"/>
      <c r="DP968" s="27"/>
      <c r="DQ968" s="27"/>
      <c r="DR968" s="27"/>
      <c r="DS968" s="27"/>
      <c r="DT968" s="27"/>
    </row>
    <row r="969" spans="2:124" x14ac:dyDescent="0.2">
      <c r="B969" s="64"/>
      <c r="D969" s="171"/>
      <c r="E969" s="176" t="e">
        <f>G967+G968</f>
        <v>#REF!</v>
      </c>
      <c r="F969" s="175" t="s">
        <v>599</v>
      </c>
      <c r="G969" s="27" t="e">
        <f>IF(G967+G968&lt;=0,0,G967+G968)</f>
        <v>#REF!</v>
      </c>
      <c r="H969" s="27"/>
      <c r="I969" s="27"/>
      <c r="J969" s="27"/>
      <c r="K969" s="27"/>
      <c r="L969" s="27"/>
      <c r="M969" s="27"/>
      <c r="N969" s="27"/>
      <c r="O969" s="27"/>
      <c r="P969" s="27"/>
      <c r="Q969" s="27"/>
      <c r="R969" s="27"/>
      <c r="S969" s="27"/>
      <c r="T969" s="27"/>
      <c r="U969" s="27"/>
      <c r="V969" s="27"/>
      <c r="W969" s="27"/>
      <c r="X969" s="27"/>
      <c r="Y969" s="27"/>
      <c r="Z969" s="27"/>
      <c r="AA969" s="27"/>
      <c r="AB969" s="27"/>
      <c r="AC969" s="27"/>
      <c r="AD969" s="27"/>
      <c r="AE969" s="27"/>
      <c r="AF969" s="27"/>
      <c r="AG969" s="27"/>
      <c r="AH969" s="27"/>
      <c r="AI969" s="27"/>
      <c r="AJ969" s="27"/>
      <c r="AK969" s="27"/>
      <c r="AL969" s="27"/>
      <c r="AM969" s="27"/>
      <c r="AN969" s="27"/>
      <c r="AO969" s="27"/>
      <c r="AP969" s="27"/>
      <c r="AQ969" s="27"/>
      <c r="AR969" s="27"/>
      <c r="AS969" s="27"/>
      <c r="AT969" s="27"/>
      <c r="AU969" s="27"/>
      <c r="AV969" s="27"/>
      <c r="AW969" s="27"/>
      <c r="AX969" s="27"/>
      <c r="AY969" s="27"/>
      <c r="AZ969" s="27"/>
      <c r="BA969" s="27"/>
      <c r="BB969" s="27"/>
      <c r="BC969" s="27"/>
      <c r="BD969" s="27"/>
      <c r="BE969" s="27"/>
      <c r="BF969" s="27"/>
      <c r="BG969" s="27"/>
      <c r="BH969" s="27"/>
      <c r="BI969" s="27"/>
      <c r="BJ969" s="27"/>
      <c r="BK969" s="27"/>
      <c r="BL969" s="27"/>
      <c r="BM969" s="27"/>
      <c r="BN969" s="27"/>
      <c r="BO969" s="27"/>
      <c r="BP969" s="27"/>
      <c r="BQ969" s="27"/>
      <c r="BR969" s="27"/>
      <c r="BS969" s="27"/>
      <c r="BT969" s="27"/>
      <c r="BU969" s="27"/>
      <c r="BV969" s="27"/>
      <c r="BW969" s="27"/>
      <c r="BX969" s="27"/>
      <c r="BY969" s="27"/>
      <c r="BZ969" s="27"/>
      <c r="CA969" s="27"/>
      <c r="CB969" s="27"/>
      <c r="CC969" s="27"/>
      <c r="CD969" s="27"/>
      <c r="CE969" s="27"/>
      <c r="CF969" s="27"/>
      <c r="CG969" s="27"/>
      <c r="CH969" s="27"/>
      <c r="CI969" s="27"/>
      <c r="CJ969" s="27"/>
      <c r="CK969" s="27"/>
      <c r="CL969" s="27"/>
      <c r="CM969" s="27"/>
      <c r="CN969" s="27"/>
      <c r="CO969" s="27"/>
      <c r="CP969" s="27"/>
      <c r="CQ969" s="27"/>
      <c r="CR969" s="27"/>
      <c r="CS969" s="27"/>
      <c r="CT969" s="27"/>
      <c r="CU969" s="27"/>
      <c r="CV969" s="27"/>
      <c r="CW969" s="27"/>
      <c r="CX969" s="27"/>
      <c r="CY969" s="27"/>
      <c r="CZ969" s="27"/>
      <c r="DA969" s="27"/>
      <c r="DB969" s="27"/>
      <c r="DC969" s="27"/>
      <c r="DD969" s="27"/>
      <c r="DE969" s="27"/>
      <c r="DF969" s="27"/>
      <c r="DG969" s="27"/>
      <c r="DH969" s="27"/>
      <c r="DI969" s="27"/>
      <c r="DJ969" s="27"/>
      <c r="DK969" s="27"/>
      <c r="DL969" s="27"/>
      <c r="DM969" s="27"/>
      <c r="DN969" s="27"/>
      <c r="DO969" s="27"/>
      <c r="DP969" s="27"/>
      <c r="DQ969" s="27"/>
      <c r="DR969" s="27"/>
      <c r="DS969" s="27"/>
      <c r="DT969" s="27"/>
    </row>
    <row r="970" spans="2:124" x14ac:dyDescent="0.2">
      <c r="B970" s="64"/>
      <c r="D970" s="171"/>
      <c r="E970" s="177"/>
      <c r="F970" s="178" t="s">
        <v>600</v>
      </c>
      <c r="G970" s="27" t="e">
        <f>IF(F905&gt;#REF!,0,IF(G966&gt;'[1]נתוני מס'!K33,'[1]נתוני מס'!H33+'[1]נתוני מס'!F33,IF(G966&lt;='[1]נתוני מס'!L31,G966*'[1]נתוני מס'!E33,(G966-'[1]נתוני מס'!L31)*'[1]נתוני מס'!G33+'[1]נתוני מס'!F33)))</f>
        <v>#REF!</v>
      </c>
      <c r="H970" s="27"/>
      <c r="I970" s="27"/>
      <c r="J970" s="27"/>
      <c r="K970" s="27"/>
      <c r="L970" s="27"/>
      <c r="M970" s="27"/>
      <c r="N970" s="27"/>
      <c r="O970" s="27"/>
      <c r="P970" s="27"/>
      <c r="Q970" s="27"/>
      <c r="R970" s="27"/>
      <c r="S970" s="27"/>
      <c r="T970" s="27"/>
      <c r="U970" s="27"/>
      <c r="V970" s="27"/>
      <c r="W970" s="27"/>
      <c r="X970" s="27"/>
      <c r="Y970" s="27"/>
      <c r="Z970" s="27"/>
      <c r="AA970" s="27"/>
      <c r="AB970" s="27"/>
      <c r="AC970" s="27"/>
      <c r="AD970" s="27"/>
      <c r="AE970" s="27"/>
      <c r="AF970" s="27"/>
      <c r="AG970" s="27"/>
      <c r="AH970" s="27"/>
      <c r="AI970" s="27"/>
      <c r="AJ970" s="27"/>
      <c r="AK970" s="27"/>
      <c r="AL970" s="27"/>
      <c r="AM970" s="27"/>
      <c r="AN970" s="27"/>
      <c r="AO970" s="27"/>
      <c r="AP970" s="27"/>
      <c r="AQ970" s="27"/>
      <c r="AR970" s="27"/>
      <c r="AS970" s="27"/>
      <c r="AT970" s="27"/>
      <c r="AU970" s="27"/>
      <c r="AV970" s="27"/>
      <c r="AW970" s="27"/>
      <c r="AX970" s="27"/>
      <c r="AY970" s="27"/>
      <c r="AZ970" s="27"/>
      <c r="BA970" s="27"/>
      <c r="BB970" s="27"/>
      <c r="BC970" s="27"/>
      <c r="BD970" s="27"/>
      <c r="BE970" s="27"/>
      <c r="BF970" s="27"/>
      <c r="BG970" s="27"/>
      <c r="BH970" s="27"/>
      <c r="BI970" s="27"/>
      <c r="BJ970" s="27"/>
      <c r="BK970" s="27"/>
      <c r="BL970" s="27"/>
      <c r="BM970" s="27"/>
      <c r="BN970" s="27"/>
      <c r="BO970" s="27"/>
      <c r="BP970" s="27"/>
      <c r="BQ970" s="27"/>
      <c r="BR970" s="27"/>
      <c r="BS970" s="27"/>
      <c r="BT970" s="27"/>
      <c r="BU970" s="27"/>
      <c r="BV970" s="27"/>
      <c r="BW970" s="27"/>
      <c r="BX970" s="27"/>
      <c r="BY970" s="27"/>
      <c r="BZ970" s="27"/>
      <c r="CA970" s="27"/>
      <c r="CB970" s="27"/>
      <c r="CC970" s="27"/>
      <c r="CD970" s="27"/>
      <c r="CE970" s="27"/>
      <c r="CF970" s="27"/>
      <c r="CG970" s="27"/>
      <c r="CH970" s="27"/>
      <c r="CI970" s="27"/>
      <c r="CJ970" s="27"/>
      <c r="CK970" s="27"/>
      <c r="CL970" s="27"/>
      <c r="CM970" s="27"/>
      <c r="CN970" s="27"/>
      <c r="CO970" s="27"/>
      <c r="CP970" s="27"/>
      <c r="CQ970" s="27"/>
      <c r="CR970" s="27"/>
      <c r="CS970" s="27"/>
      <c r="CT970" s="27"/>
      <c r="CU970" s="27"/>
      <c r="CV970" s="27"/>
      <c r="CW970" s="27"/>
      <c r="CX970" s="27"/>
      <c r="CY970" s="27"/>
      <c r="CZ970" s="27"/>
      <c r="DA970" s="27"/>
      <c r="DB970" s="27"/>
      <c r="DC970" s="27"/>
      <c r="DD970" s="27"/>
      <c r="DE970" s="27"/>
      <c r="DF970" s="27"/>
      <c r="DG970" s="27"/>
      <c r="DH970" s="27"/>
      <c r="DI970" s="27"/>
      <c r="DJ970" s="27"/>
      <c r="DK970" s="27"/>
      <c r="DL970" s="27"/>
      <c r="DM970" s="27"/>
      <c r="DN970" s="27"/>
      <c r="DO970" s="27"/>
      <c r="DP970" s="27"/>
      <c r="DQ970" s="27"/>
      <c r="DR970" s="27"/>
      <c r="DS970" s="27"/>
      <c r="DT970" s="27"/>
    </row>
    <row r="971" spans="2:124" x14ac:dyDescent="0.2">
      <c r="B971" s="64"/>
      <c r="D971" s="171"/>
      <c r="E971" s="177"/>
      <c r="F971" s="178" t="s">
        <v>601</v>
      </c>
      <c r="G971" s="27" t="e">
        <f>IF(G966&lt;='[1]נתוני מס'!L31,G966*'[1]נתוני מס'!E34,(G966-'[1]נתוני מס'!L31)*'[1]נתוני מס'!G34+'[1]נתוני מס'!F34)</f>
        <v>#REF!</v>
      </c>
      <c r="H971" s="27"/>
      <c r="I971" s="27"/>
      <c r="J971" s="27"/>
      <c r="K971" s="27"/>
      <c r="L971" s="27"/>
      <c r="M971" s="27"/>
      <c r="N971" s="27"/>
      <c r="O971" s="27"/>
      <c r="P971" s="27"/>
      <c r="Q971" s="27"/>
      <c r="R971" s="27"/>
      <c r="S971" s="27"/>
      <c r="T971" s="27"/>
      <c r="U971" s="27"/>
      <c r="V971" s="27"/>
      <c r="W971" s="27"/>
      <c r="X971" s="27"/>
      <c r="Y971" s="27"/>
      <c r="Z971" s="27"/>
      <c r="AA971" s="27"/>
      <c r="AB971" s="27"/>
      <c r="AC971" s="27"/>
      <c r="AD971" s="27"/>
      <c r="AE971" s="27"/>
      <c r="AF971" s="27"/>
      <c r="AG971" s="27"/>
      <c r="AH971" s="27"/>
      <c r="AI971" s="27"/>
      <c r="AJ971" s="27"/>
      <c r="AK971" s="27"/>
      <c r="AL971" s="27"/>
      <c r="AM971" s="27"/>
      <c r="AN971" s="27"/>
      <c r="AO971" s="27"/>
      <c r="AP971" s="27"/>
      <c r="AQ971" s="27"/>
      <c r="AR971" s="27"/>
      <c r="AS971" s="27"/>
      <c r="AT971" s="27"/>
      <c r="AU971" s="27"/>
      <c r="AV971" s="27"/>
      <c r="AW971" s="27"/>
      <c r="AX971" s="27"/>
      <c r="AY971" s="27"/>
      <c r="AZ971" s="27"/>
      <c r="BA971" s="27"/>
      <c r="BB971" s="27"/>
      <c r="BC971" s="27"/>
      <c r="BD971" s="27"/>
      <c r="BE971" s="27"/>
      <c r="BF971" s="27"/>
      <c r="BG971" s="27"/>
      <c r="BH971" s="27"/>
      <c r="BI971" s="27"/>
      <c r="BJ971" s="27"/>
      <c r="BK971" s="27"/>
      <c r="BL971" s="27"/>
      <c r="BM971" s="27"/>
      <c r="BN971" s="27"/>
      <c r="BO971" s="27"/>
      <c r="BP971" s="27"/>
      <c r="BQ971" s="27"/>
      <c r="BR971" s="27"/>
      <c r="BS971" s="27"/>
      <c r="BT971" s="27"/>
      <c r="BU971" s="27"/>
      <c r="BV971" s="27"/>
      <c r="BW971" s="27"/>
      <c r="BX971" s="27"/>
      <c r="BY971" s="27"/>
      <c r="BZ971" s="27"/>
      <c r="CA971" s="27"/>
      <c r="CB971" s="27"/>
      <c r="CC971" s="27"/>
      <c r="CD971" s="27"/>
      <c r="CE971" s="27"/>
      <c r="CF971" s="27"/>
      <c r="CG971" s="27"/>
      <c r="CH971" s="27"/>
      <c r="CI971" s="27"/>
      <c r="CJ971" s="27"/>
      <c r="CK971" s="27"/>
      <c r="CL971" s="27"/>
      <c r="CM971" s="27"/>
      <c r="CN971" s="27"/>
      <c r="CO971" s="27"/>
      <c r="CP971" s="27"/>
      <c r="CQ971" s="27"/>
      <c r="CR971" s="27"/>
      <c r="CS971" s="27"/>
      <c r="CT971" s="27"/>
      <c r="CU971" s="27"/>
      <c r="CV971" s="27"/>
      <c r="CW971" s="27"/>
      <c r="CX971" s="27"/>
      <c r="CY971" s="27"/>
      <c r="CZ971" s="27"/>
      <c r="DA971" s="27"/>
      <c r="DB971" s="27"/>
      <c r="DC971" s="27"/>
      <c r="DD971" s="27"/>
      <c r="DE971" s="27"/>
      <c r="DF971" s="27"/>
      <c r="DG971" s="27"/>
      <c r="DH971" s="27"/>
      <c r="DI971" s="27"/>
      <c r="DJ971" s="27"/>
      <c r="DK971" s="27"/>
      <c r="DL971" s="27"/>
      <c r="DM971" s="27"/>
      <c r="DN971" s="27"/>
      <c r="DO971" s="27"/>
      <c r="DP971" s="27"/>
      <c r="DQ971" s="27"/>
      <c r="DR971" s="27"/>
      <c r="DS971" s="27"/>
      <c r="DT971" s="27"/>
    </row>
    <row r="972" spans="2:124" x14ac:dyDescent="0.2">
      <c r="B972" s="64"/>
      <c r="D972" s="171"/>
      <c r="E972" s="179" t="s">
        <v>602</v>
      </c>
      <c r="F972" s="178" t="s">
        <v>603</v>
      </c>
      <c r="G972" s="27" t="e">
        <f>SUM(G969:G971)</f>
        <v>#REF!</v>
      </c>
      <c r="H972" s="27"/>
      <c r="I972" s="27"/>
      <c r="J972" s="27"/>
      <c r="K972" s="27"/>
      <c r="L972" s="27"/>
      <c r="M972" s="27"/>
      <c r="N972" s="27"/>
      <c r="O972" s="27"/>
      <c r="P972" s="27"/>
      <c r="Q972" s="27"/>
      <c r="R972" s="27"/>
      <c r="S972" s="27"/>
      <c r="T972" s="27"/>
      <c r="U972" s="27"/>
      <c r="V972" s="27"/>
      <c r="W972" s="27"/>
      <c r="X972" s="27"/>
      <c r="Y972" s="27"/>
      <c r="Z972" s="27"/>
      <c r="AA972" s="27"/>
      <c r="AB972" s="27"/>
      <c r="AC972" s="27"/>
      <c r="AD972" s="27"/>
      <c r="AE972" s="27"/>
      <c r="AF972" s="27"/>
      <c r="AG972" s="27"/>
      <c r="AH972" s="27"/>
      <c r="AI972" s="27"/>
      <c r="AJ972" s="27"/>
      <c r="AK972" s="27"/>
      <c r="AL972" s="27"/>
      <c r="AM972" s="27"/>
      <c r="AN972" s="27"/>
      <c r="AO972" s="27"/>
      <c r="AP972" s="27"/>
      <c r="AQ972" s="27"/>
      <c r="AR972" s="27"/>
      <c r="AS972" s="27"/>
      <c r="AT972" s="27"/>
      <c r="AU972" s="27"/>
      <c r="AV972" s="27"/>
      <c r="AW972" s="27"/>
      <c r="AX972" s="27" t="s">
        <v>59</v>
      </c>
      <c r="AY972" s="27"/>
      <c r="AZ972" s="27"/>
      <c r="BA972" s="27"/>
      <c r="BB972" s="27"/>
      <c r="BC972" s="27"/>
      <c r="BD972" s="27"/>
      <c r="BE972" s="27"/>
      <c r="BF972" s="27"/>
      <c r="BG972" s="27"/>
      <c r="BH972" s="27"/>
      <c r="BI972" s="27"/>
      <c r="BJ972" s="27"/>
      <c r="BK972" s="27"/>
      <c r="BL972" s="27"/>
      <c r="BM972" s="27"/>
      <c r="BN972" s="27"/>
      <c r="BO972" s="27"/>
      <c r="BP972" s="27"/>
      <c r="BQ972" s="27"/>
      <c r="BR972" s="27"/>
      <c r="BS972" s="27"/>
      <c r="BT972" s="27"/>
      <c r="BU972" s="27"/>
      <c r="BV972" s="27"/>
      <c r="BW972" s="27"/>
      <c r="BX972" s="27"/>
      <c r="BY972" s="27"/>
      <c r="BZ972" s="27"/>
      <c r="CA972" s="27"/>
      <c r="CB972" s="27"/>
      <c r="CC972" s="27"/>
      <c r="CD972" s="27"/>
      <c r="CE972" s="27"/>
      <c r="CF972" s="27"/>
      <c r="CG972" s="27"/>
      <c r="CH972" s="27"/>
      <c r="CI972" s="27"/>
      <c r="CJ972" s="27"/>
      <c r="CK972" s="27"/>
      <c r="CL972" s="27"/>
      <c r="CM972" s="27"/>
      <c r="CN972" s="27"/>
      <c r="CO972" s="27"/>
      <c r="CP972" s="27"/>
      <c r="CQ972" s="27"/>
      <c r="CR972" s="27"/>
      <c r="CS972" s="27"/>
      <c r="CT972" s="27"/>
      <c r="CU972" s="27"/>
      <c r="CV972" s="27"/>
      <c r="CW972" s="27"/>
      <c r="CX972" s="27"/>
      <c r="CY972" s="27"/>
      <c r="CZ972" s="27"/>
      <c r="DA972" s="27"/>
      <c r="DB972" s="27"/>
      <c r="DC972" s="27"/>
      <c r="DD972" s="27"/>
      <c r="DE972" s="27"/>
      <c r="DF972" s="27"/>
      <c r="DG972" s="27"/>
      <c r="DH972" s="27"/>
      <c r="DI972" s="27"/>
      <c r="DJ972" s="27"/>
      <c r="DK972" s="27"/>
      <c r="DL972" s="27"/>
      <c r="DM972" s="27"/>
      <c r="DN972" s="27"/>
      <c r="DO972" s="27"/>
      <c r="DP972" s="27"/>
      <c r="DQ972" s="27"/>
      <c r="DR972" s="27"/>
      <c r="DS972" s="27"/>
      <c r="DT972" s="27"/>
    </row>
    <row r="973" spans="2:124" x14ac:dyDescent="0.2">
      <c r="B973" s="64"/>
      <c r="D973" s="171"/>
      <c r="E973" s="179" t="s">
        <v>224</v>
      </c>
      <c r="F973" s="175" t="s">
        <v>604</v>
      </c>
      <c r="G973" s="27" t="e">
        <f>IF(W742=S734,G961/G966*G974,G966-G972)</f>
        <v>#REF!</v>
      </c>
      <c r="H973" s="27"/>
      <c r="I973" s="27"/>
      <c r="J973" s="27"/>
      <c r="K973" s="27"/>
      <c r="L973" s="27"/>
      <c r="M973" s="27"/>
      <c r="N973" s="27"/>
      <c r="O973" s="27"/>
      <c r="P973" s="27"/>
      <c r="Q973" s="27"/>
      <c r="R973" s="27"/>
      <c r="S973" s="27"/>
      <c r="T973" s="27"/>
      <c r="U973" s="27"/>
      <c r="V973" s="27"/>
      <c r="W973" s="27"/>
      <c r="X973" s="27"/>
      <c r="Y973" s="27"/>
      <c r="Z973" s="27"/>
      <c r="AA973" s="27"/>
      <c r="AB973" s="27"/>
      <c r="AC973" s="27"/>
      <c r="AD973" s="27"/>
      <c r="AE973" s="27"/>
      <c r="AF973" s="27"/>
      <c r="AG973" s="27"/>
      <c r="AH973" s="27"/>
      <c r="AI973" s="27"/>
      <c r="AJ973" s="27"/>
      <c r="AK973" s="27"/>
      <c r="AL973" s="27"/>
      <c r="AM973" s="27"/>
      <c r="AN973" s="27"/>
      <c r="AO973" s="27"/>
      <c r="AP973" s="27"/>
      <c r="AQ973" s="27"/>
      <c r="AR973" s="27"/>
      <c r="AS973" s="27"/>
      <c r="AT973" s="27"/>
      <c r="AU973" s="27"/>
      <c r="AV973" s="27"/>
      <c r="AW973" s="27"/>
      <c r="AX973" s="27"/>
      <c r="AY973" s="27"/>
      <c r="AZ973" s="27"/>
      <c r="BA973" s="27"/>
      <c r="BB973" s="27"/>
      <c r="BC973" s="27"/>
      <c r="BD973" s="27"/>
      <c r="BE973" s="27"/>
      <c r="BF973" s="27"/>
      <c r="BG973" s="27"/>
      <c r="BH973" s="27"/>
      <c r="BI973" s="27"/>
      <c r="BJ973" s="27"/>
      <c r="BK973" s="27"/>
      <c r="BL973" s="27"/>
      <c r="BM973" s="27"/>
      <c r="BN973" s="27"/>
      <c r="BO973" s="27"/>
      <c r="BP973" s="27"/>
      <c r="BQ973" s="27"/>
      <c r="BR973" s="27"/>
      <c r="BS973" s="27"/>
      <c r="BT973" s="27"/>
      <c r="BU973" s="27"/>
      <c r="BV973" s="27"/>
      <c r="BW973" s="27"/>
      <c r="BX973" s="27"/>
      <c r="BY973" s="27"/>
      <c r="BZ973" s="27"/>
      <c r="CA973" s="27"/>
      <c r="CB973" s="27"/>
      <c r="CC973" s="27"/>
      <c r="CD973" s="27"/>
      <c r="CE973" s="27"/>
      <c r="CF973" s="27"/>
      <c r="CG973" s="27"/>
      <c r="CH973" s="27"/>
      <c r="CI973" s="27"/>
      <c r="CJ973" s="27"/>
      <c r="CK973" s="27"/>
      <c r="CL973" s="27"/>
      <c r="CM973" s="27"/>
      <c r="CN973" s="27"/>
      <c r="CO973" s="27"/>
      <c r="CP973" s="27"/>
      <c r="CQ973" s="27"/>
      <c r="CR973" s="27"/>
      <c r="CS973" s="27"/>
      <c r="CT973" s="27"/>
      <c r="CU973" s="27"/>
      <c r="CV973" s="27"/>
      <c r="CW973" s="27"/>
      <c r="CX973" s="27"/>
      <c r="CY973" s="27"/>
      <c r="CZ973" s="27"/>
      <c r="DA973" s="27"/>
      <c r="DB973" s="27"/>
      <c r="DC973" s="27"/>
      <c r="DD973" s="27"/>
      <c r="DE973" s="27"/>
      <c r="DF973" s="27"/>
      <c r="DG973" s="27"/>
      <c r="DH973" s="27"/>
      <c r="DI973" s="27"/>
      <c r="DJ973" s="27"/>
      <c r="DK973" s="27"/>
      <c r="DL973" s="27"/>
      <c r="DM973" s="27"/>
      <c r="DN973" s="27"/>
      <c r="DO973" s="27"/>
      <c r="DP973" s="27"/>
      <c r="DQ973" s="27"/>
      <c r="DR973" s="27"/>
      <c r="DS973" s="27"/>
      <c r="DT973" s="27"/>
    </row>
    <row r="974" spans="2:124" ht="18.75" thickBot="1" x14ac:dyDescent="0.3">
      <c r="B974" s="64"/>
      <c r="D974" s="180" t="s">
        <v>605</v>
      </c>
      <c r="E974" s="181" t="e">
        <f ca="1">BI737</f>
        <v>#REF!</v>
      </c>
      <c r="F974" s="182" t="s">
        <v>382</v>
      </c>
      <c r="G974" s="27" t="e">
        <f>G966-G972</f>
        <v>#REF!</v>
      </c>
      <c r="H974" s="27"/>
      <c r="I974" s="27"/>
      <c r="J974" s="27"/>
      <c r="K974" s="27"/>
      <c r="L974" s="27"/>
      <c r="M974" s="27"/>
      <c r="N974" s="27"/>
      <c r="O974" s="27"/>
      <c r="P974" s="27"/>
      <c r="Q974" s="27"/>
      <c r="R974" s="27"/>
      <c r="S974" s="27"/>
      <c r="T974" s="27"/>
      <c r="U974" s="27"/>
      <c r="V974" s="27"/>
      <c r="W974" s="27"/>
      <c r="X974" s="27"/>
      <c r="Y974" s="27"/>
      <c r="Z974" s="27"/>
      <c r="AA974" s="27"/>
      <c r="AB974" s="27"/>
      <c r="AC974" s="27"/>
      <c r="AD974" s="27"/>
      <c r="AE974" s="27"/>
      <c r="AF974" s="27"/>
      <c r="AG974" s="27"/>
      <c r="AH974" s="27"/>
      <c r="AI974" s="27"/>
      <c r="AJ974" s="27"/>
      <c r="AK974" s="27"/>
      <c r="AL974" s="27"/>
      <c r="AM974" s="27"/>
      <c r="AN974" s="27"/>
      <c r="AO974" s="27"/>
      <c r="AP974" s="27"/>
      <c r="AQ974" s="27"/>
      <c r="AR974" s="27"/>
      <c r="AS974" s="27"/>
      <c r="AT974" s="27"/>
      <c r="AU974" s="27"/>
      <c r="AV974" s="27"/>
      <c r="AW974" s="27"/>
      <c r="AX974" s="27"/>
      <c r="AY974" s="27"/>
      <c r="AZ974" s="27"/>
      <c r="BA974" s="27"/>
      <c r="BB974" s="27"/>
      <c r="BC974" s="27"/>
      <c r="BD974" s="27"/>
      <c r="BE974" s="27"/>
      <c r="BF974" s="27"/>
      <c r="BG974" s="27"/>
      <c r="BH974" s="27"/>
      <c r="BI974" s="27"/>
      <c r="BJ974" s="27"/>
      <c r="BK974" s="27"/>
      <c r="BL974" s="27"/>
      <c r="BM974" s="27"/>
      <c r="BN974" s="27"/>
      <c r="BO974" s="27"/>
      <c r="BP974" s="27"/>
      <c r="BQ974" s="27"/>
      <c r="BR974" s="27"/>
      <c r="BS974" s="27"/>
      <c r="BT974" s="27"/>
      <c r="BU974" s="27"/>
      <c r="BV974" s="27"/>
      <c r="BW974" s="27"/>
      <c r="BX974" s="27"/>
      <c r="BY974" s="27"/>
      <c r="BZ974" s="27"/>
      <c r="CA974" s="27"/>
      <c r="CB974" s="27"/>
      <c r="CC974" s="27"/>
      <c r="CD974" s="27"/>
      <c r="CE974" s="27"/>
      <c r="CF974" s="27"/>
      <c r="CG974" s="27"/>
      <c r="CH974" s="27"/>
      <c r="CI974" s="27"/>
      <c r="CJ974" s="27"/>
      <c r="CK974" s="27"/>
      <c r="CL974" s="27"/>
      <c r="CM974" s="27"/>
      <c r="CN974" s="27"/>
      <c r="CO974" s="27"/>
      <c r="CP974" s="27"/>
      <c r="CQ974" s="27"/>
      <c r="CR974" s="27"/>
      <c r="CS974" s="27"/>
      <c r="CT974" s="27"/>
      <c r="CU974" s="27"/>
      <c r="CV974" s="27"/>
      <c r="CW974" s="27"/>
      <c r="CX974" s="27"/>
      <c r="CY974" s="27"/>
      <c r="CZ974" s="27"/>
      <c r="DA974" s="27"/>
      <c r="DB974" s="27"/>
      <c r="DC974" s="27"/>
      <c r="DD974" s="27"/>
      <c r="DE974" s="27"/>
      <c r="DF974" s="27"/>
      <c r="DG974" s="27"/>
      <c r="DH974" s="27"/>
      <c r="DI974" s="27"/>
      <c r="DJ974" s="27"/>
      <c r="DK974" s="27"/>
      <c r="DL974" s="27"/>
      <c r="DM974" s="27"/>
      <c r="DN974" s="27"/>
      <c r="DO974" s="27"/>
      <c r="DP974" s="27"/>
      <c r="DQ974" s="27"/>
      <c r="DR974" s="27"/>
      <c r="DS974" s="27"/>
      <c r="DT974" s="27"/>
    </row>
    <row r="975" spans="2:124" ht="16.5" thickTop="1" thickBot="1" x14ac:dyDescent="0.3">
      <c r="B975" s="64"/>
      <c r="D975" s="183" t="s">
        <v>606</v>
      </c>
      <c r="E975" s="184"/>
      <c r="F975" s="185"/>
      <c r="G975" s="27"/>
      <c r="H975" s="27"/>
      <c r="I975" s="27"/>
      <c r="J975" s="27"/>
      <c r="K975" s="27"/>
      <c r="L975" s="27"/>
      <c r="M975" s="27"/>
      <c r="N975" s="27"/>
      <c r="O975" s="27"/>
      <c r="P975" s="27"/>
      <c r="Q975" s="27"/>
      <c r="R975" s="27"/>
      <c r="S975" s="27"/>
      <c r="T975" s="27"/>
      <c r="U975" s="27"/>
      <c r="V975" s="27"/>
      <c r="W975" s="27"/>
      <c r="X975" s="27"/>
      <c r="Y975" s="27"/>
      <c r="Z975" s="27"/>
      <c r="AA975" s="27"/>
      <c r="AB975" s="27"/>
      <c r="AC975" s="27"/>
      <c r="AD975" s="27"/>
      <c r="AE975" s="27"/>
      <c r="AF975" s="27"/>
      <c r="AG975" s="27"/>
      <c r="AH975" s="27"/>
      <c r="AI975" s="27"/>
      <c r="AJ975" s="27"/>
      <c r="AK975" s="27"/>
      <c r="AL975" s="27"/>
      <c r="AM975" s="27"/>
      <c r="AN975" s="27"/>
      <c r="AO975" s="27"/>
      <c r="AP975" s="27"/>
      <c r="AQ975" s="27"/>
      <c r="AR975" s="27"/>
      <c r="AS975" s="27"/>
      <c r="AT975" s="27"/>
      <c r="AU975" s="27"/>
      <c r="AV975" s="27"/>
      <c r="AW975" s="27"/>
      <c r="AX975" s="27"/>
      <c r="AY975" s="27"/>
      <c r="AZ975" s="27"/>
      <c r="BA975" s="27"/>
      <c r="BB975" s="27"/>
      <c r="BC975" s="27"/>
      <c r="BD975" s="27"/>
      <c r="BE975" s="27"/>
      <c r="BF975" s="27"/>
      <c r="BG975" s="27"/>
      <c r="BH975" s="27"/>
      <c r="BI975" s="27"/>
      <c r="BJ975" s="27"/>
      <c r="BK975" s="27"/>
      <c r="BL975" s="27"/>
      <c r="BM975" s="27"/>
      <c r="BN975" s="27"/>
      <c r="BO975" s="27"/>
      <c r="BP975" s="27"/>
      <c r="BQ975" s="27"/>
      <c r="BR975" s="27"/>
      <c r="BS975" s="27"/>
      <c r="BT975" s="27"/>
      <c r="BU975" s="27"/>
      <c r="BV975" s="27"/>
      <c r="BW975" s="27"/>
      <c r="BX975" s="27"/>
      <c r="BY975" s="27"/>
      <c r="BZ975" s="27"/>
      <c r="CA975" s="27"/>
      <c r="CB975" s="27"/>
      <c r="CC975" s="27"/>
      <c r="CD975" s="27"/>
      <c r="CE975" s="27"/>
      <c r="CF975" s="27"/>
      <c r="CG975" s="27"/>
      <c r="CH975" s="27"/>
      <c r="CI975" s="27"/>
      <c r="CJ975" s="27"/>
      <c r="CK975" s="27"/>
      <c r="CL975" s="27"/>
      <c r="CM975" s="27"/>
      <c r="CN975" s="27"/>
      <c r="CO975" s="27"/>
      <c r="CP975" s="27"/>
      <c r="CQ975" s="27"/>
      <c r="CR975" s="27"/>
      <c r="CS975" s="27"/>
      <c r="CT975" s="27"/>
      <c r="CU975" s="27"/>
      <c r="CV975" s="27"/>
      <c r="CW975" s="27"/>
      <c r="CX975" s="27"/>
      <c r="CY975" s="27"/>
      <c r="CZ975" s="27"/>
      <c r="DA975" s="27"/>
      <c r="DB975" s="27"/>
      <c r="DC975" s="27"/>
      <c r="DD975" s="27"/>
      <c r="DE975" s="27"/>
      <c r="DF975" s="27"/>
      <c r="DG975" s="27"/>
      <c r="DH975" s="27"/>
      <c r="DI975" s="27"/>
      <c r="DJ975" s="27"/>
      <c r="DK975" s="27"/>
      <c r="DL975" s="27"/>
      <c r="DM975" s="27"/>
      <c r="DN975" s="27"/>
      <c r="DO975" s="27"/>
      <c r="DP975" s="27"/>
      <c r="DQ975" s="27"/>
      <c r="DR975" s="27"/>
      <c r="DS975" s="27"/>
      <c r="DT975" s="27"/>
    </row>
    <row r="976" spans="2:124" ht="15" thickTop="1" x14ac:dyDescent="0.2">
      <c r="B976" s="64"/>
      <c r="D976"/>
      <c r="E976"/>
      <c r="F976"/>
      <c r="G976" s="27"/>
      <c r="H976" s="27"/>
      <c r="I976" s="27"/>
      <c r="J976" s="27"/>
      <c r="K976" s="27"/>
      <c r="L976" s="27"/>
      <c r="M976" s="27"/>
      <c r="N976" s="27"/>
      <c r="O976" s="27"/>
      <c r="P976" s="27"/>
      <c r="Q976" s="27"/>
      <c r="R976" s="27"/>
      <c r="S976" s="27"/>
      <c r="T976" s="27"/>
      <c r="U976" s="27"/>
      <c r="V976" s="27"/>
      <c r="W976" s="27"/>
      <c r="X976" s="27"/>
      <c r="Y976" s="27"/>
      <c r="Z976" s="27"/>
      <c r="AA976" s="27"/>
      <c r="AB976" s="27"/>
      <c r="AC976" s="27"/>
      <c r="AD976" s="27"/>
      <c r="AE976" s="27"/>
      <c r="AF976" s="27"/>
      <c r="AG976" s="27"/>
      <c r="AH976" s="27"/>
      <c r="AI976" s="27"/>
      <c r="AJ976" s="27"/>
      <c r="AK976" s="27"/>
      <c r="AL976" s="27"/>
      <c r="AM976" s="27"/>
      <c r="AN976" s="27"/>
      <c r="AO976" s="27"/>
      <c r="AP976" s="27"/>
      <c r="AQ976" s="27"/>
      <c r="AR976" s="27"/>
      <c r="AS976" s="27"/>
      <c r="AT976" s="27"/>
      <c r="AU976" s="27"/>
      <c r="AV976" s="27"/>
      <c r="AW976" s="27"/>
      <c r="AX976" s="27"/>
      <c r="AY976" s="27"/>
      <c r="AZ976" s="27"/>
      <c r="BA976" s="27"/>
      <c r="BB976" s="27"/>
      <c r="BC976" s="27"/>
      <c r="BD976" s="27"/>
      <c r="BE976" s="27"/>
      <c r="BF976" s="27"/>
      <c r="BG976" s="27"/>
      <c r="BH976" s="27"/>
      <c r="BI976" s="27"/>
      <c r="BJ976" s="27"/>
      <c r="BK976" s="27"/>
      <c r="BL976" s="27"/>
      <c r="BM976" s="27"/>
      <c r="BN976" s="27"/>
      <c r="BO976" s="27"/>
      <c r="BP976" s="27"/>
      <c r="BQ976" s="27"/>
      <c r="BR976" s="27"/>
      <c r="BS976" s="27"/>
      <c r="BT976" s="27"/>
      <c r="BU976" s="27"/>
      <c r="BV976" s="27"/>
      <c r="BW976" s="27"/>
      <c r="BX976" s="27"/>
      <c r="BY976" s="27"/>
      <c r="BZ976" s="27"/>
      <c r="CA976" s="27"/>
      <c r="CB976" s="27"/>
      <c r="CC976" s="27"/>
      <c r="CD976" s="27"/>
      <c r="CE976" s="27"/>
      <c r="CF976" s="27"/>
      <c r="CG976" s="27"/>
      <c r="CH976" s="27"/>
      <c r="CI976" s="27"/>
      <c r="CJ976" s="27"/>
      <c r="CK976" s="27"/>
      <c r="CL976" s="27"/>
      <c r="CM976" s="27"/>
      <c r="CN976" s="27"/>
      <c r="CO976" s="27"/>
      <c r="CP976" s="27"/>
      <c r="CQ976" s="27"/>
      <c r="CR976" s="27"/>
      <c r="CS976" s="27"/>
      <c r="CT976" s="27"/>
      <c r="CU976" s="27"/>
      <c r="CV976" s="27"/>
      <c r="CW976" s="27"/>
      <c r="CX976" s="27"/>
      <c r="CY976" s="27"/>
      <c r="CZ976" s="27"/>
      <c r="DA976" s="27"/>
      <c r="DB976" s="27"/>
      <c r="DC976" s="27"/>
      <c r="DD976" s="27"/>
      <c r="DE976" s="27"/>
      <c r="DF976" s="27"/>
      <c r="DG976" s="27"/>
      <c r="DH976" s="27"/>
      <c r="DI976" s="27"/>
      <c r="DJ976" s="27"/>
      <c r="DK976" s="27"/>
      <c r="DL976" s="27"/>
      <c r="DM976" s="27"/>
      <c r="DN976" s="27"/>
      <c r="DO976" s="27"/>
      <c r="DP976" s="27"/>
      <c r="DQ976" s="27"/>
      <c r="DR976" s="27"/>
      <c r="DS976" s="27"/>
      <c r="DT976" s="27"/>
    </row>
    <row r="977" spans="2:124" ht="15.75" x14ac:dyDescent="0.25">
      <c r="B977" s="64"/>
      <c r="D977"/>
      <c r="E977" s="134" t="s">
        <v>545</v>
      </c>
      <c r="F977"/>
      <c r="G977" s="27"/>
      <c r="H977" s="27"/>
      <c r="I977" s="27"/>
      <c r="J977" s="27"/>
      <c r="K977" s="27"/>
      <c r="L977" s="27"/>
      <c r="M977" s="27"/>
      <c r="N977" s="27"/>
      <c r="O977" s="27"/>
      <c r="P977" s="27"/>
      <c r="Q977" s="27"/>
      <c r="R977" s="27"/>
      <c r="S977" s="27"/>
      <c r="T977" s="27"/>
      <c r="U977" s="27"/>
      <c r="V977" s="27"/>
      <c r="W977" s="27"/>
      <c r="X977" s="27"/>
      <c r="Y977" s="27"/>
      <c r="Z977" s="27"/>
      <c r="AA977" s="27"/>
      <c r="AB977" s="27"/>
      <c r="AC977" s="27"/>
      <c r="AD977" s="27"/>
      <c r="AE977" s="27"/>
      <c r="AF977" s="27"/>
      <c r="AG977" s="27"/>
      <c r="AH977" s="27"/>
      <c r="AI977" s="27"/>
      <c r="AJ977" s="27"/>
      <c r="AK977" s="27"/>
      <c r="AL977" s="27"/>
      <c r="AM977" s="27"/>
      <c r="AN977" s="27"/>
      <c r="AO977" s="27"/>
      <c r="AP977" s="27"/>
      <c r="AQ977" s="27"/>
      <c r="AR977" s="27"/>
      <c r="AS977" s="27"/>
      <c r="AT977" s="27"/>
      <c r="AU977" s="27"/>
      <c r="AV977" s="27"/>
      <c r="AW977" s="27"/>
      <c r="AX977" s="27"/>
      <c r="AY977" s="27"/>
      <c r="AZ977" s="27"/>
      <c r="BA977" s="27"/>
      <c r="BB977" s="27"/>
      <c r="BC977" s="27"/>
      <c r="BD977" s="27"/>
      <c r="BE977" s="27"/>
      <c r="BF977" s="27"/>
      <c r="BG977" s="27"/>
      <c r="BH977" s="27"/>
      <c r="BI977" s="27"/>
      <c r="BJ977" s="27"/>
      <c r="BK977" s="27"/>
      <c r="BL977" s="27"/>
      <c r="BM977" s="27"/>
      <c r="BN977" s="27"/>
      <c r="BO977" s="27"/>
      <c r="BP977" s="27"/>
      <c r="BQ977" s="27"/>
      <c r="BR977" s="27"/>
      <c r="BS977" s="27"/>
      <c r="BT977" s="27"/>
      <c r="BU977" s="27"/>
      <c r="BV977" s="27"/>
      <c r="BW977" s="27"/>
      <c r="BX977" s="27"/>
      <c r="BY977" s="27"/>
      <c r="BZ977" s="27"/>
      <c r="CA977" s="27"/>
      <c r="CB977" s="27"/>
      <c r="CC977" s="27"/>
      <c r="CD977" s="27"/>
      <c r="CE977" s="27"/>
      <c r="CF977" s="27"/>
      <c r="CG977" s="27"/>
      <c r="CH977" s="27"/>
      <c r="CI977" s="27"/>
      <c r="CJ977" s="27"/>
      <c r="CK977" s="27"/>
      <c r="CL977" s="27"/>
      <c r="CM977" s="27"/>
      <c r="CN977" s="27"/>
      <c r="CO977" s="27"/>
      <c r="CP977" s="27"/>
      <c r="CQ977" s="27"/>
      <c r="CR977" s="27"/>
      <c r="CS977" s="27"/>
      <c r="CT977" s="27"/>
      <c r="CU977" s="27"/>
      <c r="CV977" s="27"/>
      <c r="CW977" s="27"/>
      <c r="CX977" s="27"/>
      <c r="CY977" s="27"/>
      <c r="CZ977" s="27"/>
      <c r="DA977" s="27"/>
      <c r="DB977" s="27"/>
      <c r="DC977" s="27"/>
      <c r="DD977" s="27"/>
      <c r="DE977" s="27"/>
      <c r="DF977" s="27"/>
      <c r="DG977" s="27"/>
      <c r="DH977" s="27"/>
      <c r="DI977" s="27"/>
      <c r="DJ977" s="27"/>
      <c r="DK977" s="27"/>
      <c r="DL977" s="27"/>
      <c r="DM977" s="27"/>
      <c r="DN977" s="27"/>
      <c r="DO977" s="27"/>
      <c r="DP977" s="27"/>
      <c r="DQ977" s="27"/>
      <c r="DR977" s="27"/>
      <c r="DS977" s="27"/>
      <c r="DT977" s="27"/>
    </row>
    <row r="978" spans="2:124" x14ac:dyDescent="0.2">
      <c r="B978" s="64"/>
      <c r="D978"/>
      <c r="E978"/>
      <c r="F978"/>
      <c r="G978" s="27"/>
      <c r="H978" s="27"/>
      <c r="I978" s="27"/>
      <c r="J978" s="27"/>
      <c r="K978" s="27"/>
      <c r="L978" s="27"/>
      <c r="M978" s="27"/>
      <c r="N978" s="27"/>
      <c r="O978" s="27"/>
      <c r="P978" s="27"/>
      <c r="Q978" s="27"/>
      <c r="R978" s="27"/>
      <c r="S978" s="27"/>
      <c r="T978" s="27"/>
      <c r="U978" s="27"/>
      <c r="V978" s="27"/>
      <c r="W978" s="27"/>
      <c r="X978" s="27"/>
      <c r="Y978" s="27"/>
      <c r="Z978" s="27"/>
      <c r="AA978" s="27"/>
      <c r="AB978" s="27"/>
      <c r="AC978" s="27"/>
      <c r="AD978" s="27"/>
      <c r="AE978" s="27"/>
      <c r="AF978" s="27"/>
      <c r="AG978" s="27"/>
      <c r="AH978" s="27"/>
      <c r="AI978" s="27"/>
      <c r="AJ978" s="27"/>
      <c r="AK978" s="27"/>
      <c r="AL978" s="27"/>
      <c r="AM978" s="27"/>
      <c r="AN978" s="27"/>
      <c r="AO978" s="27"/>
      <c r="AP978" s="27"/>
      <c r="AQ978" s="27"/>
      <c r="AR978" s="27"/>
      <c r="AS978" s="27"/>
      <c r="AT978" s="27"/>
      <c r="AU978" s="27"/>
      <c r="AV978" s="27"/>
      <c r="AW978" s="27"/>
      <c r="AX978" s="27"/>
      <c r="AY978" s="27"/>
      <c r="AZ978" s="27"/>
      <c r="BA978" s="27"/>
      <c r="BB978" s="27"/>
      <c r="BC978" s="27"/>
      <c r="BD978" s="27"/>
      <c r="BE978" s="27"/>
      <c r="BF978" s="27"/>
      <c r="BG978" s="27"/>
      <c r="BH978" s="27"/>
      <c r="BI978" s="27"/>
      <c r="BJ978" s="27"/>
      <c r="BK978" s="27"/>
      <c r="BL978" s="27"/>
      <c r="BM978" s="27"/>
      <c r="BN978" s="27"/>
      <c r="BO978" s="27"/>
      <c r="BP978" s="27"/>
      <c r="BQ978" s="27"/>
      <c r="BR978" s="27"/>
      <c r="BS978" s="27"/>
      <c r="BT978" s="27"/>
      <c r="BU978" s="27"/>
      <c r="BV978" s="27"/>
      <c r="BW978" s="27"/>
      <c r="BX978" s="27"/>
      <c r="BY978" s="27"/>
      <c r="BZ978" s="27"/>
      <c r="CA978" s="27"/>
      <c r="CB978" s="27"/>
      <c r="CC978" s="27"/>
      <c r="CD978" s="27"/>
      <c r="CE978" s="27"/>
      <c r="CF978" s="27"/>
      <c r="CG978" s="27"/>
      <c r="CH978" s="27"/>
      <c r="CI978" s="27"/>
      <c r="CJ978" s="27"/>
      <c r="CK978" s="27"/>
      <c r="CL978" s="27"/>
      <c r="CM978" s="27"/>
      <c r="CN978" s="27"/>
      <c r="CO978" s="27"/>
      <c r="CP978" s="27"/>
      <c r="CQ978" s="27"/>
      <c r="CR978" s="27"/>
      <c r="CS978" s="27"/>
      <c r="CT978" s="27"/>
      <c r="CU978" s="27"/>
      <c r="CV978" s="27"/>
      <c r="CW978" s="27"/>
      <c r="CX978" s="27"/>
      <c r="CY978" s="27"/>
      <c r="CZ978" s="27"/>
      <c r="DA978" s="27"/>
      <c r="DB978" s="27"/>
      <c r="DC978" s="27"/>
      <c r="DD978" s="27"/>
      <c r="DE978" s="27"/>
      <c r="DF978" s="27"/>
      <c r="DG978" s="27"/>
      <c r="DH978" s="27"/>
      <c r="DI978" s="27"/>
      <c r="DJ978" s="27"/>
      <c r="DK978" s="27"/>
      <c r="DL978" s="27"/>
      <c r="DM978" s="27"/>
      <c r="DN978" s="27"/>
      <c r="DO978" s="27"/>
      <c r="DP978" s="27"/>
      <c r="DQ978" s="27"/>
      <c r="DR978" s="27"/>
      <c r="DS978" s="27"/>
      <c r="DT978" s="27"/>
    </row>
    <row r="979" spans="2:124" x14ac:dyDescent="0.2">
      <c r="B979" s="64"/>
      <c r="D979"/>
      <c r="E979"/>
      <c r="F979"/>
      <c r="G979" s="27"/>
      <c r="H979" s="27"/>
      <c r="I979" s="27"/>
      <c r="J979" s="27"/>
      <c r="K979" s="27"/>
      <c r="L979" s="27"/>
      <c r="M979" s="27"/>
      <c r="N979" s="27"/>
      <c r="O979" s="27"/>
      <c r="P979" s="27"/>
      <c r="Q979" s="27"/>
      <c r="R979" s="27"/>
      <c r="S979" s="27"/>
      <c r="T979" s="27"/>
      <c r="U979" s="27"/>
      <c r="V979" s="27"/>
      <c r="W979" s="27"/>
      <c r="X979" s="27"/>
      <c r="Y979" s="27"/>
      <c r="Z979" s="27"/>
      <c r="AA979" s="27"/>
      <c r="AB979" s="27"/>
      <c r="AC979" s="27"/>
      <c r="AD979" s="27"/>
      <c r="AE979" s="27"/>
      <c r="AF979" s="27"/>
      <c r="AG979" s="27"/>
      <c r="AH979" s="27"/>
      <c r="AI979" s="27"/>
      <c r="AJ979" s="27"/>
      <c r="AK979" s="27"/>
      <c r="AL979" s="27"/>
      <c r="AM979" s="27"/>
      <c r="AN979" s="27"/>
      <c r="AO979" s="27"/>
      <c r="AP979" s="27"/>
      <c r="AQ979" s="27"/>
      <c r="AR979" s="27"/>
      <c r="AS979" s="27"/>
      <c r="AT979" s="27"/>
      <c r="AU979" s="27"/>
      <c r="AV979" s="27"/>
      <c r="AW979" s="27"/>
      <c r="AX979" s="27"/>
      <c r="AY979" s="27"/>
      <c r="AZ979" s="27"/>
      <c r="BA979" s="27"/>
      <c r="BB979" s="27"/>
      <c r="BC979" s="27"/>
      <c r="BD979" s="27"/>
      <c r="BE979" s="27"/>
      <c r="BF979" s="27"/>
      <c r="BG979" s="27"/>
      <c r="BH979" s="27"/>
      <c r="BI979" s="27"/>
      <c r="BJ979" s="27"/>
      <c r="BK979" s="27"/>
      <c r="BL979" s="27"/>
      <c r="BM979" s="27"/>
      <c r="BN979" s="27"/>
      <c r="BO979" s="27"/>
      <c r="BP979" s="27"/>
      <c r="BQ979" s="27"/>
      <c r="BR979" s="27"/>
      <c r="BS979" s="27"/>
      <c r="BT979" s="27"/>
      <c r="BU979" s="27"/>
      <c r="BV979" s="27"/>
      <c r="BW979" s="27"/>
      <c r="BX979" s="27"/>
      <c r="BY979" s="27"/>
      <c r="BZ979" s="27"/>
      <c r="CA979" s="27"/>
      <c r="CB979" s="27"/>
      <c r="CC979" s="27"/>
      <c r="CD979" s="27"/>
      <c r="CE979" s="27"/>
      <c r="CF979" s="27"/>
      <c r="CG979" s="27"/>
      <c r="CH979" s="27"/>
      <c r="CI979" s="27"/>
      <c r="CJ979" s="27"/>
      <c r="CK979" s="27"/>
      <c r="CL979" s="27"/>
      <c r="CM979" s="27"/>
      <c r="CN979" s="27"/>
      <c r="CO979" s="27"/>
      <c r="CP979" s="27"/>
      <c r="CQ979" s="27"/>
      <c r="CR979" s="27"/>
      <c r="CS979" s="27"/>
      <c r="CT979" s="27"/>
      <c r="CU979" s="27"/>
      <c r="CV979" s="27"/>
      <c r="CW979" s="27"/>
      <c r="CX979" s="27"/>
      <c r="CY979" s="27"/>
      <c r="CZ979" s="27"/>
      <c r="DA979" s="27"/>
      <c r="DB979" s="27"/>
      <c r="DC979" s="27"/>
      <c r="DD979" s="27"/>
      <c r="DE979" s="27"/>
      <c r="DF979" s="27"/>
      <c r="DG979" s="27"/>
      <c r="DH979" s="27"/>
      <c r="DI979" s="27"/>
      <c r="DJ979" s="27"/>
      <c r="DK979" s="27"/>
      <c r="DL979" s="27"/>
      <c r="DM979" s="27"/>
      <c r="DN979" s="27"/>
      <c r="DO979" s="27"/>
      <c r="DP979" s="27"/>
      <c r="DQ979" s="27"/>
      <c r="DR979" s="27"/>
      <c r="DS979" s="27"/>
      <c r="DT979" s="27"/>
    </row>
    <row r="980" spans="2:124" x14ac:dyDescent="0.2">
      <c r="B980" s="64"/>
      <c r="D980"/>
      <c r="E980"/>
      <c r="F980"/>
      <c r="G980" s="27"/>
      <c r="H980" s="27"/>
      <c r="I980" s="27"/>
      <c r="J980" s="27"/>
      <c r="K980" s="27"/>
      <c r="L980" s="27"/>
      <c r="M980" s="27"/>
      <c r="N980" s="27"/>
      <c r="O980" s="27"/>
      <c r="P980" s="27"/>
      <c r="Q980" s="27"/>
      <c r="R980" s="27"/>
      <c r="S980" s="27"/>
      <c r="T980" s="27"/>
      <c r="U980" s="27"/>
      <c r="V980" s="27"/>
      <c r="W980" s="27"/>
      <c r="X980" s="27"/>
      <c r="Y980" s="27"/>
      <c r="Z980" s="27"/>
      <c r="AA980" s="27"/>
      <c r="AB980" s="27"/>
      <c r="AC980" s="27"/>
      <c r="AD980" s="27"/>
      <c r="AE980" s="27"/>
      <c r="AF980" s="27"/>
      <c r="AG980" s="27"/>
      <c r="AH980" s="27"/>
      <c r="AI980" s="27"/>
      <c r="AJ980" s="27"/>
      <c r="AK980" s="27"/>
      <c r="AL980" s="27"/>
      <c r="AM980" s="27"/>
      <c r="AN980" s="27"/>
      <c r="AO980" s="27"/>
      <c r="AP980" s="27"/>
      <c r="AQ980" s="27"/>
      <c r="AR980" s="27"/>
      <c r="AS980" s="27"/>
      <c r="AT980" s="27"/>
      <c r="AU980" s="27"/>
      <c r="AV980" s="27"/>
      <c r="AW980" s="27"/>
      <c r="AX980" s="27"/>
      <c r="AY980" s="27"/>
      <c r="AZ980" s="27"/>
      <c r="BA980" s="27"/>
      <c r="BB980" s="27"/>
      <c r="BC980" s="27"/>
      <c r="BD980" s="27"/>
      <c r="BE980" s="27"/>
      <c r="BF980" s="27"/>
      <c r="BG980" s="27"/>
      <c r="BH980" s="27"/>
      <c r="BI980" s="27"/>
      <c r="BJ980" s="27"/>
      <c r="BK980" s="27"/>
      <c r="BL980" s="27"/>
      <c r="BM980" s="27"/>
      <c r="BN980" s="27"/>
      <c r="BO980" s="27"/>
      <c r="BP980" s="27"/>
      <c r="BQ980" s="27"/>
      <c r="BR980" s="27"/>
      <c r="BS980" s="27"/>
      <c r="BT980" s="27"/>
      <c r="BU980" s="27"/>
      <c r="BV980" s="27"/>
      <c r="BW980" s="27"/>
      <c r="BX980" s="27"/>
      <c r="BY980" s="27"/>
      <c r="BZ980" s="27"/>
      <c r="CA980" s="27"/>
      <c r="CB980" s="27"/>
      <c r="CC980" s="27"/>
      <c r="CD980" s="27"/>
      <c r="CE980" s="27"/>
      <c r="CF980" s="27"/>
      <c r="CG980" s="27"/>
      <c r="CH980" s="27"/>
      <c r="CI980" s="27"/>
      <c r="CJ980" s="27"/>
      <c r="CK980" s="27"/>
      <c r="CL980" s="27"/>
      <c r="CM980" s="27"/>
      <c r="CN980" s="27"/>
      <c r="CO980" s="27"/>
      <c r="CP980" s="27"/>
      <c r="CQ980" s="27"/>
      <c r="CR980" s="27"/>
      <c r="CS980" s="27"/>
      <c r="CT980" s="27"/>
      <c r="CU980" s="27"/>
      <c r="CV980" s="27"/>
      <c r="CW980" s="27"/>
      <c r="CX980" s="27"/>
      <c r="CY980" s="27"/>
      <c r="CZ980" s="27"/>
      <c r="DA980" s="27"/>
      <c r="DB980" s="27"/>
      <c r="DC980" s="27"/>
      <c r="DD980" s="27"/>
      <c r="DE980" s="27"/>
      <c r="DF980" s="27"/>
      <c r="DG980" s="27"/>
      <c r="DH980" s="27"/>
      <c r="DI980" s="27"/>
      <c r="DJ980" s="27"/>
      <c r="DK980" s="27"/>
      <c r="DL980" s="27"/>
      <c r="DM980" s="27"/>
      <c r="DN980" s="27"/>
      <c r="DO980" s="27"/>
      <c r="DP980" s="27"/>
      <c r="DQ980" s="27"/>
      <c r="DR980" s="27"/>
      <c r="DS980" s="27"/>
      <c r="DT980" s="27"/>
    </row>
    <row r="981" spans="2:124" x14ac:dyDescent="0.2">
      <c r="B981" s="64"/>
      <c r="D981"/>
      <c r="E981"/>
      <c r="F981"/>
      <c r="G981" s="27"/>
      <c r="H981" s="27"/>
      <c r="I981" s="27"/>
      <c r="J981" s="27"/>
      <c r="K981" s="27"/>
      <c r="L981" s="27"/>
      <c r="M981" s="27"/>
      <c r="N981" s="27"/>
      <c r="O981" s="27"/>
      <c r="P981" s="27"/>
      <c r="Q981" s="27"/>
      <c r="R981" s="27"/>
      <c r="S981" s="27"/>
      <c r="T981" s="27"/>
      <c r="U981" s="27"/>
      <c r="V981" s="27"/>
      <c r="W981" s="27"/>
      <c r="X981" s="27"/>
      <c r="Y981" s="27"/>
      <c r="Z981" s="27"/>
      <c r="AA981" s="27"/>
      <c r="AB981" s="27"/>
      <c r="AC981" s="27"/>
      <c r="AD981" s="27"/>
      <c r="AE981" s="27"/>
      <c r="AF981" s="27"/>
      <c r="AG981" s="27"/>
      <c r="AH981" s="27"/>
      <c r="AI981" s="27"/>
      <c r="AJ981" s="27"/>
      <c r="AK981" s="27"/>
      <c r="AL981" s="27"/>
      <c r="AM981" s="27"/>
      <c r="AN981" s="27"/>
      <c r="AO981" s="27"/>
      <c r="AP981" s="27"/>
      <c r="AQ981" s="27"/>
      <c r="AR981" s="27"/>
      <c r="AS981" s="27"/>
      <c r="AT981" s="27"/>
      <c r="AU981" s="27"/>
      <c r="AV981" s="27"/>
      <c r="AW981" s="27"/>
      <c r="AX981" s="27"/>
      <c r="AY981" s="27"/>
      <c r="AZ981" s="27"/>
      <c r="BA981" s="27"/>
      <c r="BB981" s="27"/>
      <c r="BC981" s="27"/>
      <c r="BD981" s="27"/>
      <c r="BE981" s="27"/>
      <c r="BF981" s="27"/>
      <c r="BG981" s="27"/>
      <c r="BH981" s="27"/>
      <c r="BI981" s="27"/>
      <c r="BJ981" s="27"/>
      <c r="BK981" s="27"/>
      <c r="BL981" s="27"/>
      <c r="BM981" s="27"/>
      <c r="BN981" s="27"/>
      <c r="BO981" s="27"/>
      <c r="BP981" s="27"/>
      <c r="BQ981" s="27"/>
      <c r="BR981" s="27"/>
      <c r="BS981" s="27"/>
      <c r="BT981" s="27"/>
      <c r="BU981" s="27"/>
      <c r="BV981" s="27"/>
      <c r="BW981" s="27"/>
      <c r="BX981" s="27"/>
      <c r="BY981" s="27"/>
      <c r="BZ981" s="27"/>
      <c r="CA981" s="27"/>
      <c r="CB981" s="27"/>
      <c r="CC981" s="27"/>
      <c r="CD981" s="27"/>
      <c r="CE981" s="27"/>
      <c r="CF981" s="27"/>
      <c r="CG981" s="27"/>
      <c r="CH981" s="27"/>
      <c r="CI981" s="27"/>
      <c r="CJ981" s="27"/>
      <c r="CK981" s="27"/>
      <c r="CL981" s="27"/>
      <c r="CM981" s="27"/>
      <c r="CN981" s="27"/>
      <c r="CO981" s="27"/>
      <c r="CP981" s="27"/>
      <c r="CQ981" s="27"/>
      <c r="CR981" s="27"/>
      <c r="CS981" s="27"/>
      <c r="CT981" s="27"/>
      <c r="CU981" s="27"/>
      <c r="CV981" s="27"/>
      <c r="CW981" s="27"/>
      <c r="CX981" s="27"/>
      <c r="CY981" s="27"/>
      <c r="CZ981" s="27"/>
      <c r="DA981" s="27"/>
      <c r="DB981" s="27"/>
      <c r="DC981" s="27"/>
      <c r="DD981" s="27"/>
      <c r="DE981" s="27"/>
      <c r="DF981" s="27"/>
      <c r="DG981" s="27"/>
      <c r="DH981" s="27"/>
      <c r="DI981" s="27"/>
      <c r="DJ981" s="27"/>
      <c r="DK981" s="27"/>
      <c r="DL981" s="27"/>
      <c r="DM981" s="27"/>
      <c r="DN981" s="27"/>
      <c r="DO981" s="27"/>
      <c r="DP981" s="27"/>
      <c r="DQ981" s="27"/>
      <c r="DR981" s="27"/>
      <c r="DS981" s="27"/>
      <c r="DT981" s="27"/>
    </row>
    <row r="982" spans="2:124" x14ac:dyDescent="0.2">
      <c r="B982" s="64"/>
      <c r="D982"/>
      <c r="E982"/>
      <c r="F982"/>
      <c r="G982" s="27"/>
      <c r="H982" s="27"/>
      <c r="I982" s="27"/>
      <c r="J982" s="27"/>
      <c r="K982" s="27"/>
      <c r="L982" s="27"/>
      <c r="M982" s="27"/>
      <c r="N982" s="27"/>
      <c r="O982" s="27"/>
      <c r="P982" s="27"/>
      <c r="Q982" s="27"/>
      <c r="R982" s="27"/>
      <c r="S982" s="27"/>
      <c r="T982" s="27"/>
      <c r="U982" s="27"/>
      <c r="V982" s="27"/>
      <c r="W982" s="27"/>
      <c r="X982" s="27"/>
      <c r="Y982" s="27"/>
      <c r="Z982" s="27"/>
      <c r="AA982" s="27"/>
      <c r="AB982" s="27"/>
      <c r="AC982" s="27"/>
      <c r="AD982" s="27"/>
      <c r="AE982" s="27"/>
      <c r="AF982" s="27"/>
      <c r="AG982" s="27"/>
      <c r="AH982" s="27"/>
      <c r="AI982" s="27"/>
      <c r="AJ982" s="27"/>
      <c r="AK982" s="27"/>
      <c r="AL982" s="27"/>
      <c r="AM982" s="27"/>
      <c r="AN982" s="27"/>
      <c r="AO982" s="27"/>
      <c r="AP982" s="27"/>
      <c r="AQ982" s="27"/>
      <c r="AR982" s="27"/>
      <c r="AS982" s="27"/>
      <c r="AT982" s="27"/>
      <c r="AU982" s="27"/>
      <c r="AV982" s="27"/>
      <c r="AW982" s="27"/>
      <c r="AX982" s="27"/>
      <c r="AY982" s="27"/>
      <c r="AZ982" s="27"/>
      <c r="BA982" s="27"/>
      <c r="BB982" s="27"/>
      <c r="BC982" s="27"/>
      <c r="BD982" s="27"/>
      <c r="BE982" s="27"/>
      <c r="BF982" s="27"/>
      <c r="BG982" s="27"/>
      <c r="BH982" s="27"/>
      <c r="BI982" s="27"/>
      <c r="BJ982" s="27"/>
      <c r="BK982" s="27"/>
      <c r="BL982" s="27"/>
      <c r="BM982" s="27"/>
      <c r="BN982" s="27"/>
      <c r="BO982" s="27"/>
      <c r="BP982" s="27"/>
      <c r="BQ982" s="27"/>
      <c r="BR982" s="27"/>
      <c r="BS982" s="27"/>
      <c r="BT982" s="27"/>
      <c r="BU982" s="27"/>
      <c r="BV982" s="27"/>
      <c r="BW982" s="27"/>
      <c r="BX982" s="27"/>
      <c r="BY982" s="27"/>
      <c r="BZ982" s="27"/>
      <c r="CA982" s="27"/>
      <c r="CB982" s="27"/>
      <c r="CC982" s="27"/>
      <c r="CD982" s="27"/>
      <c r="CE982" s="27"/>
      <c r="CF982" s="27"/>
      <c r="CG982" s="27"/>
      <c r="CH982" s="27"/>
      <c r="CI982" s="27"/>
      <c r="CJ982" s="27"/>
      <c r="CK982" s="27"/>
      <c r="CL982" s="27"/>
      <c r="CM982" s="27"/>
      <c r="CN982" s="27"/>
      <c r="CO982" s="27"/>
      <c r="CP982" s="27"/>
      <c r="CQ982" s="27"/>
      <c r="CR982" s="27"/>
      <c r="CS982" s="27"/>
      <c r="CT982" s="27"/>
      <c r="CU982" s="27"/>
      <c r="CV982" s="27"/>
      <c r="CW982" s="27"/>
      <c r="CX982" s="27"/>
      <c r="CY982" s="27"/>
      <c r="CZ982" s="27"/>
      <c r="DA982" s="27"/>
      <c r="DB982" s="27"/>
      <c r="DC982" s="27"/>
      <c r="DD982" s="27"/>
      <c r="DE982" s="27"/>
      <c r="DF982" s="27"/>
      <c r="DG982" s="27"/>
      <c r="DH982" s="27"/>
      <c r="DI982" s="27"/>
      <c r="DJ982" s="27"/>
      <c r="DK982" s="27"/>
      <c r="DL982" s="27"/>
      <c r="DM982" s="27"/>
      <c r="DN982" s="27"/>
      <c r="DO982" s="27"/>
      <c r="DP982" s="27"/>
      <c r="DQ982" s="27"/>
      <c r="DR982" s="27"/>
      <c r="DS982" s="27"/>
      <c r="DT982" s="27"/>
    </row>
    <row r="983" spans="2:124" x14ac:dyDescent="0.2">
      <c r="B983" s="64"/>
      <c r="D983"/>
      <c r="E983"/>
      <c r="F983"/>
      <c r="G983" s="27"/>
      <c r="H983" s="27"/>
      <c r="I983" s="27"/>
      <c r="J983" s="27"/>
      <c r="K983" s="27"/>
      <c r="L983" s="27"/>
      <c r="M983" s="27"/>
      <c r="N983" s="27"/>
      <c r="O983" s="27"/>
      <c r="P983" s="27"/>
      <c r="Q983" s="27"/>
      <c r="R983" s="27"/>
      <c r="S983" s="27"/>
      <c r="T983" s="27"/>
      <c r="U983" s="27"/>
      <c r="V983" s="27"/>
      <c r="W983" s="27"/>
      <c r="X983" s="27"/>
      <c r="Y983" s="27"/>
      <c r="Z983" s="27"/>
      <c r="AA983" s="27"/>
      <c r="AB983" s="27"/>
      <c r="AC983" s="27"/>
      <c r="AD983" s="27"/>
      <c r="AE983" s="27"/>
      <c r="AF983" s="27"/>
      <c r="AG983" s="27"/>
      <c r="AH983" s="27"/>
      <c r="AI983" s="27"/>
      <c r="AJ983" s="27"/>
      <c r="AK983" s="27"/>
      <c r="AL983" s="27"/>
      <c r="AM983" s="27"/>
      <c r="AN983" s="27"/>
      <c r="AO983" s="27"/>
      <c r="AP983" s="27"/>
      <c r="AQ983" s="27"/>
      <c r="AR983" s="27"/>
      <c r="AS983" s="27"/>
      <c r="AT983" s="27"/>
      <c r="AU983" s="27"/>
      <c r="AV983" s="27"/>
      <c r="AW983" s="27"/>
      <c r="AX983" s="27"/>
      <c r="AY983" s="27"/>
      <c r="AZ983" s="27"/>
      <c r="BA983" s="27"/>
      <c r="BB983" s="27"/>
      <c r="BC983" s="27"/>
      <c r="BD983" s="27"/>
      <c r="BE983" s="27"/>
      <c r="BF983" s="27"/>
      <c r="BG983" s="27"/>
      <c r="BH983" s="27"/>
      <c r="BI983" s="27"/>
      <c r="BJ983" s="27"/>
      <c r="BK983" s="27"/>
      <c r="BL983" s="27"/>
      <c r="BM983" s="27"/>
      <c r="BN983" s="27"/>
      <c r="BO983" s="27"/>
      <c r="BP983" s="27"/>
      <c r="BQ983" s="27"/>
      <c r="BR983" s="27"/>
      <c r="BS983" s="27"/>
      <c r="BT983" s="27"/>
      <c r="BU983" s="27"/>
      <c r="BV983" s="27"/>
      <c r="BW983" s="27"/>
      <c r="BX983" s="27"/>
      <c r="BY983" s="27"/>
      <c r="BZ983" s="27"/>
      <c r="CA983" s="27"/>
      <c r="CB983" s="27"/>
      <c r="CC983" s="27"/>
      <c r="CD983" s="27"/>
      <c r="CE983" s="27"/>
      <c r="CF983" s="27"/>
      <c r="CG983" s="27"/>
      <c r="CH983" s="27"/>
      <c r="CI983" s="27"/>
      <c r="CJ983" s="27"/>
      <c r="CK983" s="27"/>
      <c r="CL983" s="27"/>
      <c r="CM983" s="27"/>
      <c r="CN983" s="27"/>
      <c r="CO983" s="27"/>
      <c r="CP983" s="27"/>
      <c r="CQ983" s="27"/>
      <c r="CR983" s="27"/>
      <c r="CS983" s="27"/>
      <c r="CT983" s="27"/>
      <c r="CU983" s="27"/>
      <c r="CV983" s="27"/>
      <c r="CW983" s="27"/>
      <c r="CX983" s="27"/>
      <c r="CY983" s="27"/>
      <c r="CZ983" s="27"/>
      <c r="DA983" s="27"/>
      <c r="DB983" s="27"/>
      <c r="DC983" s="27"/>
      <c r="DD983" s="27"/>
      <c r="DE983" s="27"/>
      <c r="DF983" s="27"/>
      <c r="DG983" s="27"/>
      <c r="DH983" s="27"/>
      <c r="DI983" s="27"/>
      <c r="DJ983" s="27"/>
      <c r="DK983" s="27"/>
      <c r="DL983" s="27"/>
      <c r="DM983" s="27"/>
      <c r="DN983" s="27"/>
      <c r="DO983" s="27"/>
      <c r="DP983" s="27"/>
      <c r="DQ983" s="27"/>
      <c r="DR983" s="27"/>
      <c r="DS983" s="27"/>
      <c r="DT983" s="27"/>
    </row>
    <row r="984" spans="2:124" x14ac:dyDescent="0.2">
      <c r="B984" s="64"/>
      <c r="D984"/>
      <c r="E984"/>
      <c r="F984"/>
      <c r="G984" s="27"/>
      <c r="H984" s="27"/>
      <c r="I984" s="27"/>
      <c r="J984" s="27"/>
      <c r="K984" s="27"/>
      <c r="L984" s="27"/>
      <c r="M984" s="27"/>
      <c r="N984" s="27"/>
      <c r="O984" s="27"/>
      <c r="P984" s="27"/>
      <c r="Q984" s="27"/>
      <c r="R984" s="27"/>
      <c r="S984" s="27"/>
      <c r="T984" s="27"/>
      <c r="U984" s="27"/>
      <c r="V984" s="27"/>
      <c r="W984" s="27"/>
      <c r="X984" s="27"/>
      <c r="Y984" s="27"/>
      <c r="Z984" s="27"/>
      <c r="AA984" s="27"/>
      <c r="AB984" s="27"/>
      <c r="AC984" s="27"/>
      <c r="AD984" s="27"/>
      <c r="AE984" s="27"/>
      <c r="AF984" s="27"/>
      <c r="AG984" s="27"/>
      <c r="AH984" s="27"/>
      <c r="AI984" s="27"/>
      <c r="AJ984" s="27"/>
      <c r="AK984" s="27"/>
      <c r="AL984" s="27"/>
      <c r="AM984" s="27"/>
      <c r="AN984" s="27"/>
      <c r="AO984" s="27"/>
      <c r="AP984" s="27"/>
      <c r="AQ984" s="27"/>
      <c r="AR984" s="27"/>
      <c r="AS984" s="27"/>
      <c r="AT984" s="27"/>
      <c r="AU984" s="27"/>
      <c r="AV984" s="27"/>
      <c r="AW984" s="27"/>
      <c r="AX984" s="27"/>
      <c r="AY984" s="27"/>
      <c r="AZ984" s="27"/>
      <c r="BA984" s="27"/>
      <c r="BB984" s="27"/>
      <c r="BC984" s="27"/>
      <c r="BD984" s="27"/>
      <c r="BE984" s="27"/>
      <c r="BF984" s="27"/>
      <c r="BG984" s="27"/>
      <c r="BH984" s="27"/>
      <c r="BI984" s="27"/>
      <c r="BJ984" s="27"/>
      <c r="BK984" s="27"/>
      <c r="BL984" s="27"/>
      <c r="BM984" s="27"/>
      <c r="BN984" s="27"/>
      <c r="BO984" s="27"/>
      <c r="BP984" s="27"/>
      <c r="BQ984" s="27"/>
      <c r="BR984" s="27"/>
      <c r="BS984" s="27"/>
      <c r="BT984" s="27"/>
      <c r="BU984" s="27"/>
      <c r="BV984" s="27"/>
      <c r="BW984" s="27"/>
      <c r="BX984" s="27"/>
      <c r="BY984" s="27"/>
      <c r="BZ984" s="27"/>
      <c r="CA984" s="27"/>
      <c r="CB984" s="27"/>
      <c r="CC984" s="27"/>
      <c r="CD984" s="27"/>
      <c r="CE984" s="27"/>
      <c r="CF984" s="27"/>
      <c r="CG984" s="27"/>
      <c r="CH984" s="27"/>
      <c r="CI984" s="27"/>
      <c r="CJ984" s="27"/>
      <c r="CK984" s="27"/>
      <c r="CL984" s="27"/>
      <c r="CM984" s="27"/>
      <c r="CN984" s="27"/>
      <c r="CO984" s="27"/>
      <c r="CP984" s="27"/>
      <c r="CQ984" s="27"/>
      <c r="CR984" s="27"/>
      <c r="CS984" s="27"/>
      <c r="CT984" s="27"/>
      <c r="CU984" s="27"/>
      <c r="CV984" s="27"/>
      <c r="CW984" s="27"/>
      <c r="CX984" s="27"/>
      <c r="CY984" s="27"/>
      <c r="CZ984" s="27"/>
      <c r="DA984" s="27"/>
      <c r="DB984" s="27"/>
      <c r="DC984" s="27"/>
      <c r="DD984" s="27"/>
      <c r="DE984" s="27"/>
      <c r="DF984" s="27"/>
      <c r="DG984" s="27"/>
      <c r="DH984" s="27"/>
      <c r="DI984" s="27"/>
      <c r="DJ984" s="27"/>
      <c r="DK984" s="27"/>
      <c r="DL984" s="27"/>
      <c r="DM984" s="27"/>
      <c r="DN984" s="27"/>
      <c r="DO984" s="27"/>
      <c r="DP984" s="27"/>
      <c r="DQ984" s="27"/>
      <c r="DR984" s="27"/>
      <c r="DS984" s="27"/>
      <c r="DT984" s="27"/>
    </row>
  </sheetData>
  <sheetProtection sheet="1" objects="1" scenarios="1"/>
  <mergeCells count="13">
    <mergeCell ref="D15:E15"/>
    <mergeCell ref="D9:E9"/>
    <mergeCell ref="D11:E11"/>
    <mergeCell ref="D12:E12"/>
    <mergeCell ref="D13:E13"/>
    <mergeCell ref="D14:E14"/>
    <mergeCell ref="B35:C35"/>
    <mergeCell ref="D16:E16"/>
    <mergeCell ref="D18:E18"/>
    <mergeCell ref="D19:E19"/>
    <mergeCell ref="D20:E20"/>
    <mergeCell ref="D21:E21"/>
    <mergeCell ref="D33:E33"/>
  </mergeCells>
  <conditionalFormatting sqref="Y724:Y725 Y728:Y731">
    <cfRule type="expression" dxfId="92" priority="94" stopIfTrue="1">
      <formula>AND(#REF!&lt;#REF!,#REF!&lt;#REF!)</formula>
    </cfRule>
  </conditionalFormatting>
  <conditionalFormatting sqref="E901 R779">
    <cfRule type="expression" dxfId="91" priority="93" stopIfTrue="1">
      <formula>$G$906&lt;&gt;0</formula>
    </cfRule>
  </conditionalFormatting>
  <conditionalFormatting sqref="BA784">
    <cfRule type="expression" dxfId="90" priority="92" stopIfTrue="1">
      <formula>$BB$784&lt;0</formula>
    </cfRule>
  </conditionalFormatting>
  <conditionalFormatting sqref="BA785">
    <cfRule type="expression" dxfId="89" priority="91" stopIfTrue="1">
      <formula>$BB$785&lt;0</formula>
    </cfRule>
  </conditionalFormatting>
  <conditionalFormatting sqref="E930:E945">
    <cfRule type="cellIs" dxfId="88" priority="90" stopIfTrue="1" operator="equal">
      <formula>0</formula>
    </cfRule>
  </conditionalFormatting>
  <conditionalFormatting sqref="L777 G956 F957">
    <cfRule type="expression" dxfId="87" priority="89" stopIfTrue="1">
      <formula>$E$110&gt;0</formula>
    </cfRule>
  </conditionalFormatting>
  <conditionalFormatting sqref="E968:E969">
    <cfRule type="expression" dxfId="86" priority="88" stopIfTrue="1">
      <formula>$E$969&lt;0</formula>
    </cfRule>
  </conditionalFormatting>
  <conditionalFormatting sqref="E972:E974 D974">
    <cfRule type="expression" dxfId="85" priority="87" stopIfTrue="1">
      <formula>$E$974&lt;=0</formula>
    </cfRule>
  </conditionalFormatting>
  <conditionalFormatting sqref="B906:E906 B910:E910">
    <cfRule type="expression" dxfId="84" priority="86" stopIfTrue="1">
      <formula>$W$742=$S$735</formula>
    </cfRule>
  </conditionalFormatting>
  <conditionalFormatting sqref="B912:E913">
    <cfRule type="expression" dxfId="83" priority="85" stopIfTrue="1">
      <formula>$E$913=0</formula>
    </cfRule>
  </conditionalFormatting>
  <conditionalFormatting sqref="C900:D900 T745:W745">
    <cfRule type="expression" dxfId="82" priority="84" stopIfTrue="1">
      <formula>$W$742=$S$735</formula>
    </cfRule>
  </conditionalFormatting>
  <conditionalFormatting sqref="C915:F916">
    <cfRule type="expression" dxfId="81" priority="83" stopIfTrue="1">
      <formula>$F$915=0</formula>
    </cfRule>
  </conditionalFormatting>
  <conditionalFormatting sqref="S834:S860 T746:W746 H878 G915">
    <cfRule type="expression" dxfId="80" priority="82" stopIfTrue="1">
      <formula>$V$745&lt;=0</formula>
    </cfRule>
  </conditionalFormatting>
  <conditionalFormatting sqref="H924:H925 H879 G916">
    <cfRule type="expression" dxfId="79" priority="81" stopIfTrue="1">
      <formula>$Z$717&lt;100%</formula>
    </cfRule>
  </conditionalFormatting>
  <conditionalFormatting sqref="K806">
    <cfRule type="expression" dxfId="78" priority="80" stopIfTrue="1">
      <formula>$BB$783=0</formula>
    </cfRule>
  </conditionalFormatting>
  <conditionalFormatting sqref="J881 I891 J879 I889 J877 H887:I887 H888 G925 F926">
    <cfRule type="expression" dxfId="77" priority="79" stopIfTrue="1">
      <formula>$R$718=1</formula>
    </cfRule>
  </conditionalFormatting>
  <conditionalFormatting sqref="K884:K886 K876:K879 K882 W814:W860 M744:M745 T806:U813 T832:U833 AW718:BA719 BD802:BE812 BC802:BC814 BD814:BE814 BM737:BM739 Z753:AC809 W764:W795 AD753 BN721 BN732:BN739 BI724:BI739 BG739 Z751:AA752 BN723 X741:Y741 AC749:AE750 AX724:AX737 BH721:BM723 W759:W762 AF796:AI796 BJ732:BJ738 BK724:BK739 BC800:BE800 AY735:AY737 Z732:Z743 AF736:AF759 AE717:AG717 BC815:BF860 BH724:BH740 X758:X759 AQ717 Z745:Z750 BP737:BP740 BO737:BO738 BM740:BO740 W757 BA788:BA795 BG741:BK860 AF798:AG860 AH799:AI860 AK721:AL722 AD755:AD860 AE753:AE860 AZ797:BA860 AX754:AX759 AE736:AE748 AV724:AW759 AT798:AX860 AY724:AY733 BF800:BF814 AZ723:AZ737 BD739:BF754 AY754:AY860 W797:W812 K890:K904 K888 AK733:AL860 AZ754:AZ795 BA752:BA767 BB788:BB860 Z828:AC860 AA810:AC827 AA721:AA750 AC721:AC747 AB721:AB749 Z721:Z723 BC721:BC754 BD718:BK719 BD721:BG738 AT721:AU759 BA721:BA741 AV719 AV721:AW721 BD720:BE720 AI719 AG721:AI759 AD721:AD748 Z718:AH719 AE721:AF723 AJ721:AJ860 AH720:AR720 AJ718:AU719 AM721:AS860 AU720:BA720 BB718:BC720 BB721:BB767 BI720:BO720 L877:L904 O806:S833 M840:N867">
    <cfRule type="expression" dxfId="76" priority="78" stopIfTrue="1">
      <formula>$R$718=1</formula>
    </cfRule>
  </conditionalFormatting>
  <conditionalFormatting sqref="K781">
    <cfRule type="expression" dxfId="75" priority="77" stopIfTrue="1">
      <formula>$L$781=0</formula>
    </cfRule>
  </conditionalFormatting>
  <conditionalFormatting sqref="S747">
    <cfRule type="expression" dxfId="74" priority="76" stopIfTrue="1">
      <formula>$T$747=0</formula>
    </cfRule>
  </conditionalFormatting>
  <conditionalFormatting sqref="T747 L785:L790 L792:L806 T720">
    <cfRule type="cellIs" dxfId="73" priority="75" stopIfTrue="1" operator="equal">
      <formula>0</formula>
    </cfRule>
  </conditionalFormatting>
  <conditionalFormatting sqref="K803">
    <cfRule type="expression" dxfId="72" priority="74" stopIfTrue="1">
      <formula>$W$719=0</formula>
    </cfRule>
  </conditionalFormatting>
  <conditionalFormatting sqref="K804">
    <cfRule type="expression" dxfId="71" priority="73" stopIfTrue="1">
      <formula>$W$739=0</formula>
    </cfRule>
  </conditionalFormatting>
  <conditionalFormatting sqref="K794">
    <cfRule type="expression" dxfId="70" priority="72" stopIfTrue="1">
      <formula>$BB$778=0</formula>
    </cfRule>
  </conditionalFormatting>
  <conditionalFormatting sqref="S720">
    <cfRule type="expression" dxfId="69" priority="71" stopIfTrue="1">
      <formula>#REF!=0</formula>
    </cfRule>
  </conditionalFormatting>
  <conditionalFormatting sqref="K793">
    <cfRule type="expression" dxfId="68" priority="70" stopIfTrue="1">
      <formula>$Y$714=0</formula>
    </cfRule>
  </conditionalFormatting>
  <conditionalFormatting sqref="K790">
    <cfRule type="expression" dxfId="67" priority="69" stopIfTrue="1">
      <formula>$BB$775=$S$709</formula>
    </cfRule>
  </conditionalFormatting>
  <conditionalFormatting sqref="K788">
    <cfRule type="expression" dxfId="66" priority="68" stopIfTrue="1">
      <formula>#REF!=0</formula>
    </cfRule>
  </conditionalFormatting>
  <conditionalFormatting sqref="K786">
    <cfRule type="expression" dxfId="65" priority="67" stopIfTrue="1">
      <formula>#REF!=0</formula>
    </cfRule>
  </conditionalFormatting>
  <conditionalFormatting sqref="K785">
    <cfRule type="expression" dxfId="64" priority="66" stopIfTrue="1">
      <formula>$S$705=0</formula>
    </cfRule>
  </conditionalFormatting>
  <conditionalFormatting sqref="K787">
    <cfRule type="expression" dxfId="63" priority="65" stopIfTrue="1">
      <formula>$S$706=0</formula>
    </cfRule>
  </conditionalFormatting>
  <conditionalFormatting sqref="K795:K802">
    <cfRule type="expression" dxfId="62" priority="64" stopIfTrue="1">
      <formula>$AW$722=0</formula>
    </cfRule>
  </conditionalFormatting>
  <conditionalFormatting sqref="H868:H870 G905 F906">
    <cfRule type="expression" dxfId="61" priority="63" stopIfTrue="1">
      <formula>$V$745&gt;0</formula>
    </cfRule>
  </conditionalFormatting>
  <conditionalFormatting sqref="F907">
    <cfRule type="expression" dxfId="60" priority="62" stopIfTrue="1">
      <formula>$BB$786=0</formula>
    </cfRule>
  </conditionalFormatting>
  <conditionalFormatting sqref="G906">
    <cfRule type="expression" dxfId="59" priority="61" stopIfTrue="1">
      <formula>$G$906=0</formula>
    </cfRule>
  </conditionalFormatting>
  <conditionalFormatting sqref="V756:Y756">
    <cfRule type="expression" dxfId="58" priority="60" stopIfTrue="1">
      <formula>#REF!=0</formula>
    </cfRule>
  </conditionalFormatting>
  <conditionalFormatting sqref="Y722">
    <cfRule type="expression" dxfId="57" priority="59" stopIfTrue="1">
      <formula>AND(#REF!&lt;#REF!,#REF!&lt;#REF!)</formula>
    </cfRule>
  </conditionalFormatting>
  <conditionalFormatting sqref="Y723">
    <cfRule type="expression" dxfId="56" priority="58" stopIfTrue="1">
      <formula>AND(#REF!&lt;#REF!,#REF!&lt;#REF!)</formula>
    </cfRule>
  </conditionalFormatting>
  <conditionalFormatting sqref="S757">
    <cfRule type="cellIs" dxfId="55" priority="57" stopIfTrue="1" operator="greaterThan">
      <formula>0</formula>
    </cfRule>
  </conditionalFormatting>
  <conditionalFormatting sqref="E904:F904">
    <cfRule type="expression" dxfId="54" priority="56" stopIfTrue="1">
      <formula>$F$904&lt;64</formula>
    </cfRule>
  </conditionalFormatting>
  <conditionalFormatting sqref="H876 G913 F914">
    <cfRule type="expression" dxfId="53" priority="55" stopIfTrue="1">
      <formula>$W$742=$S$735</formula>
    </cfRule>
  </conditionalFormatting>
  <conditionalFormatting sqref="G911 F912">
    <cfRule type="expression" dxfId="52" priority="54" stopIfTrue="1">
      <formula>$W$742=$S$735</formula>
    </cfRule>
  </conditionalFormatting>
  <conditionalFormatting sqref="G901 E902:F902">
    <cfRule type="expression" dxfId="51" priority="53" stopIfTrue="1">
      <formula>$W$742=$S$735</formula>
    </cfRule>
  </conditionalFormatting>
  <conditionalFormatting sqref="G909 F910">
    <cfRule type="expression" dxfId="50" priority="52" stopIfTrue="1">
      <formula>$W$742=$S$735</formula>
    </cfRule>
  </conditionalFormatting>
  <conditionalFormatting sqref="K792">
    <cfRule type="expression" dxfId="49" priority="51" stopIfTrue="1">
      <formula>$BB$776=0</formula>
    </cfRule>
  </conditionalFormatting>
  <conditionalFormatting sqref="K789">
    <cfRule type="expression" dxfId="48" priority="50" stopIfTrue="1">
      <formula>$BB$774=0</formula>
    </cfRule>
  </conditionalFormatting>
  <conditionalFormatting sqref="C919:E920">
    <cfRule type="expression" dxfId="47" priority="49" stopIfTrue="1">
      <formula>$E$913=0</formula>
    </cfRule>
  </conditionalFormatting>
  <conditionalFormatting sqref="B917:F918">
    <cfRule type="expression" dxfId="46" priority="47" stopIfTrue="1">
      <formula>#REF!=0</formula>
    </cfRule>
    <cfRule type="expression" dxfId="45" priority="48" stopIfTrue="1">
      <formula>#REF!=0</formula>
    </cfRule>
  </conditionalFormatting>
  <conditionalFormatting sqref="E903:F903 F958:F959">
    <cfRule type="expression" dxfId="44" priority="46" stopIfTrue="1">
      <formula>$F$905&gt;67</formula>
    </cfRule>
  </conditionalFormatting>
  <conditionalFormatting sqref="N754 X824:Y825 X821:X823 X826:X827 X810:Y820 Z810:Z827 H779:H791 H797 I29:I31">
    <cfRule type="expression" dxfId="43" priority="45" stopIfTrue="1">
      <formula>$C$59=0</formula>
    </cfRule>
  </conditionalFormatting>
  <conditionalFormatting sqref="V732">
    <cfRule type="expression" dxfId="42" priority="44" stopIfTrue="1">
      <formula>$AF$707=AC754</formula>
    </cfRule>
  </conditionalFormatting>
  <conditionalFormatting sqref="C905">
    <cfRule type="expression" dxfId="41" priority="43" stopIfTrue="1">
      <formula>$AF$707=AC754</formula>
    </cfRule>
  </conditionalFormatting>
  <conditionalFormatting sqref="D905">
    <cfRule type="expression" dxfId="40" priority="42" stopIfTrue="1">
      <formula>$AF$707=AC754</formula>
    </cfRule>
  </conditionalFormatting>
  <conditionalFormatting sqref="E905 B905">
    <cfRule type="expression" dxfId="39" priority="41" stopIfTrue="1">
      <formula>$AF$707=Z754</formula>
    </cfRule>
  </conditionalFormatting>
  <conditionalFormatting sqref="G904">
    <cfRule type="expression" dxfId="38" priority="40" stopIfTrue="1">
      <formula>$AF$707=AC754</formula>
    </cfRule>
  </conditionalFormatting>
  <conditionalFormatting sqref="F905">
    <cfRule type="expression" dxfId="37" priority="39" stopIfTrue="1">
      <formula>$AF$707=AC754</formula>
    </cfRule>
  </conditionalFormatting>
  <conditionalFormatting sqref="H867">
    <cfRule type="expression" dxfId="36" priority="38" stopIfTrue="1">
      <formula>$AF$707=AC754</formula>
    </cfRule>
  </conditionalFormatting>
  <conditionalFormatting sqref="B2">
    <cfRule type="expression" dxfId="35" priority="37" stopIfTrue="1">
      <formula>$AB$17=AE44</formula>
    </cfRule>
  </conditionalFormatting>
  <conditionalFormatting sqref="Z810:Z827 H779:H796">
    <cfRule type="expression" dxfId="34" priority="36" stopIfTrue="1">
      <formula>$C$54=1</formula>
    </cfRule>
  </conditionalFormatting>
  <conditionalFormatting sqref="H778">
    <cfRule type="expression" dxfId="33" priority="34" stopIfTrue="1">
      <formula>$C$59=1</formula>
    </cfRule>
    <cfRule type="expression" dxfId="32" priority="35" stopIfTrue="1">
      <formula>$C$59=0</formula>
    </cfRule>
  </conditionalFormatting>
  <conditionalFormatting sqref="H792:H796">
    <cfRule type="expression" dxfId="31" priority="33" stopIfTrue="1">
      <formula>$C$58=0</formula>
    </cfRule>
  </conditionalFormatting>
  <conditionalFormatting sqref="H873 G910 F911">
    <cfRule type="expression" dxfId="30" priority="32" stopIfTrue="1">
      <formula>$E$110&lt;&gt;0</formula>
    </cfRule>
  </conditionalFormatting>
  <conditionalFormatting sqref="I34 I26:I32 H24 H23:I23 J21:J26 H21:H22 H26:H30">
    <cfRule type="expression" dxfId="29" priority="31" stopIfTrue="1">
      <formula>$C$39=0</formula>
    </cfRule>
  </conditionalFormatting>
  <conditionalFormatting sqref="H871">
    <cfRule type="expression" dxfId="28" priority="30" stopIfTrue="1">
      <formula>ROUND($H$871,2)=ROUND($G$908,2)</formula>
    </cfRule>
  </conditionalFormatting>
  <conditionalFormatting sqref="I206:J206 L205:L223 I207:I223">
    <cfRule type="expression" dxfId="27" priority="28" stopIfTrue="1">
      <formula>$Q$2=$M168</formula>
    </cfRule>
    <cfRule type="expression" dxfId="26" priority="29" stopIfTrue="1">
      <formula>$C$39=0</formula>
    </cfRule>
  </conditionalFormatting>
  <conditionalFormatting sqref="J126:K135 K118:K125">
    <cfRule type="expression" dxfId="25" priority="25" stopIfTrue="1">
      <formula>$CC$12&lt;&gt;$C$5</formula>
    </cfRule>
    <cfRule type="expression" dxfId="24" priority="26" stopIfTrue="1">
      <formula>$Q$2=$M81</formula>
    </cfRule>
    <cfRule type="expression" dxfId="23" priority="27" stopIfTrue="1">
      <formula>$C$39=0</formula>
    </cfRule>
  </conditionalFormatting>
  <conditionalFormatting sqref="M80:N98 M168:M186">
    <cfRule type="expression" dxfId="22" priority="23" stopIfTrue="1">
      <formula>$Q$2=$M80</formula>
    </cfRule>
    <cfRule type="expression" dxfId="21" priority="24" stopIfTrue="1">
      <formula>$C$39=0</formula>
    </cfRule>
  </conditionalFormatting>
  <conditionalFormatting sqref="Q61:AC106 S60:AC60">
    <cfRule type="expression" dxfId="20" priority="21" stopIfTrue="1">
      <formula>$Q$2=$M94</formula>
    </cfRule>
    <cfRule type="expression" dxfId="19" priority="22" stopIfTrue="1">
      <formula>$C$39=0</formula>
    </cfRule>
  </conditionalFormatting>
  <conditionalFormatting sqref="F24">
    <cfRule type="expression" dxfId="18" priority="19" stopIfTrue="1">
      <formula>$C$39=0</formula>
    </cfRule>
  </conditionalFormatting>
  <conditionalFormatting sqref="F28">
    <cfRule type="expression" dxfId="17" priority="18" stopIfTrue="1">
      <formula>$C$39=0</formula>
    </cfRule>
  </conditionalFormatting>
  <conditionalFormatting sqref="F30">
    <cfRule type="expression" dxfId="16" priority="17" stopIfTrue="1">
      <formula>$C$39=0</formula>
    </cfRule>
  </conditionalFormatting>
  <conditionalFormatting sqref="F33">
    <cfRule type="expression" dxfId="15" priority="16" stopIfTrue="1">
      <formula>$C$39=0</formula>
    </cfRule>
  </conditionalFormatting>
  <conditionalFormatting sqref="C23:E23 C24:F24 B25:F26">
    <cfRule type="expression" dxfId="14" priority="15" stopIfTrue="1">
      <formula>$C$19=$F$19</formula>
    </cfRule>
  </conditionalFormatting>
  <conditionalFormatting sqref="B27:F33">
    <cfRule type="expression" dxfId="13" priority="14" stopIfTrue="1">
      <formula>$C$19=$F$18</formula>
    </cfRule>
  </conditionalFormatting>
  <conditionalFormatting sqref="AO705:AP714">
    <cfRule type="expression" dxfId="12" priority="12" stopIfTrue="1">
      <formula>$L$776=$AO705</formula>
    </cfRule>
    <cfRule type="expression" dxfId="11" priority="13" stopIfTrue="1">
      <formula>$I$29=0</formula>
    </cfRule>
  </conditionalFormatting>
  <conditionalFormatting sqref="S27:S34">
    <cfRule type="expression" dxfId="10" priority="11" stopIfTrue="1">
      <formula>$C$39=0</formula>
    </cfRule>
  </conditionalFormatting>
  <conditionalFormatting sqref="B35:C35">
    <cfRule type="expression" dxfId="9" priority="10" stopIfTrue="1">
      <formula>$C$19=$F$18</formula>
    </cfRule>
  </conditionalFormatting>
  <conditionalFormatting sqref="J21:J26 S27:S34">
    <cfRule type="expression" dxfId="8" priority="9" stopIfTrue="1">
      <formula>$C$9=1</formula>
    </cfRule>
  </conditionalFormatting>
  <conditionalFormatting sqref="C24:E24 C28:E28">
    <cfRule type="expression" dxfId="7" priority="6" stopIfTrue="1">
      <formula>$C$10="חטיבת ביניים"</formula>
    </cfRule>
    <cfRule type="expression" dxfId="6" priority="7" stopIfTrue="1">
      <formula>$C$10="ז-ח"</formula>
    </cfRule>
    <cfRule type="expression" dxfId="5" priority="8" stopIfTrue="1">
      <formula>$C$10="א-ו"</formula>
    </cfRule>
  </conditionalFormatting>
  <conditionalFormatting sqref="G25:H25">
    <cfRule type="expression" dxfId="4" priority="5" stopIfTrue="1">
      <formula>$C$39=0</formula>
    </cfRule>
  </conditionalFormatting>
  <conditionalFormatting sqref="J31:J32 J27:J29">
    <cfRule type="expression" dxfId="3" priority="4" stopIfTrue="1">
      <formula>$C$39=0</formula>
    </cfRule>
  </conditionalFormatting>
  <conditionalFormatting sqref="J30">
    <cfRule type="expression" dxfId="2" priority="3" stopIfTrue="1">
      <formula>$C$39=0</formula>
    </cfRule>
  </conditionalFormatting>
  <conditionalFormatting sqref="J30 J27:J28">
    <cfRule type="expression" dxfId="1" priority="2" stopIfTrue="1">
      <formula>$C$9=1</formula>
    </cfRule>
  </conditionalFormatting>
  <conditionalFormatting sqref="J29">
    <cfRule type="expression" dxfId="0" priority="1" stopIfTrue="1">
      <formula>$C$59=0</formula>
    </cfRule>
  </conditionalFormatting>
  <dataValidations count="48">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xr:uid="{FB751709-4708-44DB-AE72-0273ED48C326}">
      <formula1>$F$18:$F$19</formula1>
    </dataValidation>
    <dataValidation type="list" allowBlank="1" showInputMessage="1" showErrorMessage="1" sqref="BG69 LC69 UY69 AEU69 AOQ69 AYM69 BII69 BSE69 CCA69 CLW69 CVS69 DFO69 DPK69 DZG69 EJC69 ESY69 FCU69 FMQ69 FWM69 GGI69 GQE69 HAA69 HJW69 HTS69 IDO69 INK69 IXG69 JHC69 JQY69 KAU69 KKQ69 KUM69 LEI69 LOE69 LYA69 MHW69 MRS69 NBO69 NLK69 NVG69 OFC69 OOY69 OYU69 PIQ69 PSM69 QCI69 QME69 QWA69 RFW69 RPS69 RZO69 SJK69 STG69 TDC69 TMY69 TWU69 UGQ69 UQM69 VAI69 VKE69 VUA69 WDW69 WNS69 WXO69 BG65605 LC65605 UY65605 AEU65605 AOQ65605 AYM65605 BII65605 BSE65605 CCA65605 CLW65605 CVS65605 DFO65605 DPK65605 DZG65605 EJC65605 ESY65605 FCU65605 FMQ65605 FWM65605 GGI65605 GQE65605 HAA65605 HJW65605 HTS65605 IDO65605 INK65605 IXG65605 JHC65605 JQY65605 KAU65605 KKQ65605 KUM65605 LEI65605 LOE65605 LYA65605 MHW65605 MRS65605 NBO65605 NLK65605 NVG65605 OFC65605 OOY65605 OYU65605 PIQ65605 PSM65605 QCI65605 QME65605 QWA65605 RFW65605 RPS65605 RZO65605 SJK65605 STG65605 TDC65605 TMY65605 TWU65605 UGQ65605 UQM65605 VAI65605 VKE65605 VUA65605 WDW65605 WNS65605 WXO65605 BG131141 LC131141 UY131141 AEU131141 AOQ131141 AYM131141 BII131141 BSE131141 CCA131141 CLW131141 CVS131141 DFO131141 DPK131141 DZG131141 EJC131141 ESY131141 FCU131141 FMQ131141 FWM131141 GGI131141 GQE131141 HAA131141 HJW131141 HTS131141 IDO131141 INK131141 IXG131141 JHC131141 JQY131141 KAU131141 KKQ131141 KUM131141 LEI131141 LOE131141 LYA131141 MHW131141 MRS131141 NBO131141 NLK131141 NVG131141 OFC131141 OOY131141 OYU131141 PIQ131141 PSM131141 QCI131141 QME131141 QWA131141 RFW131141 RPS131141 RZO131141 SJK131141 STG131141 TDC131141 TMY131141 TWU131141 UGQ131141 UQM131141 VAI131141 VKE131141 VUA131141 WDW131141 WNS131141 WXO131141 BG196677 LC196677 UY196677 AEU196677 AOQ196677 AYM196677 BII196677 BSE196677 CCA196677 CLW196677 CVS196677 DFO196677 DPK196677 DZG196677 EJC196677 ESY196677 FCU196677 FMQ196677 FWM196677 GGI196677 GQE196677 HAA196677 HJW196677 HTS196677 IDO196677 INK196677 IXG196677 JHC196677 JQY196677 KAU196677 KKQ196677 KUM196677 LEI196677 LOE196677 LYA196677 MHW196677 MRS196677 NBO196677 NLK196677 NVG196677 OFC196677 OOY196677 OYU196677 PIQ196677 PSM196677 QCI196677 QME196677 QWA196677 RFW196677 RPS196677 RZO196677 SJK196677 STG196677 TDC196677 TMY196677 TWU196677 UGQ196677 UQM196677 VAI196677 VKE196677 VUA196677 WDW196677 WNS196677 WXO196677 BG262213 LC262213 UY262213 AEU262213 AOQ262213 AYM262213 BII262213 BSE262213 CCA262213 CLW262213 CVS262213 DFO262213 DPK262213 DZG262213 EJC262213 ESY262213 FCU262213 FMQ262213 FWM262213 GGI262213 GQE262213 HAA262213 HJW262213 HTS262213 IDO262213 INK262213 IXG262213 JHC262213 JQY262213 KAU262213 KKQ262213 KUM262213 LEI262213 LOE262213 LYA262213 MHW262213 MRS262213 NBO262213 NLK262213 NVG262213 OFC262213 OOY262213 OYU262213 PIQ262213 PSM262213 QCI262213 QME262213 QWA262213 RFW262213 RPS262213 RZO262213 SJK262213 STG262213 TDC262213 TMY262213 TWU262213 UGQ262213 UQM262213 VAI262213 VKE262213 VUA262213 WDW262213 WNS262213 WXO262213 BG327749 LC327749 UY327749 AEU327749 AOQ327749 AYM327749 BII327749 BSE327749 CCA327749 CLW327749 CVS327749 DFO327749 DPK327749 DZG327749 EJC327749 ESY327749 FCU327749 FMQ327749 FWM327749 GGI327749 GQE327749 HAA327749 HJW327749 HTS327749 IDO327749 INK327749 IXG327749 JHC327749 JQY327749 KAU327749 KKQ327749 KUM327749 LEI327749 LOE327749 LYA327749 MHW327749 MRS327749 NBO327749 NLK327749 NVG327749 OFC327749 OOY327749 OYU327749 PIQ327749 PSM327749 QCI327749 QME327749 QWA327749 RFW327749 RPS327749 RZO327749 SJK327749 STG327749 TDC327749 TMY327749 TWU327749 UGQ327749 UQM327749 VAI327749 VKE327749 VUA327749 WDW327749 WNS327749 WXO327749 BG393285 LC393285 UY393285 AEU393285 AOQ393285 AYM393285 BII393285 BSE393285 CCA393285 CLW393285 CVS393285 DFO393285 DPK393285 DZG393285 EJC393285 ESY393285 FCU393285 FMQ393285 FWM393285 GGI393285 GQE393285 HAA393285 HJW393285 HTS393285 IDO393285 INK393285 IXG393285 JHC393285 JQY393285 KAU393285 KKQ393285 KUM393285 LEI393285 LOE393285 LYA393285 MHW393285 MRS393285 NBO393285 NLK393285 NVG393285 OFC393285 OOY393285 OYU393285 PIQ393285 PSM393285 QCI393285 QME393285 QWA393285 RFW393285 RPS393285 RZO393285 SJK393285 STG393285 TDC393285 TMY393285 TWU393285 UGQ393285 UQM393285 VAI393285 VKE393285 VUA393285 WDW393285 WNS393285 WXO393285 BG458821 LC458821 UY458821 AEU458821 AOQ458821 AYM458821 BII458821 BSE458821 CCA458821 CLW458821 CVS458821 DFO458821 DPK458821 DZG458821 EJC458821 ESY458821 FCU458821 FMQ458821 FWM458821 GGI458821 GQE458821 HAA458821 HJW458821 HTS458821 IDO458821 INK458821 IXG458821 JHC458821 JQY458821 KAU458821 KKQ458821 KUM458821 LEI458821 LOE458821 LYA458821 MHW458821 MRS458821 NBO458821 NLK458821 NVG458821 OFC458821 OOY458821 OYU458821 PIQ458821 PSM458821 QCI458821 QME458821 QWA458821 RFW458821 RPS458821 RZO458821 SJK458821 STG458821 TDC458821 TMY458821 TWU458821 UGQ458821 UQM458821 VAI458821 VKE458821 VUA458821 WDW458821 WNS458821 WXO458821 BG524357 LC524357 UY524357 AEU524357 AOQ524357 AYM524357 BII524357 BSE524357 CCA524357 CLW524357 CVS524357 DFO524357 DPK524357 DZG524357 EJC524357 ESY524357 FCU524357 FMQ524357 FWM524357 GGI524357 GQE524357 HAA524357 HJW524357 HTS524357 IDO524357 INK524357 IXG524357 JHC524357 JQY524357 KAU524357 KKQ524357 KUM524357 LEI524357 LOE524357 LYA524357 MHW524357 MRS524357 NBO524357 NLK524357 NVG524357 OFC524357 OOY524357 OYU524357 PIQ524357 PSM524357 QCI524357 QME524357 QWA524357 RFW524357 RPS524357 RZO524357 SJK524357 STG524357 TDC524357 TMY524357 TWU524357 UGQ524357 UQM524357 VAI524357 VKE524357 VUA524357 WDW524357 WNS524357 WXO524357 BG589893 LC589893 UY589893 AEU589893 AOQ589893 AYM589893 BII589893 BSE589893 CCA589893 CLW589893 CVS589893 DFO589893 DPK589893 DZG589893 EJC589893 ESY589893 FCU589893 FMQ589893 FWM589893 GGI589893 GQE589893 HAA589893 HJW589893 HTS589893 IDO589893 INK589893 IXG589893 JHC589893 JQY589893 KAU589893 KKQ589893 KUM589893 LEI589893 LOE589893 LYA589893 MHW589893 MRS589893 NBO589893 NLK589893 NVG589893 OFC589893 OOY589893 OYU589893 PIQ589893 PSM589893 QCI589893 QME589893 QWA589893 RFW589893 RPS589893 RZO589893 SJK589893 STG589893 TDC589893 TMY589893 TWU589893 UGQ589893 UQM589893 VAI589893 VKE589893 VUA589893 WDW589893 WNS589893 WXO589893 BG655429 LC655429 UY655429 AEU655429 AOQ655429 AYM655429 BII655429 BSE655429 CCA655429 CLW655429 CVS655429 DFO655429 DPK655429 DZG655429 EJC655429 ESY655429 FCU655429 FMQ655429 FWM655429 GGI655429 GQE655429 HAA655429 HJW655429 HTS655429 IDO655429 INK655429 IXG655429 JHC655429 JQY655429 KAU655429 KKQ655429 KUM655429 LEI655429 LOE655429 LYA655429 MHW655429 MRS655429 NBO655429 NLK655429 NVG655429 OFC655429 OOY655429 OYU655429 PIQ655429 PSM655429 QCI655429 QME655429 QWA655429 RFW655429 RPS655429 RZO655429 SJK655429 STG655429 TDC655429 TMY655429 TWU655429 UGQ655429 UQM655429 VAI655429 VKE655429 VUA655429 WDW655429 WNS655429 WXO655429 BG720965 LC720965 UY720965 AEU720965 AOQ720965 AYM720965 BII720965 BSE720965 CCA720965 CLW720965 CVS720965 DFO720965 DPK720965 DZG720965 EJC720965 ESY720965 FCU720965 FMQ720965 FWM720965 GGI720965 GQE720965 HAA720965 HJW720965 HTS720965 IDO720965 INK720965 IXG720965 JHC720965 JQY720965 KAU720965 KKQ720965 KUM720965 LEI720965 LOE720965 LYA720965 MHW720965 MRS720965 NBO720965 NLK720965 NVG720965 OFC720965 OOY720965 OYU720965 PIQ720965 PSM720965 QCI720965 QME720965 QWA720965 RFW720965 RPS720965 RZO720965 SJK720965 STG720965 TDC720965 TMY720965 TWU720965 UGQ720965 UQM720965 VAI720965 VKE720965 VUA720965 WDW720965 WNS720965 WXO720965 BG786501 LC786501 UY786501 AEU786501 AOQ786501 AYM786501 BII786501 BSE786501 CCA786501 CLW786501 CVS786501 DFO786501 DPK786501 DZG786501 EJC786501 ESY786501 FCU786501 FMQ786501 FWM786501 GGI786501 GQE786501 HAA786501 HJW786501 HTS786501 IDO786501 INK786501 IXG786501 JHC786501 JQY786501 KAU786501 KKQ786501 KUM786501 LEI786501 LOE786501 LYA786501 MHW786501 MRS786501 NBO786501 NLK786501 NVG786501 OFC786501 OOY786501 OYU786501 PIQ786501 PSM786501 QCI786501 QME786501 QWA786501 RFW786501 RPS786501 RZO786501 SJK786501 STG786501 TDC786501 TMY786501 TWU786501 UGQ786501 UQM786501 VAI786501 VKE786501 VUA786501 WDW786501 WNS786501 WXO786501 BG852037 LC852037 UY852037 AEU852037 AOQ852037 AYM852037 BII852037 BSE852037 CCA852037 CLW852037 CVS852037 DFO852037 DPK852037 DZG852037 EJC852037 ESY852037 FCU852037 FMQ852037 FWM852037 GGI852037 GQE852037 HAA852037 HJW852037 HTS852037 IDO852037 INK852037 IXG852037 JHC852037 JQY852037 KAU852037 KKQ852037 KUM852037 LEI852037 LOE852037 LYA852037 MHW852037 MRS852037 NBO852037 NLK852037 NVG852037 OFC852037 OOY852037 OYU852037 PIQ852037 PSM852037 QCI852037 QME852037 QWA852037 RFW852037 RPS852037 RZO852037 SJK852037 STG852037 TDC852037 TMY852037 TWU852037 UGQ852037 UQM852037 VAI852037 VKE852037 VUA852037 WDW852037 WNS852037 WXO852037 BG917573 LC917573 UY917573 AEU917573 AOQ917573 AYM917573 BII917573 BSE917573 CCA917573 CLW917573 CVS917573 DFO917573 DPK917573 DZG917573 EJC917573 ESY917573 FCU917573 FMQ917573 FWM917573 GGI917573 GQE917573 HAA917573 HJW917573 HTS917573 IDO917573 INK917573 IXG917573 JHC917573 JQY917573 KAU917573 KKQ917573 KUM917573 LEI917573 LOE917573 LYA917573 MHW917573 MRS917573 NBO917573 NLK917573 NVG917573 OFC917573 OOY917573 OYU917573 PIQ917573 PSM917573 QCI917573 QME917573 QWA917573 RFW917573 RPS917573 RZO917573 SJK917573 STG917573 TDC917573 TMY917573 TWU917573 UGQ917573 UQM917573 VAI917573 VKE917573 VUA917573 WDW917573 WNS917573 WXO917573 BG983109 LC983109 UY983109 AEU983109 AOQ983109 AYM983109 BII983109 BSE983109 CCA983109 CLW983109 CVS983109 DFO983109 DPK983109 DZG983109 EJC983109 ESY983109 FCU983109 FMQ983109 FWM983109 GGI983109 GQE983109 HAA983109 HJW983109 HTS983109 IDO983109 INK983109 IXG983109 JHC983109 JQY983109 KAU983109 KKQ983109 KUM983109 LEI983109 LOE983109 LYA983109 MHW983109 MRS983109 NBO983109 NLK983109 NVG983109 OFC983109 OOY983109 OYU983109 PIQ983109 PSM983109 QCI983109 QME983109 QWA983109 RFW983109 RPS983109 RZO983109 SJK983109 STG983109 TDC983109 TMY983109 TWU983109 UGQ983109 UQM983109 VAI983109 VKE983109 VUA983109 WDW983109 WNS983109 WXO983109 B168 IX168 ST168 ACP168 AML168 AWH168 BGD168 BPZ168 BZV168 CJR168 CTN168 DDJ168 DNF168 DXB168 EGX168 EQT168 FAP168 FKL168 FUH168 GED168 GNZ168 GXV168 HHR168 HRN168 IBJ168 ILF168 IVB168 JEX168 JOT168 JYP168 KIL168 KSH168 LCD168 LLZ168 LVV168 MFR168 MPN168 MZJ168 NJF168 NTB168 OCX168 OMT168 OWP168 PGL168 PQH168 QAD168 QJZ168 QTV168 RDR168 RNN168 RXJ168 SHF168 SRB168 TAX168 TKT168 TUP168 UEL168 UOH168 UYD168 VHZ168 VRV168 WBR168 WLN168 WVJ168 B65704 IX65704 ST65704 ACP65704 AML65704 AWH65704 BGD65704 BPZ65704 BZV65704 CJR65704 CTN65704 DDJ65704 DNF65704 DXB65704 EGX65704 EQT65704 FAP65704 FKL65704 FUH65704 GED65704 GNZ65704 GXV65704 HHR65704 HRN65704 IBJ65704 ILF65704 IVB65704 JEX65704 JOT65704 JYP65704 KIL65704 KSH65704 LCD65704 LLZ65704 LVV65704 MFR65704 MPN65704 MZJ65704 NJF65704 NTB65704 OCX65704 OMT65704 OWP65704 PGL65704 PQH65704 QAD65704 QJZ65704 QTV65704 RDR65704 RNN65704 RXJ65704 SHF65704 SRB65704 TAX65704 TKT65704 TUP65704 UEL65704 UOH65704 UYD65704 VHZ65704 VRV65704 WBR65704 WLN65704 WVJ65704 B131240 IX131240 ST131240 ACP131240 AML131240 AWH131240 BGD131240 BPZ131240 BZV131240 CJR131240 CTN131240 DDJ131240 DNF131240 DXB131240 EGX131240 EQT131240 FAP131240 FKL131240 FUH131240 GED131240 GNZ131240 GXV131240 HHR131240 HRN131240 IBJ131240 ILF131240 IVB131240 JEX131240 JOT131240 JYP131240 KIL131240 KSH131240 LCD131240 LLZ131240 LVV131240 MFR131240 MPN131240 MZJ131240 NJF131240 NTB131240 OCX131240 OMT131240 OWP131240 PGL131240 PQH131240 QAD131240 QJZ131240 QTV131240 RDR131240 RNN131240 RXJ131240 SHF131240 SRB131240 TAX131240 TKT131240 TUP131240 UEL131240 UOH131240 UYD131240 VHZ131240 VRV131240 WBR131240 WLN131240 WVJ131240 B196776 IX196776 ST196776 ACP196776 AML196776 AWH196776 BGD196776 BPZ196776 BZV196776 CJR196776 CTN196776 DDJ196776 DNF196776 DXB196776 EGX196776 EQT196776 FAP196776 FKL196776 FUH196776 GED196776 GNZ196776 GXV196776 HHR196776 HRN196776 IBJ196776 ILF196776 IVB196776 JEX196776 JOT196776 JYP196776 KIL196776 KSH196776 LCD196776 LLZ196776 LVV196776 MFR196776 MPN196776 MZJ196776 NJF196776 NTB196776 OCX196776 OMT196776 OWP196776 PGL196776 PQH196776 QAD196776 QJZ196776 QTV196776 RDR196776 RNN196776 RXJ196776 SHF196776 SRB196776 TAX196776 TKT196776 TUP196776 UEL196776 UOH196776 UYD196776 VHZ196776 VRV196776 WBR196776 WLN196776 WVJ196776 B262312 IX262312 ST262312 ACP262312 AML262312 AWH262312 BGD262312 BPZ262312 BZV262312 CJR262312 CTN262312 DDJ262312 DNF262312 DXB262312 EGX262312 EQT262312 FAP262312 FKL262312 FUH262312 GED262312 GNZ262312 GXV262312 HHR262312 HRN262312 IBJ262312 ILF262312 IVB262312 JEX262312 JOT262312 JYP262312 KIL262312 KSH262312 LCD262312 LLZ262312 LVV262312 MFR262312 MPN262312 MZJ262312 NJF262312 NTB262312 OCX262312 OMT262312 OWP262312 PGL262312 PQH262312 QAD262312 QJZ262312 QTV262312 RDR262312 RNN262312 RXJ262312 SHF262312 SRB262312 TAX262312 TKT262312 TUP262312 UEL262312 UOH262312 UYD262312 VHZ262312 VRV262312 WBR262312 WLN262312 WVJ262312 B327848 IX327848 ST327848 ACP327848 AML327848 AWH327848 BGD327848 BPZ327848 BZV327848 CJR327848 CTN327848 DDJ327848 DNF327848 DXB327848 EGX327848 EQT327848 FAP327848 FKL327848 FUH327848 GED327848 GNZ327848 GXV327848 HHR327848 HRN327848 IBJ327848 ILF327848 IVB327848 JEX327848 JOT327848 JYP327848 KIL327848 KSH327848 LCD327848 LLZ327848 LVV327848 MFR327848 MPN327848 MZJ327848 NJF327848 NTB327848 OCX327848 OMT327848 OWP327848 PGL327848 PQH327848 QAD327848 QJZ327848 QTV327848 RDR327848 RNN327848 RXJ327848 SHF327848 SRB327848 TAX327848 TKT327848 TUP327848 UEL327848 UOH327848 UYD327848 VHZ327848 VRV327848 WBR327848 WLN327848 WVJ327848 B393384 IX393384 ST393384 ACP393384 AML393384 AWH393384 BGD393384 BPZ393384 BZV393384 CJR393384 CTN393384 DDJ393384 DNF393384 DXB393384 EGX393384 EQT393384 FAP393384 FKL393384 FUH393384 GED393384 GNZ393384 GXV393384 HHR393384 HRN393384 IBJ393384 ILF393384 IVB393384 JEX393384 JOT393384 JYP393384 KIL393384 KSH393384 LCD393384 LLZ393384 LVV393384 MFR393384 MPN393384 MZJ393384 NJF393384 NTB393384 OCX393384 OMT393384 OWP393384 PGL393384 PQH393384 QAD393384 QJZ393384 QTV393384 RDR393384 RNN393384 RXJ393384 SHF393384 SRB393384 TAX393384 TKT393384 TUP393384 UEL393384 UOH393384 UYD393384 VHZ393384 VRV393384 WBR393384 WLN393384 WVJ393384 B458920 IX458920 ST458920 ACP458920 AML458920 AWH458920 BGD458920 BPZ458920 BZV458920 CJR458920 CTN458920 DDJ458920 DNF458920 DXB458920 EGX458920 EQT458920 FAP458920 FKL458920 FUH458920 GED458920 GNZ458920 GXV458920 HHR458920 HRN458920 IBJ458920 ILF458920 IVB458920 JEX458920 JOT458920 JYP458920 KIL458920 KSH458920 LCD458920 LLZ458920 LVV458920 MFR458920 MPN458920 MZJ458920 NJF458920 NTB458920 OCX458920 OMT458920 OWP458920 PGL458920 PQH458920 QAD458920 QJZ458920 QTV458920 RDR458920 RNN458920 RXJ458920 SHF458920 SRB458920 TAX458920 TKT458920 TUP458920 UEL458920 UOH458920 UYD458920 VHZ458920 VRV458920 WBR458920 WLN458920 WVJ458920 B524456 IX524456 ST524456 ACP524456 AML524456 AWH524456 BGD524456 BPZ524456 BZV524456 CJR524456 CTN524456 DDJ524456 DNF524456 DXB524456 EGX524456 EQT524456 FAP524456 FKL524456 FUH524456 GED524456 GNZ524456 GXV524456 HHR524456 HRN524456 IBJ524456 ILF524456 IVB524456 JEX524456 JOT524456 JYP524456 KIL524456 KSH524456 LCD524456 LLZ524456 LVV524456 MFR524456 MPN524456 MZJ524456 NJF524456 NTB524456 OCX524456 OMT524456 OWP524456 PGL524456 PQH524456 QAD524456 QJZ524456 QTV524456 RDR524456 RNN524456 RXJ524456 SHF524456 SRB524456 TAX524456 TKT524456 TUP524456 UEL524456 UOH524456 UYD524456 VHZ524456 VRV524456 WBR524456 WLN524456 WVJ524456 B589992 IX589992 ST589992 ACP589992 AML589992 AWH589992 BGD589992 BPZ589992 BZV589992 CJR589992 CTN589992 DDJ589992 DNF589992 DXB589992 EGX589992 EQT589992 FAP589992 FKL589992 FUH589992 GED589992 GNZ589992 GXV589992 HHR589992 HRN589992 IBJ589992 ILF589992 IVB589992 JEX589992 JOT589992 JYP589992 KIL589992 KSH589992 LCD589992 LLZ589992 LVV589992 MFR589992 MPN589992 MZJ589992 NJF589992 NTB589992 OCX589992 OMT589992 OWP589992 PGL589992 PQH589992 QAD589992 QJZ589992 QTV589992 RDR589992 RNN589992 RXJ589992 SHF589992 SRB589992 TAX589992 TKT589992 TUP589992 UEL589992 UOH589992 UYD589992 VHZ589992 VRV589992 WBR589992 WLN589992 WVJ589992 B655528 IX655528 ST655528 ACP655528 AML655528 AWH655528 BGD655528 BPZ655528 BZV655528 CJR655528 CTN655528 DDJ655528 DNF655528 DXB655528 EGX655528 EQT655528 FAP655528 FKL655528 FUH655528 GED655528 GNZ655528 GXV655528 HHR655528 HRN655528 IBJ655528 ILF655528 IVB655528 JEX655528 JOT655528 JYP655528 KIL655528 KSH655528 LCD655528 LLZ655528 LVV655528 MFR655528 MPN655528 MZJ655528 NJF655528 NTB655528 OCX655528 OMT655528 OWP655528 PGL655528 PQH655528 QAD655528 QJZ655528 QTV655528 RDR655528 RNN655528 RXJ655528 SHF655528 SRB655528 TAX655528 TKT655528 TUP655528 UEL655528 UOH655528 UYD655528 VHZ655528 VRV655528 WBR655528 WLN655528 WVJ655528 B721064 IX721064 ST721064 ACP721064 AML721064 AWH721064 BGD721064 BPZ721064 BZV721064 CJR721064 CTN721064 DDJ721064 DNF721064 DXB721064 EGX721064 EQT721064 FAP721064 FKL721064 FUH721064 GED721064 GNZ721064 GXV721064 HHR721064 HRN721064 IBJ721064 ILF721064 IVB721064 JEX721064 JOT721064 JYP721064 KIL721064 KSH721064 LCD721064 LLZ721064 LVV721064 MFR721064 MPN721064 MZJ721064 NJF721064 NTB721064 OCX721064 OMT721064 OWP721064 PGL721064 PQH721064 QAD721064 QJZ721064 QTV721064 RDR721064 RNN721064 RXJ721064 SHF721064 SRB721064 TAX721064 TKT721064 TUP721064 UEL721064 UOH721064 UYD721064 VHZ721064 VRV721064 WBR721064 WLN721064 WVJ721064 B786600 IX786600 ST786600 ACP786600 AML786600 AWH786600 BGD786600 BPZ786600 BZV786600 CJR786600 CTN786600 DDJ786600 DNF786600 DXB786600 EGX786600 EQT786600 FAP786600 FKL786600 FUH786600 GED786600 GNZ786600 GXV786600 HHR786600 HRN786600 IBJ786600 ILF786600 IVB786600 JEX786600 JOT786600 JYP786600 KIL786600 KSH786600 LCD786600 LLZ786600 LVV786600 MFR786600 MPN786600 MZJ786600 NJF786600 NTB786600 OCX786600 OMT786600 OWP786600 PGL786600 PQH786600 QAD786600 QJZ786600 QTV786600 RDR786600 RNN786600 RXJ786600 SHF786600 SRB786600 TAX786600 TKT786600 TUP786600 UEL786600 UOH786600 UYD786600 VHZ786600 VRV786600 WBR786600 WLN786600 WVJ786600 B852136 IX852136 ST852136 ACP852136 AML852136 AWH852136 BGD852136 BPZ852136 BZV852136 CJR852136 CTN852136 DDJ852136 DNF852136 DXB852136 EGX852136 EQT852136 FAP852136 FKL852136 FUH852136 GED852136 GNZ852136 GXV852136 HHR852136 HRN852136 IBJ852136 ILF852136 IVB852136 JEX852136 JOT852136 JYP852136 KIL852136 KSH852136 LCD852136 LLZ852136 LVV852136 MFR852136 MPN852136 MZJ852136 NJF852136 NTB852136 OCX852136 OMT852136 OWP852136 PGL852136 PQH852136 QAD852136 QJZ852136 QTV852136 RDR852136 RNN852136 RXJ852136 SHF852136 SRB852136 TAX852136 TKT852136 TUP852136 UEL852136 UOH852136 UYD852136 VHZ852136 VRV852136 WBR852136 WLN852136 WVJ852136 B917672 IX917672 ST917672 ACP917672 AML917672 AWH917672 BGD917672 BPZ917672 BZV917672 CJR917672 CTN917672 DDJ917672 DNF917672 DXB917672 EGX917672 EQT917672 FAP917672 FKL917672 FUH917672 GED917672 GNZ917672 GXV917672 HHR917672 HRN917672 IBJ917672 ILF917672 IVB917672 JEX917672 JOT917672 JYP917672 KIL917672 KSH917672 LCD917672 LLZ917672 LVV917672 MFR917672 MPN917672 MZJ917672 NJF917672 NTB917672 OCX917672 OMT917672 OWP917672 PGL917672 PQH917672 QAD917672 QJZ917672 QTV917672 RDR917672 RNN917672 RXJ917672 SHF917672 SRB917672 TAX917672 TKT917672 TUP917672 UEL917672 UOH917672 UYD917672 VHZ917672 VRV917672 WBR917672 WLN917672 WVJ917672 B983208 IX983208 ST983208 ACP983208 AML983208 AWH983208 BGD983208 BPZ983208 BZV983208 CJR983208 CTN983208 DDJ983208 DNF983208 DXB983208 EGX983208 EQT983208 FAP983208 FKL983208 FUH983208 GED983208 GNZ983208 GXV983208 HHR983208 HRN983208 IBJ983208 ILF983208 IVB983208 JEX983208 JOT983208 JYP983208 KIL983208 KSH983208 LCD983208 LLZ983208 LVV983208 MFR983208 MPN983208 MZJ983208 NJF983208 NTB983208 OCX983208 OMT983208 OWP983208 PGL983208 PQH983208 QAD983208 QJZ983208 QTV983208 RDR983208 RNN983208 RXJ983208 SHF983208 SRB983208 TAX983208 TKT983208 TUP983208 UEL983208 UOH983208 UYD983208 VHZ983208 VRV983208 WBR983208 WLN983208 WVJ983208" xr:uid="{3B5A12DC-2CF8-49E3-8078-D531C49E3C19}">
      <formula1>$BA$2:$BA$18</formula1>
    </dataValidation>
    <dataValidation type="list" allowBlank="1" showInputMessage="1" showErrorMessage="1" sqref="BG71 LC71 UY71 AEU71 AOQ71 AYM71 BII71 BSE71 CCA71 CLW71 CVS71 DFO71 DPK71 DZG71 EJC71 ESY71 FCU71 FMQ71 FWM71 GGI71 GQE71 HAA71 HJW71 HTS71 IDO71 INK71 IXG71 JHC71 JQY71 KAU71 KKQ71 KUM71 LEI71 LOE71 LYA71 MHW71 MRS71 NBO71 NLK71 NVG71 OFC71 OOY71 OYU71 PIQ71 PSM71 QCI71 QME71 QWA71 RFW71 RPS71 RZO71 SJK71 STG71 TDC71 TMY71 TWU71 UGQ71 UQM71 VAI71 VKE71 VUA71 WDW71 WNS71 WXO71 BG65607 LC65607 UY65607 AEU65607 AOQ65607 AYM65607 BII65607 BSE65607 CCA65607 CLW65607 CVS65607 DFO65607 DPK65607 DZG65607 EJC65607 ESY65607 FCU65607 FMQ65607 FWM65607 GGI65607 GQE65607 HAA65607 HJW65607 HTS65607 IDO65607 INK65607 IXG65607 JHC65607 JQY65607 KAU65607 KKQ65607 KUM65607 LEI65607 LOE65607 LYA65607 MHW65607 MRS65607 NBO65607 NLK65607 NVG65607 OFC65607 OOY65607 OYU65607 PIQ65607 PSM65607 QCI65607 QME65607 QWA65607 RFW65607 RPS65607 RZO65607 SJK65607 STG65607 TDC65607 TMY65607 TWU65607 UGQ65607 UQM65607 VAI65607 VKE65607 VUA65607 WDW65607 WNS65607 WXO65607 BG131143 LC131143 UY131143 AEU131143 AOQ131143 AYM131143 BII131143 BSE131143 CCA131143 CLW131143 CVS131143 DFO131143 DPK131143 DZG131143 EJC131143 ESY131143 FCU131143 FMQ131143 FWM131143 GGI131143 GQE131143 HAA131143 HJW131143 HTS131143 IDO131143 INK131143 IXG131143 JHC131143 JQY131143 KAU131143 KKQ131143 KUM131143 LEI131143 LOE131143 LYA131143 MHW131143 MRS131143 NBO131143 NLK131143 NVG131143 OFC131143 OOY131143 OYU131143 PIQ131143 PSM131143 QCI131143 QME131143 QWA131143 RFW131143 RPS131143 RZO131143 SJK131143 STG131143 TDC131143 TMY131143 TWU131143 UGQ131143 UQM131143 VAI131143 VKE131143 VUA131143 WDW131143 WNS131143 WXO131143 BG196679 LC196679 UY196679 AEU196679 AOQ196679 AYM196679 BII196679 BSE196679 CCA196679 CLW196679 CVS196679 DFO196679 DPK196679 DZG196679 EJC196679 ESY196679 FCU196679 FMQ196679 FWM196679 GGI196679 GQE196679 HAA196679 HJW196679 HTS196679 IDO196679 INK196679 IXG196679 JHC196679 JQY196679 KAU196679 KKQ196679 KUM196679 LEI196679 LOE196679 LYA196679 MHW196679 MRS196679 NBO196679 NLK196679 NVG196679 OFC196679 OOY196679 OYU196679 PIQ196679 PSM196679 QCI196679 QME196679 QWA196679 RFW196679 RPS196679 RZO196679 SJK196679 STG196679 TDC196679 TMY196679 TWU196679 UGQ196679 UQM196679 VAI196679 VKE196679 VUA196679 WDW196679 WNS196679 WXO196679 BG262215 LC262215 UY262215 AEU262215 AOQ262215 AYM262215 BII262215 BSE262215 CCA262215 CLW262215 CVS262215 DFO262215 DPK262215 DZG262215 EJC262215 ESY262215 FCU262215 FMQ262215 FWM262215 GGI262215 GQE262215 HAA262215 HJW262215 HTS262215 IDO262215 INK262215 IXG262215 JHC262215 JQY262215 KAU262215 KKQ262215 KUM262215 LEI262215 LOE262215 LYA262215 MHW262215 MRS262215 NBO262215 NLK262215 NVG262215 OFC262215 OOY262215 OYU262215 PIQ262215 PSM262215 QCI262215 QME262215 QWA262215 RFW262215 RPS262215 RZO262215 SJK262215 STG262215 TDC262215 TMY262215 TWU262215 UGQ262215 UQM262215 VAI262215 VKE262215 VUA262215 WDW262215 WNS262215 WXO262215 BG327751 LC327751 UY327751 AEU327751 AOQ327751 AYM327751 BII327751 BSE327751 CCA327751 CLW327751 CVS327751 DFO327751 DPK327751 DZG327751 EJC327751 ESY327751 FCU327751 FMQ327751 FWM327751 GGI327751 GQE327751 HAA327751 HJW327751 HTS327751 IDO327751 INK327751 IXG327751 JHC327751 JQY327751 KAU327751 KKQ327751 KUM327751 LEI327751 LOE327751 LYA327751 MHW327751 MRS327751 NBO327751 NLK327751 NVG327751 OFC327751 OOY327751 OYU327751 PIQ327751 PSM327751 QCI327751 QME327751 QWA327751 RFW327751 RPS327751 RZO327751 SJK327751 STG327751 TDC327751 TMY327751 TWU327751 UGQ327751 UQM327751 VAI327751 VKE327751 VUA327751 WDW327751 WNS327751 WXO327751 BG393287 LC393287 UY393287 AEU393287 AOQ393287 AYM393287 BII393287 BSE393287 CCA393287 CLW393287 CVS393287 DFO393287 DPK393287 DZG393287 EJC393287 ESY393287 FCU393287 FMQ393287 FWM393287 GGI393287 GQE393287 HAA393287 HJW393287 HTS393287 IDO393287 INK393287 IXG393287 JHC393287 JQY393287 KAU393287 KKQ393287 KUM393287 LEI393287 LOE393287 LYA393287 MHW393287 MRS393287 NBO393287 NLK393287 NVG393287 OFC393287 OOY393287 OYU393287 PIQ393287 PSM393287 QCI393287 QME393287 QWA393287 RFW393287 RPS393287 RZO393287 SJK393287 STG393287 TDC393287 TMY393287 TWU393287 UGQ393287 UQM393287 VAI393287 VKE393287 VUA393287 WDW393287 WNS393287 WXO393287 BG458823 LC458823 UY458823 AEU458823 AOQ458823 AYM458823 BII458823 BSE458823 CCA458823 CLW458823 CVS458823 DFO458823 DPK458823 DZG458823 EJC458823 ESY458823 FCU458823 FMQ458823 FWM458823 GGI458823 GQE458823 HAA458823 HJW458823 HTS458823 IDO458823 INK458823 IXG458823 JHC458823 JQY458823 KAU458823 KKQ458823 KUM458823 LEI458823 LOE458823 LYA458823 MHW458823 MRS458823 NBO458823 NLK458823 NVG458823 OFC458823 OOY458823 OYU458823 PIQ458823 PSM458823 QCI458823 QME458823 QWA458823 RFW458823 RPS458823 RZO458823 SJK458823 STG458823 TDC458823 TMY458823 TWU458823 UGQ458823 UQM458823 VAI458823 VKE458823 VUA458823 WDW458823 WNS458823 WXO458823 BG524359 LC524359 UY524359 AEU524359 AOQ524359 AYM524359 BII524359 BSE524359 CCA524359 CLW524359 CVS524359 DFO524359 DPK524359 DZG524359 EJC524359 ESY524359 FCU524359 FMQ524359 FWM524359 GGI524359 GQE524359 HAA524359 HJW524359 HTS524359 IDO524359 INK524359 IXG524359 JHC524359 JQY524359 KAU524359 KKQ524359 KUM524359 LEI524359 LOE524359 LYA524359 MHW524359 MRS524359 NBO524359 NLK524359 NVG524359 OFC524359 OOY524359 OYU524359 PIQ524359 PSM524359 QCI524359 QME524359 QWA524359 RFW524359 RPS524359 RZO524359 SJK524359 STG524359 TDC524359 TMY524359 TWU524359 UGQ524359 UQM524359 VAI524359 VKE524359 VUA524359 WDW524359 WNS524359 WXO524359 BG589895 LC589895 UY589895 AEU589895 AOQ589895 AYM589895 BII589895 BSE589895 CCA589895 CLW589895 CVS589895 DFO589895 DPK589895 DZG589895 EJC589895 ESY589895 FCU589895 FMQ589895 FWM589895 GGI589895 GQE589895 HAA589895 HJW589895 HTS589895 IDO589895 INK589895 IXG589895 JHC589895 JQY589895 KAU589895 KKQ589895 KUM589895 LEI589895 LOE589895 LYA589895 MHW589895 MRS589895 NBO589895 NLK589895 NVG589895 OFC589895 OOY589895 OYU589895 PIQ589895 PSM589895 QCI589895 QME589895 QWA589895 RFW589895 RPS589895 RZO589895 SJK589895 STG589895 TDC589895 TMY589895 TWU589895 UGQ589895 UQM589895 VAI589895 VKE589895 VUA589895 WDW589895 WNS589895 WXO589895 BG655431 LC655431 UY655431 AEU655431 AOQ655431 AYM655431 BII655431 BSE655431 CCA655431 CLW655431 CVS655431 DFO655431 DPK655431 DZG655431 EJC655431 ESY655431 FCU655431 FMQ655431 FWM655431 GGI655431 GQE655431 HAA655431 HJW655431 HTS655431 IDO655431 INK655431 IXG655431 JHC655431 JQY655431 KAU655431 KKQ655431 KUM655431 LEI655431 LOE655431 LYA655431 MHW655431 MRS655431 NBO655431 NLK655431 NVG655431 OFC655431 OOY655431 OYU655431 PIQ655431 PSM655431 QCI655431 QME655431 QWA655431 RFW655431 RPS655431 RZO655431 SJK655431 STG655431 TDC655431 TMY655431 TWU655431 UGQ655431 UQM655431 VAI655431 VKE655431 VUA655431 WDW655431 WNS655431 WXO655431 BG720967 LC720967 UY720967 AEU720967 AOQ720967 AYM720967 BII720967 BSE720967 CCA720967 CLW720967 CVS720967 DFO720967 DPK720967 DZG720967 EJC720967 ESY720967 FCU720967 FMQ720967 FWM720967 GGI720967 GQE720967 HAA720967 HJW720967 HTS720967 IDO720967 INK720967 IXG720967 JHC720967 JQY720967 KAU720967 KKQ720967 KUM720967 LEI720967 LOE720967 LYA720967 MHW720967 MRS720967 NBO720967 NLK720967 NVG720967 OFC720967 OOY720967 OYU720967 PIQ720967 PSM720967 QCI720967 QME720967 QWA720967 RFW720967 RPS720967 RZO720967 SJK720967 STG720967 TDC720967 TMY720967 TWU720967 UGQ720967 UQM720967 VAI720967 VKE720967 VUA720967 WDW720967 WNS720967 WXO720967 BG786503 LC786503 UY786503 AEU786503 AOQ786503 AYM786503 BII786503 BSE786503 CCA786503 CLW786503 CVS786503 DFO786503 DPK786503 DZG786503 EJC786503 ESY786503 FCU786503 FMQ786503 FWM786503 GGI786503 GQE786503 HAA786503 HJW786503 HTS786503 IDO786503 INK786503 IXG786503 JHC786503 JQY786503 KAU786503 KKQ786503 KUM786503 LEI786503 LOE786503 LYA786503 MHW786503 MRS786503 NBO786503 NLK786503 NVG786503 OFC786503 OOY786503 OYU786503 PIQ786503 PSM786503 QCI786503 QME786503 QWA786503 RFW786503 RPS786503 RZO786503 SJK786503 STG786503 TDC786503 TMY786503 TWU786503 UGQ786503 UQM786503 VAI786503 VKE786503 VUA786503 WDW786503 WNS786503 WXO786503 BG852039 LC852039 UY852039 AEU852039 AOQ852039 AYM852039 BII852039 BSE852039 CCA852039 CLW852039 CVS852039 DFO852039 DPK852039 DZG852039 EJC852039 ESY852039 FCU852039 FMQ852039 FWM852039 GGI852039 GQE852039 HAA852039 HJW852039 HTS852039 IDO852039 INK852039 IXG852039 JHC852039 JQY852039 KAU852039 KKQ852039 KUM852039 LEI852039 LOE852039 LYA852039 MHW852039 MRS852039 NBO852039 NLK852039 NVG852039 OFC852039 OOY852039 OYU852039 PIQ852039 PSM852039 QCI852039 QME852039 QWA852039 RFW852039 RPS852039 RZO852039 SJK852039 STG852039 TDC852039 TMY852039 TWU852039 UGQ852039 UQM852039 VAI852039 VKE852039 VUA852039 WDW852039 WNS852039 WXO852039 BG917575 LC917575 UY917575 AEU917575 AOQ917575 AYM917575 BII917575 BSE917575 CCA917575 CLW917575 CVS917575 DFO917575 DPK917575 DZG917575 EJC917575 ESY917575 FCU917575 FMQ917575 FWM917575 GGI917575 GQE917575 HAA917575 HJW917575 HTS917575 IDO917575 INK917575 IXG917575 JHC917575 JQY917575 KAU917575 KKQ917575 KUM917575 LEI917575 LOE917575 LYA917575 MHW917575 MRS917575 NBO917575 NLK917575 NVG917575 OFC917575 OOY917575 OYU917575 PIQ917575 PSM917575 QCI917575 QME917575 QWA917575 RFW917575 RPS917575 RZO917575 SJK917575 STG917575 TDC917575 TMY917575 TWU917575 UGQ917575 UQM917575 VAI917575 VKE917575 VUA917575 WDW917575 WNS917575 WXO917575 BG983111 LC983111 UY983111 AEU983111 AOQ983111 AYM983111 BII983111 BSE983111 CCA983111 CLW983111 CVS983111 DFO983111 DPK983111 DZG983111 EJC983111 ESY983111 FCU983111 FMQ983111 FWM983111 GGI983111 GQE983111 HAA983111 HJW983111 HTS983111 IDO983111 INK983111 IXG983111 JHC983111 JQY983111 KAU983111 KKQ983111 KUM983111 LEI983111 LOE983111 LYA983111 MHW983111 MRS983111 NBO983111 NLK983111 NVG983111 OFC983111 OOY983111 OYU983111 PIQ983111 PSM983111 QCI983111 QME983111 QWA983111 RFW983111 RPS983111 RZO983111 SJK983111 STG983111 TDC983111 TMY983111 TWU983111 UGQ983111 UQM983111 VAI983111 VKE983111 VUA983111 WDW983111 WNS983111 WXO983111" xr:uid="{DBDF1BA2-6761-4D2A-B9C1-436D72CC1668}">
      <formula1>$AD$20:$AD$21</formula1>
    </dataValidation>
    <dataValidation type="list" allowBlank="1" showInputMessage="1" showErrorMessage="1" sqref="BG70 LC70 UY70 AEU70 AOQ70 AYM70 BII70 BSE70 CCA70 CLW70 CVS70 DFO70 DPK70 DZG70 EJC70 ESY70 FCU70 FMQ70 FWM70 GGI70 GQE70 HAA70 HJW70 HTS70 IDO70 INK70 IXG70 JHC70 JQY70 KAU70 KKQ70 KUM70 LEI70 LOE70 LYA70 MHW70 MRS70 NBO70 NLK70 NVG70 OFC70 OOY70 OYU70 PIQ70 PSM70 QCI70 QME70 QWA70 RFW70 RPS70 RZO70 SJK70 STG70 TDC70 TMY70 TWU70 UGQ70 UQM70 VAI70 VKE70 VUA70 WDW70 WNS70 WXO70 BG65606 LC65606 UY65606 AEU65606 AOQ65606 AYM65606 BII65606 BSE65606 CCA65606 CLW65606 CVS65606 DFO65606 DPK65606 DZG65606 EJC65606 ESY65606 FCU65606 FMQ65606 FWM65606 GGI65606 GQE65606 HAA65606 HJW65606 HTS65606 IDO65606 INK65606 IXG65606 JHC65606 JQY65606 KAU65606 KKQ65606 KUM65606 LEI65606 LOE65606 LYA65606 MHW65606 MRS65606 NBO65606 NLK65606 NVG65606 OFC65606 OOY65606 OYU65606 PIQ65606 PSM65606 QCI65606 QME65606 QWA65606 RFW65606 RPS65606 RZO65606 SJK65606 STG65606 TDC65606 TMY65606 TWU65606 UGQ65606 UQM65606 VAI65606 VKE65606 VUA65606 WDW65606 WNS65606 WXO65606 BG131142 LC131142 UY131142 AEU131142 AOQ131142 AYM131142 BII131142 BSE131142 CCA131142 CLW131142 CVS131142 DFO131142 DPK131142 DZG131142 EJC131142 ESY131142 FCU131142 FMQ131142 FWM131142 GGI131142 GQE131142 HAA131142 HJW131142 HTS131142 IDO131142 INK131142 IXG131142 JHC131142 JQY131142 KAU131142 KKQ131142 KUM131142 LEI131142 LOE131142 LYA131142 MHW131142 MRS131142 NBO131142 NLK131142 NVG131142 OFC131142 OOY131142 OYU131142 PIQ131142 PSM131142 QCI131142 QME131142 QWA131142 RFW131142 RPS131142 RZO131142 SJK131142 STG131142 TDC131142 TMY131142 TWU131142 UGQ131142 UQM131142 VAI131142 VKE131142 VUA131142 WDW131142 WNS131142 WXO131142 BG196678 LC196678 UY196678 AEU196678 AOQ196678 AYM196678 BII196678 BSE196678 CCA196678 CLW196678 CVS196678 DFO196678 DPK196678 DZG196678 EJC196678 ESY196678 FCU196678 FMQ196678 FWM196678 GGI196678 GQE196678 HAA196678 HJW196678 HTS196678 IDO196678 INK196678 IXG196678 JHC196678 JQY196678 KAU196678 KKQ196678 KUM196678 LEI196678 LOE196678 LYA196678 MHW196678 MRS196678 NBO196678 NLK196678 NVG196678 OFC196678 OOY196678 OYU196678 PIQ196678 PSM196678 QCI196678 QME196678 QWA196678 RFW196678 RPS196678 RZO196678 SJK196678 STG196678 TDC196678 TMY196678 TWU196678 UGQ196678 UQM196678 VAI196678 VKE196678 VUA196678 WDW196678 WNS196678 WXO196678 BG262214 LC262214 UY262214 AEU262214 AOQ262214 AYM262214 BII262214 BSE262214 CCA262214 CLW262214 CVS262214 DFO262214 DPK262214 DZG262214 EJC262214 ESY262214 FCU262214 FMQ262214 FWM262214 GGI262214 GQE262214 HAA262214 HJW262214 HTS262214 IDO262214 INK262214 IXG262214 JHC262214 JQY262214 KAU262214 KKQ262214 KUM262214 LEI262214 LOE262214 LYA262214 MHW262214 MRS262214 NBO262214 NLK262214 NVG262214 OFC262214 OOY262214 OYU262214 PIQ262214 PSM262214 QCI262214 QME262214 QWA262214 RFW262214 RPS262214 RZO262214 SJK262214 STG262214 TDC262214 TMY262214 TWU262214 UGQ262214 UQM262214 VAI262214 VKE262214 VUA262214 WDW262214 WNS262214 WXO262214 BG327750 LC327750 UY327750 AEU327750 AOQ327750 AYM327750 BII327750 BSE327750 CCA327750 CLW327750 CVS327750 DFO327750 DPK327750 DZG327750 EJC327750 ESY327750 FCU327750 FMQ327750 FWM327750 GGI327750 GQE327750 HAA327750 HJW327750 HTS327750 IDO327750 INK327750 IXG327750 JHC327750 JQY327750 KAU327750 KKQ327750 KUM327750 LEI327750 LOE327750 LYA327750 MHW327750 MRS327750 NBO327750 NLK327750 NVG327750 OFC327750 OOY327750 OYU327750 PIQ327750 PSM327750 QCI327750 QME327750 QWA327750 RFW327750 RPS327750 RZO327750 SJK327750 STG327750 TDC327750 TMY327750 TWU327750 UGQ327750 UQM327750 VAI327750 VKE327750 VUA327750 WDW327750 WNS327750 WXO327750 BG393286 LC393286 UY393286 AEU393286 AOQ393286 AYM393286 BII393286 BSE393286 CCA393286 CLW393286 CVS393286 DFO393286 DPK393286 DZG393286 EJC393286 ESY393286 FCU393286 FMQ393286 FWM393286 GGI393286 GQE393286 HAA393286 HJW393286 HTS393286 IDO393286 INK393286 IXG393286 JHC393286 JQY393286 KAU393286 KKQ393286 KUM393286 LEI393286 LOE393286 LYA393286 MHW393286 MRS393286 NBO393286 NLK393286 NVG393286 OFC393286 OOY393286 OYU393286 PIQ393286 PSM393286 QCI393286 QME393286 QWA393286 RFW393286 RPS393286 RZO393286 SJK393286 STG393286 TDC393286 TMY393286 TWU393286 UGQ393286 UQM393286 VAI393286 VKE393286 VUA393286 WDW393286 WNS393286 WXO393286 BG458822 LC458822 UY458822 AEU458822 AOQ458822 AYM458822 BII458822 BSE458822 CCA458822 CLW458822 CVS458822 DFO458822 DPK458822 DZG458822 EJC458822 ESY458822 FCU458822 FMQ458822 FWM458822 GGI458822 GQE458822 HAA458822 HJW458822 HTS458822 IDO458822 INK458822 IXG458822 JHC458822 JQY458822 KAU458822 KKQ458822 KUM458822 LEI458822 LOE458822 LYA458822 MHW458822 MRS458822 NBO458822 NLK458822 NVG458822 OFC458822 OOY458822 OYU458822 PIQ458822 PSM458822 QCI458822 QME458822 QWA458822 RFW458822 RPS458822 RZO458822 SJK458822 STG458822 TDC458822 TMY458822 TWU458822 UGQ458822 UQM458822 VAI458822 VKE458822 VUA458822 WDW458822 WNS458822 WXO458822 BG524358 LC524358 UY524358 AEU524358 AOQ524358 AYM524358 BII524358 BSE524358 CCA524358 CLW524358 CVS524358 DFO524358 DPK524358 DZG524358 EJC524358 ESY524358 FCU524358 FMQ524358 FWM524358 GGI524358 GQE524358 HAA524358 HJW524358 HTS524358 IDO524358 INK524358 IXG524358 JHC524358 JQY524358 KAU524358 KKQ524358 KUM524358 LEI524358 LOE524358 LYA524358 MHW524358 MRS524358 NBO524358 NLK524358 NVG524358 OFC524358 OOY524358 OYU524358 PIQ524358 PSM524358 QCI524358 QME524358 QWA524358 RFW524358 RPS524358 RZO524358 SJK524358 STG524358 TDC524358 TMY524358 TWU524358 UGQ524358 UQM524358 VAI524358 VKE524358 VUA524358 WDW524358 WNS524358 WXO524358 BG589894 LC589894 UY589894 AEU589894 AOQ589894 AYM589894 BII589894 BSE589894 CCA589894 CLW589894 CVS589894 DFO589894 DPK589894 DZG589894 EJC589894 ESY589894 FCU589894 FMQ589894 FWM589894 GGI589894 GQE589894 HAA589894 HJW589894 HTS589894 IDO589894 INK589894 IXG589894 JHC589894 JQY589894 KAU589894 KKQ589894 KUM589894 LEI589894 LOE589894 LYA589894 MHW589894 MRS589894 NBO589894 NLK589894 NVG589894 OFC589894 OOY589894 OYU589894 PIQ589894 PSM589894 QCI589894 QME589894 QWA589894 RFW589894 RPS589894 RZO589894 SJK589894 STG589894 TDC589894 TMY589894 TWU589894 UGQ589894 UQM589894 VAI589894 VKE589894 VUA589894 WDW589894 WNS589894 WXO589894 BG655430 LC655430 UY655430 AEU655430 AOQ655430 AYM655430 BII655430 BSE655430 CCA655430 CLW655430 CVS655430 DFO655430 DPK655430 DZG655430 EJC655430 ESY655430 FCU655430 FMQ655430 FWM655430 GGI655430 GQE655430 HAA655430 HJW655430 HTS655430 IDO655430 INK655430 IXG655430 JHC655430 JQY655430 KAU655430 KKQ655430 KUM655430 LEI655430 LOE655430 LYA655430 MHW655430 MRS655430 NBO655430 NLK655430 NVG655430 OFC655430 OOY655430 OYU655430 PIQ655430 PSM655430 QCI655430 QME655430 QWA655430 RFW655430 RPS655430 RZO655430 SJK655430 STG655430 TDC655430 TMY655430 TWU655430 UGQ655430 UQM655430 VAI655430 VKE655430 VUA655430 WDW655430 WNS655430 WXO655430 BG720966 LC720966 UY720966 AEU720966 AOQ720966 AYM720966 BII720966 BSE720966 CCA720966 CLW720966 CVS720966 DFO720966 DPK720966 DZG720966 EJC720966 ESY720966 FCU720966 FMQ720966 FWM720966 GGI720966 GQE720966 HAA720966 HJW720966 HTS720966 IDO720966 INK720966 IXG720966 JHC720966 JQY720966 KAU720966 KKQ720966 KUM720966 LEI720966 LOE720966 LYA720966 MHW720966 MRS720966 NBO720966 NLK720966 NVG720966 OFC720966 OOY720966 OYU720966 PIQ720966 PSM720966 QCI720966 QME720966 QWA720966 RFW720966 RPS720966 RZO720966 SJK720966 STG720966 TDC720966 TMY720966 TWU720966 UGQ720966 UQM720966 VAI720966 VKE720966 VUA720966 WDW720966 WNS720966 WXO720966 BG786502 LC786502 UY786502 AEU786502 AOQ786502 AYM786502 BII786502 BSE786502 CCA786502 CLW786502 CVS786502 DFO786502 DPK786502 DZG786502 EJC786502 ESY786502 FCU786502 FMQ786502 FWM786502 GGI786502 GQE786502 HAA786502 HJW786502 HTS786502 IDO786502 INK786502 IXG786502 JHC786502 JQY786502 KAU786502 KKQ786502 KUM786502 LEI786502 LOE786502 LYA786502 MHW786502 MRS786502 NBO786502 NLK786502 NVG786502 OFC786502 OOY786502 OYU786502 PIQ786502 PSM786502 QCI786502 QME786502 QWA786502 RFW786502 RPS786502 RZO786502 SJK786502 STG786502 TDC786502 TMY786502 TWU786502 UGQ786502 UQM786502 VAI786502 VKE786502 VUA786502 WDW786502 WNS786502 WXO786502 BG852038 LC852038 UY852038 AEU852038 AOQ852038 AYM852038 BII852038 BSE852038 CCA852038 CLW852038 CVS852038 DFO852038 DPK852038 DZG852038 EJC852038 ESY852038 FCU852038 FMQ852038 FWM852038 GGI852038 GQE852038 HAA852038 HJW852038 HTS852038 IDO852038 INK852038 IXG852038 JHC852038 JQY852038 KAU852038 KKQ852038 KUM852038 LEI852038 LOE852038 LYA852038 MHW852038 MRS852038 NBO852038 NLK852038 NVG852038 OFC852038 OOY852038 OYU852038 PIQ852038 PSM852038 QCI852038 QME852038 QWA852038 RFW852038 RPS852038 RZO852038 SJK852038 STG852038 TDC852038 TMY852038 TWU852038 UGQ852038 UQM852038 VAI852038 VKE852038 VUA852038 WDW852038 WNS852038 WXO852038 BG917574 LC917574 UY917574 AEU917574 AOQ917574 AYM917574 BII917574 BSE917574 CCA917574 CLW917574 CVS917574 DFO917574 DPK917574 DZG917574 EJC917574 ESY917574 FCU917574 FMQ917574 FWM917574 GGI917574 GQE917574 HAA917574 HJW917574 HTS917574 IDO917574 INK917574 IXG917574 JHC917574 JQY917574 KAU917574 KKQ917574 KUM917574 LEI917574 LOE917574 LYA917574 MHW917574 MRS917574 NBO917574 NLK917574 NVG917574 OFC917574 OOY917574 OYU917574 PIQ917574 PSM917574 QCI917574 QME917574 QWA917574 RFW917574 RPS917574 RZO917574 SJK917574 STG917574 TDC917574 TMY917574 TWU917574 UGQ917574 UQM917574 VAI917574 VKE917574 VUA917574 WDW917574 WNS917574 WXO917574 BG983110 LC983110 UY983110 AEU983110 AOQ983110 AYM983110 BII983110 BSE983110 CCA983110 CLW983110 CVS983110 DFO983110 DPK983110 DZG983110 EJC983110 ESY983110 FCU983110 FMQ983110 FWM983110 GGI983110 GQE983110 HAA983110 HJW983110 HTS983110 IDO983110 INK983110 IXG983110 JHC983110 JQY983110 KAU983110 KKQ983110 KUM983110 LEI983110 LOE983110 LYA983110 MHW983110 MRS983110 NBO983110 NLK983110 NVG983110 OFC983110 OOY983110 OYU983110 PIQ983110 PSM983110 QCI983110 QME983110 QWA983110 RFW983110 RPS983110 RZO983110 SJK983110 STG983110 TDC983110 TMY983110 TWU983110 UGQ983110 UQM983110 VAI983110 VKE983110 VUA983110 WDW983110 WNS983110 WXO983110" xr:uid="{3E78653F-CF08-4440-8855-CA1EEE20C84E}">
      <formula1>$AA$2:$AA$15</formula1>
    </dataValidation>
    <dataValidation type="list" allowBlank="1" showInputMessage="1" showErrorMessage="1" sqref="W69 JS69 TO69 ADK69 ANG69 AXC69 BGY69 BQU69 CAQ69 CKM69 CUI69 DEE69 DOA69 DXW69 EHS69 ERO69 FBK69 FLG69 FVC69 GEY69 GOU69 GYQ69 HIM69 HSI69 ICE69 IMA69 IVW69 JFS69 JPO69 JZK69 KJG69 KTC69 LCY69 LMU69 LWQ69 MGM69 MQI69 NAE69 NKA69 NTW69 ODS69 ONO69 OXK69 PHG69 PRC69 QAY69 QKU69 QUQ69 REM69 ROI69 RYE69 SIA69 SRW69 TBS69 TLO69 TVK69 UFG69 UPC69 UYY69 VIU69 VSQ69 WCM69 WMI69 WWE69 W65605 JS65605 TO65605 ADK65605 ANG65605 AXC65605 BGY65605 BQU65605 CAQ65605 CKM65605 CUI65605 DEE65605 DOA65605 DXW65605 EHS65605 ERO65605 FBK65605 FLG65605 FVC65605 GEY65605 GOU65605 GYQ65605 HIM65605 HSI65605 ICE65605 IMA65605 IVW65605 JFS65605 JPO65605 JZK65605 KJG65605 KTC65605 LCY65605 LMU65605 LWQ65605 MGM65605 MQI65605 NAE65605 NKA65605 NTW65605 ODS65605 ONO65605 OXK65605 PHG65605 PRC65605 QAY65605 QKU65605 QUQ65605 REM65605 ROI65605 RYE65605 SIA65605 SRW65605 TBS65605 TLO65605 TVK65605 UFG65605 UPC65605 UYY65605 VIU65605 VSQ65605 WCM65605 WMI65605 WWE65605 W131141 JS131141 TO131141 ADK131141 ANG131141 AXC131141 BGY131141 BQU131141 CAQ131141 CKM131141 CUI131141 DEE131141 DOA131141 DXW131141 EHS131141 ERO131141 FBK131141 FLG131141 FVC131141 GEY131141 GOU131141 GYQ131141 HIM131141 HSI131141 ICE131141 IMA131141 IVW131141 JFS131141 JPO131141 JZK131141 KJG131141 KTC131141 LCY131141 LMU131141 LWQ131141 MGM131141 MQI131141 NAE131141 NKA131141 NTW131141 ODS131141 ONO131141 OXK131141 PHG131141 PRC131141 QAY131141 QKU131141 QUQ131141 REM131141 ROI131141 RYE131141 SIA131141 SRW131141 TBS131141 TLO131141 TVK131141 UFG131141 UPC131141 UYY131141 VIU131141 VSQ131141 WCM131141 WMI131141 WWE131141 W196677 JS196677 TO196677 ADK196677 ANG196677 AXC196677 BGY196677 BQU196677 CAQ196677 CKM196677 CUI196677 DEE196677 DOA196677 DXW196677 EHS196677 ERO196677 FBK196677 FLG196677 FVC196677 GEY196677 GOU196677 GYQ196677 HIM196677 HSI196677 ICE196677 IMA196677 IVW196677 JFS196677 JPO196677 JZK196677 KJG196677 KTC196677 LCY196677 LMU196677 LWQ196677 MGM196677 MQI196677 NAE196677 NKA196677 NTW196677 ODS196677 ONO196677 OXK196677 PHG196677 PRC196677 QAY196677 QKU196677 QUQ196677 REM196677 ROI196677 RYE196677 SIA196677 SRW196677 TBS196677 TLO196677 TVK196677 UFG196677 UPC196677 UYY196677 VIU196677 VSQ196677 WCM196677 WMI196677 WWE196677 W262213 JS262213 TO262213 ADK262213 ANG262213 AXC262213 BGY262213 BQU262213 CAQ262213 CKM262213 CUI262213 DEE262213 DOA262213 DXW262213 EHS262213 ERO262213 FBK262213 FLG262213 FVC262213 GEY262213 GOU262213 GYQ262213 HIM262213 HSI262213 ICE262213 IMA262213 IVW262213 JFS262213 JPO262213 JZK262213 KJG262213 KTC262213 LCY262213 LMU262213 LWQ262213 MGM262213 MQI262213 NAE262213 NKA262213 NTW262213 ODS262213 ONO262213 OXK262213 PHG262213 PRC262213 QAY262213 QKU262213 QUQ262213 REM262213 ROI262213 RYE262213 SIA262213 SRW262213 TBS262213 TLO262213 TVK262213 UFG262213 UPC262213 UYY262213 VIU262213 VSQ262213 WCM262213 WMI262213 WWE262213 W327749 JS327749 TO327749 ADK327749 ANG327749 AXC327749 BGY327749 BQU327749 CAQ327749 CKM327749 CUI327749 DEE327749 DOA327749 DXW327749 EHS327749 ERO327749 FBK327749 FLG327749 FVC327749 GEY327749 GOU327749 GYQ327749 HIM327749 HSI327749 ICE327749 IMA327749 IVW327749 JFS327749 JPO327749 JZK327749 KJG327749 KTC327749 LCY327749 LMU327749 LWQ327749 MGM327749 MQI327749 NAE327749 NKA327749 NTW327749 ODS327749 ONO327749 OXK327749 PHG327749 PRC327749 QAY327749 QKU327749 QUQ327749 REM327749 ROI327749 RYE327749 SIA327749 SRW327749 TBS327749 TLO327749 TVK327749 UFG327749 UPC327749 UYY327749 VIU327749 VSQ327749 WCM327749 WMI327749 WWE327749 W393285 JS393285 TO393285 ADK393285 ANG393285 AXC393285 BGY393285 BQU393285 CAQ393285 CKM393285 CUI393285 DEE393285 DOA393285 DXW393285 EHS393285 ERO393285 FBK393285 FLG393285 FVC393285 GEY393285 GOU393285 GYQ393285 HIM393285 HSI393285 ICE393285 IMA393285 IVW393285 JFS393285 JPO393285 JZK393285 KJG393285 KTC393285 LCY393285 LMU393285 LWQ393285 MGM393285 MQI393285 NAE393285 NKA393285 NTW393285 ODS393285 ONO393285 OXK393285 PHG393285 PRC393285 QAY393285 QKU393285 QUQ393285 REM393285 ROI393285 RYE393285 SIA393285 SRW393285 TBS393285 TLO393285 TVK393285 UFG393285 UPC393285 UYY393285 VIU393285 VSQ393285 WCM393285 WMI393285 WWE393285 W458821 JS458821 TO458821 ADK458821 ANG458821 AXC458821 BGY458821 BQU458821 CAQ458821 CKM458821 CUI458821 DEE458821 DOA458821 DXW458821 EHS458821 ERO458821 FBK458821 FLG458821 FVC458821 GEY458821 GOU458821 GYQ458821 HIM458821 HSI458821 ICE458821 IMA458821 IVW458821 JFS458821 JPO458821 JZK458821 KJG458821 KTC458821 LCY458821 LMU458821 LWQ458821 MGM458821 MQI458821 NAE458821 NKA458821 NTW458821 ODS458821 ONO458821 OXK458821 PHG458821 PRC458821 QAY458821 QKU458821 QUQ458821 REM458821 ROI458821 RYE458821 SIA458821 SRW458821 TBS458821 TLO458821 TVK458821 UFG458821 UPC458821 UYY458821 VIU458821 VSQ458821 WCM458821 WMI458821 WWE458821 W524357 JS524357 TO524357 ADK524357 ANG524357 AXC524357 BGY524357 BQU524357 CAQ524357 CKM524357 CUI524357 DEE524357 DOA524357 DXW524357 EHS524357 ERO524357 FBK524357 FLG524357 FVC524357 GEY524357 GOU524357 GYQ524357 HIM524357 HSI524357 ICE524357 IMA524357 IVW524357 JFS524357 JPO524357 JZK524357 KJG524357 KTC524357 LCY524357 LMU524357 LWQ524357 MGM524357 MQI524357 NAE524357 NKA524357 NTW524357 ODS524357 ONO524357 OXK524357 PHG524357 PRC524357 QAY524357 QKU524357 QUQ524357 REM524357 ROI524357 RYE524357 SIA524357 SRW524357 TBS524357 TLO524357 TVK524357 UFG524357 UPC524357 UYY524357 VIU524357 VSQ524357 WCM524357 WMI524357 WWE524357 W589893 JS589893 TO589893 ADK589893 ANG589893 AXC589893 BGY589893 BQU589893 CAQ589893 CKM589893 CUI589893 DEE589893 DOA589893 DXW589893 EHS589893 ERO589893 FBK589893 FLG589893 FVC589893 GEY589893 GOU589893 GYQ589893 HIM589893 HSI589893 ICE589893 IMA589893 IVW589893 JFS589893 JPO589893 JZK589893 KJG589893 KTC589893 LCY589893 LMU589893 LWQ589893 MGM589893 MQI589893 NAE589893 NKA589893 NTW589893 ODS589893 ONO589893 OXK589893 PHG589893 PRC589893 QAY589893 QKU589893 QUQ589893 REM589893 ROI589893 RYE589893 SIA589893 SRW589893 TBS589893 TLO589893 TVK589893 UFG589893 UPC589893 UYY589893 VIU589893 VSQ589893 WCM589893 WMI589893 WWE589893 W655429 JS655429 TO655429 ADK655429 ANG655429 AXC655429 BGY655429 BQU655429 CAQ655429 CKM655429 CUI655429 DEE655429 DOA655429 DXW655429 EHS655429 ERO655429 FBK655429 FLG655429 FVC655429 GEY655429 GOU655429 GYQ655429 HIM655429 HSI655429 ICE655429 IMA655429 IVW655429 JFS655429 JPO655429 JZK655429 KJG655429 KTC655429 LCY655429 LMU655429 LWQ655429 MGM655429 MQI655429 NAE655429 NKA655429 NTW655429 ODS655429 ONO655429 OXK655429 PHG655429 PRC655429 QAY655429 QKU655429 QUQ655429 REM655429 ROI655429 RYE655429 SIA655429 SRW655429 TBS655429 TLO655429 TVK655429 UFG655429 UPC655429 UYY655429 VIU655429 VSQ655429 WCM655429 WMI655429 WWE655429 W720965 JS720965 TO720965 ADK720965 ANG720965 AXC720965 BGY720965 BQU720965 CAQ720965 CKM720965 CUI720965 DEE720965 DOA720965 DXW720965 EHS720965 ERO720965 FBK720965 FLG720965 FVC720965 GEY720965 GOU720965 GYQ720965 HIM720965 HSI720965 ICE720965 IMA720965 IVW720965 JFS720965 JPO720965 JZK720965 KJG720965 KTC720965 LCY720965 LMU720965 LWQ720965 MGM720965 MQI720965 NAE720965 NKA720965 NTW720965 ODS720965 ONO720965 OXK720965 PHG720965 PRC720965 QAY720965 QKU720965 QUQ720965 REM720965 ROI720965 RYE720965 SIA720965 SRW720965 TBS720965 TLO720965 TVK720965 UFG720965 UPC720965 UYY720965 VIU720965 VSQ720965 WCM720965 WMI720965 WWE720965 W786501 JS786501 TO786501 ADK786501 ANG786501 AXC786501 BGY786501 BQU786501 CAQ786501 CKM786501 CUI786501 DEE786501 DOA786501 DXW786501 EHS786501 ERO786501 FBK786501 FLG786501 FVC786501 GEY786501 GOU786501 GYQ786501 HIM786501 HSI786501 ICE786501 IMA786501 IVW786501 JFS786501 JPO786501 JZK786501 KJG786501 KTC786501 LCY786501 LMU786501 LWQ786501 MGM786501 MQI786501 NAE786501 NKA786501 NTW786501 ODS786501 ONO786501 OXK786501 PHG786501 PRC786501 QAY786501 QKU786501 QUQ786501 REM786501 ROI786501 RYE786501 SIA786501 SRW786501 TBS786501 TLO786501 TVK786501 UFG786501 UPC786501 UYY786501 VIU786501 VSQ786501 WCM786501 WMI786501 WWE786501 W852037 JS852037 TO852037 ADK852037 ANG852037 AXC852037 BGY852037 BQU852037 CAQ852037 CKM852037 CUI852037 DEE852037 DOA852037 DXW852037 EHS852037 ERO852037 FBK852037 FLG852037 FVC852037 GEY852037 GOU852037 GYQ852037 HIM852037 HSI852037 ICE852037 IMA852037 IVW852037 JFS852037 JPO852037 JZK852037 KJG852037 KTC852037 LCY852037 LMU852037 LWQ852037 MGM852037 MQI852037 NAE852037 NKA852037 NTW852037 ODS852037 ONO852037 OXK852037 PHG852037 PRC852037 QAY852037 QKU852037 QUQ852037 REM852037 ROI852037 RYE852037 SIA852037 SRW852037 TBS852037 TLO852037 TVK852037 UFG852037 UPC852037 UYY852037 VIU852037 VSQ852037 WCM852037 WMI852037 WWE852037 W917573 JS917573 TO917573 ADK917573 ANG917573 AXC917573 BGY917573 BQU917573 CAQ917573 CKM917573 CUI917573 DEE917573 DOA917573 DXW917573 EHS917573 ERO917573 FBK917573 FLG917573 FVC917573 GEY917573 GOU917573 GYQ917573 HIM917573 HSI917573 ICE917573 IMA917573 IVW917573 JFS917573 JPO917573 JZK917573 KJG917573 KTC917573 LCY917573 LMU917573 LWQ917573 MGM917573 MQI917573 NAE917573 NKA917573 NTW917573 ODS917573 ONO917573 OXK917573 PHG917573 PRC917573 QAY917573 QKU917573 QUQ917573 REM917573 ROI917573 RYE917573 SIA917573 SRW917573 TBS917573 TLO917573 TVK917573 UFG917573 UPC917573 UYY917573 VIU917573 VSQ917573 WCM917573 WMI917573 WWE917573 W983109 JS983109 TO983109 ADK983109 ANG983109 AXC983109 BGY983109 BQU983109 CAQ983109 CKM983109 CUI983109 DEE983109 DOA983109 DXW983109 EHS983109 ERO983109 FBK983109 FLG983109 FVC983109 GEY983109 GOU983109 GYQ983109 HIM983109 HSI983109 ICE983109 IMA983109 IVW983109 JFS983109 JPO983109 JZK983109 KJG983109 KTC983109 LCY983109 LMU983109 LWQ983109 MGM983109 MQI983109 NAE983109 NKA983109 NTW983109 ODS983109 ONO983109 OXK983109 PHG983109 PRC983109 QAY983109 QKU983109 QUQ983109 REM983109 ROI983109 RYE983109 SIA983109 SRW983109 TBS983109 TLO983109 TVK983109 UFG983109 UPC983109 UYY983109 VIU983109 VSQ983109 WCM983109 WMI983109 WWE983109" xr:uid="{4780EA0E-7B99-465C-B3DD-34961427B4C1}">
      <formula1>$AF$44:$AF$45</formula1>
    </dataValidation>
    <dataValidation type="list" allowBlank="1" showInputMessage="1" showErrorMessage="1" sqref="F156 JB156 SX156 ACT156 AMP156 AWL156 BGH156 BQD156 BZZ156 CJV156 CTR156 DDN156 DNJ156 DXF156 EHB156 EQX156 FAT156 FKP156 FUL156 GEH156 GOD156 GXZ156 HHV156 HRR156 IBN156 ILJ156 IVF156 JFB156 JOX156 JYT156 KIP156 KSL156 LCH156 LMD156 LVZ156 MFV156 MPR156 MZN156 NJJ156 NTF156 ODB156 OMX156 OWT156 PGP156 PQL156 QAH156 QKD156 QTZ156 RDV156 RNR156 RXN156 SHJ156 SRF156 TBB156 TKX156 TUT156 UEP156 UOL156 UYH156 VID156 VRZ156 WBV156 WLR156 WVN156 F65692 JB65692 SX65692 ACT65692 AMP65692 AWL65692 BGH65692 BQD65692 BZZ65692 CJV65692 CTR65692 DDN65692 DNJ65692 DXF65692 EHB65692 EQX65692 FAT65692 FKP65692 FUL65692 GEH65692 GOD65692 GXZ65692 HHV65692 HRR65692 IBN65692 ILJ65692 IVF65692 JFB65692 JOX65692 JYT65692 KIP65692 KSL65692 LCH65692 LMD65692 LVZ65692 MFV65692 MPR65692 MZN65692 NJJ65692 NTF65692 ODB65692 OMX65692 OWT65692 PGP65692 PQL65692 QAH65692 QKD65692 QTZ65692 RDV65692 RNR65692 RXN65692 SHJ65692 SRF65692 TBB65692 TKX65692 TUT65692 UEP65692 UOL65692 UYH65692 VID65692 VRZ65692 WBV65692 WLR65692 WVN65692 F131228 JB131228 SX131228 ACT131228 AMP131228 AWL131228 BGH131228 BQD131228 BZZ131228 CJV131228 CTR131228 DDN131228 DNJ131228 DXF131228 EHB131228 EQX131228 FAT131228 FKP131228 FUL131228 GEH131228 GOD131228 GXZ131228 HHV131228 HRR131228 IBN131228 ILJ131228 IVF131228 JFB131228 JOX131228 JYT131228 KIP131228 KSL131228 LCH131228 LMD131228 LVZ131228 MFV131228 MPR131228 MZN131228 NJJ131228 NTF131228 ODB131228 OMX131228 OWT131228 PGP131228 PQL131228 QAH131228 QKD131228 QTZ131228 RDV131228 RNR131228 RXN131228 SHJ131228 SRF131228 TBB131228 TKX131228 TUT131228 UEP131228 UOL131228 UYH131228 VID131228 VRZ131228 WBV131228 WLR131228 WVN131228 F196764 JB196764 SX196764 ACT196764 AMP196764 AWL196764 BGH196764 BQD196764 BZZ196764 CJV196764 CTR196764 DDN196764 DNJ196764 DXF196764 EHB196764 EQX196764 FAT196764 FKP196764 FUL196764 GEH196764 GOD196764 GXZ196764 HHV196764 HRR196764 IBN196764 ILJ196764 IVF196764 JFB196764 JOX196764 JYT196764 KIP196764 KSL196764 LCH196764 LMD196764 LVZ196764 MFV196764 MPR196764 MZN196764 NJJ196764 NTF196764 ODB196764 OMX196764 OWT196764 PGP196764 PQL196764 QAH196764 QKD196764 QTZ196764 RDV196764 RNR196764 RXN196764 SHJ196764 SRF196764 TBB196764 TKX196764 TUT196764 UEP196764 UOL196764 UYH196764 VID196764 VRZ196764 WBV196764 WLR196764 WVN196764 F262300 JB262300 SX262300 ACT262300 AMP262300 AWL262300 BGH262300 BQD262300 BZZ262300 CJV262300 CTR262300 DDN262300 DNJ262300 DXF262300 EHB262300 EQX262300 FAT262300 FKP262300 FUL262300 GEH262300 GOD262300 GXZ262300 HHV262300 HRR262300 IBN262300 ILJ262300 IVF262300 JFB262300 JOX262300 JYT262300 KIP262300 KSL262300 LCH262300 LMD262300 LVZ262300 MFV262300 MPR262300 MZN262300 NJJ262300 NTF262300 ODB262300 OMX262300 OWT262300 PGP262300 PQL262300 QAH262300 QKD262300 QTZ262300 RDV262300 RNR262300 RXN262300 SHJ262300 SRF262300 TBB262300 TKX262300 TUT262300 UEP262300 UOL262300 UYH262300 VID262300 VRZ262300 WBV262300 WLR262300 WVN262300 F327836 JB327836 SX327836 ACT327836 AMP327836 AWL327836 BGH327836 BQD327836 BZZ327836 CJV327836 CTR327836 DDN327836 DNJ327836 DXF327836 EHB327836 EQX327836 FAT327836 FKP327836 FUL327836 GEH327836 GOD327836 GXZ327836 HHV327836 HRR327836 IBN327836 ILJ327836 IVF327836 JFB327836 JOX327836 JYT327836 KIP327836 KSL327836 LCH327836 LMD327836 LVZ327836 MFV327836 MPR327836 MZN327836 NJJ327836 NTF327836 ODB327836 OMX327836 OWT327836 PGP327836 PQL327836 QAH327836 QKD327836 QTZ327836 RDV327836 RNR327836 RXN327836 SHJ327836 SRF327836 TBB327836 TKX327836 TUT327836 UEP327836 UOL327836 UYH327836 VID327836 VRZ327836 WBV327836 WLR327836 WVN327836 F393372 JB393372 SX393372 ACT393372 AMP393372 AWL393372 BGH393372 BQD393372 BZZ393372 CJV393372 CTR393372 DDN393372 DNJ393372 DXF393372 EHB393372 EQX393372 FAT393372 FKP393372 FUL393372 GEH393372 GOD393372 GXZ393372 HHV393372 HRR393372 IBN393372 ILJ393372 IVF393372 JFB393372 JOX393372 JYT393372 KIP393372 KSL393372 LCH393372 LMD393372 LVZ393372 MFV393372 MPR393372 MZN393372 NJJ393372 NTF393372 ODB393372 OMX393372 OWT393372 PGP393372 PQL393372 QAH393372 QKD393372 QTZ393372 RDV393372 RNR393372 RXN393372 SHJ393372 SRF393372 TBB393372 TKX393372 TUT393372 UEP393372 UOL393372 UYH393372 VID393372 VRZ393372 WBV393372 WLR393372 WVN393372 F458908 JB458908 SX458908 ACT458908 AMP458908 AWL458908 BGH458908 BQD458908 BZZ458908 CJV458908 CTR458908 DDN458908 DNJ458908 DXF458908 EHB458908 EQX458908 FAT458908 FKP458908 FUL458908 GEH458908 GOD458908 GXZ458908 HHV458908 HRR458908 IBN458908 ILJ458908 IVF458908 JFB458908 JOX458908 JYT458908 KIP458908 KSL458908 LCH458908 LMD458908 LVZ458908 MFV458908 MPR458908 MZN458908 NJJ458908 NTF458908 ODB458908 OMX458908 OWT458908 PGP458908 PQL458908 QAH458908 QKD458908 QTZ458908 RDV458908 RNR458908 RXN458908 SHJ458908 SRF458908 TBB458908 TKX458908 TUT458908 UEP458908 UOL458908 UYH458908 VID458908 VRZ458908 WBV458908 WLR458908 WVN458908 F524444 JB524444 SX524444 ACT524444 AMP524444 AWL524444 BGH524444 BQD524444 BZZ524444 CJV524444 CTR524444 DDN524444 DNJ524444 DXF524444 EHB524444 EQX524444 FAT524444 FKP524444 FUL524444 GEH524444 GOD524444 GXZ524444 HHV524444 HRR524444 IBN524444 ILJ524444 IVF524444 JFB524444 JOX524444 JYT524444 KIP524444 KSL524444 LCH524444 LMD524444 LVZ524444 MFV524444 MPR524444 MZN524444 NJJ524444 NTF524444 ODB524444 OMX524444 OWT524444 PGP524444 PQL524444 QAH524444 QKD524444 QTZ524444 RDV524444 RNR524444 RXN524444 SHJ524444 SRF524444 TBB524444 TKX524444 TUT524444 UEP524444 UOL524444 UYH524444 VID524444 VRZ524444 WBV524444 WLR524444 WVN524444 F589980 JB589980 SX589980 ACT589980 AMP589980 AWL589980 BGH589980 BQD589980 BZZ589980 CJV589980 CTR589980 DDN589980 DNJ589980 DXF589980 EHB589980 EQX589980 FAT589980 FKP589980 FUL589980 GEH589980 GOD589980 GXZ589980 HHV589980 HRR589980 IBN589980 ILJ589980 IVF589980 JFB589980 JOX589980 JYT589980 KIP589980 KSL589980 LCH589980 LMD589980 LVZ589980 MFV589980 MPR589980 MZN589980 NJJ589980 NTF589980 ODB589980 OMX589980 OWT589980 PGP589980 PQL589980 QAH589980 QKD589980 QTZ589980 RDV589980 RNR589980 RXN589980 SHJ589980 SRF589980 TBB589980 TKX589980 TUT589980 UEP589980 UOL589980 UYH589980 VID589980 VRZ589980 WBV589980 WLR589980 WVN589980 F655516 JB655516 SX655516 ACT655516 AMP655516 AWL655516 BGH655516 BQD655516 BZZ655516 CJV655516 CTR655516 DDN655516 DNJ655516 DXF655516 EHB655516 EQX655516 FAT655516 FKP655516 FUL655516 GEH655516 GOD655516 GXZ655516 HHV655516 HRR655516 IBN655516 ILJ655516 IVF655516 JFB655516 JOX655516 JYT655516 KIP655516 KSL655516 LCH655516 LMD655516 LVZ655516 MFV655516 MPR655516 MZN655516 NJJ655516 NTF655516 ODB655516 OMX655516 OWT655516 PGP655516 PQL655516 QAH655516 QKD655516 QTZ655516 RDV655516 RNR655516 RXN655516 SHJ655516 SRF655516 TBB655516 TKX655516 TUT655516 UEP655516 UOL655516 UYH655516 VID655516 VRZ655516 WBV655516 WLR655516 WVN655516 F721052 JB721052 SX721052 ACT721052 AMP721052 AWL721052 BGH721052 BQD721052 BZZ721052 CJV721052 CTR721052 DDN721052 DNJ721052 DXF721052 EHB721052 EQX721052 FAT721052 FKP721052 FUL721052 GEH721052 GOD721052 GXZ721052 HHV721052 HRR721052 IBN721052 ILJ721052 IVF721052 JFB721052 JOX721052 JYT721052 KIP721052 KSL721052 LCH721052 LMD721052 LVZ721052 MFV721052 MPR721052 MZN721052 NJJ721052 NTF721052 ODB721052 OMX721052 OWT721052 PGP721052 PQL721052 QAH721052 QKD721052 QTZ721052 RDV721052 RNR721052 RXN721052 SHJ721052 SRF721052 TBB721052 TKX721052 TUT721052 UEP721052 UOL721052 UYH721052 VID721052 VRZ721052 WBV721052 WLR721052 WVN721052 F786588 JB786588 SX786588 ACT786588 AMP786588 AWL786588 BGH786588 BQD786588 BZZ786588 CJV786588 CTR786588 DDN786588 DNJ786588 DXF786588 EHB786588 EQX786588 FAT786588 FKP786588 FUL786588 GEH786588 GOD786588 GXZ786588 HHV786588 HRR786588 IBN786588 ILJ786588 IVF786588 JFB786588 JOX786588 JYT786588 KIP786588 KSL786588 LCH786588 LMD786588 LVZ786588 MFV786588 MPR786588 MZN786588 NJJ786588 NTF786588 ODB786588 OMX786588 OWT786588 PGP786588 PQL786588 QAH786588 QKD786588 QTZ786588 RDV786588 RNR786588 RXN786588 SHJ786588 SRF786588 TBB786588 TKX786588 TUT786588 UEP786588 UOL786588 UYH786588 VID786588 VRZ786588 WBV786588 WLR786588 WVN786588 F852124 JB852124 SX852124 ACT852124 AMP852124 AWL852124 BGH852124 BQD852124 BZZ852124 CJV852124 CTR852124 DDN852124 DNJ852124 DXF852124 EHB852124 EQX852124 FAT852124 FKP852124 FUL852124 GEH852124 GOD852124 GXZ852124 HHV852124 HRR852124 IBN852124 ILJ852124 IVF852124 JFB852124 JOX852124 JYT852124 KIP852124 KSL852124 LCH852124 LMD852124 LVZ852124 MFV852124 MPR852124 MZN852124 NJJ852124 NTF852124 ODB852124 OMX852124 OWT852124 PGP852124 PQL852124 QAH852124 QKD852124 QTZ852124 RDV852124 RNR852124 RXN852124 SHJ852124 SRF852124 TBB852124 TKX852124 TUT852124 UEP852124 UOL852124 UYH852124 VID852124 VRZ852124 WBV852124 WLR852124 WVN852124 F917660 JB917660 SX917660 ACT917660 AMP917660 AWL917660 BGH917660 BQD917660 BZZ917660 CJV917660 CTR917660 DDN917660 DNJ917660 DXF917660 EHB917660 EQX917660 FAT917660 FKP917660 FUL917660 GEH917660 GOD917660 GXZ917660 HHV917660 HRR917660 IBN917660 ILJ917660 IVF917660 JFB917660 JOX917660 JYT917660 KIP917660 KSL917660 LCH917660 LMD917660 LVZ917660 MFV917660 MPR917660 MZN917660 NJJ917660 NTF917660 ODB917660 OMX917660 OWT917660 PGP917660 PQL917660 QAH917660 QKD917660 QTZ917660 RDV917660 RNR917660 RXN917660 SHJ917660 SRF917660 TBB917660 TKX917660 TUT917660 UEP917660 UOL917660 UYH917660 VID917660 VRZ917660 WBV917660 WLR917660 WVN917660 F983196 JB983196 SX983196 ACT983196 AMP983196 AWL983196 BGH983196 BQD983196 BZZ983196 CJV983196 CTR983196 DDN983196 DNJ983196 DXF983196 EHB983196 EQX983196 FAT983196 FKP983196 FUL983196 GEH983196 GOD983196 GXZ983196 HHV983196 HRR983196 IBN983196 ILJ983196 IVF983196 JFB983196 JOX983196 JYT983196 KIP983196 KSL983196 LCH983196 LMD983196 LVZ983196 MFV983196 MPR983196 MZN983196 NJJ983196 NTF983196 ODB983196 OMX983196 OWT983196 PGP983196 PQL983196 QAH983196 QKD983196 QTZ983196 RDV983196 RNR983196 RXN983196 SHJ983196 SRF983196 TBB983196 TKX983196 TUT983196 UEP983196 UOL983196 UYH983196 VID983196 VRZ983196 WBV983196 WLR983196 WVN983196" xr:uid="{0AEA7948-DABB-4B48-B962-8BAC12918C01}">
      <formula1>$AN$2:$AN$19</formula1>
    </dataValidation>
    <dataValidation type="list" allowBlank="1" showInputMessage="1" showErrorMessage="1" sqref="BB770 KX770 UT770 AEP770 AOL770 AYH770 BID770 BRZ770 CBV770 CLR770 CVN770 DFJ770 DPF770 DZB770 EIX770 EST770 FCP770 FML770 FWH770 GGD770 GPZ770 GZV770 HJR770 HTN770 IDJ770 INF770 IXB770 JGX770 JQT770 KAP770 KKL770 KUH770 LED770 LNZ770 LXV770 MHR770 MRN770 NBJ770 NLF770 NVB770 OEX770 OOT770 OYP770 PIL770 PSH770 QCD770 QLZ770 QVV770 RFR770 RPN770 RZJ770 SJF770 STB770 TCX770 TMT770 TWP770 UGL770 UQH770 VAD770 VJZ770 VTV770 WDR770 WNN770 WXJ770 BB66306 KX66306 UT66306 AEP66306 AOL66306 AYH66306 BID66306 BRZ66306 CBV66306 CLR66306 CVN66306 DFJ66306 DPF66306 DZB66306 EIX66306 EST66306 FCP66306 FML66306 FWH66306 GGD66306 GPZ66306 GZV66306 HJR66306 HTN66306 IDJ66306 INF66306 IXB66306 JGX66306 JQT66306 KAP66306 KKL66306 KUH66306 LED66306 LNZ66306 LXV66306 MHR66306 MRN66306 NBJ66306 NLF66306 NVB66306 OEX66306 OOT66306 OYP66306 PIL66306 PSH66306 QCD66306 QLZ66306 QVV66306 RFR66306 RPN66306 RZJ66306 SJF66306 STB66306 TCX66306 TMT66306 TWP66306 UGL66306 UQH66306 VAD66306 VJZ66306 VTV66306 WDR66306 WNN66306 WXJ66306 BB131842 KX131842 UT131842 AEP131842 AOL131842 AYH131842 BID131842 BRZ131842 CBV131842 CLR131842 CVN131842 DFJ131842 DPF131842 DZB131842 EIX131842 EST131842 FCP131842 FML131842 FWH131842 GGD131842 GPZ131842 GZV131842 HJR131842 HTN131842 IDJ131842 INF131842 IXB131842 JGX131842 JQT131842 KAP131842 KKL131842 KUH131842 LED131842 LNZ131842 LXV131842 MHR131842 MRN131842 NBJ131842 NLF131842 NVB131842 OEX131842 OOT131842 OYP131842 PIL131842 PSH131842 QCD131842 QLZ131842 QVV131842 RFR131842 RPN131842 RZJ131842 SJF131842 STB131842 TCX131842 TMT131842 TWP131842 UGL131842 UQH131842 VAD131842 VJZ131842 VTV131842 WDR131842 WNN131842 WXJ131842 BB197378 KX197378 UT197378 AEP197378 AOL197378 AYH197378 BID197378 BRZ197378 CBV197378 CLR197378 CVN197378 DFJ197378 DPF197378 DZB197378 EIX197378 EST197378 FCP197378 FML197378 FWH197378 GGD197378 GPZ197378 GZV197378 HJR197378 HTN197378 IDJ197378 INF197378 IXB197378 JGX197378 JQT197378 KAP197378 KKL197378 KUH197378 LED197378 LNZ197378 LXV197378 MHR197378 MRN197378 NBJ197378 NLF197378 NVB197378 OEX197378 OOT197378 OYP197378 PIL197378 PSH197378 QCD197378 QLZ197378 QVV197378 RFR197378 RPN197378 RZJ197378 SJF197378 STB197378 TCX197378 TMT197378 TWP197378 UGL197378 UQH197378 VAD197378 VJZ197378 VTV197378 WDR197378 WNN197378 WXJ197378 BB262914 KX262914 UT262914 AEP262914 AOL262914 AYH262914 BID262914 BRZ262914 CBV262914 CLR262914 CVN262914 DFJ262914 DPF262914 DZB262914 EIX262914 EST262914 FCP262914 FML262914 FWH262914 GGD262914 GPZ262914 GZV262914 HJR262914 HTN262914 IDJ262914 INF262914 IXB262914 JGX262914 JQT262914 KAP262914 KKL262914 KUH262914 LED262914 LNZ262914 LXV262914 MHR262914 MRN262914 NBJ262914 NLF262914 NVB262914 OEX262914 OOT262914 OYP262914 PIL262914 PSH262914 QCD262914 QLZ262914 QVV262914 RFR262914 RPN262914 RZJ262914 SJF262914 STB262914 TCX262914 TMT262914 TWP262914 UGL262914 UQH262914 VAD262914 VJZ262914 VTV262914 WDR262914 WNN262914 WXJ262914 BB328450 KX328450 UT328450 AEP328450 AOL328450 AYH328450 BID328450 BRZ328450 CBV328450 CLR328450 CVN328450 DFJ328450 DPF328450 DZB328450 EIX328450 EST328450 FCP328450 FML328450 FWH328450 GGD328450 GPZ328450 GZV328450 HJR328450 HTN328450 IDJ328450 INF328450 IXB328450 JGX328450 JQT328450 KAP328450 KKL328450 KUH328450 LED328450 LNZ328450 LXV328450 MHR328450 MRN328450 NBJ328450 NLF328450 NVB328450 OEX328450 OOT328450 OYP328450 PIL328450 PSH328450 QCD328450 QLZ328450 QVV328450 RFR328450 RPN328450 RZJ328450 SJF328450 STB328450 TCX328450 TMT328450 TWP328450 UGL328450 UQH328450 VAD328450 VJZ328450 VTV328450 WDR328450 WNN328450 WXJ328450 BB393986 KX393986 UT393986 AEP393986 AOL393986 AYH393986 BID393986 BRZ393986 CBV393986 CLR393986 CVN393986 DFJ393986 DPF393986 DZB393986 EIX393986 EST393986 FCP393986 FML393986 FWH393986 GGD393986 GPZ393986 GZV393986 HJR393986 HTN393986 IDJ393986 INF393986 IXB393986 JGX393986 JQT393986 KAP393986 KKL393986 KUH393986 LED393986 LNZ393986 LXV393986 MHR393986 MRN393986 NBJ393986 NLF393986 NVB393986 OEX393986 OOT393986 OYP393986 PIL393986 PSH393986 QCD393986 QLZ393986 QVV393986 RFR393986 RPN393986 RZJ393986 SJF393986 STB393986 TCX393986 TMT393986 TWP393986 UGL393986 UQH393986 VAD393986 VJZ393986 VTV393986 WDR393986 WNN393986 WXJ393986 BB459522 KX459522 UT459522 AEP459522 AOL459522 AYH459522 BID459522 BRZ459522 CBV459522 CLR459522 CVN459522 DFJ459522 DPF459522 DZB459522 EIX459522 EST459522 FCP459522 FML459522 FWH459522 GGD459522 GPZ459522 GZV459522 HJR459522 HTN459522 IDJ459522 INF459522 IXB459522 JGX459522 JQT459522 KAP459522 KKL459522 KUH459522 LED459522 LNZ459522 LXV459522 MHR459522 MRN459522 NBJ459522 NLF459522 NVB459522 OEX459522 OOT459522 OYP459522 PIL459522 PSH459522 QCD459522 QLZ459522 QVV459522 RFR459522 RPN459522 RZJ459522 SJF459522 STB459522 TCX459522 TMT459522 TWP459522 UGL459522 UQH459522 VAD459522 VJZ459522 VTV459522 WDR459522 WNN459522 WXJ459522 BB525058 KX525058 UT525058 AEP525058 AOL525058 AYH525058 BID525058 BRZ525058 CBV525058 CLR525058 CVN525058 DFJ525058 DPF525058 DZB525058 EIX525058 EST525058 FCP525058 FML525058 FWH525058 GGD525058 GPZ525058 GZV525058 HJR525058 HTN525058 IDJ525058 INF525058 IXB525058 JGX525058 JQT525058 KAP525058 KKL525058 KUH525058 LED525058 LNZ525058 LXV525058 MHR525058 MRN525058 NBJ525058 NLF525058 NVB525058 OEX525058 OOT525058 OYP525058 PIL525058 PSH525058 QCD525058 QLZ525058 QVV525058 RFR525058 RPN525058 RZJ525058 SJF525058 STB525058 TCX525058 TMT525058 TWP525058 UGL525058 UQH525058 VAD525058 VJZ525058 VTV525058 WDR525058 WNN525058 WXJ525058 BB590594 KX590594 UT590594 AEP590594 AOL590594 AYH590594 BID590594 BRZ590594 CBV590594 CLR590594 CVN590594 DFJ590594 DPF590594 DZB590594 EIX590594 EST590594 FCP590594 FML590594 FWH590594 GGD590594 GPZ590594 GZV590594 HJR590594 HTN590594 IDJ590594 INF590594 IXB590594 JGX590594 JQT590594 KAP590594 KKL590594 KUH590594 LED590594 LNZ590594 LXV590594 MHR590594 MRN590594 NBJ590594 NLF590594 NVB590594 OEX590594 OOT590594 OYP590594 PIL590594 PSH590594 QCD590594 QLZ590594 QVV590594 RFR590594 RPN590594 RZJ590594 SJF590594 STB590594 TCX590594 TMT590594 TWP590594 UGL590594 UQH590594 VAD590594 VJZ590594 VTV590594 WDR590594 WNN590594 WXJ590594 BB656130 KX656130 UT656130 AEP656130 AOL656130 AYH656130 BID656130 BRZ656130 CBV656130 CLR656130 CVN656130 DFJ656130 DPF656130 DZB656130 EIX656130 EST656130 FCP656130 FML656130 FWH656130 GGD656130 GPZ656130 GZV656130 HJR656130 HTN656130 IDJ656130 INF656130 IXB656130 JGX656130 JQT656130 KAP656130 KKL656130 KUH656130 LED656130 LNZ656130 LXV656130 MHR656130 MRN656130 NBJ656130 NLF656130 NVB656130 OEX656130 OOT656130 OYP656130 PIL656130 PSH656130 QCD656130 QLZ656130 QVV656130 RFR656130 RPN656130 RZJ656130 SJF656130 STB656130 TCX656130 TMT656130 TWP656130 UGL656130 UQH656130 VAD656130 VJZ656130 VTV656130 WDR656130 WNN656130 WXJ656130 BB721666 KX721666 UT721666 AEP721666 AOL721666 AYH721666 BID721666 BRZ721666 CBV721666 CLR721666 CVN721666 DFJ721666 DPF721666 DZB721666 EIX721666 EST721666 FCP721666 FML721666 FWH721666 GGD721666 GPZ721666 GZV721666 HJR721666 HTN721666 IDJ721666 INF721666 IXB721666 JGX721666 JQT721666 KAP721666 KKL721666 KUH721666 LED721666 LNZ721666 LXV721666 MHR721666 MRN721666 NBJ721666 NLF721666 NVB721666 OEX721666 OOT721666 OYP721666 PIL721666 PSH721666 QCD721666 QLZ721666 QVV721666 RFR721666 RPN721666 RZJ721666 SJF721666 STB721666 TCX721666 TMT721666 TWP721666 UGL721666 UQH721666 VAD721666 VJZ721666 VTV721666 WDR721666 WNN721666 WXJ721666 BB787202 KX787202 UT787202 AEP787202 AOL787202 AYH787202 BID787202 BRZ787202 CBV787202 CLR787202 CVN787202 DFJ787202 DPF787202 DZB787202 EIX787202 EST787202 FCP787202 FML787202 FWH787202 GGD787202 GPZ787202 GZV787202 HJR787202 HTN787202 IDJ787202 INF787202 IXB787202 JGX787202 JQT787202 KAP787202 KKL787202 KUH787202 LED787202 LNZ787202 LXV787202 MHR787202 MRN787202 NBJ787202 NLF787202 NVB787202 OEX787202 OOT787202 OYP787202 PIL787202 PSH787202 QCD787202 QLZ787202 QVV787202 RFR787202 RPN787202 RZJ787202 SJF787202 STB787202 TCX787202 TMT787202 TWP787202 UGL787202 UQH787202 VAD787202 VJZ787202 VTV787202 WDR787202 WNN787202 WXJ787202 BB852738 KX852738 UT852738 AEP852738 AOL852738 AYH852738 BID852738 BRZ852738 CBV852738 CLR852738 CVN852738 DFJ852738 DPF852738 DZB852738 EIX852738 EST852738 FCP852738 FML852738 FWH852738 GGD852738 GPZ852738 GZV852738 HJR852738 HTN852738 IDJ852738 INF852738 IXB852738 JGX852738 JQT852738 KAP852738 KKL852738 KUH852738 LED852738 LNZ852738 LXV852738 MHR852738 MRN852738 NBJ852738 NLF852738 NVB852738 OEX852738 OOT852738 OYP852738 PIL852738 PSH852738 QCD852738 QLZ852738 QVV852738 RFR852738 RPN852738 RZJ852738 SJF852738 STB852738 TCX852738 TMT852738 TWP852738 UGL852738 UQH852738 VAD852738 VJZ852738 VTV852738 WDR852738 WNN852738 WXJ852738 BB918274 KX918274 UT918274 AEP918274 AOL918274 AYH918274 BID918274 BRZ918274 CBV918274 CLR918274 CVN918274 DFJ918274 DPF918274 DZB918274 EIX918274 EST918274 FCP918274 FML918274 FWH918274 GGD918274 GPZ918274 GZV918274 HJR918274 HTN918274 IDJ918274 INF918274 IXB918274 JGX918274 JQT918274 KAP918274 KKL918274 KUH918274 LED918274 LNZ918274 LXV918274 MHR918274 MRN918274 NBJ918274 NLF918274 NVB918274 OEX918274 OOT918274 OYP918274 PIL918274 PSH918274 QCD918274 QLZ918274 QVV918274 RFR918274 RPN918274 RZJ918274 SJF918274 STB918274 TCX918274 TMT918274 TWP918274 UGL918274 UQH918274 VAD918274 VJZ918274 VTV918274 WDR918274 WNN918274 WXJ918274 BB983810 KX983810 UT983810 AEP983810 AOL983810 AYH983810 BID983810 BRZ983810 CBV983810 CLR983810 CVN983810 DFJ983810 DPF983810 DZB983810 EIX983810 EST983810 FCP983810 FML983810 FWH983810 GGD983810 GPZ983810 GZV983810 HJR983810 HTN983810 IDJ983810 INF983810 IXB983810 JGX983810 JQT983810 KAP983810 KKL983810 KUH983810 LED983810 LNZ983810 LXV983810 MHR983810 MRN983810 NBJ983810 NLF983810 NVB983810 OEX983810 OOT983810 OYP983810 PIL983810 PSH983810 QCD983810 QLZ983810 QVV983810 RFR983810 RPN983810 RZJ983810 SJF983810 STB983810 TCX983810 TMT983810 TWP983810 UGL983810 UQH983810 VAD983810 VJZ983810 VTV983810 WDR983810 WNN983810 WXJ983810" xr:uid="{7A999C6B-0D67-416F-938F-6CEB2DE98CE1}">
      <formula1>$AI$706:$AI$722</formula1>
    </dataValidation>
    <dataValidation type="list" allowBlank="1" showInputMessage="1" showErrorMessage="1" sqref="BB779 KX779 UT779 AEP779 AOL779 AYH779 BID779 BRZ779 CBV779 CLR779 CVN779 DFJ779 DPF779 DZB779 EIX779 EST779 FCP779 FML779 FWH779 GGD779 GPZ779 GZV779 HJR779 HTN779 IDJ779 INF779 IXB779 JGX779 JQT779 KAP779 KKL779 KUH779 LED779 LNZ779 LXV779 MHR779 MRN779 NBJ779 NLF779 NVB779 OEX779 OOT779 OYP779 PIL779 PSH779 QCD779 QLZ779 QVV779 RFR779 RPN779 RZJ779 SJF779 STB779 TCX779 TMT779 TWP779 UGL779 UQH779 VAD779 VJZ779 VTV779 WDR779 WNN779 WXJ779 BB66315 KX66315 UT66315 AEP66315 AOL66315 AYH66315 BID66315 BRZ66315 CBV66315 CLR66315 CVN66315 DFJ66315 DPF66315 DZB66315 EIX66315 EST66315 FCP66315 FML66315 FWH66315 GGD66315 GPZ66315 GZV66315 HJR66315 HTN66315 IDJ66315 INF66315 IXB66315 JGX66315 JQT66315 KAP66315 KKL66315 KUH66315 LED66315 LNZ66315 LXV66315 MHR66315 MRN66315 NBJ66315 NLF66315 NVB66315 OEX66315 OOT66315 OYP66315 PIL66315 PSH66315 QCD66315 QLZ66315 QVV66315 RFR66315 RPN66315 RZJ66315 SJF66315 STB66315 TCX66315 TMT66315 TWP66315 UGL66315 UQH66315 VAD66315 VJZ66315 VTV66315 WDR66315 WNN66315 WXJ66315 BB131851 KX131851 UT131851 AEP131851 AOL131851 AYH131851 BID131851 BRZ131851 CBV131851 CLR131851 CVN131851 DFJ131851 DPF131851 DZB131851 EIX131851 EST131851 FCP131851 FML131851 FWH131851 GGD131851 GPZ131851 GZV131851 HJR131851 HTN131851 IDJ131851 INF131851 IXB131851 JGX131851 JQT131851 KAP131851 KKL131851 KUH131851 LED131851 LNZ131851 LXV131851 MHR131851 MRN131851 NBJ131851 NLF131851 NVB131851 OEX131851 OOT131851 OYP131851 PIL131851 PSH131851 QCD131851 QLZ131851 QVV131851 RFR131851 RPN131851 RZJ131851 SJF131851 STB131851 TCX131851 TMT131851 TWP131851 UGL131851 UQH131851 VAD131851 VJZ131851 VTV131851 WDR131851 WNN131851 WXJ131851 BB197387 KX197387 UT197387 AEP197387 AOL197387 AYH197387 BID197387 BRZ197387 CBV197387 CLR197387 CVN197387 DFJ197387 DPF197387 DZB197387 EIX197387 EST197387 FCP197387 FML197387 FWH197387 GGD197387 GPZ197387 GZV197387 HJR197387 HTN197387 IDJ197387 INF197387 IXB197387 JGX197387 JQT197387 KAP197387 KKL197387 KUH197387 LED197387 LNZ197387 LXV197387 MHR197387 MRN197387 NBJ197387 NLF197387 NVB197387 OEX197387 OOT197387 OYP197387 PIL197387 PSH197387 QCD197387 QLZ197387 QVV197387 RFR197387 RPN197387 RZJ197387 SJF197387 STB197387 TCX197387 TMT197387 TWP197387 UGL197387 UQH197387 VAD197387 VJZ197387 VTV197387 WDR197387 WNN197387 WXJ197387 BB262923 KX262923 UT262923 AEP262923 AOL262923 AYH262923 BID262923 BRZ262923 CBV262923 CLR262923 CVN262923 DFJ262923 DPF262923 DZB262923 EIX262923 EST262923 FCP262923 FML262923 FWH262923 GGD262923 GPZ262923 GZV262923 HJR262923 HTN262923 IDJ262923 INF262923 IXB262923 JGX262923 JQT262923 KAP262923 KKL262923 KUH262923 LED262923 LNZ262923 LXV262923 MHR262923 MRN262923 NBJ262923 NLF262923 NVB262923 OEX262923 OOT262923 OYP262923 PIL262923 PSH262923 QCD262923 QLZ262923 QVV262923 RFR262923 RPN262923 RZJ262923 SJF262923 STB262923 TCX262923 TMT262923 TWP262923 UGL262923 UQH262923 VAD262923 VJZ262923 VTV262923 WDR262923 WNN262923 WXJ262923 BB328459 KX328459 UT328459 AEP328459 AOL328459 AYH328459 BID328459 BRZ328459 CBV328459 CLR328459 CVN328459 DFJ328459 DPF328459 DZB328459 EIX328459 EST328459 FCP328459 FML328459 FWH328459 GGD328459 GPZ328459 GZV328459 HJR328459 HTN328459 IDJ328459 INF328459 IXB328459 JGX328459 JQT328459 KAP328459 KKL328459 KUH328459 LED328459 LNZ328459 LXV328459 MHR328459 MRN328459 NBJ328459 NLF328459 NVB328459 OEX328459 OOT328459 OYP328459 PIL328459 PSH328459 QCD328459 QLZ328459 QVV328459 RFR328459 RPN328459 RZJ328459 SJF328459 STB328459 TCX328459 TMT328459 TWP328459 UGL328459 UQH328459 VAD328459 VJZ328459 VTV328459 WDR328459 WNN328459 WXJ328459 BB393995 KX393995 UT393995 AEP393995 AOL393995 AYH393995 BID393995 BRZ393995 CBV393995 CLR393995 CVN393995 DFJ393995 DPF393995 DZB393995 EIX393995 EST393995 FCP393995 FML393995 FWH393995 GGD393995 GPZ393995 GZV393995 HJR393995 HTN393995 IDJ393995 INF393995 IXB393995 JGX393995 JQT393995 KAP393995 KKL393995 KUH393995 LED393995 LNZ393995 LXV393995 MHR393995 MRN393995 NBJ393995 NLF393995 NVB393995 OEX393995 OOT393995 OYP393995 PIL393995 PSH393995 QCD393995 QLZ393995 QVV393995 RFR393995 RPN393995 RZJ393995 SJF393995 STB393995 TCX393995 TMT393995 TWP393995 UGL393995 UQH393995 VAD393995 VJZ393995 VTV393995 WDR393995 WNN393995 WXJ393995 BB459531 KX459531 UT459531 AEP459531 AOL459531 AYH459531 BID459531 BRZ459531 CBV459531 CLR459531 CVN459531 DFJ459531 DPF459531 DZB459531 EIX459531 EST459531 FCP459531 FML459531 FWH459531 GGD459531 GPZ459531 GZV459531 HJR459531 HTN459531 IDJ459531 INF459531 IXB459531 JGX459531 JQT459531 KAP459531 KKL459531 KUH459531 LED459531 LNZ459531 LXV459531 MHR459531 MRN459531 NBJ459531 NLF459531 NVB459531 OEX459531 OOT459531 OYP459531 PIL459531 PSH459531 QCD459531 QLZ459531 QVV459531 RFR459531 RPN459531 RZJ459531 SJF459531 STB459531 TCX459531 TMT459531 TWP459531 UGL459531 UQH459531 VAD459531 VJZ459531 VTV459531 WDR459531 WNN459531 WXJ459531 BB525067 KX525067 UT525067 AEP525067 AOL525067 AYH525067 BID525067 BRZ525067 CBV525067 CLR525067 CVN525067 DFJ525067 DPF525067 DZB525067 EIX525067 EST525067 FCP525067 FML525067 FWH525067 GGD525067 GPZ525067 GZV525067 HJR525067 HTN525067 IDJ525067 INF525067 IXB525067 JGX525067 JQT525067 KAP525067 KKL525067 KUH525067 LED525067 LNZ525067 LXV525067 MHR525067 MRN525067 NBJ525067 NLF525067 NVB525067 OEX525067 OOT525067 OYP525067 PIL525067 PSH525067 QCD525067 QLZ525067 QVV525067 RFR525067 RPN525067 RZJ525067 SJF525067 STB525067 TCX525067 TMT525067 TWP525067 UGL525067 UQH525067 VAD525067 VJZ525067 VTV525067 WDR525067 WNN525067 WXJ525067 BB590603 KX590603 UT590603 AEP590603 AOL590603 AYH590603 BID590603 BRZ590603 CBV590603 CLR590603 CVN590603 DFJ590603 DPF590603 DZB590603 EIX590603 EST590603 FCP590603 FML590603 FWH590603 GGD590603 GPZ590603 GZV590603 HJR590603 HTN590603 IDJ590603 INF590603 IXB590603 JGX590603 JQT590603 KAP590603 KKL590603 KUH590603 LED590603 LNZ590603 LXV590603 MHR590603 MRN590603 NBJ590603 NLF590603 NVB590603 OEX590603 OOT590603 OYP590603 PIL590603 PSH590603 QCD590603 QLZ590603 QVV590603 RFR590603 RPN590603 RZJ590603 SJF590603 STB590603 TCX590603 TMT590603 TWP590603 UGL590603 UQH590603 VAD590603 VJZ590603 VTV590603 WDR590603 WNN590603 WXJ590603 BB656139 KX656139 UT656139 AEP656139 AOL656139 AYH656139 BID656139 BRZ656139 CBV656139 CLR656139 CVN656139 DFJ656139 DPF656139 DZB656139 EIX656139 EST656139 FCP656139 FML656139 FWH656139 GGD656139 GPZ656139 GZV656139 HJR656139 HTN656139 IDJ656139 INF656139 IXB656139 JGX656139 JQT656139 KAP656139 KKL656139 KUH656139 LED656139 LNZ656139 LXV656139 MHR656139 MRN656139 NBJ656139 NLF656139 NVB656139 OEX656139 OOT656139 OYP656139 PIL656139 PSH656139 QCD656139 QLZ656139 QVV656139 RFR656139 RPN656139 RZJ656139 SJF656139 STB656139 TCX656139 TMT656139 TWP656139 UGL656139 UQH656139 VAD656139 VJZ656139 VTV656139 WDR656139 WNN656139 WXJ656139 BB721675 KX721675 UT721675 AEP721675 AOL721675 AYH721675 BID721675 BRZ721675 CBV721675 CLR721675 CVN721675 DFJ721675 DPF721675 DZB721675 EIX721675 EST721675 FCP721675 FML721675 FWH721675 GGD721675 GPZ721675 GZV721675 HJR721675 HTN721675 IDJ721675 INF721675 IXB721675 JGX721675 JQT721675 KAP721675 KKL721675 KUH721675 LED721675 LNZ721675 LXV721675 MHR721675 MRN721675 NBJ721675 NLF721675 NVB721675 OEX721675 OOT721675 OYP721675 PIL721675 PSH721675 QCD721675 QLZ721675 QVV721675 RFR721675 RPN721675 RZJ721675 SJF721675 STB721675 TCX721675 TMT721675 TWP721675 UGL721675 UQH721675 VAD721675 VJZ721675 VTV721675 WDR721675 WNN721675 WXJ721675 BB787211 KX787211 UT787211 AEP787211 AOL787211 AYH787211 BID787211 BRZ787211 CBV787211 CLR787211 CVN787211 DFJ787211 DPF787211 DZB787211 EIX787211 EST787211 FCP787211 FML787211 FWH787211 GGD787211 GPZ787211 GZV787211 HJR787211 HTN787211 IDJ787211 INF787211 IXB787211 JGX787211 JQT787211 KAP787211 KKL787211 KUH787211 LED787211 LNZ787211 LXV787211 MHR787211 MRN787211 NBJ787211 NLF787211 NVB787211 OEX787211 OOT787211 OYP787211 PIL787211 PSH787211 QCD787211 QLZ787211 QVV787211 RFR787211 RPN787211 RZJ787211 SJF787211 STB787211 TCX787211 TMT787211 TWP787211 UGL787211 UQH787211 VAD787211 VJZ787211 VTV787211 WDR787211 WNN787211 WXJ787211 BB852747 KX852747 UT852747 AEP852747 AOL852747 AYH852747 BID852747 BRZ852747 CBV852747 CLR852747 CVN852747 DFJ852747 DPF852747 DZB852747 EIX852747 EST852747 FCP852747 FML852747 FWH852747 GGD852747 GPZ852747 GZV852747 HJR852747 HTN852747 IDJ852747 INF852747 IXB852747 JGX852747 JQT852747 KAP852747 KKL852747 KUH852747 LED852747 LNZ852747 LXV852747 MHR852747 MRN852747 NBJ852747 NLF852747 NVB852747 OEX852747 OOT852747 OYP852747 PIL852747 PSH852747 QCD852747 QLZ852747 QVV852747 RFR852747 RPN852747 RZJ852747 SJF852747 STB852747 TCX852747 TMT852747 TWP852747 UGL852747 UQH852747 VAD852747 VJZ852747 VTV852747 WDR852747 WNN852747 WXJ852747 BB918283 KX918283 UT918283 AEP918283 AOL918283 AYH918283 BID918283 BRZ918283 CBV918283 CLR918283 CVN918283 DFJ918283 DPF918283 DZB918283 EIX918283 EST918283 FCP918283 FML918283 FWH918283 GGD918283 GPZ918283 GZV918283 HJR918283 HTN918283 IDJ918283 INF918283 IXB918283 JGX918283 JQT918283 KAP918283 KKL918283 KUH918283 LED918283 LNZ918283 LXV918283 MHR918283 MRN918283 NBJ918283 NLF918283 NVB918283 OEX918283 OOT918283 OYP918283 PIL918283 PSH918283 QCD918283 QLZ918283 QVV918283 RFR918283 RPN918283 RZJ918283 SJF918283 STB918283 TCX918283 TMT918283 TWP918283 UGL918283 UQH918283 VAD918283 VJZ918283 VTV918283 WDR918283 WNN918283 WXJ918283 BB983819 KX983819 UT983819 AEP983819 AOL983819 AYH983819 BID983819 BRZ983819 CBV983819 CLR983819 CVN983819 DFJ983819 DPF983819 DZB983819 EIX983819 EST983819 FCP983819 FML983819 FWH983819 GGD983819 GPZ983819 GZV983819 HJR983819 HTN983819 IDJ983819 INF983819 IXB983819 JGX983819 JQT983819 KAP983819 KKL983819 KUH983819 LED983819 LNZ983819 LXV983819 MHR983819 MRN983819 NBJ983819 NLF983819 NVB983819 OEX983819 OOT983819 OYP983819 PIL983819 PSH983819 QCD983819 QLZ983819 QVV983819 RFR983819 RPN983819 RZJ983819 SJF983819 STB983819 TCX983819 TMT983819 TWP983819 UGL983819 UQH983819 VAD983819 VJZ983819 VTV983819 WDR983819 WNN983819 WXJ983819" xr:uid="{59004811-F0C9-418C-A579-543637A84189}">
      <formula1>$AV$705:$AV$721</formula1>
    </dataValidation>
    <dataValidation type="list" allowBlank="1" showInputMessage="1" showErrorMessage="1" sqref="BB769 KX769 UT769 AEP769 AOL769 AYH769 BID769 BRZ769 CBV769 CLR769 CVN769 DFJ769 DPF769 DZB769 EIX769 EST769 FCP769 FML769 FWH769 GGD769 GPZ769 GZV769 HJR769 HTN769 IDJ769 INF769 IXB769 JGX769 JQT769 KAP769 KKL769 KUH769 LED769 LNZ769 LXV769 MHR769 MRN769 NBJ769 NLF769 NVB769 OEX769 OOT769 OYP769 PIL769 PSH769 QCD769 QLZ769 QVV769 RFR769 RPN769 RZJ769 SJF769 STB769 TCX769 TMT769 TWP769 UGL769 UQH769 VAD769 VJZ769 VTV769 WDR769 WNN769 WXJ769 BB66305 KX66305 UT66305 AEP66305 AOL66305 AYH66305 BID66305 BRZ66305 CBV66305 CLR66305 CVN66305 DFJ66305 DPF66305 DZB66305 EIX66305 EST66305 FCP66305 FML66305 FWH66305 GGD66305 GPZ66305 GZV66305 HJR66305 HTN66305 IDJ66305 INF66305 IXB66305 JGX66305 JQT66305 KAP66305 KKL66305 KUH66305 LED66305 LNZ66305 LXV66305 MHR66305 MRN66305 NBJ66305 NLF66305 NVB66305 OEX66305 OOT66305 OYP66305 PIL66305 PSH66305 QCD66305 QLZ66305 QVV66305 RFR66305 RPN66305 RZJ66305 SJF66305 STB66305 TCX66305 TMT66305 TWP66305 UGL66305 UQH66305 VAD66305 VJZ66305 VTV66305 WDR66305 WNN66305 WXJ66305 BB131841 KX131841 UT131841 AEP131841 AOL131841 AYH131841 BID131841 BRZ131841 CBV131841 CLR131841 CVN131841 DFJ131841 DPF131841 DZB131841 EIX131841 EST131841 FCP131841 FML131841 FWH131841 GGD131841 GPZ131841 GZV131841 HJR131841 HTN131841 IDJ131841 INF131841 IXB131841 JGX131841 JQT131841 KAP131841 KKL131841 KUH131841 LED131841 LNZ131841 LXV131841 MHR131841 MRN131841 NBJ131841 NLF131841 NVB131841 OEX131841 OOT131841 OYP131841 PIL131841 PSH131841 QCD131841 QLZ131841 QVV131841 RFR131841 RPN131841 RZJ131841 SJF131841 STB131841 TCX131841 TMT131841 TWP131841 UGL131841 UQH131841 VAD131841 VJZ131841 VTV131841 WDR131841 WNN131841 WXJ131841 BB197377 KX197377 UT197377 AEP197377 AOL197377 AYH197377 BID197377 BRZ197377 CBV197377 CLR197377 CVN197377 DFJ197377 DPF197377 DZB197377 EIX197377 EST197377 FCP197377 FML197377 FWH197377 GGD197377 GPZ197377 GZV197377 HJR197377 HTN197377 IDJ197377 INF197377 IXB197377 JGX197377 JQT197377 KAP197377 KKL197377 KUH197377 LED197377 LNZ197377 LXV197377 MHR197377 MRN197377 NBJ197377 NLF197377 NVB197377 OEX197377 OOT197377 OYP197377 PIL197377 PSH197377 QCD197377 QLZ197377 QVV197377 RFR197377 RPN197377 RZJ197377 SJF197377 STB197377 TCX197377 TMT197377 TWP197377 UGL197377 UQH197377 VAD197377 VJZ197377 VTV197377 WDR197377 WNN197377 WXJ197377 BB262913 KX262913 UT262913 AEP262913 AOL262913 AYH262913 BID262913 BRZ262913 CBV262913 CLR262913 CVN262913 DFJ262913 DPF262913 DZB262913 EIX262913 EST262913 FCP262913 FML262913 FWH262913 GGD262913 GPZ262913 GZV262913 HJR262913 HTN262913 IDJ262913 INF262913 IXB262913 JGX262913 JQT262913 KAP262913 KKL262913 KUH262913 LED262913 LNZ262913 LXV262913 MHR262913 MRN262913 NBJ262913 NLF262913 NVB262913 OEX262913 OOT262913 OYP262913 PIL262913 PSH262913 QCD262913 QLZ262913 QVV262913 RFR262913 RPN262913 RZJ262913 SJF262913 STB262913 TCX262913 TMT262913 TWP262913 UGL262913 UQH262913 VAD262913 VJZ262913 VTV262913 WDR262913 WNN262913 WXJ262913 BB328449 KX328449 UT328449 AEP328449 AOL328449 AYH328449 BID328449 BRZ328449 CBV328449 CLR328449 CVN328449 DFJ328449 DPF328449 DZB328449 EIX328449 EST328449 FCP328449 FML328449 FWH328449 GGD328449 GPZ328449 GZV328449 HJR328449 HTN328449 IDJ328449 INF328449 IXB328449 JGX328449 JQT328449 KAP328449 KKL328449 KUH328449 LED328449 LNZ328449 LXV328449 MHR328449 MRN328449 NBJ328449 NLF328449 NVB328449 OEX328449 OOT328449 OYP328449 PIL328449 PSH328449 QCD328449 QLZ328449 QVV328449 RFR328449 RPN328449 RZJ328449 SJF328449 STB328449 TCX328449 TMT328449 TWP328449 UGL328449 UQH328449 VAD328449 VJZ328449 VTV328449 WDR328449 WNN328449 WXJ328449 BB393985 KX393985 UT393985 AEP393985 AOL393985 AYH393985 BID393985 BRZ393985 CBV393985 CLR393985 CVN393985 DFJ393985 DPF393985 DZB393985 EIX393985 EST393985 FCP393985 FML393985 FWH393985 GGD393985 GPZ393985 GZV393985 HJR393985 HTN393985 IDJ393985 INF393985 IXB393985 JGX393985 JQT393985 KAP393985 KKL393985 KUH393985 LED393985 LNZ393985 LXV393985 MHR393985 MRN393985 NBJ393985 NLF393985 NVB393985 OEX393985 OOT393985 OYP393985 PIL393985 PSH393985 QCD393985 QLZ393985 QVV393985 RFR393985 RPN393985 RZJ393985 SJF393985 STB393985 TCX393985 TMT393985 TWP393985 UGL393985 UQH393985 VAD393985 VJZ393985 VTV393985 WDR393985 WNN393985 WXJ393985 BB459521 KX459521 UT459521 AEP459521 AOL459521 AYH459521 BID459521 BRZ459521 CBV459521 CLR459521 CVN459521 DFJ459521 DPF459521 DZB459521 EIX459521 EST459521 FCP459521 FML459521 FWH459521 GGD459521 GPZ459521 GZV459521 HJR459521 HTN459521 IDJ459521 INF459521 IXB459521 JGX459521 JQT459521 KAP459521 KKL459521 KUH459521 LED459521 LNZ459521 LXV459521 MHR459521 MRN459521 NBJ459521 NLF459521 NVB459521 OEX459521 OOT459521 OYP459521 PIL459521 PSH459521 QCD459521 QLZ459521 QVV459521 RFR459521 RPN459521 RZJ459521 SJF459521 STB459521 TCX459521 TMT459521 TWP459521 UGL459521 UQH459521 VAD459521 VJZ459521 VTV459521 WDR459521 WNN459521 WXJ459521 BB525057 KX525057 UT525057 AEP525057 AOL525057 AYH525057 BID525057 BRZ525057 CBV525057 CLR525057 CVN525057 DFJ525057 DPF525057 DZB525057 EIX525057 EST525057 FCP525057 FML525057 FWH525057 GGD525057 GPZ525057 GZV525057 HJR525057 HTN525057 IDJ525057 INF525057 IXB525057 JGX525057 JQT525057 KAP525057 KKL525057 KUH525057 LED525057 LNZ525057 LXV525057 MHR525057 MRN525057 NBJ525057 NLF525057 NVB525057 OEX525057 OOT525057 OYP525057 PIL525057 PSH525057 QCD525057 QLZ525057 QVV525057 RFR525057 RPN525057 RZJ525057 SJF525057 STB525057 TCX525057 TMT525057 TWP525057 UGL525057 UQH525057 VAD525057 VJZ525057 VTV525057 WDR525057 WNN525057 WXJ525057 BB590593 KX590593 UT590593 AEP590593 AOL590593 AYH590593 BID590593 BRZ590593 CBV590593 CLR590593 CVN590593 DFJ590593 DPF590593 DZB590593 EIX590593 EST590593 FCP590593 FML590593 FWH590593 GGD590593 GPZ590593 GZV590593 HJR590593 HTN590593 IDJ590593 INF590593 IXB590593 JGX590593 JQT590593 KAP590593 KKL590593 KUH590593 LED590593 LNZ590593 LXV590593 MHR590593 MRN590593 NBJ590593 NLF590593 NVB590593 OEX590593 OOT590593 OYP590593 PIL590593 PSH590593 QCD590593 QLZ590593 QVV590593 RFR590593 RPN590593 RZJ590593 SJF590593 STB590593 TCX590593 TMT590593 TWP590593 UGL590593 UQH590593 VAD590593 VJZ590593 VTV590593 WDR590593 WNN590593 WXJ590593 BB656129 KX656129 UT656129 AEP656129 AOL656129 AYH656129 BID656129 BRZ656129 CBV656129 CLR656129 CVN656129 DFJ656129 DPF656129 DZB656129 EIX656129 EST656129 FCP656129 FML656129 FWH656129 GGD656129 GPZ656129 GZV656129 HJR656129 HTN656129 IDJ656129 INF656129 IXB656129 JGX656129 JQT656129 KAP656129 KKL656129 KUH656129 LED656129 LNZ656129 LXV656129 MHR656129 MRN656129 NBJ656129 NLF656129 NVB656129 OEX656129 OOT656129 OYP656129 PIL656129 PSH656129 QCD656129 QLZ656129 QVV656129 RFR656129 RPN656129 RZJ656129 SJF656129 STB656129 TCX656129 TMT656129 TWP656129 UGL656129 UQH656129 VAD656129 VJZ656129 VTV656129 WDR656129 WNN656129 WXJ656129 BB721665 KX721665 UT721665 AEP721665 AOL721665 AYH721665 BID721665 BRZ721665 CBV721665 CLR721665 CVN721665 DFJ721665 DPF721665 DZB721665 EIX721665 EST721665 FCP721665 FML721665 FWH721665 GGD721665 GPZ721665 GZV721665 HJR721665 HTN721665 IDJ721665 INF721665 IXB721665 JGX721665 JQT721665 KAP721665 KKL721665 KUH721665 LED721665 LNZ721665 LXV721665 MHR721665 MRN721665 NBJ721665 NLF721665 NVB721665 OEX721665 OOT721665 OYP721665 PIL721665 PSH721665 QCD721665 QLZ721665 QVV721665 RFR721665 RPN721665 RZJ721665 SJF721665 STB721665 TCX721665 TMT721665 TWP721665 UGL721665 UQH721665 VAD721665 VJZ721665 VTV721665 WDR721665 WNN721665 WXJ721665 BB787201 KX787201 UT787201 AEP787201 AOL787201 AYH787201 BID787201 BRZ787201 CBV787201 CLR787201 CVN787201 DFJ787201 DPF787201 DZB787201 EIX787201 EST787201 FCP787201 FML787201 FWH787201 GGD787201 GPZ787201 GZV787201 HJR787201 HTN787201 IDJ787201 INF787201 IXB787201 JGX787201 JQT787201 KAP787201 KKL787201 KUH787201 LED787201 LNZ787201 LXV787201 MHR787201 MRN787201 NBJ787201 NLF787201 NVB787201 OEX787201 OOT787201 OYP787201 PIL787201 PSH787201 QCD787201 QLZ787201 QVV787201 RFR787201 RPN787201 RZJ787201 SJF787201 STB787201 TCX787201 TMT787201 TWP787201 UGL787201 UQH787201 VAD787201 VJZ787201 VTV787201 WDR787201 WNN787201 WXJ787201 BB852737 KX852737 UT852737 AEP852737 AOL852737 AYH852737 BID852737 BRZ852737 CBV852737 CLR852737 CVN852737 DFJ852737 DPF852737 DZB852737 EIX852737 EST852737 FCP852737 FML852737 FWH852737 GGD852737 GPZ852737 GZV852737 HJR852737 HTN852737 IDJ852737 INF852737 IXB852737 JGX852737 JQT852737 KAP852737 KKL852737 KUH852737 LED852737 LNZ852737 LXV852737 MHR852737 MRN852737 NBJ852737 NLF852737 NVB852737 OEX852737 OOT852737 OYP852737 PIL852737 PSH852737 QCD852737 QLZ852737 QVV852737 RFR852737 RPN852737 RZJ852737 SJF852737 STB852737 TCX852737 TMT852737 TWP852737 UGL852737 UQH852737 VAD852737 VJZ852737 VTV852737 WDR852737 WNN852737 WXJ852737 BB918273 KX918273 UT918273 AEP918273 AOL918273 AYH918273 BID918273 BRZ918273 CBV918273 CLR918273 CVN918273 DFJ918273 DPF918273 DZB918273 EIX918273 EST918273 FCP918273 FML918273 FWH918273 GGD918273 GPZ918273 GZV918273 HJR918273 HTN918273 IDJ918273 INF918273 IXB918273 JGX918273 JQT918273 KAP918273 KKL918273 KUH918273 LED918273 LNZ918273 LXV918273 MHR918273 MRN918273 NBJ918273 NLF918273 NVB918273 OEX918273 OOT918273 OYP918273 PIL918273 PSH918273 QCD918273 QLZ918273 QVV918273 RFR918273 RPN918273 RZJ918273 SJF918273 STB918273 TCX918273 TMT918273 TWP918273 UGL918273 UQH918273 VAD918273 VJZ918273 VTV918273 WDR918273 WNN918273 WXJ918273 BB983809 KX983809 UT983809 AEP983809 AOL983809 AYH983809 BID983809 BRZ983809 CBV983809 CLR983809 CVN983809 DFJ983809 DPF983809 DZB983809 EIX983809 EST983809 FCP983809 FML983809 FWH983809 GGD983809 GPZ983809 GZV983809 HJR983809 HTN983809 IDJ983809 INF983809 IXB983809 JGX983809 JQT983809 KAP983809 KKL983809 KUH983809 LED983809 LNZ983809 LXV983809 MHR983809 MRN983809 NBJ983809 NLF983809 NVB983809 OEX983809 OOT983809 OYP983809 PIL983809 PSH983809 QCD983809 QLZ983809 QVV983809 RFR983809 RPN983809 RZJ983809 SJF983809 STB983809 TCX983809 TMT983809 TWP983809 UGL983809 UQH983809 VAD983809 VJZ983809 VTV983809 WDR983809 WNN983809 WXJ983809" xr:uid="{6621019C-1FF5-4443-A495-B226E326CDBF}">
      <formula1>$BW$715:$BY$715</formula1>
    </dataValidation>
    <dataValidation type="list" allowBlank="1" showInputMessage="1" showErrorMessage="1" sqref="BB775 KX775 UT775 AEP775 AOL775 AYH775 BID775 BRZ775 CBV775 CLR775 CVN775 DFJ775 DPF775 DZB775 EIX775 EST775 FCP775 FML775 FWH775 GGD775 GPZ775 GZV775 HJR775 HTN775 IDJ775 INF775 IXB775 JGX775 JQT775 KAP775 KKL775 KUH775 LED775 LNZ775 LXV775 MHR775 MRN775 NBJ775 NLF775 NVB775 OEX775 OOT775 OYP775 PIL775 PSH775 QCD775 QLZ775 QVV775 RFR775 RPN775 RZJ775 SJF775 STB775 TCX775 TMT775 TWP775 UGL775 UQH775 VAD775 VJZ775 VTV775 WDR775 WNN775 WXJ775 BB66311 KX66311 UT66311 AEP66311 AOL66311 AYH66311 BID66311 BRZ66311 CBV66311 CLR66311 CVN66311 DFJ66311 DPF66311 DZB66311 EIX66311 EST66311 FCP66311 FML66311 FWH66311 GGD66311 GPZ66311 GZV66311 HJR66311 HTN66311 IDJ66311 INF66311 IXB66311 JGX66311 JQT66311 KAP66311 KKL66311 KUH66311 LED66311 LNZ66311 LXV66311 MHR66311 MRN66311 NBJ66311 NLF66311 NVB66311 OEX66311 OOT66311 OYP66311 PIL66311 PSH66311 QCD66311 QLZ66311 QVV66311 RFR66311 RPN66311 RZJ66311 SJF66311 STB66311 TCX66311 TMT66311 TWP66311 UGL66311 UQH66311 VAD66311 VJZ66311 VTV66311 WDR66311 WNN66311 WXJ66311 BB131847 KX131847 UT131847 AEP131847 AOL131847 AYH131847 BID131847 BRZ131847 CBV131847 CLR131847 CVN131847 DFJ131847 DPF131847 DZB131847 EIX131847 EST131847 FCP131847 FML131847 FWH131847 GGD131847 GPZ131847 GZV131847 HJR131847 HTN131847 IDJ131847 INF131847 IXB131847 JGX131847 JQT131847 KAP131847 KKL131847 KUH131847 LED131847 LNZ131847 LXV131847 MHR131847 MRN131847 NBJ131847 NLF131847 NVB131847 OEX131847 OOT131847 OYP131847 PIL131847 PSH131847 QCD131847 QLZ131847 QVV131847 RFR131847 RPN131847 RZJ131847 SJF131847 STB131847 TCX131847 TMT131847 TWP131847 UGL131847 UQH131847 VAD131847 VJZ131847 VTV131847 WDR131847 WNN131847 WXJ131847 BB197383 KX197383 UT197383 AEP197383 AOL197383 AYH197383 BID197383 BRZ197383 CBV197383 CLR197383 CVN197383 DFJ197383 DPF197383 DZB197383 EIX197383 EST197383 FCP197383 FML197383 FWH197383 GGD197383 GPZ197383 GZV197383 HJR197383 HTN197383 IDJ197383 INF197383 IXB197383 JGX197383 JQT197383 KAP197383 KKL197383 KUH197383 LED197383 LNZ197383 LXV197383 MHR197383 MRN197383 NBJ197383 NLF197383 NVB197383 OEX197383 OOT197383 OYP197383 PIL197383 PSH197383 QCD197383 QLZ197383 QVV197383 RFR197383 RPN197383 RZJ197383 SJF197383 STB197383 TCX197383 TMT197383 TWP197383 UGL197383 UQH197383 VAD197383 VJZ197383 VTV197383 WDR197383 WNN197383 WXJ197383 BB262919 KX262919 UT262919 AEP262919 AOL262919 AYH262919 BID262919 BRZ262919 CBV262919 CLR262919 CVN262919 DFJ262919 DPF262919 DZB262919 EIX262919 EST262919 FCP262919 FML262919 FWH262919 GGD262919 GPZ262919 GZV262919 HJR262919 HTN262919 IDJ262919 INF262919 IXB262919 JGX262919 JQT262919 KAP262919 KKL262919 KUH262919 LED262919 LNZ262919 LXV262919 MHR262919 MRN262919 NBJ262919 NLF262919 NVB262919 OEX262919 OOT262919 OYP262919 PIL262919 PSH262919 QCD262919 QLZ262919 QVV262919 RFR262919 RPN262919 RZJ262919 SJF262919 STB262919 TCX262919 TMT262919 TWP262919 UGL262919 UQH262919 VAD262919 VJZ262919 VTV262919 WDR262919 WNN262919 WXJ262919 BB328455 KX328455 UT328455 AEP328455 AOL328455 AYH328455 BID328455 BRZ328455 CBV328455 CLR328455 CVN328455 DFJ328455 DPF328455 DZB328455 EIX328455 EST328455 FCP328455 FML328455 FWH328455 GGD328455 GPZ328455 GZV328455 HJR328455 HTN328455 IDJ328455 INF328455 IXB328455 JGX328455 JQT328455 KAP328455 KKL328455 KUH328455 LED328455 LNZ328455 LXV328455 MHR328455 MRN328455 NBJ328455 NLF328455 NVB328455 OEX328455 OOT328455 OYP328455 PIL328455 PSH328455 QCD328455 QLZ328455 QVV328455 RFR328455 RPN328455 RZJ328455 SJF328455 STB328455 TCX328455 TMT328455 TWP328455 UGL328455 UQH328455 VAD328455 VJZ328455 VTV328455 WDR328455 WNN328455 WXJ328455 BB393991 KX393991 UT393991 AEP393991 AOL393991 AYH393991 BID393991 BRZ393991 CBV393991 CLR393991 CVN393991 DFJ393991 DPF393991 DZB393991 EIX393991 EST393991 FCP393991 FML393991 FWH393991 GGD393991 GPZ393991 GZV393991 HJR393991 HTN393991 IDJ393991 INF393991 IXB393991 JGX393991 JQT393991 KAP393991 KKL393991 KUH393991 LED393991 LNZ393991 LXV393991 MHR393991 MRN393991 NBJ393991 NLF393991 NVB393991 OEX393991 OOT393991 OYP393991 PIL393991 PSH393991 QCD393991 QLZ393991 QVV393991 RFR393991 RPN393991 RZJ393991 SJF393991 STB393991 TCX393991 TMT393991 TWP393991 UGL393991 UQH393991 VAD393991 VJZ393991 VTV393991 WDR393991 WNN393991 WXJ393991 BB459527 KX459527 UT459527 AEP459527 AOL459527 AYH459527 BID459527 BRZ459527 CBV459527 CLR459527 CVN459527 DFJ459527 DPF459527 DZB459527 EIX459527 EST459527 FCP459527 FML459527 FWH459527 GGD459527 GPZ459527 GZV459527 HJR459527 HTN459527 IDJ459527 INF459527 IXB459527 JGX459527 JQT459527 KAP459527 KKL459527 KUH459527 LED459527 LNZ459527 LXV459527 MHR459527 MRN459527 NBJ459527 NLF459527 NVB459527 OEX459527 OOT459527 OYP459527 PIL459527 PSH459527 QCD459527 QLZ459527 QVV459527 RFR459527 RPN459527 RZJ459527 SJF459527 STB459527 TCX459527 TMT459527 TWP459527 UGL459527 UQH459527 VAD459527 VJZ459527 VTV459527 WDR459527 WNN459527 WXJ459527 BB525063 KX525063 UT525063 AEP525063 AOL525063 AYH525063 BID525063 BRZ525063 CBV525063 CLR525063 CVN525063 DFJ525063 DPF525063 DZB525063 EIX525063 EST525063 FCP525063 FML525063 FWH525063 GGD525063 GPZ525063 GZV525063 HJR525063 HTN525063 IDJ525063 INF525063 IXB525063 JGX525063 JQT525063 KAP525063 KKL525063 KUH525063 LED525063 LNZ525063 LXV525063 MHR525063 MRN525063 NBJ525063 NLF525063 NVB525063 OEX525063 OOT525063 OYP525063 PIL525063 PSH525063 QCD525063 QLZ525063 QVV525063 RFR525063 RPN525063 RZJ525063 SJF525063 STB525063 TCX525063 TMT525063 TWP525063 UGL525063 UQH525063 VAD525063 VJZ525063 VTV525063 WDR525063 WNN525063 WXJ525063 BB590599 KX590599 UT590599 AEP590599 AOL590599 AYH590599 BID590599 BRZ590599 CBV590599 CLR590599 CVN590599 DFJ590599 DPF590599 DZB590599 EIX590599 EST590599 FCP590599 FML590599 FWH590599 GGD590599 GPZ590599 GZV590599 HJR590599 HTN590599 IDJ590599 INF590599 IXB590599 JGX590599 JQT590599 KAP590599 KKL590599 KUH590599 LED590599 LNZ590599 LXV590599 MHR590599 MRN590599 NBJ590599 NLF590599 NVB590599 OEX590599 OOT590599 OYP590599 PIL590599 PSH590599 QCD590599 QLZ590599 QVV590599 RFR590599 RPN590599 RZJ590599 SJF590599 STB590599 TCX590599 TMT590599 TWP590599 UGL590599 UQH590599 VAD590599 VJZ590599 VTV590599 WDR590599 WNN590599 WXJ590599 BB656135 KX656135 UT656135 AEP656135 AOL656135 AYH656135 BID656135 BRZ656135 CBV656135 CLR656135 CVN656135 DFJ656135 DPF656135 DZB656135 EIX656135 EST656135 FCP656135 FML656135 FWH656135 GGD656135 GPZ656135 GZV656135 HJR656135 HTN656135 IDJ656135 INF656135 IXB656135 JGX656135 JQT656135 KAP656135 KKL656135 KUH656135 LED656135 LNZ656135 LXV656135 MHR656135 MRN656135 NBJ656135 NLF656135 NVB656135 OEX656135 OOT656135 OYP656135 PIL656135 PSH656135 QCD656135 QLZ656135 QVV656135 RFR656135 RPN656135 RZJ656135 SJF656135 STB656135 TCX656135 TMT656135 TWP656135 UGL656135 UQH656135 VAD656135 VJZ656135 VTV656135 WDR656135 WNN656135 WXJ656135 BB721671 KX721671 UT721671 AEP721671 AOL721671 AYH721671 BID721671 BRZ721671 CBV721671 CLR721671 CVN721671 DFJ721671 DPF721671 DZB721671 EIX721671 EST721671 FCP721671 FML721671 FWH721671 GGD721671 GPZ721671 GZV721671 HJR721671 HTN721671 IDJ721671 INF721671 IXB721671 JGX721671 JQT721671 KAP721671 KKL721671 KUH721671 LED721671 LNZ721671 LXV721671 MHR721671 MRN721671 NBJ721671 NLF721671 NVB721671 OEX721671 OOT721671 OYP721671 PIL721671 PSH721671 QCD721671 QLZ721671 QVV721671 RFR721671 RPN721671 RZJ721671 SJF721671 STB721671 TCX721671 TMT721671 TWP721671 UGL721671 UQH721671 VAD721671 VJZ721671 VTV721671 WDR721671 WNN721671 WXJ721671 BB787207 KX787207 UT787207 AEP787207 AOL787207 AYH787207 BID787207 BRZ787207 CBV787207 CLR787207 CVN787207 DFJ787207 DPF787207 DZB787207 EIX787207 EST787207 FCP787207 FML787207 FWH787207 GGD787207 GPZ787207 GZV787207 HJR787207 HTN787207 IDJ787207 INF787207 IXB787207 JGX787207 JQT787207 KAP787207 KKL787207 KUH787207 LED787207 LNZ787207 LXV787207 MHR787207 MRN787207 NBJ787207 NLF787207 NVB787207 OEX787207 OOT787207 OYP787207 PIL787207 PSH787207 QCD787207 QLZ787207 QVV787207 RFR787207 RPN787207 RZJ787207 SJF787207 STB787207 TCX787207 TMT787207 TWP787207 UGL787207 UQH787207 VAD787207 VJZ787207 VTV787207 WDR787207 WNN787207 WXJ787207 BB852743 KX852743 UT852743 AEP852743 AOL852743 AYH852743 BID852743 BRZ852743 CBV852743 CLR852743 CVN852743 DFJ852743 DPF852743 DZB852743 EIX852743 EST852743 FCP852743 FML852743 FWH852743 GGD852743 GPZ852743 GZV852743 HJR852743 HTN852743 IDJ852743 INF852743 IXB852743 JGX852743 JQT852743 KAP852743 KKL852743 KUH852743 LED852743 LNZ852743 LXV852743 MHR852743 MRN852743 NBJ852743 NLF852743 NVB852743 OEX852743 OOT852743 OYP852743 PIL852743 PSH852743 QCD852743 QLZ852743 QVV852743 RFR852743 RPN852743 RZJ852743 SJF852743 STB852743 TCX852743 TMT852743 TWP852743 UGL852743 UQH852743 VAD852743 VJZ852743 VTV852743 WDR852743 WNN852743 WXJ852743 BB918279 KX918279 UT918279 AEP918279 AOL918279 AYH918279 BID918279 BRZ918279 CBV918279 CLR918279 CVN918279 DFJ918279 DPF918279 DZB918279 EIX918279 EST918279 FCP918279 FML918279 FWH918279 GGD918279 GPZ918279 GZV918279 HJR918279 HTN918279 IDJ918279 INF918279 IXB918279 JGX918279 JQT918279 KAP918279 KKL918279 KUH918279 LED918279 LNZ918279 LXV918279 MHR918279 MRN918279 NBJ918279 NLF918279 NVB918279 OEX918279 OOT918279 OYP918279 PIL918279 PSH918279 QCD918279 QLZ918279 QVV918279 RFR918279 RPN918279 RZJ918279 SJF918279 STB918279 TCX918279 TMT918279 TWP918279 UGL918279 UQH918279 VAD918279 VJZ918279 VTV918279 WDR918279 WNN918279 WXJ918279 BB983815 KX983815 UT983815 AEP983815 AOL983815 AYH983815 BID983815 BRZ983815 CBV983815 CLR983815 CVN983815 DFJ983815 DPF983815 DZB983815 EIX983815 EST983815 FCP983815 FML983815 FWH983815 GGD983815 GPZ983815 GZV983815 HJR983815 HTN983815 IDJ983815 INF983815 IXB983815 JGX983815 JQT983815 KAP983815 KKL983815 KUH983815 LED983815 LNZ983815 LXV983815 MHR983815 MRN983815 NBJ983815 NLF983815 NVB983815 OEX983815 OOT983815 OYP983815 PIL983815 PSH983815 QCD983815 QLZ983815 QVV983815 RFR983815 RPN983815 RZJ983815 SJF983815 STB983815 TCX983815 TMT983815 TWP983815 UGL983815 UQH983815 VAD983815 VJZ983815 VTV983815 WDR983815 WNN983815 WXJ983815" xr:uid="{8122D8F6-E358-4A43-8EDD-675F1C2EBAEB}">
      <formula1>$S$709:$S$712</formula1>
    </dataValidation>
    <dataValidation type="list" allowBlank="1" showInputMessage="1" showErrorMessage="1" sqref="BB777 KX777 UT777 AEP777 AOL777 AYH777 BID777 BRZ777 CBV777 CLR777 CVN777 DFJ777 DPF777 DZB777 EIX777 EST777 FCP777 FML777 FWH777 GGD777 GPZ777 GZV777 HJR777 HTN777 IDJ777 INF777 IXB777 JGX777 JQT777 KAP777 KKL777 KUH777 LED777 LNZ777 LXV777 MHR777 MRN777 NBJ777 NLF777 NVB777 OEX777 OOT777 OYP777 PIL777 PSH777 QCD777 QLZ777 QVV777 RFR777 RPN777 RZJ777 SJF777 STB777 TCX777 TMT777 TWP777 UGL777 UQH777 VAD777 VJZ777 VTV777 WDR777 WNN777 WXJ777 BB66313 KX66313 UT66313 AEP66313 AOL66313 AYH66313 BID66313 BRZ66313 CBV66313 CLR66313 CVN66313 DFJ66313 DPF66313 DZB66313 EIX66313 EST66313 FCP66313 FML66313 FWH66313 GGD66313 GPZ66313 GZV66313 HJR66313 HTN66313 IDJ66313 INF66313 IXB66313 JGX66313 JQT66313 KAP66313 KKL66313 KUH66313 LED66313 LNZ66313 LXV66313 MHR66313 MRN66313 NBJ66313 NLF66313 NVB66313 OEX66313 OOT66313 OYP66313 PIL66313 PSH66313 QCD66313 QLZ66313 QVV66313 RFR66313 RPN66313 RZJ66313 SJF66313 STB66313 TCX66313 TMT66313 TWP66313 UGL66313 UQH66313 VAD66313 VJZ66313 VTV66313 WDR66313 WNN66313 WXJ66313 BB131849 KX131849 UT131849 AEP131849 AOL131849 AYH131849 BID131849 BRZ131849 CBV131849 CLR131849 CVN131849 DFJ131849 DPF131849 DZB131849 EIX131849 EST131849 FCP131849 FML131849 FWH131849 GGD131849 GPZ131849 GZV131849 HJR131849 HTN131849 IDJ131849 INF131849 IXB131849 JGX131849 JQT131849 KAP131849 KKL131849 KUH131849 LED131849 LNZ131849 LXV131849 MHR131849 MRN131849 NBJ131849 NLF131849 NVB131849 OEX131849 OOT131849 OYP131849 PIL131849 PSH131849 QCD131849 QLZ131849 QVV131849 RFR131849 RPN131849 RZJ131849 SJF131849 STB131849 TCX131849 TMT131849 TWP131849 UGL131849 UQH131849 VAD131849 VJZ131849 VTV131849 WDR131849 WNN131849 WXJ131849 BB197385 KX197385 UT197385 AEP197385 AOL197385 AYH197385 BID197385 BRZ197385 CBV197385 CLR197385 CVN197385 DFJ197385 DPF197385 DZB197385 EIX197385 EST197385 FCP197385 FML197385 FWH197385 GGD197385 GPZ197385 GZV197385 HJR197385 HTN197385 IDJ197385 INF197385 IXB197385 JGX197385 JQT197385 KAP197385 KKL197385 KUH197385 LED197385 LNZ197385 LXV197385 MHR197385 MRN197385 NBJ197385 NLF197385 NVB197385 OEX197385 OOT197385 OYP197385 PIL197385 PSH197385 QCD197385 QLZ197385 QVV197385 RFR197385 RPN197385 RZJ197385 SJF197385 STB197385 TCX197385 TMT197385 TWP197385 UGL197385 UQH197385 VAD197385 VJZ197385 VTV197385 WDR197385 WNN197385 WXJ197385 BB262921 KX262921 UT262921 AEP262921 AOL262921 AYH262921 BID262921 BRZ262921 CBV262921 CLR262921 CVN262921 DFJ262921 DPF262921 DZB262921 EIX262921 EST262921 FCP262921 FML262921 FWH262921 GGD262921 GPZ262921 GZV262921 HJR262921 HTN262921 IDJ262921 INF262921 IXB262921 JGX262921 JQT262921 KAP262921 KKL262921 KUH262921 LED262921 LNZ262921 LXV262921 MHR262921 MRN262921 NBJ262921 NLF262921 NVB262921 OEX262921 OOT262921 OYP262921 PIL262921 PSH262921 QCD262921 QLZ262921 QVV262921 RFR262921 RPN262921 RZJ262921 SJF262921 STB262921 TCX262921 TMT262921 TWP262921 UGL262921 UQH262921 VAD262921 VJZ262921 VTV262921 WDR262921 WNN262921 WXJ262921 BB328457 KX328457 UT328457 AEP328457 AOL328457 AYH328457 BID328457 BRZ328457 CBV328457 CLR328457 CVN328457 DFJ328457 DPF328457 DZB328457 EIX328457 EST328457 FCP328457 FML328457 FWH328457 GGD328457 GPZ328457 GZV328457 HJR328457 HTN328457 IDJ328457 INF328457 IXB328457 JGX328457 JQT328457 KAP328457 KKL328457 KUH328457 LED328457 LNZ328457 LXV328457 MHR328457 MRN328457 NBJ328457 NLF328457 NVB328457 OEX328457 OOT328457 OYP328457 PIL328457 PSH328457 QCD328457 QLZ328457 QVV328457 RFR328457 RPN328457 RZJ328457 SJF328457 STB328457 TCX328457 TMT328457 TWP328457 UGL328457 UQH328457 VAD328457 VJZ328457 VTV328457 WDR328457 WNN328457 WXJ328457 BB393993 KX393993 UT393993 AEP393993 AOL393993 AYH393993 BID393993 BRZ393993 CBV393993 CLR393993 CVN393993 DFJ393993 DPF393993 DZB393993 EIX393993 EST393993 FCP393993 FML393993 FWH393993 GGD393993 GPZ393993 GZV393993 HJR393993 HTN393993 IDJ393993 INF393993 IXB393993 JGX393993 JQT393993 KAP393993 KKL393993 KUH393993 LED393993 LNZ393993 LXV393993 MHR393993 MRN393993 NBJ393993 NLF393993 NVB393993 OEX393993 OOT393993 OYP393993 PIL393993 PSH393993 QCD393993 QLZ393993 QVV393993 RFR393993 RPN393993 RZJ393993 SJF393993 STB393993 TCX393993 TMT393993 TWP393993 UGL393993 UQH393993 VAD393993 VJZ393993 VTV393993 WDR393993 WNN393993 WXJ393993 BB459529 KX459529 UT459529 AEP459529 AOL459529 AYH459529 BID459529 BRZ459529 CBV459529 CLR459529 CVN459529 DFJ459529 DPF459529 DZB459529 EIX459529 EST459529 FCP459529 FML459529 FWH459529 GGD459529 GPZ459529 GZV459529 HJR459529 HTN459529 IDJ459529 INF459529 IXB459529 JGX459529 JQT459529 KAP459529 KKL459529 KUH459529 LED459529 LNZ459529 LXV459529 MHR459529 MRN459529 NBJ459529 NLF459529 NVB459529 OEX459529 OOT459529 OYP459529 PIL459529 PSH459529 QCD459529 QLZ459529 QVV459529 RFR459529 RPN459529 RZJ459529 SJF459529 STB459529 TCX459529 TMT459529 TWP459529 UGL459529 UQH459529 VAD459529 VJZ459529 VTV459529 WDR459529 WNN459529 WXJ459529 BB525065 KX525065 UT525065 AEP525065 AOL525065 AYH525065 BID525065 BRZ525065 CBV525065 CLR525065 CVN525065 DFJ525065 DPF525065 DZB525065 EIX525065 EST525065 FCP525065 FML525065 FWH525065 GGD525065 GPZ525065 GZV525065 HJR525065 HTN525065 IDJ525065 INF525065 IXB525065 JGX525065 JQT525065 KAP525065 KKL525065 KUH525065 LED525065 LNZ525065 LXV525065 MHR525065 MRN525065 NBJ525065 NLF525065 NVB525065 OEX525065 OOT525065 OYP525065 PIL525065 PSH525065 QCD525065 QLZ525065 QVV525065 RFR525065 RPN525065 RZJ525065 SJF525065 STB525065 TCX525065 TMT525065 TWP525065 UGL525065 UQH525065 VAD525065 VJZ525065 VTV525065 WDR525065 WNN525065 WXJ525065 BB590601 KX590601 UT590601 AEP590601 AOL590601 AYH590601 BID590601 BRZ590601 CBV590601 CLR590601 CVN590601 DFJ590601 DPF590601 DZB590601 EIX590601 EST590601 FCP590601 FML590601 FWH590601 GGD590601 GPZ590601 GZV590601 HJR590601 HTN590601 IDJ590601 INF590601 IXB590601 JGX590601 JQT590601 KAP590601 KKL590601 KUH590601 LED590601 LNZ590601 LXV590601 MHR590601 MRN590601 NBJ590601 NLF590601 NVB590601 OEX590601 OOT590601 OYP590601 PIL590601 PSH590601 QCD590601 QLZ590601 QVV590601 RFR590601 RPN590601 RZJ590601 SJF590601 STB590601 TCX590601 TMT590601 TWP590601 UGL590601 UQH590601 VAD590601 VJZ590601 VTV590601 WDR590601 WNN590601 WXJ590601 BB656137 KX656137 UT656137 AEP656137 AOL656137 AYH656137 BID656137 BRZ656137 CBV656137 CLR656137 CVN656137 DFJ656137 DPF656137 DZB656137 EIX656137 EST656137 FCP656137 FML656137 FWH656137 GGD656137 GPZ656137 GZV656137 HJR656137 HTN656137 IDJ656137 INF656137 IXB656137 JGX656137 JQT656137 KAP656137 KKL656137 KUH656137 LED656137 LNZ656137 LXV656137 MHR656137 MRN656137 NBJ656137 NLF656137 NVB656137 OEX656137 OOT656137 OYP656137 PIL656137 PSH656137 QCD656137 QLZ656137 QVV656137 RFR656137 RPN656137 RZJ656137 SJF656137 STB656137 TCX656137 TMT656137 TWP656137 UGL656137 UQH656137 VAD656137 VJZ656137 VTV656137 WDR656137 WNN656137 WXJ656137 BB721673 KX721673 UT721673 AEP721673 AOL721673 AYH721673 BID721673 BRZ721673 CBV721673 CLR721673 CVN721673 DFJ721673 DPF721673 DZB721673 EIX721673 EST721673 FCP721673 FML721673 FWH721673 GGD721673 GPZ721673 GZV721673 HJR721673 HTN721673 IDJ721673 INF721673 IXB721673 JGX721673 JQT721673 KAP721673 KKL721673 KUH721673 LED721673 LNZ721673 LXV721673 MHR721673 MRN721673 NBJ721673 NLF721673 NVB721673 OEX721673 OOT721673 OYP721673 PIL721673 PSH721673 QCD721673 QLZ721673 QVV721673 RFR721673 RPN721673 RZJ721673 SJF721673 STB721673 TCX721673 TMT721673 TWP721673 UGL721673 UQH721673 VAD721673 VJZ721673 VTV721673 WDR721673 WNN721673 WXJ721673 BB787209 KX787209 UT787209 AEP787209 AOL787209 AYH787209 BID787209 BRZ787209 CBV787209 CLR787209 CVN787209 DFJ787209 DPF787209 DZB787209 EIX787209 EST787209 FCP787209 FML787209 FWH787209 GGD787209 GPZ787209 GZV787209 HJR787209 HTN787209 IDJ787209 INF787209 IXB787209 JGX787209 JQT787209 KAP787209 KKL787209 KUH787209 LED787209 LNZ787209 LXV787209 MHR787209 MRN787209 NBJ787209 NLF787209 NVB787209 OEX787209 OOT787209 OYP787209 PIL787209 PSH787209 QCD787209 QLZ787209 QVV787209 RFR787209 RPN787209 RZJ787209 SJF787209 STB787209 TCX787209 TMT787209 TWP787209 UGL787209 UQH787209 VAD787209 VJZ787209 VTV787209 WDR787209 WNN787209 WXJ787209 BB852745 KX852745 UT852745 AEP852745 AOL852745 AYH852745 BID852745 BRZ852745 CBV852745 CLR852745 CVN852745 DFJ852745 DPF852745 DZB852745 EIX852745 EST852745 FCP852745 FML852745 FWH852745 GGD852745 GPZ852745 GZV852745 HJR852745 HTN852745 IDJ852745 INF852745 IXB852745 JGX852745 JQT852745 KAP852745 KKL852745 KUH852745 LED852745 LNZ852745 LXV852745 MHR852745 MRN852745 NBJ852745 NLF852745 NVB852745 OEX852745 OOT852745 OYP852745 PIL852745 PSH852745 QCD852745 QLZ852745 QVV852745 RFR852745 RPN852745 RZJ852745 SJF852745 STB852745 TCX852745 TMT852745 TWP852745 UGL852745 UQH852745 VAD852745 VJZ852745 VTV852745 WDR852745 WNN852745 WXJ852745 BB918281 KX918281 UT918281 AEP918281 AOL918281 AYH918281 BID918281 BRZ918281 CBV918281 CLR918281 CVN918281 DFJ918281 DPF918281 DZB918281 EIX918281 EST918281 FCP918281 FML918281 FWH918281 GGD918281 GPZ918281 GZV918281 HJR918281 HTN918281 IDJ918281 INF918281 IXB918281 JGX918281 JQT918281 KAP918281 KKL918281 KUH918281 LED918281 LNZ918281 LXV918281 MHR918281 MRN918281 NBJ918281 NLF918281 NVB918281 OEX918281 OOT918281 OYP918281 PIL918281 PSH918281 QCD918281 QLZ918281 QVV918281 RFR918281 RPN918281 RZJ918281 SJF918281 STB918281 TCX918281 TMT918281 TWP918281 UGL918281 UQH918281 VAD918281 VJZ918281 VTV918281 WDR918281 WNN918281 WXJ918281 BB983817 KX983817 UT983817 AEP983817 AOL983817 AYH983817 BID983817 BRZ983817 CBV983817 CLR983817 CVN983817 DFJ983817 DPF983817 DZB983817 EIX983817 EST983817 FCP983817 FML983817 FWH983817 GGD983817 GPZ983817 GZV983817 HJR983817 HTN983817 IDJ983817 INF983817 IXB983817 JGX983817 JQT983817 KAP983817 KKL983817 KUH983817 LED983817 LNZ983817 LXV983817 MHR983817 MRN983817 NBJ983817 NLF983817 NVB983817 OEX983817 OOT983817 OYP983817 PIL983817 PSH983817 QCD983817 QLZ983817 QVV983817 RFR983817 RPN983817 RZJ983817 SJF983817 STB983817 TCX983817 TMT983817 TWP983817 UGL983817 UQH983817 VAD983817 VJZ983817 VTV983817 WDR983817 WNN983817 WXJ983817" xr:uid="{223061BB-BAC4-4393-969A-608725B66709}">
      <formula1>$Z$706:$Z$713</formula1>
    </dataValidation>
    <dataValidation type="list" allowBlank="1" showInputMessage="1" showErrorMessage="1" sqref="BB780 KX780 UT780 AEP780 AOL780 AYH780 BID780 BRZ780 CBV780 CLR780 CVN780 DFJ780 DPF780 DZB780 EIX780 EST780 FCP780 FML780 FWH780 GGD780 GPZ780 GZV780 HJR780 HTN780 IDJ780 INF780 IXB780 JGX780 JQT780 KAP780 KKL780 KUH780 LED780 LNZ780 LXV780 MHR780 MRN780 NBJ780 NLF780 NVB780 OEX780 OOT780 OYP780 PIL780 PSH780 QCD780 QLZ780 QVV780 RFR780 RPN780 RZJ780 SJF780 STB780 TCX780 TMT780 TWP780 UGL780 UQH780 VAD780 VJZ780 VTV780 WDR780 WNN780 WXJ780 BB66316 KX66316 UT66316 AEP66316 AOL66316 AYH66316 BID66316 BRZ66316 CBV66316 CLR66316 CVN66316 DFJ66316 DPF66316 DZB66316 EIX66316 EST66316 FCP66316 FML66316 FWH66316 GGD66316 GPZ66316 GZV66316 HJR66316 HTN66316 IDJ66316 INF66316 IXB66316 JGX66316 JQT66316 KAP66316 KKL66316 KUH66316 LED66316 LNZ66316 LXV66316 MHR66316 MRN66316 NBJ66316 NLF66316 NVB66316 OEX66316 OOT66316 OYP66316 PIL66316 PSH66316 QCD66316 QLZ66316 QVV66316 RFR66316 RPN66316 RZJ66316 SJF66316 STB66316 TCX66316 TMT66316 TWP66316 UGL66316 UQH66316 VAD66316 VJZ66316 VTV66316 WDR66316 WNN66316 WXJ66316 BB131852 KX131852 UT131852 AEP131852 AOL131852 AYH131852 BID131852 BRZ131852 CBV131852 CLR131852 CVN131852 DFJ131852 DPF131852 DZB131852 EIX131852 EST131852 FCP131852 FML131852 FWH131852 GGD131852 GPZ131852 GZV131852 HJR131852 HTN131852 IDJ131852 INF131852 IXB131852 JGX131852 JQT131852 KAP131852 KKL131852 KUH131852 LED131852 LNZ131852 LXV131852 MHR131852 MRN131852 NBJ131852 NLF131852 NVB131852 OEX131852 OOT131852 OYP131852 PIL131852 PSH131852 QCD131852 QLZ131852 QVV131852 RFR131852 RPN131852 RZJ131852 SJF131852 STB131852 TCX131852 TMT131852 TWP131852 UGL131852 UQH131852 VAD131852 VJZ131852 VTV131852 WDR131852 WNN131852 WXJ131852 BB197388 KX197388 UT197388 AEP197388 AOL197388 AYH197388 BID197388 BRZ197388 CBV197388 CLR197388 CVN197388 DFJ197388 DPF197388 DZB197388 EIX197388 EST197388 FCP197388 FML197388 FWH197388 GGD197388 GPZ197388 GZV197388 HJR197388 HTN197388 IDJ197388 INF197388 IXB197388 JGX197388 JQT197388 KAP197388 KKL197388 KUH197388 LED197388 LNZ197388 LXV197388 MHR197388 MRN197388 NBJ197388 NLF197388 NVB197388 OEX197388 OOT197388 OYP197388 PIL197388 PSH197388 QCD197388 QLZ197388 QVV197388 RFR197388 RPN197388 RZJ197388 SJF197388 STB197388 TCX197388 TMT197388 TWP197388 UGL197388 UQH197388 VAD197388 VJZ197388 VTV197388 WDR197388 WNN197388 WXJ197388 BB262924 KX262924 UT262924 AEP262924 AOL262924 AYH262924 BID262924 BRZ262924 CBV262924 CLR262924 CVN262924 DFJ262924 DPF262924 DZB262924 EIX262924 EST262924 FCP262924 FML262924 FWH262924 GGD262924 GPZ262924 GZV262924 HJR262924 HTN262924 IDJ262924 INF262924 IXB262924 JGX262924 JQT262924 KAP262924 KKL262924 KUH262924 LED262924 LNZ262924 LXV262924 MHR262924 MRN262924 NBJ262924 NLF262924 NVB262924 OEX262924 OOT262924 OYP262924 PIL262924 PSH262924 QCD262924 QLZ262924 QVV262924 RFR262924 RPN262924 RZJ262924 SJF262924 STB262924 TCX262924 TMT262924 TWP262924 UGL262924 UQH262924 VAD262924 VJZ262924 VTV262924 WDR262924 WNN262924 WXJ262924 BB328460 KX328460 UT328460 AEP328460 AOL328460 AYH328460 BID328460 BRZ328460 CBV328460 CLR328460 CVN328460 DFJ328460 DPF328460 DZB328460 EIX328460 EST328460 FCP328460 FML328460 FWH328460 GGD328460 GPZ328460 GZV328460 HJR328460 HTN328460 IDJ328460 INF328460 IXB328460 JGX328460 JQT328460 KAP328460 KKL328460 KUH328460 LED328460 LNZ328460 LXV328460 MHR328460 MRN328460 NBJ328460 NLF328460 NVB328460 OEX328460 OOT328460 OYP328460 PIL328460 PSH328460 QCD328460 QLZ328460 QVV328460 RFR328460 RPN328460 RZJ328460 SJF328460 STB328460 TCX328460 TMT328460 TWP328460 UGL328460 UQH328460 VAD328460 VJZ328460 VTV328460 WDR328460 WNN328460 WXJ328460 BB393996 KX393996 UT393996 AEP393996 AOL393996 AYH393996 BID393996 BRZ393996 CBV393996 CLR393996 CVN393996 DFJ393996 DPF393996 DZB393996 EIX393996 EST393996 FCP393996 FML393996 FWH393996 GGD393996 GPZ393996 GZV393996 HJR393996 HTN393996 IDJ393996 INF393996 IXB393996 JGX393996 JQT393996 KAP393996 KKL393996 KUH393996 LED393996 LNZ393996 LXV393996 MHR393996 MRN393996 NBJ393996 NLF393996 NVB393996 OEX393996 OOT393996 OYP393996 PIL393996 PSH393996 QCD393996 QLZ393996 QVV393996 RFR393996 RPN393996 RZJ393996 SJF393996 STB393996 TCX393996 TMT393996 TWP393996 UGL393996 UQH393996 VAD393996 VJZ393996 VTV393996 WDR393996 WNN393996 WXJ393996 BB459532 KX459532 UT459532 AEP459532 AOL459532 AYH459532 BID459532 BRZ459532 CBV459532 CLR459532 CVN459532 DFJ459532 DPF459532 DZB459532 EIX459532 EST459532 FCP459532 FML459532 FWH459532 GGD459532 GPZ459532 GZV459532 HJR459532 HTN459532 IDJ459532 INF459532 IXB459532 JGX459532 JQT459532 KAP459532 KKL459532 KUH459532 LED459532 LNZ459532 LXV459532 MHR459532 MRN459532 NBJ459532 NLF459532 NVB459532 OEX459532 OOT459532 OYP459532 PIL459532 PSH459532 QCD459532 QLZ459532 QVV459532 RFR459532 RPN459532 RZJ459532 SJF459532 STB459532 TCX459532 TMT459532 TWP459532 UGL459532 UQH459532 VAD459532 VJZ459532 VTV459532 WDR459532 WNN459532 WXJ459532 BB525068 KX525068 UT525068 AEP525068 AOL525068 AYH525068 BID525068 BRZ525068 CBV525068 CLR525068 CVN525068 DFJ525068 DPF525068 DZB525068 EIX525068 EST525068 FCP525068 FML525068 FWH525068 GGD525068 GPZ525068 GZV525068 HJR525068 HTN525068 IDJ525068 INF525068 IXB525068 JGX525068 JQT525068 KAP525068 KKL525068 KUH525068 LED525068 LNZ525068 LXV525068 MHR525068 MRN525068 NBJ525068 NLF525068 NVB525068 OEX525068 OOT525068 OYP525068 PIL525068 PSH525068 QCD525068 QLZ525068 QVV525068 RFR525068 RPN525068 RZJ525068 SJF525068 STB525068 TCX525068 TMT525068 TWP525068 UGL525068 UQH525068 VAD525068 VJZ525068 VTV525068 WDR525068 WNN525068 WXJ525068 BB590604 KX590604 UT590604 AEP590604 AOL590604 AYH590604 BID590604 BRZ590604 CBV590604 CLR590604 CVN590604 DFJ590604 DPF590604 DZB590604 EIX590604 EST590604 FCP590604 FML590604 FWH590604 GGD590604 GPZ590604 GZV590604 HJR590604 HTN590604 IDJ590604 INF590604 IXB590604 JGX590604 JQT590604 KAP590604 KKL590604 KUH590604 LED590604 LNZ590604 LXV590604 MHR590604 MRN590604 NBJ590604 NLF590604 NVB590604 OEX590604 OOT590604 OYP590604 PIL590604 PSH590604 QCD590604 QLZ590604 QVV590604 RFR590604 RPN590604 RZJ590604 SJF590604 STB590604 TCX590604 TMT590604 TWP590604 UGL590604 UQH590604 VAD590604 VJZ590604 VTV590604 WDR590604 WNN590604 WXJ590604 BB656140 KX656140 UT656140 AEP656140 AOL656140 AYH656140 BID656140 BRZ656140 CBV656140 CLR656140 CVN656140 DFJ656140 DPF656140 DZB656140 EIX656140 EST656140 FCP656140 FML656140 FWH656140 GGD656140 GPZ656140 GZV656140 HJR656140 HTN656140 IDJ656140 INF656140 IXB656140 JGX656140 JQT656140 KAP656140 KKL656140 KUH656140 LED656140 LNZ656140 LXV656140 MHR656140 MRN656140 NBJ656140 NLF656140 NVB656140 OEX656140 OOT656140 OYP656140 PIL656140 PSH656140 QCD656140 QLZ656140 QVV656140 RFR656140 RPN656140 RZJ656140 SJF656140 STB656140 TCX656140 TMT656140 TWP656140 UGL656140 UQH656140 VAD656140 VJZ656140 VTV656140 WDR656140 WNN656140 WXJ656140 BB721676 KX721676 UT721676 AEP721676 AOL721676 AYH721676 BID721676 BRZ721676 CBV721676 CLR721676 CVN721676 DFJ721676 DPF721676 DZB721676 EIX721676 EST721676 FCP721676 FML721676 FWH721676 GGD721676 GPZ721676 GZV721676 HJR721676 HTN721676 IDJ721676 INF721676 IXB721676 JGX721676 JQT721676 KAP721676 KKL721676 KUH721676 LED721676 LNZ721676 LXV721676 MHR721676 MRN721676 NBJ721676 NLF721676 NVB721676 OEX721676 OOT721676 OYP721676 PIL721676 PSH721676 QCD721676 QLZ721676 QVV721676 RFR721676 RPN721676 RZJ721676 SJF721676 STB721676 TCX721676 TMT721676 TWP721676 UGL721676 UQH721676 VAD721676 VJZ721676 VTV721676 WDR721676 WNN721676 WXJ721676 BB787212 KX787212 UT787212 AEP787212 AOL787212 AYH787212 BID787212 BRZ787212 CBV787212 CLR787212 CVN787212 DFJ787212 DPF787212 DZB787212 EIX787212 EST787212 FCP787212 FML787212 FWH787212 GGD787212 GPZ787212 GZV787212 HJR787212 HTN787212 IDJ787212 INF787212 IXB787212 JGX787212 JQT787212 KAP787212 KKL787212 KUH787212 LED787212 LNZ787212 LXV787212 MHR787212 MRN787212 NBJ787212 NLF787212 NVB787212 OEX787212 OOT787212 OYP787212 PIL787212 PSH787212 QCD787212 QLZ787212 QVV787212 RFR787212 RPN787212 RZJ787212 SJF787212 STB787212 TCX787212 TMT787212 TWP787212 UGL787212 UQH787212 VAD787212 VJZ787212 VTV787212 WDR787212 WNN787212 WXJ787212 BB852748 KX852748 UT852748 AEP852748 AOL852748 AYH852748 BID852748 BRZ852748 CBV852748 CLR852748 CVN852748 DFJ852748 DPF852748 DZB852748 EIX852748 EST852748 FCP852748 FML852748 FWH852748 GGD852748 GPZ852748 GZV852748 HJR852748 HTN852748 IDJ852748 INF852748 IXB852748 JGX852748 JQT852748 KAP852748 KKL852748 KUH852748 LED852748 LNZ852748 LXV852748 MHR852748 MRN852748 NBJ852748 NLF852748 NVB852748 OEX852748 OOT852748 OYP852748 PIL852748 PSH852748 QCD852748 QLZ852748 QVV852748 RFR852748 RPN852748 RZJ852748 SJF852748 STB852748 TCX852748 TMT852748 TWP852748 UGL852748 UQH852748 VAD852748 VJZ852748 VTV852748 WDR852748 WNN852748 WXJ852748 BB918284 KX918284 UT918284 AEP918284 AOL918284 AYH918284 BID918284 BRZ918284 CBV918284 CLR918284 CVN918284 DFJ918284 DPF918284 DZB918284 EIX918284 EST918284 FCP918284 FML918284 FWH918284 GGD918284 GPZ918284 GZV918284 HJR918284 HTN918284 IDJ918284 INF918284 IXB918284 JGX918284 JQT918284 KAP918284 KKL918284 KUH918284 LED918284 LNZ918284 LXV918284 MHR918284 MRN918284 NBJ918284 NLF918284 NVB918284 OEX918284 OOT918284 OYP918284 PIL918284 PSH918284 QCD918284 QLZ918284 QVV918284 RFR918284 RPN918284 RZJ918284 SJF918284 STB918284 TCX918284 TMT918284 TWP918284 UGL918284 UQH918284 VAD918284 VJZ918284 VTV918284 WDR918284 WNN918284 WXJ918284 BB983820 KX983820 UT983820 AEP983820 AOL983820 AYH983820 BID983820 BRZ983820 CBV983820 CLR983820 CVN983820 DFJ983820 DPF983820 DZB983820 EIX983820 EST983820 FCP983820 FML983820 FWH983820 GGD983820 GPZ983820 GZV983820 HJR983820 HTN983820 IDJ983820 INF983820 IXB983820 JGX983820 JQT983820 KAP983820 KKL983820 KUH983820 LED983820 LNZ983820 LXV983820 MHR983820 MRN983820 NBJ983820 NLF983820 NVB983820 OEX983820 OOT983820 OYP983820 PIL983820 PSH983820 QCD983820 QLZ983820 QVV983820 RFR983820 RPN983820 RZJ983820 SJF983820 STB983820 TCX983820 TMT983820 TWP983820 UGL983820 UQH983820 VAD983820 VJZ983820 VTV983820 WDR983820 WNN983820 WXJ983820" xr:uid="{F2341902-12EC-4CE5-9E31-C9DAA64BE848}">
      <formula1>$V$705:$V$718</formula1>
    </dataValidation>
    <dataValidation type="list" allowBlank="1" showInputMessage="1" showErrorMessage="1" sqref="AL724:AL731 KH724:KH731 UD724:UD731 ADZ724:ADZ731 ANV724:ANV731 AXR724:AXR731 BHN724:BHN731 BRJ724:BRJ731 CBF724:CBF731 CLB724:CLB731 CUX724:CUX731 DET724:DET731 DOP724:DOP731 DYL724:DYL731 EIH724:EIH731 ESD724:ESD731 FBZ724:FBZ731 FLV724:FLV731 FVR724:FVR731 GFN724:GFN731 GPJ724:GPJ731 GZF724:GZF731 HJB724:HJB731 HSX724:HSX731 ICT724:ICT731 IMP724:IMP731 IWL724:IWL731 JGH724:JGH731 JQD724:JQD731 JZZ724:JZZ731 KJV724:KJV731 KTR724:KTR731 LDN724:LDN731 LNJ724:LNJ731 LXF724:LXF731 MHB724:MHB731 MQX724:MQX731 NAT724:NAT731 NKP724:NKP731 NUL724:NUL731 OEH724:OEH731 OOD724:OOD731 OXZ724:OXZ731 PHV724:PHV731 PRR724:PRR731 QBN724:QBN731 QLJ724:QLJ731 QVF724:QVF731 RFB724:RFB731 ROX724:ROX731 RYT724:RYT731 SIP724:SIP731 SSL724:SSL731 TCH724:TCH731 TMD724:TMD731 TVZ724:TVZ731 UFV724:UFV731 UPR724:UPR731 UZN724:UZN731 VJJ724:VJJ731 VTF724:VTF731 WDB724:WDB731 WMX724:WMX731 WWT724:WWT731 AL66260:AL66267 KH66260:KH66267 UD66260:UD66267 ADZ66260:ADZ66267 ANV66260:ANV66267 AXR66260:AXR66267 BHN66260:BHN66267 BRJ66260:BRJ66267 CBF66260:CBF66267 CLB66260:CLB66267 CUX66260:CUX66267 DET66260:DET66267 DOP66260:DOP66267 DYL66260:DYL66267 EIH66260:EIH66267 ESD66260:ESD66267 FBZ66260:FBZ66267 FLV66260:FLV66267 FVR66260:FVR66267 GFN66260:GFN66267 GPJ66260:GPJ66267 GZF66260:GZF66267 HJB66260:HJB66267 HSX66260:HSX66267 ICT66260:ICT66267 IMP66260:IMP66267 IWL66260:IWL66267 JGH66260:JGH66267 JQD66260:JQD66267 JZZ66260:JZZ66267 KJV66260:KJV66267 KTR66260:KTR66267 LDN66260:LDN66267 LNJ66260:LNJ66267 LXF66260:LXF66267 MHB66260:MHB66267 MQX66260:MQX66267 NAT66260:NAT66267 NKP66260:NKP66267 NUL66260:NUL66267 OEH66260:OEH66267 OOD66260:OOD66267 OXZ66260:OXZ66267 PHV66260:PHV66267 PRR66260:PRR66267 QBN66260:QBN66267 QLJ66260:QLJ66267 QVF66260:QVF66267 RFB66260:RFB66267 ROX66260:ROX66267 RYT66260:RYT66267 SIP66260:SIP66267 SSL66260:SSL66267 TCH66260:TCH66267 TMD66260:TMD66267 TVZ66260:TVZ66267 UFV66260:UFV66267 UPR66260:UPR66267 UZN66260:UZN66267 VJJ66260:VJJ66267 VTF66260:VTF66267 WDB66260:WDB66267 WMX66260:WMX66267 WWT66260:WWT66267 AL131796:AL131803 KH131796:KH131803 UD131796:UD131803 ADZ131796:ADZ131803 ANV131796:ANV131803 AXR131796:AXR131803 BHN131796:BHN131803 BRJ131796:BRJ131803 CBF131796:CBF131803 CLB131796:CLB131803 CUX131796:CUX131803 DET131796:DET131803 DOP131796:DOP131803 DYL131796:DYL131803 EIH131796:EIH131803 ESD131796:ESD131803 FBZ131796:FBZ131803 FLV131796:FLV131803 FVR131796:FVR131803 GFN131796:GFN131803 GPJ131796:GPJ131803 GZF131796:GZF131803 HJB131796:HJB131803 HSX131796:HSX131803 ICT131796:ICT131803 IMP131796:IMP131803 IWL131796:IWL131803 JGH131796:JGH131803 JQD131796:JQD131803 JZZ131796:JZZ131803 KJV131796:KJV131803 KTR131796:KTR131803 LDN131796:LDN131803 LNJ131796:LNJ131803 LXF131796:LXF131803 MHB131796:MHB131803 MQX131796:MQX131803 NAT131796:NAT131803 NKP131796:NKP131803 NUL131796:NUL131803 OEH131796:OEH131803 OOD131796:OOD131803 OXZ131796:OXZ131803 PHV131796:PHV131803 PRR131796:PRR131803 QBN131796:QBN131803 QLJ131796:QLJ131803 QVF131796:QVF131803 RFB131796:RFB131803 ROX131796:ROX131803 RYT131796:RYT131803 SIP131796:SIP131803 SSL131796:SSL131803 TCH131796:TCH131803 TMD131796:TMD131803 TVZ131796:TVZ131803 UFV131796:UFV131803 UPR131796:UPR131803 UZN131796:UZN131803 VJJ131796:VJJ131803 VTF131796:VTF131803 WDB131796:WDB131803 WMX131796:WMX131803 WWT131796:WWT131803 AL197332:AL197339 KH197332:KH197339 UD197332:UD197339 ADZ197332:ADZ197339 ANV197332:ANV197339 AXR197332:AXR197339 BHN197332:BHN197339 BRJ197332:BRJ197339 CBF197332:CBF197339 CLB197332:CLB197339 CUX197332:CUX197339 DET197332:DET197339 DOP197332:DOP197339 DYL197332:DYL197339 EIH197332:EIH197339 ESD197332:ESD197339 FBZ197332:FBZ197339 FLV197332:FLV197339 FVR197332:FVR197339 GFN197332:GFN197339 GPJ197332:GPJ197339 GZF197332:GZF197339 HJB197332:HJB197339 HSX197332:HSX197339 ICT197332:ICT197339 IMP197332:IMP197339 IWL197332:IWL197339 JGH197332:JGH197339 JQD197332:JQD197339 JZZ197332:JZZ197339 KJV197332:KJV197339 KTR197332:KTR197339 LDN197332:LDN197339 LNJ197332:LNJ197339 LXF197332:LXF197339 MHB197332:MHB197339 MQX197332:MQX197339 NAT197332:NAT197339 NKP197332:NKP197339 NUL197332:NUL197339 OEH197332:OEH197339 OOD197332:OOD197339 OXZ197332:OXZ197339 PHV197332:PHV197339 PRR197332:PRR197339 QBN197332:QBN197339 QLJ197332:QLJ197339 QVF197332:QVF197339 RFB197332:RFB197339 ROX197332:ROX197339 RYT197332:RYT197339 SIP197332:SIP197339 SSL197332:SSL197339 TCH197332:TCH197339 TMD197332:TMD197339 TVZ197332:TVZ197339 UFV197332:UFV197339 UPR197332:UPR197339 UZN197332:UZN197339 VJJ197332:VJJ197339 VTF197332:VTF197339 WDB197332:WDB197339 WMX197332:WMX197339 WWT197332:WWT197339 AL262868:AL262875 KH262868:KH262875 UD262868:UD262875 ADZ262868:ADZ262875 ANV262868:ANV262875 AXR262868:AXR262875 BHN262868:BHN262875 BRJ262868:BRJ262875 CBF262868:CBF262875 CLB262868:CLB262875 CUX262868:CUX262875 DET262868:DET262875 DOP262868:DOP262875 DYL262868:DYL262875 EIH262868:EIH262875 ESD262868:ESD262875 FBZ262868:FBZ262875 FLV262868:FLV262875 FVR262868:FVR262875 GFN262868:GFN262875 GPJ262868:GPJ262875 GZF262868:GZF262875 HJB262868:HJB262875 HSX262868:HSX262875 ICT262868:ICT262875 IMP262868:IMP262875 IWL262868:IWL262875 JGH262868:JGH262875 JQD262868:JQD262875 JZZ262868:JZZ262875 KJV262868:KJV262875 KTR262868:KTR262875 LDN262868:LDN262875 LNJ262868:LNJ262875 LXF262868:LXF262875 MHB262868:MHB262875 MQX262868:MQX262875 NAT262868:NAT262875 NKP262868:NKP262875 NUL262868:NUL262875 OEH262868:OEH262875 OOD262868:OOD262875 OXZ262868:OXZ262875 PHV262868:PHV262875 PRR262868:PRR262875 QBN262868:QBN262875 QLJ262868:QLJ262875 QVF262868:QVF262875 RFB262868:RFB262875 ROX262868:ROX262875 RYT262868:RYT262875 SIP262868:SIP262875 SSL262868:SSL262875 TCH262868:TCH262875 TMD262868:TMD262875 TVZ262868:TVZ262875 UFV262868:UFV262875 UPR262868:UPR262875 UZN262868:UZN262875 VJJ262868:VJJ262875 VTF262868:VTF262875 WDB262868:WDB262875 WMX262868:WMX262875 WWT262868:WWT262875 AL328404:AL328411 KH328404:KH328411 UD328404:UD328411 ADZ328404:ADZ328411 ANV328404:ANV328411 AXR328404:AXR328411 BHN328404:BHN328411 BRJ328404:BRJ328411 CBF328404:CBF328411 CLB328404:CLB328411 CUX328404:CUX328411 DET328404:DET328411 DOP328404:DOP328411 DYL328404:DYL328411 EIH328404:EIH328411 ESD328404:ESD328411 FBZ328404:FBZ328411 FLV328404:FLV328411 FVR328404:FVR328411 GFN328404:GFN328411 GPJ328404:GPJ328411 GZF328404:GZF328411 HJB328404:HJB328411 HSX328404:HSX328411 ICT328404:ICT328411 IMP328404:IMP328411 IWL328404:IWL328411 JGH328404:JGH328411 JQD328404:JQD328411 JZZ328404:JZZ328411 KJV328404:KJV328411 KTR328404:KTR328411 LDN328404:LDN328411 LNJ328404:LNJ328411 LXF328404:LXF328411 MHB328404:MHB328411 MQX328404:MQX328411 NAT328404:NAT328411 NKP328404:NKP328411 NUL328404:NUL328411 OEH328404:OEH328411 OOD328404:OOD328411 OXZ328404:OXZ328411 PHV328404:PHV328411 PRR328404:PRR328411 QBN328404:QBN328411 QLJ328404:QLJ328411 QVF328404:QVF328411 RFB328404:RFB328411 ROX328404:ROX328411 RYT328404:RYT328411 SIP328404:SIP328411 SSL328404:SSL328411 TCH328404:TCH328411 TMD328404:TMD328411 TVZ328404:TVZ328411 UFV328404:UFV328411 UPR328404:UPR328411 UZN328404:UZN328411 VJJ328404:VJJ328411 VTF328404:VTF328411 WDB328404:WDB328411 WMX328404:WMX328411 WWT328404:WWT328411 AL393940:AL393947 KH393940:KH393947 UD393940:UD393947 ADZ393940:ADZ393947 ANV393940:ANV393947 AXR393940:AXR393947 BHN393940:BHN393947 BRJ393940:BRJ393947 CBF393940:CBF393947 CLB393940:CLB393947 CUX393940:CUX393947 DET393940:DET393947 DOP393940:DOP393947 DYL393940:DYL393947 EIH393940:EIH393947 ESD393940:ESD393947 FBZ393940:FBZ393947 FLV393940:FLV393947 FVR393940:FVR393947 GFN393940:GFN393947 GPJ393940:GPJ393947 GZF393940:GZF393947 HJB393940:HJB393947 HSX393940:HSX393947 ICT393940:ICT393947 IMP393940:IMP393947 IWL393940:IWL393947 JGH393940:JGH393947 JQD393940:JQD393947 JZZ393940:JZZ393947 KJV393940:KJV393947 KTR393940:KTR393947 LDN393940:LDN393947 LNJ393940:LNJ393947 LXF393940:LXF393947 MHB393940:MHB393947 MQX393940:MQX393947 NAT393940:NAT393947 NKP393940:NKP393947 NUL393940:NUL393947 OEH393940:OEH393947 OOD393940:OOD393947 OXZ393940:OXZ393947 PHV393940:PHV393947 PRR393940:PRR393947 QBN393940:QBN393947 QLJ393940:QLJ393947 QVF393940:QVF393947 RFB393940:RFB393947 ROX393940:ROX393947 RYT393940:RYT393947 SIP393940:SIP393947 SSL393940:SSL393947 TCH393940:TCH393947 TMD393940:TMD393947 TVZ393940:TVZ393947 UFV393940:UFV393947 UPR393940:UPR393947 UZN393940:UZN393947 VJJ393940:VJJ393947 VTF393940:VTF393947 WDB393940:WDB393947 WMX393940:WMX393947 WWT393940:WWT393947 AL459476:AL459483 KH459476:KH459483 UD459476:UD459483 ADZ459476:ADZ459483 ANV459476:ANV459483 AXR459476:AXR459483 BHN459476:BHN459483 BRJ459476:BRJ459483 CBF459476:CBF459483 CLB459476:CLB459483 CUX459476:CUX459483 DET459476:DET459483 DOP459476:DOP459483 DYL459476:DYL459483 EIH459476:EIH459483 ESD459476:ESD459483 FBZ459476:FBZ459483 FLV459476:FLV459483 FVR459476:FVR459483 GFN459476:GFN459483 GPJ459476:GPJ459483 GZF459476:GZF459483 HJB459476:HJB459483 HSX459476:HSX459483 ICT459476:ICT459483 IMP459476:IMP459483 IWL459476:IWL459483 JGH459476:JGH459483 JQD459476:JQD459483 JZZ459476:JZZ459483 KJV459476:KJV459483 KTR459476:KTR459483 LDN459476:LDN459483 LNJ459476:LNJ459483 LXF459476:LXF459483 MHB459476:MHB459483 MQX459476:MQX459483 NAT459476:NAT459483 NKP459476:NKP459483 NUL459476:NUL459483 OEH459476:OEH459483 OOD459476:OOD459483 OXZ459476:OXZ459483 PHV459476:PHV459483 PRR459476:PRR459483 QBN459476:QBN459483 QLJ459476:QLJ459483 QVF459476:QVF459483 RFB459476:RFB459483 ROX459476:ROX459483 RYT459476:RYT459483 SIP459476:SIP459483 SSL459476:SSL459483 TCH459476:TCH459483 TMD459476:TMD459483 TVZ459476:TVZ459483 UFV459476:UFV459483 UPR459476:UPR459483 UZN459476:UZN459483 VJJ459476:VJJ459483 VTF459476:VTF459483 WDB459476:WDB459483 WMX459476:WMX459483 WWT459476:WWT459483 AL525012:AL525019 KH525012:KH525019 UD525012:UD525019 ADZ525012:ADZ525019 ANV525012:ANV525019 AXR525012:AXR525019 BHN525012:BHN525019 BRJ525012:BRJ525019 CBF525012:CBF525019 CLB525012:CLB525019 CUX525012:CUX525019 DET525012:DET525019 DOP525012:DOP525019 DYL525012:DYL525019 EIH525012:EIH525019 ESD525012:ESD525019 FBZ525012:FBZ525019 FLV525012:FLV525019 FVR525012:FVR525019 GFN525012:GFN525019 GPJ525012:GPJ525019 GZF525012:GZF525019 HJB525012:HJB525019 HSX525012:HSX525019 ICT525012:ICT525019 IMP525012:IMP525019 IWL525012:IWL525019 JGH525012:JGH525019 JQD525012:JQD525019 JZZ525012:JZZ525019 KJV525012:KJV525019 KTR525012:KTR525019 LDN525012:LDN525019 LNJ525012:LNJ525019 LXF525012:LXF525019 MHB525012:MHB525019 MQX525012:MQX525019 NAT525012:NAT525019 NKP525012:NKP525019 NUL525012:NUL525019 OEH525012:OEH525019 OOD525012:OOD525019 OXZ525012:OXZ525019 PHV525012:PHV525019 PRR525012:PRR525019 QBN525012:QBN525019 QLJ525012:QLJ525019 QVF525012:QVF525019 RFB525012:RFB525019 ROX525012:ROX525019 RYT525012:RYT525019 SIP525012:SIP525019 SSL525012:SSL525019 TCH525012:TCH525019 TMD525012:TMD525019 TVZ525012:TVZ525019 UFV525012:UFV525019 UPR525012:UPR525019 UZN525012:UZN525019 VJJ525012:VJJ525019 VTF525012:VTF525019 WDB525012:WDB525019 WMX525012:WMX525019 WWT525012:WWT525019 AL590548:AL590555 KH590548:KH590555 UD590548:UD590555 ADZ590548:ADZ590555 ANV590548:ANV590555 AXR590548:AXR590555 BHN590548:BHN590555 BRJ590548:BRJ590555 CBF590548:CBF590555 CLB590548:CLB590555 CUX590548:CUX590555 DET590548:DET590555 DOP590548:DOP590555 DYL590548:DYL590555 EIH590548:EIH590555 ESD590548:ESD590555 FBZ590548:FBZ590555 FLV590548:FLV590555 FVR590548:FVR590555 GFN590548:GFN590555 GPJ590548:GPJ590555 GZF590548:GZF590555 HJB590548:HJB590555 HSX590548:HSX590555 ICT590548:ICT590555 IMP590548:IMP590555 IWL590548:IWL590555 JGH590548:JGH590555 JQD590548:JQD590555 JZZ590548:JZZ590555 KJV590548:KJV590555 KTR590548:KTR590555 LDN590548:LDN590555 LNJ590548:LNJ590555 LXF590548:LXF590555 MHB590548:MHB590555 MQX590548:MQX590555 NAT590548:NAT590555 NKP590548:NKP590555 NUL590548:NUL590555 OEH590548:OEH590555 OOD590548:OOD590555 OXZ590548:OXZ590555 PHV590548:PHV590555 PRR590548:PRR590555 QBN590548:QBN590555 QLJ590548:QLJ590555 QVF590548:QVF590555 RFB590548:RFB590555 ROX590548:ROX590555 RYT590548:RYT590555 SIP590548:SIP590555 SSL590548:SSL590555 TCH590548:TCH590555 TMD590548:TMD590555 TVZ590548:TVZ590555 UFV590548:UFV590555 UPR590548:UPR590555 UZN590548:UZN590555 VJJ590548:VJJ590555 VTF590548:VTF590555 WDB590548:WDB590555 WMX590548:WMX590555 WWT590548:WWT590555 AL656084:AL656091 KH656084:KH656091 UD656084:UD656091 ADZ656084:ADZ656091 ANV656084:ANV656091 AXR656084:AXR656091 BHN656084:BHN656091 BRJ656084:BRJ656091 CBF656084:CBF656091 CLB656084:CLB656091 CUX656084:CUX656091 DET656084:DET656091 DOP656084:DOP656091 DYL656084:DYL656091 EIH656084:EIH656091 ESD656084:ESD656091 FBZ656084:FBZ656091 FLV656084:FLV656091 FVR656084:FVR656091 GFN656084:GFN656091 GPJ656084:GPJ656091 GZF656084:GZF656091 HJB656084:HJB656091 HSX656084:HSX656091 ICT656084:ICT656091 IMP656084:IMP656091 IWL656084:IWL656091 JGH656084:JGH656091 JQD656084:JQD656091 JZZ656084:JZZ656091 KJV656084:KJV656091 KTR656084:KTR656091 LDN656084:LDN656091 LNJ656084:LNJ656091 LXF656084:LXF656091 MHB656084:MHB656091 MQX656084:MQX656091 NAT656084:NAT656091 NKP656084:NKP656091 NUL656084:NUL656091 OEH656084:OEH656091 OOD656084:OOD656091 OXZ656084:OXZ656091 PHV656084:PHV656091 PRR656084:PRR656091 QBN656084:QBN656091 QLJ656084:QLJ656091 QVF656084:QVF656091 RFB656084:RFB656091 ROX656084:ROX656091 RYT656084:RYT656091 SIP656084:SIP656091 SSL656084:SSL656091 TCH656084:TCH656091 TMD656084:TMD656091 TVZ656084:TVZ656091 UFV656084:UFV656091 UPR656084:UPR656091 UZN656084:UZN656091 VJJ656084:VJJ656091 VTF656084:VTF656091 WDB656084:WDB656091 WMX656084:WMX656091 WWT656084:WWT656091 AL721620:AL721627 KH721620:KH721627 UD721620:UD721627 ADZ721620:ADZ721627 ANV721620:ANV721627 AXR721620:AXR721627 BHN721620:BHN721627 BRJ721620:BRJ721627 CBF721620:CBF721627 CLB721620:CLB721627 CUX721620:CUX721627 DET721620:DET721627 DOP721620:DOP721627 DYL721620:DYL721627 EIH721620:EIH721627 ESD721620:ESD721627 FBZ721620:FBZ721627 FLV721620:FLV721627 FVR721620:FVR721627 GFN721620:GFN721627 GPJ721620:GPJ721627 GZF721620:GZF721627 HJB721620:HJB721627 HSX721620:HSX721627 ICT721620:ICT721627 IMP721620:IMP721627 IWL721620:IWL721627 JGH721620:JGH721627 JQD721620:JQD721627 JZZ721620:JZZ721627 KJV721620:KJV721627 KTR721620:KTR721627 LDN721620:LDN721627 LNJ721620:LNJ721627 LXF721620:LXF721627 MHB721620:MHB721627 MQX721620:MQX721627 NAT721620:NAT721627 NKP721620:NKP721627 NUL721620:NUL721627 OEH721620:OEH721627 OOD721620:OOD721627 OXZ721620:OXZ721627 PHV721620:PHV721627 PRR721620:PRR721627 QBN721620:QBN721627 QLJ721620:QLJ721627 QVF721620:QVF721627 RFB721620:RFB721627 ROX721620:ROX721627 RYT721620:RYT721627 SIP721620:SIP721627 SSL721620:SSL721627 TCH721620:TCH721627 TMD721620:TMD721627 TVZ721620:TVZ721627 UFV721620:UFV721627 UPR721620:UPR721627 UZN721620:UZN721627 VJJ721620:VJJ721627 VTF721620:VTF721627 WDB721620:WDB721627 WMX721620:WMX721627 WWT721620:WWT721627 AL787156:AL787163 KH787156:KH787163 UD787156:UD787163 ADZ787156:ADZ787163 ANV787156:ANV787163 AXR787156:AXR787163 BHN787156:BHN787163 BRJ787156:BRJ787163 CBF787156:CBF787163 CLB787156:CLB787163 CUX787156:CUX787163 DET787156:DET787163 DOP787156:DOP787163 DYL787156:DYL787163 EIH787156:EIH787163 ESD787156:ESD787163 FBZ787156:FBZ787163 FLV787156:FLV787163 FVR787156:FVR787163 GFN787156:GFN787163 GPJ787156:GPJ787163 GZF787156:GZF787163 HJB787156:HJB787163 HSX787156:HSX787163 ICT787156:ICT787163 IMP787156:IMP787163 IWL787156:IWL787163 JGH787156:JGH787163 JQD787156:JQD787163 JZZ787156:JZZ787163 KJV787156:KJV787163 KTR787156:KTR787163 LDN787156:LDN787163 LNJ787156:LNJ787163 LXF787156:LXF787163 MHB787156:MHB787163 MQX787156:MQX787163 NAT787156:NAT787163 NKP787156:NKP787163 NUL787156:NUL787163 OEH787156:OEH787163 OOD787156:OOD787163 OXZ787156:OXZ787163 PHV787156:PHV787163 PRR787156:PRR787163 QBN787156:QBN787163 QLJ787156:QLJ787163 QVF787156:QVF787163 RFB787156:RFB787163 ROX787156:ROX787163 RYT787156:RYT787163 SIP787156:SIP787163 SSL787156:SSL787163 TCH787156:TCH787163 TMD787156:TMD787163 TVZ787156:TVZ787163 UFV787156:UFV787163 UPR787156:UPR787163 UZN787156:UZN787163 VJJ787156:VJJ787163 VTF787156:VTF787163 WDB787156:WDB787163 WMX787156:WMX787163 WWT787156:WWT787163 AL852692:AL852699 KH852692:KH852699 UD852692:UD852699 ADZ852692:ADZ852699 ANV852692:ANV852699 AXR852692:AXR852699 BHN852692:BHN852699 BRJ852692:BRJ852699 CBF852692:CBF852699 CLB852692:CLB852699 CUX852692:CUX852699 DET852692:DET852699 DOP852692:DOP852699 DYL852692:DYL852699 EIH852692:EIH852699 ESD852692:ESD852699 FBZ852692:FBZ852699 FLV852692:FLV852699 FVR852692:FVR852699 GFN852692:GFN852699 GPJ852692:GPJ852699 GZF852692:GZF852699 HJB852692:HJB852699 HSX852692:HSX852699 ICT852692:ICT852699 IMP852692:IMP852699 IWL852692:IWL852699 JGH852692:JGH852699 JQD852692:JQD852699 JZZ852692:JZZ852699 KJV852692:KJV852699 KTR852692:KTR852699 LDN852692:LDN852699 LNJ852692:LNJ852699 LXF852692:LXF852699 MHB852692:MHB852699 MQX852692:MQX852699 NAT852692:NAT852699 NKP852692:NKP852699 NUL852692:NUL852699 OEH852692:OEH852699 OOD852692:OOD852699 OXZ852692:OXZ852699 PHV852692:PHV852699 PRR852692:PRR852699 QBN852692:QBN852699 QLJ852692:QLJ852699 QVF852692:QVF852699 RFB852692:RFB852699 ROX852692:ROX852699 RYT852692:RYT852699 SIP852692:SIP852699 SSL852692:SSL852699 TCH852692:TCH852699 TMD852692:TMD852699 TVZ852692:TVZ852699 UFV852692:UFV852699 UPR852692:UPR852699 UZN852692:UZN852699 VJJ852692:VJJ852699 VTF852692:VTF852699 WDB852692:WDB852699 WMX852692:WMX852699 WWT852692:WWT852699 AL918228:AL918235 KH918228:KH918235 UD918228:UD918235 ADZ918228:ADZ918235 ANV918228:ANV918235 AXR918228:AXR918235 BHN918228:BHN918235 BRJ918228:BRJ918235 CBF918228:CBF918235 CLB918228:CLB918235 CUX918228:CUX918235 DET918228:DET918235 DOP918228:DOP918235 DYL918228:DYL918235 EIH918228:EIH918235 ESD918228:ESD918235 FBZ918228:FBZ918235 FLV918228:FLV918235 FVR918228:FVR918235 GFN918228:GFN918235 GPJ918228:GPJ918235 GZF918228:GZF918235 HJB918228:HJB918235 HSX918228:HSX918235 ICT918228:ICT918235 IMP918228:IMP918235 IWL918228:IWL918235 JGH918228:JGH918235 JQD918228:JQD918235 JZZ918228:JZZ918235 KJV918228:KJV918235 KTR918228:KTR918235 LDN918228:LDN918235 LNJ918228:LNJ918235 LXF918228:LXF918235 MHB918228:MHB918235 MQX918228:MQX918235 NAT918228:NAT918235 NKP918228:NKP918235 NUL918228:NUL918235 OEH918228:OEH918235 OOD918228:OOD918235 OXZ918228:OXZ918235 PHV918228:PHV918235 PRR918228:PRR918235 QBN918228:QBN918235 QLJ918228:QLJ918235 QVF918228:QVF918235 RFB918228:RFB918235 ROX918228:ROX918235 RYT918228:RYT918235 SIP918228:SIP918235 SSL918228:SSL918235 TCH918228:TCH918235 TMD918228:TMD918235 TVZ918228:TVZ918235 UFV918228:UFV918235 UPR918228:UPR918235 UZN918228:UZN918235 VJJ918228:VJJ918235 VTF918228:VTF918235 WDB918228:WDB918235 WMX918228:WMX918235 WWT918228:WWT918235 AL983764:AL983771 KH983764:KH983771 UD983764:UD983771 ADZ983764:ADZ983771 ANV983764:ANV983771 AXR983764:AXR983771 BHN983764:BHN983771 BRJ983764:BRJ983771 CBF983764:CBF983771 CLB983764:CLB983771 CUX983764:CUX983771 DET983764:DET983771 DOP983764:DOP983771 DYL983764:DYL983771 EIH983764:EIH983771 ESD983764:ESD983771 FBZ983764:FBZ983771 FLV983764:FLV983771 FVR983764:FVR983771 GFN983764:GFN983771 GPJ983764:GPJ983771 GZF983764:GZF983771 HJB983764:HJB983771 HSX983764:HSX983771 ICT983764:ICT983771 IMP983764:IMP983771 IWL983764:IWL983771 JGH983764:JGH983771 JQD983764:JQD983771 JZZ983764:JZZ983771 KJV983764:KJV983771 KTR983764:KTR983771 LDN983764:LDN983771 LNJ983764:LNJ983771 LXF983764:LXF983771 MHB983764:MHB983771 MQX983764:MQX983771 NAT983764:NAT983771 NKP983764:NKP983771 NUL983764:NUL983771 OEH983764:OEH983771 OOD983764:OOD983771 OXZ983764:OXZ983771 PHV983764:PHV983771 PRR983764:PRR983771 QBN983764:QBN983771 QLJ983764:QLJ983771 QVF983764:QVF983771 RFB983764:RFB983771 ROX983764:ROX983771 RYT983764:RYT983771 SIP983764:SIP983771 SSL983764:SSL983771 TCH983764:TCH983771 TMD983764:TMD983771 TVZ983764:TVZ983771 UFV983764:UFV983771 UPR983764:UPR983771 UZN983764:UZN983771 VJJ983764:VJJ983771 VTF983764:VTF983771 WDB983764:WDB983771 WMX983764:WMX983771 WWT983764:WWT983771" xr:uid="{295FB90D-10D2-42DC-BC99-19F433D995BD}">
      <formula1>$AE$736:$AE$736</formula1>
    </dataValidation>
    <dataValidation type="list" allowBlank="1" showInputMessage="1" showErrorMessage="1" sqref="P705 JL705 TH705 ADD705 AMZ705 AWV705 BGR705 BQN705 CAJ705 CKF705 CUB705 DDX705 DNT705 DXP705 EHL705 ERH705 FBD705 FKZ705 FUV705 GER705 GON705 GYJ705 HIF705 HSB705 IBX705 ILT705 IVP705 JFL705 JPH705 JZD705 KIZ705 KSV705 LCR705 LMN705 LWJ705 MGF705 MQB705 MZX705 NJT705 NTP705 ODL705 ONH705 OXD705 PGZ705 PQV705 QAR705 QKN705 QUJ705 REF705 ROB705 RXX705 SHT705 SRP705 TBL705 TLH705 TVD705 UEZ705 UOV705 UYR705 VIN705 VSJ705 WCF705 WMB705 WVX705 P66241 JL66241 TH66241 ADD66241 AMZ66241 AWV66241 BGR66241 BQN66241 CAJ66241 CKF66241 CUB66241 DDX66241 DNT66241 DXP66241 EHL66241 ERH66241 FBD66241 FKZ66241 FUV66241 GER66241 GON66241 GYJ66241 HIF66241 HSB66241 IBX66241 ILT66241 IVP66241 JFL66241 JPH66241 JZD66241 KIZ66241 KSV66241 LCR66241 LMN66241 LWJ66241 MGF66241 MQB66241 MZX66241 NJT66241 NTP66241 ODL66241 ONH66241 OXD66241 PGZ66241 PQV66241 QAR66241 QKN66241 QUJ66241 REF66241 ROB66241 RXX66241 SHT66241 SRP66241 TBL66241 TLH66241 TVD66241 UEZ66241 UOV66241 UYR66241 VIN66241 VSJ66241 WCF66241 WMB66241 WVX66241 P131777 JL131777 TH131777 ADD131777 AMZ131777 AWV131777 BGR131777 BQN131777 CAJ131777 CKF131777 CUB131777 DDX131777 DNT131777 DXP131777 EHL131777 ERH131777 FBD131777 FKZ131777 FUV131777 GER131777 GON131777 GYJ131777 HIF131777 HSB131777 IBX131777 ILT131777 IVP131777 JFL131777 JPH131777 JZD131777 KIZ131777 KSV131777 LCR131777 LMN131777 LWJ131777 MGF131777 MQB131777 MZX131777 NJT131777 NTP131777 ODL131777 ONH131777 OXD131777 PGZ131777 PQV131777 QAR131777 QKN131777 QUJ131777 REF131777 ROB131777 RXX131777 SHT131777 SRP131777 TBL131777 TLH131777 TVD131777 UEZ131777 UOV131777 UYR131777 VIN131777 VSJ131777 WCF131777 WMB131777 WVX131777 P197313 JL197313 TH197313 ADD197313 AMZ197313 AWV197313 BGR197313 BQN197313 CAJ197313 CKF197313 CUB197313 DDX197313 DNT197313 DXP197313 EHL197313 ERH197313 FBD197313 FKZ197313 FUV197313 GER197313 GON197313 GYJ197313 HIF197313 HSB197313 IBX197313 ILT197313 IVP197313 JFL197313 JPH197313 JZD197313 KIZ197313 KSV197313 LCR197313 LMN197313 LWJ197313 MGF197313 MQB197313 MZX197313 NJT197313 NTP197313 ODL197313 ONH197313 OXD197313 PGZ197313 PQV197313 QAR197313 QKN197313 QUJ197313 REF197313 ROB197313 RXX197313 SHT197313 SRP197313 TBL197313 TLH197313 TVD197313 UEZ197313 UOV197313 UYR197313 VIN197313 VSJ197313 WCF197313 WMB197313 WVX197313 P262849 JL262849 TH262849 ADD262849 AMZ262849 AWV262849 BGR262849 BQN262849 CAJ262849 CKF262849 CUB262849 DDX262849 DNT262849 DXP262849 EHL262849 ERH262849 FBD262849 FKZ262849 FUV262849 GER262849 GON262849 GYJ262849 HIF262849 HSB262849 IBX262849 ILT262849 IVP262849 JFL262849 JPH262849 JZD262849 KIZ262849 KSV262849 LCR262849 LMN262849 LWJ262849 MGF262849 MQB262849 MZX262849 NJT262849 NTP262849 ODL262849 ONH262849 OXD262849 PGZ262849 PQV262849 QAR262849 QKN262849 QUJ262849 REF262849 ROB262849 RXX262849 SHT262849 SRP262849 TBL262849 TLH262849 TVD262849 UEZ262849 UOV262849 UYR262849 VIN262849 VSJ262849 WCF262849 WMB262849 WVX262849 P328385 JL328385 TH328385 ADD328385 AMZ328385 AWV328385 BGR328385 BQN328385 CAJ328385 CKF328385 CUB328385 DDX328385 DNT328385 DXP328385 EHL328385 ERH328385 FBD328385 FKZ328385 FUV328385 GER328385 GON328385 GYJ328385 HIF328385 HSB328385 IBX328385 ILT328385 IVP328385 JFL328385 JPH328385 JZD328385 KIZ328385 KSV328385 LCR328385 LMN328385 LWJ328385 MGF328385 MQB328385 MZX328385 NJT328385 NTP328385 ODL328385 ONH328385 OXD328385 PGZ328385 PQV328385 QAR328385 QKN328385 QUJ328385 REF328385 ROB328385 RXX328385 SHT328385 SRP328385 TBL328385 TLH328385 TVD328385 UEZ328385 UOV328385 UYR328385 VIN328385 VSJ328385 WCF328385 WMB328385 WVX328385 P393921 JL393921 TH393921 ADD393921 AMZ393921 AWV393921 BGR393921 BQN393921 CAJ393921 CKF393921 CUB393921 DDX393921 DNT393921 DXP393921 EHL393921 ERH393921 FBD393921 FKZ393921 FUV393921 GER393921 GON393921 GYJ393921 HIF393921 HSB393921 IBX393921 ILT393921 IVP393921 JFL393921 JPH393921 JZD393921 KIZ393921 KSV393921 LCR393921 LMN393921 LWJ393921 MGF393921 MQB393921 MZX393921 NJT393921 NTP393921 ODL393921 ONH393921 OXD393921 PGZ393921 PQV393921 QAR393921 QKN393921 QUJ393921 REF393921 ROB393921 RXX393921 SHT393921 SRP393921 TBL393921 TLH393921 TVD393921 UEZ393921 UOV393921 UYR393921 VIN393921 VSJ393921 WCF393921 WMB393921 WVX393921 P459457 JL459457 TH459457 ADD459457 AMZ459457 AWV459457 BGR459457 BQN459457 CAJ459457 CKF459457 CUB459457 DDX459457 DNT459457 DXP459457 EHL459457 ERH459457 FBD459457 FKZ459457 FUV459457 GER459457 GON459457 GYJ459457 HIF459457 HSB459457 IBX459457 ILT459457 IVP459457 JFL459457 JPH459457 JZD459457 KIZ459457 KSV459457 LCR459457 LMN459457 LWJ459457 MGF459457 MQB459457 MZX459457 NJT459457 NTP459457 ODL459457 ONH459457 OXD459457 PGZ459457 PQV459457 QAR459457 QKN459457 QUJ459457 REF459457 ROB459457 RXX459457 SHT459457 SRP459457 TBL459457 TLH459457 TVD459457 UEZ459457 UOV459457 UYR459457 VIN459457 VSJ459457 WCF459457 WMB459457 WVX459457 P524993 JL524993 TH524993 ADD524993 AMZ524993 AWV524993 BGR524993 BQN524993 CAJ524993 CKF524993 CUB524993 DDX524993 DNT524993 DXP524993 EHL524993 ERH524993 FBD524993 FKZ524993 FUV524993 GER524993 GON524993 GYJ524993 HIF524993 HSB524993 IBX524993 ILT524993 IVP524993 JFL524993 JPH524993 JZD524993 KIZ524993 KSV524993 LCR524993 LMN524993 LWJ524993 MGF524993 MQB524993 MZX524993 NJT524993 NTP524993 ODL524993 ONH524993 OXD524993 PGZ524993 PQV524993 QAR524993 QKN524993 QUJ524993 REF524993 ROB524993 RXX524993 SHT524993 SRP524993 TBL524993 TLH524993 TVD524993 UEZ524993 UOV524993 UYR524993 VIN524993 VSJ524993 WCF524993 WMB524993 WVX524993 P590529 JL590529 TH590529 ADD590529 AMZ590529 AWV590529 BGR590529 BQN590529 CAJ590529 CKF590529 CUB590529 DDX590529 DNT590529 DXP590529 EHL590529 ERH590529 FBD590529 FKZ590529 FUV590529 GER590529 GON590529 GYJ590529 HIF590529 HSB590529 IBX590529 ILT590529 IVP590529 JFL590529 JPH590529 JZD590529 KIZ590529 KSV590529 LCR590529 LMN590529 LWJ590529 MGF590529 MQB590529 MZX590529 NJT590529 NTP590529 ODL590529 ONH590529 OXD590529 PGZ590529 PQV590529 QAR590529 QKN590529 QUJ590529 REF590529 ROB590529 RXX590529 SHT590529 SRP590529 TBL590529 TLH590529 TVD590529 UEZ590529 UOV590529 UYR590529 VIN590529 VSJ590529 WCF590529 WMB590529 WVX590529 P656065 JL656065 TH656065 ADD656065 AMZ656065 AWV656065 BGR656065 BQN656065 CAJ656065 CKF656065 CUB656065 DDX656065 DNT656065 DXP656065 EHL656065 ERH656065 FBD656065 FKZ656065 FUV656065 GER656065 GON656065 GYJ656065 HIF656065 HSB656065 IBX656065 ILT656065 IVP656065 JFL656065 JPH656065 JZD656065 KIZ656065 KSV656065 LCR656065 LMN656065 LWJ656065 MGF656065 MQB656065 MZX656065 NJT656065 NTP656065 ODL656065 ONH656065 OXD656065 PGZ656065 PQV656065 QAR656065 QKN656065 QUJ656065 REF656065 ROB656065 RXX656065 SHT656065 SRP656065 TBL656065 TLH656065 TVD656065 UEZ656065 UOV656065 UYR656065 VIN656065 VSJ656065 WCF656065 WMB656065 WVX656065 P721601 JL721601 TH721601 ADD721601 AMZ721601 AWV721601 BGR721601 BQN721601 CAJ721601 CKF721601 CUB721601 DDX721601 DNT721601 DXP721601 EHL721601 ERH721601 FBD721601 FKZ721601 FUV721601 GER721601 GON721601 GYJ721601 HIF721601 HSB721601 IBX721601 ILT721601 IVP721601 JFL721601 JPH721601 JZD721601 KIZ721601 KSV721601 LCR721601 LMN721601 LWJ721601 MGF721601 MQB721601 MZX721601 NJT721601 NTP721601 ODL721601 ONH721601 OXD721601 PGZ721601 PQV721601 QAR721601 QKN721601 QUJ721601 REF721601 ROB721601 RXX721601 SHT721601 SRP721601 TBL721601 TLH721601 TVD721601 UEZ721601 UOV721601 UYR721601 VIN721601 VSJ721601 WCF721601 WMB721601 WVX721601 P787137 JL787137 TH787137 ADD787137 AMZ787137 AWV787137 BGR787137 BQN787137 CAJ787137 CKF787137 CUB787137 DDX787137 DNT787137 DXP787137 EHL787137 ERH787137 FBD787137 FKZ787137 FUV787137 GER787137 GON787137 GYJ787137 HIF787137 HSB787137 IBX787137 ILT787137 IVP787137 JFL787137 JPH787137 JZD787137 KIZ787137 KSV787137 LCR787137 LMN787137 LWJ787137 MGF787137 MQB787137 MZX787137 NJT787137 NTP787137 ODL787137 ONH787137 OXD787137 PGZ787137 PQV787137 QAR787137 QKN787137 QUJ787137 REF787137 ROB787137 RXX787137 SHT787137 SRP787137 TBL787137 TLH787137 TVD787137 UEZ787137 UOV787137 UYR787137 VIN787137 VSJ787137 WCF787137 WMB787137 WVX787137 P852673 JL852673 TH852673 ADD852673 AMZ852673 AWV852673 BGR852673 BQN852673 CAJ852673 CKF852673 CUB852673 DDX852673 DNT852673 DXP852673 EHL852673 ERH852673 FBD852673 FKZ852673 FUV852673 GER852673 GON852673 GYJ852673 HIF852673 HSB852673 IBX852673 ILT852673 IVP852673 JFL852673 JPH852673 JZD852673 KIZ852673 KSV852673 LCR852673 LMN852673 LWJ852673 MGF852673 MQB852673 MZX852673 NJT852673 NTP852673 ODL852673 ONH852673 OXD852673 PGZ852673 PQV852673 QAR852673 QKN852673 QUJ852673 REF852673 ROB852673 RXX852673 SHT852673 SRP852673 TBL852673 TLH852673 TVD852673 UEZ852673 UOV852673 UYR852673 VIN852673 VSJ852673 WCF852673 WMB852673 WVX852673 P918209 JL918209 TH918209 ADD918209 AMZ918209 AWV918209 BGR918209 BQN918209 CAJ918209 CKF918209 CUB918209 DDX918209 DNT918209 DXP918209 EHL918209 ERH918209 FBD918209 FKZ918209 FUV918209 GER918209 GON918209 GYJ918209 HIF918209 HSB918209 IBX918209 ILT918209 IVP918209 JFL918209 JPH918209 JZD918209 KIZ918209 KSV918209 LCR918209 LMN918209 LWJ918209 MGF918209 MQB918209 MZX918209 NJT918209 NTP918209 ODL918209 ONH918209 OXD918209 PGZ918209 PQV918209 QAR918209 QKN918209 QUJ918209 REF918209 ROB918209 RXX918209 SHT918209 SRP918209 TBL918209 TLH918209 TVD918209 UEZ918209 UOV918209 UYR918209 VIN918209 VSJ918209 WCF918209 WMB918209 WVX918209 P983745 JL983745 TH983745 ADD983745 AMZ983745 AWV983745 BGR983745 BQN983745 CAJ983745 CKF983745 CUB983745 DDX983745 DNT983745 DXP983745 EHL983745 ERH983745 FBD983745 FKZ983745 FUV983745 GER983745 GON983745 GYJ983745 HIF983745 HSB983745 IBX983745 ILT983745 IVP983745 JFL983745 JPH983745 JZD983745 KIZ983745 KSV983745 LCR983745 LMN983745 LWJ983745 MGF983745 MQB983745 MZX983745 NJT983745 NTP983745 ODL983745 ONH983745 OXD983745 PGZ983745 PQV983745 QAR983745 QKN983745 QUJ983745 REF983745 ROB983745 RXX983745 SHT983745 SRP983745 TBL983745 TLH983745 TVD983745 UEZ983745 UOV983745 UYR983745 VIN983745 VSJ983745 WCF983745 WMB983745 WVX983745" xr:uid="{2330FB32-0FBD-4956-A46D-E4ADCB103288}">
      <formula1>$BC$801:$BC$807</formula1>
    </dataValidation>
    <dataValidation type="list" allowBlank="1" showInputMessage="1" showErrorMessage="1" sqref="R779 JN779 TJ779 ADF779 ANB779 AWX779 BGT779 BQP779 CAL779 CKH779 CUD779 DDZ779 DNV779 DXR779 EHN779 ERJ779 FBF779 FLB779 FUX779 GET779 GOP779 GYL779 HIH779 HSD779 IBZ779 ILV779 IVR779 JFN779 JPJ779 JZF779 KJB779 KSX779 LCT779 LMP779 LWL779 MGH779 MQD779 MZZ779 NJV779 NTR779 ODN779 ONJ779 OXF779 PHB779 PQX779 QAT779 QKP779 QUL779 REH779 ROD779 RXZ779 SHV779 SRR779 TBN779 TLJ779 TVF779 UFB779 UOX779 UYT779 VIP779 VSL779 WCH779 WMD779 WVZ779 R66315 JN66315 TJ66315 ADF66315 ANB66315 AWX66315 BGT66315 BQP66315 CAL66315 CKH66315 CUD66315 DDZ66315 DNV66315 DXR66315 EHN66315 ERJ66315 FBF66315 FLB66315 FUX66315 GET66315 GOP66315 GYL66315 HIH66315 HSD66315 IBZ66315 ILV66315 IVR66315 JFN66315 JPJ66315 JZF66315 KJB66315 KSX66315 LCT66315 LMP66315 LWL66315 MGH66315 MQD66315 MZZ66315 NJV66315 NTR66315 ODN66315 ONJ66315 OXF66315 PHB66315 PQX66315 QAT66315 QKP66315 QUL66315 REH66315 ROD66315 RXZ66315 SHV66315 SRR66315 TBN66315 TLJ66315 TVF66315 UFB66315 UOX66315 UYT66315 VIP66315 VSL66315 WCH66315 WMD66315 WVZ66315 R131851 JN131851 TJ131851 ADF131851 ANB131851 AWX131851 BGT131851 BQP131851 CAL131851 CKH131851 CUD131851 DDZ131851 DNV131851 DXR131851 EHN131851 ERJ131851 FBF131851 FLB131851 FUX131851 GET131851 GOP131851 GYL131851 HIH131851 HSD131851 IBZ131851 ILV131851 IVR131851 JFN131851 JPJ131851 JZF131851 KJB131851 KSX131851 LCT131851 LMP131851 LWL131851 MGH131851 MQD131851 MZZ131851 NJV131851 NTR131851 ODN131851 ONJ131851 OXF131851 PHB131851 PQX131851 QAT131851 QKP131851 QUL131851 REH131851 ROD131851 RXZ131851 SHV131851 SRR131851 TBN131851 TLJ131851 TVF131851 UFB131851 UOX131851 UYT131851 VIP131851 VSL131851 WCH131851 WMD131851 WVZ131851 R197387 JN197387 TJ197387 ADF197387 ANB197387 AWX197387 BGT197387 BQP197387 CAL197387 CKH197387 CUD197387 DDZ197387 DNV197387 DXR197387 EHN197387 ERJ197387 FBF197387 FLB197387 FUX197387 GET197387 GOP197387 GYL197387 HIH197387 HSD197387 IBZ197387 ILV197387 IVR197387 JFN197387 JPJ197387 JZF197387 KJB197387 KSX197387 LCT197387 LMP197387 LWL197387 MGH197387 MQD197387 MZZ197387 NJV197387 NTR197387 ODN197387 ONJ197387 OXF197387 PHB197387 PQX197387 QAT197387 QKP197387 QUL197387 REH197387 ROD197387 RXZ197387 SHV197387 SRR197387 TBN197387 TLJ197387 TVF197387 UFB197387 UOX197387 UYT197387 VIP197387 VSL197387 WCH197387 WMD197387 WVZ197387 R262923 JN262923 TJ262923 ADF262923 ANB262923 AWX262923 BGT262923 BQP262923 CAL262923 CKH262923 CUD262923 DDZ262923 DNV262923 DXR262923 EHN262923 ERJ262923 FBF262923 FLB262923 FUX262923 GET262923 GOP262923 GYL262923 HIH262923 HSD262923 IBZ262923 ILV262923 IVR262923 JFN262923 JPJ262923 JZF262923 KJB262923 KSX262923 LCT262923 LMP262923 LWL262923 MGH262923 MQD262923 MZZ262923 NJV262923 NTR262923 ODN262923 ONJ262923 OXF262923 PHB262923 PQX262923 QAT262923 QKP262923 QUL262923 REH262923 ROD262923 RXZ262923 SHV262923 SRR262923 TBN262923 TLJ262923 TVF262923 UFB262923 UOX262923 UYT262923 VIP262923 VSL262923 WCH262923 WMD262923 WVZ262923 R328459 JN328459 TJ328459 ADF328459 ANB328459 AWX328459 BGT328459 BQP328459 CAL328459 CKH328459 CUD328459 DDZ328459 DNV328459 DXR328459 EHN328459 ERJ328459 FBF328459 FLB328459 FUX328459 GET328459 GOP328459 GYL328459 HIH328459 HSD328459 IBZ328459 ILV328459 IVR328459 JFN328459 JPJ328459 JZF328459 KJB328459 KSX328459 LCT328459 LMP328459 LWL328459 MGH328459 MQD328459 MZZ328459 NJV328459 NTR328459 ODN328459 ONJ328459 OXF328459 PHB328459 PQX328459 QAT328459 QKP328459 QUL328459 REH328459 ROD328459 RXZ328459 SHV328459 SRR328459 TBN328459 TLJ328459 TVF328459 UFB328459 UOX328459 UYT328459 VIP328459 VSL328459 WCH328459 WMD328459 WVZ328459 R393995 JN393995 TJ393995 ADF393995 ANB393995 AWX393995 BGT393995 BQP393995 CAL393995 CKH393995 CUD393995 DDZ393995 DNV393995 DXR393995 EHN393995 ERJ393995 FBF393995 FLB393995 FUX393995 GET393995 GOP393995 GYL393995 HIH393995 HSD393995 IBZ393995 ILV393995 IVR393995 JFN393995 JPJ393995 JZF393995 KJB393995 KSX393995 LCT393995 LMP393995 LWL393995 MGH393995 MQD393995 MZZ393995 NJV393995 NTR393995 ODN393995 ONJ393995 OXF393995 PHB393995 PQX393995 QAT393995 QKP393995 QUL393995 REH393995 ROD393995 RXZ393995 SHV393995 SRR393995 TBN393995 TLJ393995 TVF393995 UFB393995 UOX393995 UYT393995 VIP393995 VSL393995 WCH393995 WMD393995 WVZ393995 R459531 JN459531 TJ459531 ADF459531 ANB459531 AWX459531 BGT459531 BQP459531 CAL459531 CKH459531 CUD459531 DDZ459531 DNV459531 DXR459531 EHN459531 ERJ459531 FBF459531 FLB459531 FUX459531 GET459531 GOP459531 GYL459531 HIH459531 HSD459531 IBZ459531 ILV459531 IVR459531 JFN459531 JPJ459531 JZF459531 KJB459531 KSX459531 LCT459531 LMP459531 LWL459531 MGH459531 MQD459531 MZZ459531 NJV459531 NTR459531 ODN459531 ONJ459531 OXF459531 PHB459531 PQX459531 QAT459531 QKP459531 QUL459531 REH459531 ROD459531 RXZ459531 SHV459531 SRR459531 TBN459531 TLJ459531 TVF459531 UFB459531 UOX459531 UYT459531 VIP459531 VSL459531 WCH459531 WMD459531 WVZ459531 R525067 JN525067 TJ525067 ADF525067 ANB525067 AWX525067 BGT525067 BQP525067 CAL525067 CKH525067 CUD525067 DDZ525067 DNV525067 DXR525067 EHN525067 ERJ525067 FBF525067 FLB525067 FUX525067 GET525067 GOP525067 GYL525067 HIH525067 HSD525067 IBZ525067 ILV525067 IVR525067 JFN525067 JPJ525067 JZF525067 KJB525067 KSX525067 LCT525067 LMP525067 LWL525067 MGH525067 MQD525067 MZZ525067 NJV525067 NTR525067 ODN525067 ONJ525067 OXF525067 PHB525067 PQX525067 QAT525067 QKP525067 QUL525067 REH525067 ROD525067 RXZ525067 SHV525067 SRR525067 TBN525067 TLJ525067 TVF525067 UFB525067 UOX525067 UYT525067 VIP525067 VSL525067 WCH525067 WMD525067 WVZ525067 R590603 JN590603 TJ590603 ADF590603 ANB590603 AWX590603 BGT590603 BQP590603 CAL590603 CKH590603 CUD590603 DDZ590603 DNV590603 DXR590603 EHN590603 ERJ590603 FBF590603 FLB590603 FUX590603 GET590603 GOP590603 GYL590603 HIH590603 HSD590603 IBZ590603 ILV590603 IVR590603 JFN590603 JPJ590603 JZF590603 KJB590603 KSX590603 LCT590603 LMP590603 LWL590603 MGH590603 MQD590603 MZZ590603 NJV590603 NTR590603 ODN590603 ONJ590603 OXF590603 PHB590603 PQX590603 QAT590603 QKP590603 QUL590603 REH590603 ROD590603 RXZ590603 SHV590603 SRR590603 TBN590603 TLJ590603 TVF590603 UFB590603 UOX590603 UYT590603 VIP590603 VSL590603 WCH590603 WMD590603 WVZ590603 R656139 JN656139 TJ656139 ADF656139 ANB656139 AWX656139 BGT656139 BQP656139 CAL656139 CKH656139 CUD656139 DDZ656139 DNV656139 DXR656139 EHN656139 ERJ656139 FBF656139 FLB656139 FUX656139 GET656139 GOP656139 GYL656139 HIH656139 HSD656139 IBZ656139 ILV656139 IVR656139 JFN656139 JPJ656139 JZF656139 KJB656139 KSX656139 LCT656139 LMP656139 LWL656139 MGH656139 MQD656139 MZZ656139 NJV656139 NTR656139 ODN656139 ONJ656139 OXF656139 PHB656139 PQX656139 QAT656139 QKP656139 QUL656139 REH656139 ROD656139 RXZ656139 SHV656139 SRR656139 TBN656139 TLJ656139 TVF656139 UFB656139 UOX656139 UYT656139 VIP656139 VSL656139 WCH656139 WMD656139 WVZ656139 R721675 JN721675 TJ721675 ADF721675 ANB721675 AWX721675 BGT721675 BQP721675 CAL721675 CKH721675 CUD721675 DDZ721675 DNV721675 DXR721675 EHN721675 ERJ721675 FBF721675 FLB721675 FUX721675 GET721675 GOP721675 GYL721675 HIH721675 HSD721675 IBZ721675 ILV721675 IVR721675 JFN721675 JPJ721675 JZF721675 KJB721675 KSX721675 LCT721675 LMP721675 LWL721675 MGH721675 MQD721675 MZZ721675 NJV721675 NTR721675 ODN721675 ONJ721675 OXF721675 PHB721675 PQX721675 QAT721675 QKP721675 QUL721675 REH721675 ROD721675 RXZ721675 SHV721675 SRR721675 TBN721675 TLJ721675 TVF721675 UFB721675 UOX721675 UYT721675 VIP721675 VSL721675 WCH721675 WMD721675 WVZ721675 R787211 JN787211 TJ787211 ADF787211 ANB787211 AWX787211 BGT787211 BQP787211 CAL787211 CKH787211 CUD787211 DDZ787211 DNV787211 DXR787211 EHN787211 ERJ787211 FBF787211 FLB787211 FUX787211 GET787211 GOP787211 GYL787211 HIH787211 HSD787211 IBZ787211 ILV787211 IVR787211 JFN787211 JPJ787211 JZF787211 KJB787211 KSX787211 LCT787211 LMP787211 LWL787211 MGH787211 MQD787211 MZZ787211 NJV787211 NTR787211 ODN787211 ONJ787211 OXF787211 PHB787211 PQX787211 QAT787211 QKP787211 QUL787211 REH787211 ROD787211 RXZ787211 SHV787211 SRR787211 TBN787211 TLJ787211 TVF787211 UFB787211 UOX787211 UYT787211 VIP787211 VSL787211 WCH787211 WMD787211 WVZ787211 R852747 JN852747 TJ852747 ADF852747 ANB852747 AWX852747 BGT852747 BQP852747 CAL852747 CKH852747 CUD852747 DDZ852747 DNV852747 DXR852747 EHN852747 ERJ852747 FBF852747 FLB852747 FUX852747 GET852747 GOP852747 GYL852747 HIH852747 HSD852747 IBZ852747 ILV852747 IVR852747 JFN852747 JPJ852747 JZF852747 KJB852747 KSX852747 LCT852747 LMP852747 LWL852747 MGH852747 MQD852747 MZZ852747 NJV852747 NTR852747 ODN852747 ONJ852747 OXF852747 PHB852747 PQX852747 QAT852747 QKP852747 QUL852747 REH852747 ROD852747 RXZ852747 SHV852747 SRR852747 TBN852747 TLJ852747 TVF852747 UFB852747 UOX852747 UYT852747 VIP852747 VSL852747 WCH852747 WMD852747 WVZ852747 R918283 JN918283 TJ918283 ADF918283 ANB918283 AWX918283 BGT918283 BQP918283 CAL918283 CKH918283 CUD918283 DDZ918283 DNV918283 DXR918283 EHN918283 ERJ918283 FBF918283 FLB918283 FUX918283 GET918283 GOP918283 GYL918283 HIH918283 HSD918283 IBZ918283 ILV918283 IVR918283 JFN918283 JPJ918283 JZF918283 KJB918283 KSX918283 LCT918283 LMP918283 LWL918283 MGH918283 MQD918283 MZZ918283 NJV918283 NTR918283 ODN918283 ONJ918283 OXF918283 PHB918283 PQX918283 QAT918283 QKP918283 QUL918283 REH918283 ROD918283 RXZ918283 SHV918283 SRR918283 TBN918283 TLJ918283 TVF918283 UFB918283 UOX918283 UYT918283 VIP918283 VSL918283 WCH918283 WMD918283 WVZ918283 R983819 JN983819 TJ983819 ADF983819 ANB983819 AWX983819 BGT983819 BQP983819 CAL983819 CKH983819 CUD983819 DDZ983819 DNV983819 DXR983819 EHN983819 ERJ983819 FBF983819 FLB983819 FUX983819 GET983819 GOP983819 GYL983819 HIH983819 HSD983819 IBZ983819 ILV983819 IVR983819 JFN983819 JPJ983819 JZF983819 KJB983819 KSX983819 LCT983819 LMP983819 LWL983819 MGH983819 MQD983819 MZZ983819 NJV983819 NTR983819 ODN983819 ONJ983819 OXF983819 PHB983819 PQX983819 QAT983819 QKP983819 QUL983819 REH983819 ROD983819 RXZ983819 SHV983819 SRR983819 TBN983819 TLJ983819 TVF983819 UFB983819 UOX983819 UYT983819 VIP983819 VSL983819 WCH983819 WMD983819 WVZ983819" xr:uid="{D6A54B97-B688-4B95-B6F6-A59F01198FCE}">
      <formula1>$AA$754:$AA$755</formula1>
    </dataValidation>
    <dataValidation type="list" allowBlank="1" showInputMessage="1" showErrorMessage="1" sqref="X763 JT763 TP763 ADL763 ANH763 AXD763 BGZ763 BQV763 CAR763 CKN763 CUJ763 DEF763 DOB763 DXX763 EHT763 ERP763 FBL763 FLH763 FVD763 GEZ763 GOV763 GYR763 HIN763 HSJ763 ICF763 IMB763 IVX763 JFT763 JPP763 JZL763 KJH763 KTD763 LCZ763 LMV763 LWR763 MGN763 MQJ763 NAF763 NKB763 NTX763 ODT763 ONP763 OXL763 PHH763 PRD763 QAZ763 QKV763 QUR763 REN763 ROJ763 RYF763 SIB763 SRX763 TBT763 TLP763 TVL763 UFH763 UPD763 UYZ763 VIV763 VSR763 WCN763 WMJ763 WWF763 X66299 JT66299 TP66299 ADL66299 ANH66299 AXD66299 BGZ66299 BQV66299 CAR66299 CKN66299 CUJ66299 DEF66299 DOB66299 DXX66299 EHT66299 ERP66299 FBL66299 FLH66299 FVD66299 GEZ66299 GOV66299 GYR66299 HIN66299 HSJ66299 ICF66299 IMB66299 IVX66299 JFT66299 JPP66299 JZL66299 KJH66299 KTD66299 LCZ66299 LMV66299 LWR66299 MGN66299 MQJ66299 NAF66299 NKB66299 NTX66299 ODT66299 ONP66299 OXL66299 PHH66299 PRD66299 QAZ66299 QKV66299 QUR66299 REN66299 ROJ66299 RYF66299 SIB66299 SRX66299 TBT66299 TLP66299 TVL66299 UFH66299 UPD66299 UYZ66299 VIV66299 VSR66299 WCN66299 WMJ66299 WWF66299 X131835 JT131835 TP131835 ADL131835 ANH131835 AXD131835 BGZ131835 BQV131835 CAR131835 CKN131835 CUJ131835 DEF131835 DOB131835 DXX131835 EHT131835 ERP131835 FBL131835 FLH131835 FVD131835 GEZ131835 GOV131835 GYR131835 HIN131835 HSJ131835 ICF131835 IMB131835 IVX131835 JFT131835 JPP131835 JZL131835 KJH131835 KTD131835 LCZ131835 LMV131835 LWR131835 MGN131835 MQJ131835 NAF131835 NKB131835 NTX131835 ODT131835 ONP131835 OXL131835 PHH131835 PRD131835 QAZ131835 QKV131835 QUR131835 REN131835 ROJ131835 RYF131835 SIB131835 SRX131835 TBT131835 TLP131835 TVL131835 UFH131835 UPD131835 UYZ131835 VIV131835 VSR131835 WCN131835 WMJ131835 WWF131835 X197371 JT197371 TP197371 ADL197371 ANH197371 AXD197371 BGZ197371 BQV197371 CAR197371 CKN197371 CUJ197371 DEF197371 DOB197371 DXX197371 EHT197371 ERP197371 FBL197371 FLH197371 FVD197371 GEZ197371 GOV197371 GYR197371 HIN197371 HSJ197371 ICF197371 IMB197371 IVX197371 JFT197371 JPP197371 JZL197371 KJH197371 KTD197371 LCZ197371 LMV197371 LWR197371 MGN197371 MQJ197371 NAF197371 NKB197371 NTX197371 ODT197371 ONP197371 OXL197371 PHH197371 PRD197371 QAZ197371 QKV197371 QUR197371 REN197371 ROJ197371 RYF197371 SIB197371 SRX197371 TBT197371 TLP197371 TVL197371 UFH197371 UPD197371 UYZ197371 VIV197371 VSR197371 WCN197371 WMJ197371 WWF197371 X262907 JT262907 TP262907 ADL262907 ANH262907 AXD262907 BGZ262907 BQV262907 CAR262907 CKN262907 CUJ262907 DEF262907 DOB262907 DXX262907 EHT262907 ERP262907 FBL262907 FLH262907 FVD262907 GEZ262907 GOV262907 GYR262907 HIN262907 HSJ262907 ICF262907 IMB262907 IVX262907 JFT262907 JPP262907 JZL262907 KJH262907 KTD262907 LCZ262907 LMV262907 LWR262907 MGN262907 MQJ262907 NAF262907 NKB262907 NTX262907 ODT262907 ONP262907 OXL262907 PHH262907 PRD262907 QAZ262907 QKV262907 QUR262907 REN262907 ROJ262907 RYF262907 SIB262907 SRX262907 TBT262907 TLP262907 TVL262907 UFH262907 UPD262907 UYZ262907 VIV262907 VSR262907 WCN262907 WMJ262907 WWF262907 X328443 JT328443 TP328443 ADL328443 ANH328443 AXD328443 BGZ328443 BQV328443 CAR328443 CKN328443 CUJ328443 DEF328443 DOB328443 DXX328443 EHT328443 ERP328443 FBL328443 FLH328443 FVD328443 GEZ328443 GOV328443 GYR328443 HIN328443 HSJ328443 ICF328443 IMB328443 IVX328443 JFT328443 JPP328443 JZL328443 KJH328443 KTD328443 LCZ328443 LMV328443 LWR328443 MGN328443 MQJ328443 NAF328443 NKB328443 NTX328443 ODT328443 ONP328443 OXL328443 PHH328443 PRD328443 QAZ328443 QKV328443 QUR328443 REN328443 ROJ328443 RYF328443 SIB328443 SRX328443 TBT328443 TLP328443 TVL328443 UFH328443 UPD328443 UYZ328443 VIV328443 VSR328443 WCN328443 WMJ328443 WWF328443 X393979 JT393979 TP393979 ADL393979 ANH393979 AXD393979 BGZ393979 BQV393979 CAR393979 CKN393979 CUJ393979 DEF393979 DOB393979 DXX393979 EHT393979 ERP393979 FBL393979 FLH393979 FVD393979 GEZ393979 GOV393979 GYR393979 HIN393979 HSJ393979 ICF393979 IMB393979 IVX393979 JFT393979 JPP393979 JZL393979 KJH393979 KTD393979 LCZ393979 LMV393979 LWR393979 MGN393979 MQJ393979 NAF393979 NKB393979 NTX393979 ODT393979 ONP393979 OXL393979 PHH393979 PRD393979 QAZ393979 QKV393979 QUR393979 REN393979 ROJ393979 RYF393979 SIB393979 SRX393979 TBT393979 TLP393979 TVL393979 UFH393979 UPD393979 UYZ393979 VIV393979 VSR393979 WCN393979 WMJ393979 WWF393979 X459515 JT459515 TP459515 ADL459515 ANH459515 AXD459515 BGZ459515 BQV459515 CAR459515 CKN459515 CUJ459515 DEF459515 DOB459515 DXX459515 EHT459515 ERP459515 FBL459515 FLH459515 FVD459515 GEZ459515 GOV459515 GYR459515 HIN459515 HSJ459515 ICF459515 IMB459515 IVX459515 JFT459515 JPP459515 JZL459515 KJH459515 KTD459515 LCZ459515 LMV459515 LWR459515 MGN459515 MQJ459515 NAF459515 NKB459515 NTX459515 ODT459515 ONP459515 OXL459515 PHH459515 PRD459515 QAZ459515 QKV459515 QUR459515 REN459515 ROJ459515 RYF459515 SIB459515 SRX459515 TBT459515 TLP459515 TVL459515 UFH459515 UPD459515 UYZ459515 VIV459515 VSR459515 WCN459515 WMJ459515 WWF459515 X525051 JT525051 TP525051 ADL525051 ANH525051 AXD525051 BGZ525051 BQV525051 CAR525051 CKN525051 CUJ525051 DEF525051 DOB525051 DXX525051 EHT525051 ERP525051 FBL525051 FLH525051 FVD525051 GEZ525051 GOV525051 GYR525051 HIN525051 HSJ525051 ICF525051 IMB525051 IVX525051 JFT525051 JPP525051 JZL525051 KJH525051 KTD525051 LCZ525051 LMV525051 LWR525051 MGN525051 MQJ525051 NAF525051 NKB525051 NTX525051 ODT525051 ONP525051 OXL525051 PHH525051 PRD525051 QAZ525051 QKV525051 QUR525051 REN525051 ROJ525051 RYF525051 SIB525051 SRX525051 TBT525051 TLP525051 TVL525051 UFH525051 UPD525051 UYZ525051 VIV525051 VSR525051 WCN525051 WMJ525051 WWF525051 X590587 JT590587 TP590587 ADL590587 ANH590587 AXD590587 BGZ590587 BQV590587 CAR590587 CKN590587 CUJ590587 DEF590587 DOB590587 DXX590587 EHT590587 ERP590587 FBL590587 FLH590587 FVD590587 GEZ590587 GOV590587 GYR590587 HIN590587 HSJ590587 ICF590587 IMB590587 IVX590587 JFT590587 JPP590587 JZL590587 KJH590587 KTD590587 LCZ590587 LMV590587 LWR590587 MGN590587 MQJ590587 NAF590587 NKB590587 NTX590587 ODT590587 ONP590587 OXL590587 PHH590587 PRD590587 QAZ590587 QKV590587 QUR590587 REN590587 ROJ590587 RYF590587 SIB590587 SRX590587 TBT590587 TLP590587 TVL590587 UFH590587 UPD590587 UYZ590587 VIV590587 VSR590587 WCN590587 WMJ590587 WWF590587 X656123 JT656123 TP656123 ADL656123 ANH656123 AXD656123 BGZ656123 BQV656123 CAR656123 CKN656123 CUJ656123 DEF656123 DOB656123 DXX656123 EHT656123 ERP656123 FBL656123 FLH656123 FVD656123 GEZ656123 GOV656123 GYR656123 HIN656123 HSJ656123 ICF656123 IMB656123 IVX656123 JFT656123 JPP656123 JZL656123 KJH656123 KTD656123 LCZ656123 LMV656123 LWR656123 MGN656123 MQJ656123 NAF656123 NKB656123 NTX656123 ODT656123 ONP656123 OXL656123 PHH656123 PRD656123 QAZ656123 QKV656123 QUR656123 REN656123 ROJ656123 RYF656123 SIB656123 SRX656123 TBT656123 TLP656123 TVL656123 UFH656123 UPD656123 UYZ656123 VIV656123 VSR656123 WCN656123 WMJ656123 WWF656123 X721659 JT721659 TP721659 ADL721659 ANH721659 AXD721659 BGZ721659 BQV721659 CAR721659 CKN721659 CUJ721659 DEF721659 DOB721659 DXX721659 EHT721659 ERP721659 FBL721659 FLH721659 FVD721659 GEZ721659 GOV721659 GYR721659 HIN721659 HSJ721659 ICF721659 IMB721659 IVX721659 JFT721659 JPP721659 JZL721659 KJH721659 KTD721659 LCZ721659 LMV721659 LWR721659 MGN721659 MQJ721659 NAF721659 NKB721659 NTX721659 ODT721659 ONP721659 OXL721659 PHH721659 PRD721659 QAZ721659 QKV721659 QUR721659 REN721659 ROJ721659 RYF721659 SIB721659 SRX721659 TBT721659 TLP721659 TVL721659 UFH721659 UPD721659 UYZ721659 VIV721659 VSR721659 WCN721659 WMJ721659 WWF721659 X787195 JT787195 TP787195 ADL787195 ANH787195 AXD787195 BGZ787195 BQV787195 CAR787195 CKN787195 CUJ787195 DEF787195 DOB787195 DXX787195 EHT787195 ERP787195 FBL787195 FLH787195 FVD787195 GEZ787195 GOV787195 GYR787195 HIN787195 HSJ787195 ICF787195 IMB787195 IVX787195 JFT787195 JPP787195 JZL787195 KJH787195 KTD787195 LCZ787195 LMV787195 LWR787195 MGN787195 MQJ787195 NAF787195 NKB787195 NTX787195 ODT787195 ONP787195 OXL787195 PHH787195 PRD787195 QAZ787195 QKV787195 QUR787195 REN787195 ROJ787195 RYF787195 SIB787195 SRX787195 TBT787195 TLP787195 TVL787195 UFH787195 UPD787195 UYZ787195 VIV787195 VSR787195 WCN787195 WMJ787195 WWF787195 X852731 JT852731 TP852731 ADL852731 ANH852731 AXD852731 BGZ852731 BQV852731 CAR852731 CKN852731 CUJ852731 DEF852731 DOB852731 DXX852731 EHT852731 ERP852731 FBL852731 FLH852731 FVD852731 GEZ852731 GOV852731 GYR852731 HIN852731 HSJ852731 ICF852731 IMB852731 IVX852731 JFT852731 JPP852731 JZL852731 KJH852731 KTD852731 LCZ852731 LMV852731 LWR852731 MGN852731 MQJ852731 NAF852731 NKB852731 NTX852731 ODT852731 ONP852731 OXL852731 PHH852731 PRD852731 QAZ852731 QKV852731 QUR852731 REN852731 ROJ852731 RYF852731 SIB852731 SRX852731 TBT852731 TLP852731 TVL852731 UFH852731 UPD852731 UYZ852731 VIV852731 VSR852731 WCN852731 WMJ852731 WWF852731 X918267 JT918267 TP918267 ADL918267 ANH918267 AXD918267 BGZ918267 BQV918267 CAR918267 CKN918267 CUJ918267 DEF918267 DOB918267 DXX918267 EHT918267 ERP918267 FBL918267 FLH918267 FVD918267 GEZ918267 GOV918267 GYR918267 HIN918267 HSJ918267 ICF918267 IMB918267 IVX918267 JFT918267 JPP918267 JZL918267 KJH918267 KTD918267 LCZ918267 LMV918267 LWR918267 MGN918267 MQJ918267 NAF918267 NKB918267 NTX918267 ODT918267 ONP918267 OXL918267 PHH918267 PRD918267 QAZ918267 QKV918267 QUR918267 REN918267 ROJ918267 RYF918267 SIB918267 SRX918267 TBT918267 TLP918267 TVL918267 UFH918267 UPD918267 UYZ918267 VIV918267 VSR918267 WCN918267 WMJ918267 WWF918267 X983803 JT983803 TP983803 ADL983803 ANH983803 AXD983803 BGZ983803 BQV983803 CAR983803 CKN983803 CUJ983803 DEF983803 DOB983803 DXX983803 EHT983803 ERP983803 FBL983803 FLH983803 FVD983803 GEZ983803 GOV983803 GYR983803 HIN983803 HSJ983803 ICF983803 IMB983803 IVX983803 JFT983803 JPP983803 JZL983803 KJH983803 KTD983803 LCZ983803 LMV983803 LWR983803 MGN983803 MQJ983803 NAF983803 NKB983803 NTX983803 ODT983803 ONP983803 OXL983803 PHH983803 PRD983803 QAZ983803 QKV983803 QUR983803 REN983803 ROJ983803 RYF983803 SIB983803 SRX983803 TBT983803 TLP983803 TVL983803 UFH983803 UPD983803 UYZ983803 VIV983803 VSR983803 WCN983803 WMJ983803 WWF983803" xr:uid="{568BD109-CC76-45B6-B611-F2F7E78CC69E}">
      <formula1>$V$758:$V$760</formula1>
    </dataValidation>
    <dataValidation type="list" allowBlank="1" showInputMessage="1" showErrorMessage="1" sqref="W742 JS742 TO742 ADK742 ANG742 AXC742 BGY742 BQU742 CAQ742 CKM742 CUI742 DEE742 DOA742 DXW742 EHS742 ERO742 FBK742 FLG742 FVC742 GEY742 GOU742 GYQ742 HIM742 HSI742 ICE742 IMA742 IVW742 JFS742 JPO742 JZK742 KJG742 KTC742 LCY742 LMU742 LWQ742 MGM742 MQI742 NAE742 NKA742 NTW742 ODS742 ONO742 OXK742 PHG742 PRC742 QAY742 QKU742 QUQ742 REM742 ROI742 RYE742 SIA742 SRW742 TBS742 TLO742 TVK742 UFG742 UPC742 UYY742 VIU742 VSQ742 WCM742 WMI742 WWE742 W66278 JS66278 TO66278 ADK66278 ANG66278 AXC66278 BGY66278 BQU66278 CAQ66278 CKM66278 CUI66278 DEE66278 DOA66278 DXW66278 EHS66278 ERO66278 FBK66278 FLG66278 FVC66278 GEY66278 GOU66278 GYQ66278 HIM66278 HSI66278 ICE66278 IMA66278 IVW66278 JFS66278 JPO66278 JZK66278 KJG66278 KTC66278 LCY66278 LMU66278 LWQ66278 MGM66278 MQI66278 NAE66278 NKA66278 NTW66278 ODS66278 ONO66278 OXK66278 PHG66278 PRC66278 QAY66278 QKU66278 QUQ66278 REM66278 ROI66278 RYE66278 SIA66278 SRW66278 TBS66278 TLO66278 TVK66278 UFG66278 UPC66278 UYY66278 VIU66278 VSQ66278 WCM66278 WMI66278 WWE66278 W131814 JS131814 TO131814 ADK131814 ANG131814 AXC131814 BGY131814 BQU131814 CAQ131814 CKM131814 CUI131814 DEE131814 DOA131814 DXW131814 EHS131814 ERO131814 FBK131814 FLG131814 FVC131814 GEY131814 GOU131814 GYQ131814 HIM131814 HSI131814 ICE131814 IMA131814 IVW131814 JFS131814 JPO131814 JZK131814 KJG131814 KTC131814 LCY131814 LMU131814 LWQ131814 MGM131814 MQI131814 NAE131814 NKA131814 NTW131814 ODS131814 ONO131814 OXK131814 PHG131814 PRC131814 QAY131814 QKU131814 QUQ131814 REM131814 ROI131814 RYE131814 SIA131814 SRW131814 TBS131814 TLO131814 TVK131814 UFG131814 UPC131814 UYY131814 VIU131814 VSQ131814 WCM131814 WMI131814 WWE131814 W197350 JS197350 TO197350 ADK197350 ANG197350 AXC197350 BGY197350 BQU197350 CAQ197350 CKM197350 CUI197350 DEE197350 DOA197350 DXW197350 EHS197350 ERO197350 FBK197350 FLG197350 FVC197350 GEY197350 GOU197350 GYQ197350 HIM197350 HSI197350 ICE197350 IMA197350 IVW197350 JFS197350 JPO197350 JZK197350 KJG197350 KTC197350 LCY197350 LMU197350 LWQ197350 MGM197350 MQI197350 NAE197350 NKA197350 NTW197350 ODS197350 ONO197350 OXK197350 PHG197350 PRC197350 QAY197350 QKU197350 QUQ197350 REM197350 ROI197350 RYE197350 SIA197350 SRW197350 TBS197350 TLO197350 TVK197350 UFG197350 UPC197350 UYY197350 VIU197350 VSQ197350 WCM197350 WMI197350 WWE197350 W262886 JS262886 TO262886 ADK262886 ANG262886 AXC262886 BGY262886 BQU262886 CAQ262886 CKM262886 CUI262886 DEE262886 DOA262886 DXW262886 EHS262886 ERO262886 FBK262886 FLG262886 FVC262886 GEY262886 GOU262886 GYQ262886 HIM262886 HSI262886 ICE262886 IMA262886 IVW262886 JFS262886 JPO262886 JZK262886 KJG262886 KTC262886 LCY262886 LMU262886 LWQ262886 MGM262886 MQI262886 NAE262886 NKA262886 NTW262886 ODS262886 ONO262886 OXK262886 PHG262886 PRC262886 QAY262886 QKU262886 QUQ262886 REM262886 ROI262886 RYE262886 SIA262886 SRW262886 TBS262886 TLO262886 TVK262886 UFG262886 UPC262886 UYY262886 VIU262886 VSQ262886 WCM262886 WMI262886 WWE262886 W328422 JS328422 TO328422 ADK328422 ANG328422 AXC328422 BGY328422 BQU328422 CAQ328422 CKM328422 CUI328422 DEE328422 DOA328422 DXW328422 EHS328422 ERO328422 FBK328422 FLG328422 FVC328422 GEY328422 GOU328422 GYQ328422 HIM328422 HSI328422 ICE328422 IMA328422 IVW328422 JFS328422 JPO328422 JZK328422 KJG328422 KTC328422 LCY328422 LMU328422 LWQ328422 MGM328422 MQI328422 NAE328422 NKA328422 NTW328422 ODS328422 ONO328422 OXK328422 PHG328422 PRC328422 QAY328422 QKU328422 QUQ328422 REM328422 ROI328422 RYE328422 SIA328422 SRW328422 TBS328422 TLO328422 TVK328422 UFG328422 UPC328422 UYY328422 VIU328422 VSQ328422 WCM328422 WMI328422 WWE328422 W393958 JS393958 TO393958 ADK393958 ANG393958 AXC393958 BGY393958 BQU393958 CAQ393958 CKM393958 CUI393958 DEE393958 DOA393958 DXW393958 EHS393958 ERO393958 FBK393958 FLG393958 FVC393958 GEY393958 GOU393958 GYQ393958 HIM393958 HSI393958 ICE393958 IMA393958 IVW393958 JFS393958 JPO393958 JZK393958 KJG393958 KTC393958 LCY393958 LMU393958 LWQ393958 MGM393958 MQI393958 NAE393958 NKA393958 NTW393958 ODS393958 ONO393958 OXK393958 PHG393958 PRC393958 QAY393958 QKU393958 QUQ393958 REM393958 ROI393958 RYE393958 SIA393958 SRW393958 TBS393958 TLO393958 TVK393958 UFG393958 UPC393958 UYY393958 VIU393958 VSQ393958 WCM393958 WMI393958 WWE393958 W459494 JS459494 TO459494 ADK459494 ANG459494 AXC459494 BGY459494 BQU459494 CAQ459494 CKM459494 CUI459494 DEE459494 DOA459494 DXW459494 EHS459494 ERO459494 FBK459494 FLG459494 FVC459494 GEY459494 GOU459494 GYQ459494 HIM459494 HSI459494 ICE459494 IMA459494 IVW459494 JFS459494 JPO459494 JZK459494 KJG459494 KTC459494 LCY459494 LMU459494 LWQ459494 MGM459494 MQI459494 NAE459494 NKA459494 NTW459494 ODS459494 ONO459494 OXK459494 PHG459494 PRC459494 QAY459494 QKU459494 QUQ459494 REM459494 ROI459494 RYE459494 SIA459494 SRW459494 TBS459494 TLO459494 TVK459494 UFG459494 UPC459494 UYY459494 VIU459494 VSQ459494 WCM459494 WMI459494 WWE459494 W525030 JS525030 TO525030 ADK525030 ANG525030 AXC525030 BGY525030 BQU525030 CAQ525030 CKM525030 CUI525030 DEE525030 DOA525030 DXW525030 EHS525030 ERO525030 FBK525030 FLG525030 FVC525030 GEY525030 GOU525030 GYQ525030 HIM525030 HSI525030 ICE525030 IMA525030 IVW525030 JFS525030 JPO525030 JZK525030 KJG525030 KTC525030 LCY525030 LMU525030 LWQ525030 MGM525030 MQI525030 NAE525030 NKA525030 NTW525030 ODS525030 ONO525030 OXK525030 PHG525030 PRC525030 QAY525030 QKU525030 QUQ525030 REM525030 ROI525030 RYE525030 SIA525030 SRW525030 TBS525030 TLO525030 TVK525030 UFG525030 UPC525030 UYY525030 VIU525030 VSQ525030 WCM525030 WMI525030 WWE525030 W590566 JS590566 TO590566 ADK590566 ANG590566 AXC590566 BGY590566 BQU590566 CAQ590566 CKM590566 CUI590566 DEE590566 DOA590566 DXW590566 EHS590566 ERO590566 FBK590566 FLG590566 FVC590566 GEY590566 GOU590566 GYQ590566 HIM590566 HSI590566 ICE590566 IMA590566 IVW590566 JFS590566 JPO590566 JZK590566 KJG590566 KTC590566 LCY590566 LMU590566 LWQ590566 MGM590566 MQI590566 NAE590566 NKA590566 NTW590566 ODS590566 ONO590566 OXK590566 PHG590566 PRC590566 QAY590566 QKU590566 QUQ590566 REM590566 ROI590566 RYE590566 SIA590566 SRW590566 TBS590566 TLO590566 TVK590566 UFG590566 UPC590566 UYY590566 VIU590566 VSQ590566 WCM590566 WMI590566 WWE590566 W656102 JS656102 TO656102 ADK656102 ANG656102 AXC656102 BGY656102 BQU656102 CAQ656102 CKM656102 CUI656102 DEE656102 DOA656102 DXW656102 EHS656102 ERO656102 FBK656102 FLG656102 FVC656102 GEY656102 GOU656102 GYQ656102 HIM656102 HSI656102 ICE656102 IMA656102 IVW656102 JFS656102 JPO656102 JZK656102 KJG656102 KTC656102 LCY656102 LMU656102 LWQ656102 MGM656102 MQI656102 NAE656102 NKA656102 NTW656102 ODS656102 ONO656102 OXK656102 PHG656102 PRC656102 QAY656102 QKU656102 QUQ656102 REM656102 ROI656102 RYE656102 SIA656102 SRW656102 TBS656102 TLO656102 TVK656102 UFG656102 UPC656102 UYY656102 VIU656102 VSQ656102 WCM656102 WMI656102 WWE656102 W721638 JS721638 TO721638 ADK721638 ANG721638 AXC721638 BGY721638 BQU721638 CAQ721638 CKM721638 CUI721638 DEE721638 DOA721638 DXW721638 EHS721638 ERO721638 FBK721638 FLG721638 FVC721638 GEY721638 GOU721638 GYQ721638 HIM721638 HSI721638 ICE721638 IMA721638 IVW721638 JFS721638 JPO721638 JZK721638 KJG721638 KTC721638 LCY721638 LMU721638 LWQ721638 MGM721638 MQI721638 NAE721638 NKA721638 NTW721638 ODS721638 ONO721638 OXK721638 PHG721638 PRC721638 QAY721638 QKU721638 QUQ721638 REM721638 ROI721638 RYE721638 SIA721638 SRW721638 TBS721638 TLO721638 TVK721638 UFG721638 UPC721638 UYY721638 VIU721638 VSQ721638 WCM721638 WMI721638 WWE721638 W787174 JS787174 TO787174 ADK787174 ANG787174 AXC787174 BGY787174 BQU787174 CAQ787174 CKM787174 CUI787174 DEE787174 DOA787174 DXW787174 EHS787174 ERO787174 FBK787174 FLG787174 FVC787174 GEY787174 GOU787174 GYQ787174 HIM787174 HSI787174 ICE787174 IMA787174 IVW787174 JFS787174 JPO787174 JZK787174 KJG787174 KTC787174 LCY787174 LMU787174 LWQ787174 MGM787174 MQI787174 NAE787174 NKA787174 NTW787174 ODS787174 ONO787174 OXK787174 PHG787174 PRC787174 QAY787174 QKU787174 QUQ787174 REM787174 ROI787174 RYE787174 SIA787174 SRW787174 TBS787174 TLO787174 TVK787174 UFG787174 UPC787174 UYY787174 VIU787174 VSQ787174 WCM787174 WMI787174 WWE787174 W852710 JS852710 TO852710 ADK852710 ANG852710 AXC852710 BGY852710 BQU852710 CAQ852710 CKM852710 CUI852710 DEE852710 DOA852710 DXW852710 EHS852710 ERO852710 FBK852710 FLG852710 FVC852710 GEY852710 GOU852710 GYQ852710 HIM852710 HSI852710 ICE852710 IMA852710 IVW852710 JFS852710 JPO852710 JZK852710 KJG852710 KTC852710 LCY852710 LMU852710 LWQ852710 MGM852710 MQI852710 NAE852710 NKA852710 NTW852710 ODS852710 ONO852710 OXK852710 PHG852710 PRC852710 QAY852710 QKU852710 QUQ852710 REM852710 ROI852710 RYE852710 SIA852710 SRW852710 TBS852710 TLO852710 TVK852710 UFG852710 UPC852710 UYY852710 VIU852710 VSQ852710 WCM852710 WMI852710 WWE852710 W918246 JS918246 TO918246 ADK918246 ANG918246 AXC918246 BGY918246 BQU918246 CAQ918246 CKM918246 CUI918246 DEE918246 DOA918246 DXW918246 EHS918246 ERO918246 FBK918246 FLG918246 FVC918246 GEY918246 GOU918246 GYQ918246 HIM918246 HSI918246 ICE918246 IMA918246 IVW918246 JFS918246 JPO918246 JZK918246 KJG918246 KTC918246 LCY918246 LMU918246 LWQ918246 MGM918246 MQI918246 NAE918246 NKA918246 NTW918246 ODS918246 ONO918246 OXK918246 PHG918246 PRC918246 QAY918246 QKU918246 QUQ918246 REM918246 ROI918246 RYE918246 SIA918246 SRW918246 TBS918246 TLO918246 TVK918246 UFG918246 UPC918246 UYY918246 VIU918246 VSQ918246 WCM918246 WMI918246 WWE918246 W983782 JS983782 TO983782 ADK983782 ANG983782 AXC983782 BGY983782 BQU983782 CAQ983782 CKM983782 CUI983782 DEE983782 DOA983782 DXW983782 EHS983782 ERO983782 FBK983782 FLG983782 FVC983782 GEY983782 GOU983782 GYQ983782 HIM983782 HSI983782 ICE983782 IMA983782 IVW983782 JFS983782 JPO983782 JZK983782 KJG983782 KTC983782 LCY983782 LMU983782 LWQ983782 MGM983782 MQI983782 NAE983782 NKA983782 NTW983782 ODS983782 ONO983782 OXK983782 PHG983782 PRC983782 QAY983782 QKU983782 QUQ983782 REM983782 ROI983782 RYE983782 SIA983782 SRW983782 TBS983782 TLO983782 TVK983782 UFG983782 UPC983782 UYY983782 VIU983782 VSQ983782 WCM983782 WMI983782 WWE983782" xr:uid="{6C1510B0-2449-4923-A71F-B6B216D86AAB}">
      <formula1>$S$734:$S$735</formula1>
    </dataValidation>
    <dataValidation type="list" allowBlank="1" showInputMessage="1" showErrorMessage="1" sqref="W743 JS743 TO743 ADK743 ANG743 AXC743 BGY743 BQU743 CAQ743 CKM743 CUI743 DEE743 DOA743 DXW743 EHS743 ERO743 FBK743 FLG743 FVC743 GEY743 GOU743 GYQ743 HIM743 HSI743 ICE743 IMA743 IVW743 JFS743 JPO743 JZK743 KJG743 KTC743 LCY743 LMU743 LWQ743 MGM743 MQI743 NAE743 NKA743 NTW743 ODS743 ONO743 OXK743 PHG743 PRC743 QAY743 QKU743 QUQ743 REM743 ROI743 RYE743 SIA743 SRW743 TBS743 TLO743 TVK743 UFG743 UPC743 UYY743 VIU743 VSQ743 WCM743 WMI743 WWE743 W66279 JS66279 TO66279 ADK66279 ANG66279 AXC66279 BGY66279 BQU66279 CAQ66279 CKM66279 CUI66279 DEE66279 DOA66279 DXW66279 EHS66279 ERO66279 FBK66279 FLG66279 FVC66279 GEY66279 GOU66279 GYQ66279 HIM66279 HSI66279 ICE66279 IMA66279 IVW66279 JFS66279 JPO66279 JZK66279 KJG66279 KTC66279 LCY66279 LMU66279 LWQ66279 MGM66279 MQI66279 NAE66279 NKA66279 NTW66279 ODS66279 ONO66279 OXK66279 PHG66279 PRC66279 QAY66279 QKU66279 QUQ66279 REM66279 ROI66279 RYE66279 SIA66279 SRW66279 TBS66279 TLO66279 TVK66279 UFG66279 UPC66279 UYY66279 VIU66279 VSQ66279 WCM66279 WMI66279 WWE66279 W131815 JS131815 TO131815 ADK131815 ANG131815 AXC131815 BGY131815 BQU131815 CAQ131815 CKM131815 CUI131815 DEE131815 DOA131815 DXW131815 EHS131815 ERO131815 FBK131815 FLG131815 FVC131815 GEY131815 GOU131815 GYQ131815 HIM131815 HSI131815 ICE131815 IMA131815 IVW131815 JFS131815 JPO131815 JZK131815 KJG131815 KTC131815 LCY131815 LMU131815 LWQ131815 MGM131815 MQI131815 NAE131815 NKA131815 NTW131815 ODS131815 ONO131815 OXK131815 PHG131815 PRC131815 QAY131815 QKU131815 QUQ131815 REM131815 ROI131815 RYE131815 SIA131815 SRW131815 TBS131815 TLO131815 TVK131815 UFG131815 UPC131815 UYY131815 VIU131815 VSQ131815 WCM131815 WMI131815 WWE131815 W197351 JS197351 TO197351 ADK197351 ANG197351 AXC197351 BGY197351 BQU197351 CAQ197351 CKM197351 CUI197351 DEE197351 DOA197351 DXW197351 EHS197351 ERO197351 FBK197351 FLG197351 FVC197351 GEY197351 GOU197351 GYQ197351 HIM197351 HSI197351 ICE197351 IMA197351 IVW197351 JFS197351 JPO197351 JZK197351 KJG197351 KTC197351 LCY197351 LMU197351 LWQ197351 MGM197351 MQI197351 NAE197351 NKA197351 NTW197351 ODS197351 ONO197351 OXK197351 PHG197351 PRC197351 QAY197351 QKU197351 QUQ197351 REM197351 ROI197351 RYE197351 SIA197351 SRW197351 TBS197351 TLO197351 TVK197351 UFG197351 UPC197351 UYY197351 VIU197351 VSQ197351 WCM197351 WMI197351 WWE197351 W262887 JS262887 TO262887 ADK262887 ANG262887 AXC262887 BGY262887 BQU262887 CAQ262887 CKM262887 CUI262887 DEE262887 DOA262887 DXW262887 EHS262887 ERO262887 FBK262887 FLG262887 FVC262887 GEY262887 GOU262887 GYQ262887 HIM262887 HSI262887 ICE262887 IMA262887 IVW262887 JFS262887 JPO262887 JZK262887 KJG262887 KTC262887 LCY262887 LMU262887 LWQ262887 MGM262887 MQI262887 NAE262887 NKA262887 NTW262887 ODS262887 ONO262887 OXK262887 PHG262887 PRC262887 QAY262887 QKU262887 QUQ262887 REM262887 ROI262887 RYE262887 SIA262887 SRW262887 TBS262887 TLO262887 TVK262887 UFG262887 UPC262887 UYY262887 VIU262887 VSQ262887 WCM262887 WMI262887 WWE262887 W328423 JS328423 TO328423 ADK328423 ANG328423 AXC328423 BGY328423 BQU328423 CAQ328423 CKM328423 CUI328423 DEE328423 DOA328423 DXW328423 EHS328423 ERO328423 FBK328423 FLG328423 FVC328423 GEY328423 GOU328423 GYQ328423 HIM328423 HSI328423 ICE328423 IMA328423 IVW328423 JFS328423 JPO328423 JZK328423 KJG328423 KTC328423 LCY328423 LMU328423 LWQ328423 MGM328423 MQI328423 NAE328423 NKA328423 NTW328423 ODS328423 ONO328423 OXK328423 PHG328423 PRC328423 QAY328423 QKU328423 QUQ328423 REM328423 ROI328423 RYE328423 SIA328423 SRW328423 TBS328423 TLO328423 TVK328423 UFG328423 UPC328423 UYY328423 VIU328423 VSQ328423 WCM328423 WMI328423 WWE328423 W393959 JS393959 TO393959 ADK393959 ANG393959 AXC393959 BGY393959 BQU393959 CAQ393959 CKM393959 CUI393959 DEE393959 DOA393959 DXW393959 EHS393959 ERO393959 FBK393959 FLG393959 FVC393959 GEY393959 GOU393959 GYQ393959 HIM393959 HSI393959 ICE393959 IMA393959 IVW393959 JFS393959 JPO393959 JZK393959 KJG393959 KTC393959 LCY393959 LMU393959 LWQ393959 MGM393959 MQI393959 NAE393959 NKA393959 NTW393959 ODS393959 ONO393959 OXK393959 PHG393959 PRC393959 QAY393959 QKU393959 QUQ393959 REM393959 ROI393959 RYE393959 SIA393959 SRW393959 TBS393959 TLO393959 TVK393959 UFG393959 UPC393959 UYY393959 VIU393959 VSQ393959 WCM393959 WMI393959 WWE393959 W459495 JS459495 TO459495 ADK459495 ANG459495 AXC459495 BGY459495 BQU459495 CAQ459495 CKM459495 CUI459495 DEE459495 DOA459495 DXW459495 EHS459495 ERO459495 FBK459495 FLG459495 FVC459495 GEY459495 GOU459495 GYQ459495 HIM459495 HSI459495 ICE459495 IMA459495 IVW459495 JFS459495 JPO459495 JZK459495 KJG459495 KTC459495 LCY459495 LMU459495 LWQ459495 MGM459495 MQI459495 NAE459495 NKA459495 NTW459495 ODS459495 ONO459495 OXK459495 PHG459495 PRC459495 QAY459495 QKU459495 QUQ459495 REM459495 ROI459495 RYE459495 SIA459495 SRW459495 TBS459495 TLO459495 TVK459495 UFG459495 UPC459495 UYY459495 VIU459495 VSQ459495 WCM459495 WMI459495 WWE459495 W525031 JS525031 TO525031 ADK525031 ANG525031 AXC525031 BGY525031 BQU525031 CAQ525031 CKM525031 CUI525031 DEE525031 DOA525031 DXW525031 EHS525031 ERO525031 FBK525031 FLG525031 FVC525031 GEY525031 GOU525031 GYQ525031 HIM525031 HSI525031 ICE525031 IMA525031 IVW525031 JFS525031 JPO525031 JZK525031 KJG525031 KTC525031 LCY525031 LMU525031 LWQ525031 MGM525031 MQI525031 NAE525031 NKA525031 NTW525031 ODS525031 ONO525031 OXK525031 PHG525031 PRC525031 QAY525031 QKU525031 QUQ525031 REM525031 ROI525031 RYE525031 SIA525031 SRW525031 TBS525031 TLO525031 TVK525031 UFG525031 UPC525031 UYY525031 VIU525031 VSQ525031 WCM525031 WMI525031 WWE525031 W590567 JS590567 TO590567 ADK590567 ANG590567 AXC590567 BGY590567 BQU590567 CAQ590567 CKM590567 CUI590567 DEE590567 DOA590567 DXW590567 EHS590567 ERO590567 FBK590567 FLG590567 FVC590567 GEY590567 GOU590567 GYQ590567 HIM590567 HSI590567 ICE590567 IMA590567 IVW590567 JFS590567 JPO590567 JZK590567 KJG590567 KTC590567 LCY590567 LMU590567 LWQ590567 MGM590567 MQI590567 NAE590567 NKA590567 NTW590567 ODS590567 ONO590567 OXK590567 PHG590567 PRC590567 QAY590567 QKU590567 QUQ590567 REM590567 ROI590567 RYE590567 SIA590567 SRW590567 TBS590567 TLO590567 TVK590567 UFG590567 UPC590567 UYY590567 VIU590567 VSQ590567 WCM590567 WMI590567 WWE590567 W656103 JS656103 TO656103 ADK656103 ANG656103 AXC656103 BGY656103 BQU656103 CAQ656103 CKM656103 CUI656103 DEE656103 DOA656103 DXW656103 EHS656103 ERO656103 FBK656103 FLG656103 FVC656103 GEY656103 GOU656103 GYQ656103 HIM656103 HSI656103 ICE656103 IMA656103 IVW656103 JFS656103 JPO656103 JZK656103 KJG656103 KTC656103 LCY656103 LMU656103 LWQ656103 MGM656103 MQI656103 NAE656103 NKA656103 NTW656103 ODS656103 ONO656103 OXK656103 PHG656103 PRC656103 QAY656103 QKU656103 QUQ656103 REM656103 ROI656103 RYE656103 SIA656103 SRW656103 TBS656103 TLO656103 TVK656103 UFG656103 UPC656103 UYY656103 VIU656103 VSQ656103 WCM656103 WMI656103 WWE656103 W721639 JS721639 TO721639 ADK721639 ANG721639 AXC721639 BGY721639 BQU721639 CAQ721639 CKM721639 CUI721639 DEE721639 DOA721639 DXW721639 EHS721639 ERO721639 FBK721639 FLG721639 FVC721639 GEY721639 GOU721639 GYQ721639 HIM721639 HSI721639 ICE721639 IMA721639 IVW721639 JFS721639 JPO721639 JZK721639 KJG721639 KTC721639 LCY721639 LMU721639 LWQ721639 MGM721639 MQI721639 NAE721639 NKA721639 NTW721639 ODS721639 ONO721639 OXK721639 PHG721639 PRC721639 QAY721639 QKU721639 QUQ721639 REM721639 ROI721639 RYE721639 SIA721639 SRW721639 TBS721639 TLO721639 TVK721639 UFG721639 UPC721639 UYY721639 VIU721639 VSQ721639 WCM721639 WMI721639 WWE721639 W787175 JS787175 TO787175 ADK787175 ANG787175 AXC787175 BGY787175 BQU787175 CAQ787175 CKM787175 CUI787175 DEE787175 DOA787175 DXW787175 EHS787175 ERO787175 FBK787175 FLG787175 FVC787175 GEY787175 GOU787175 GYQ787175 HIM787175 HSI787175 ICE787175 IMA787175 IVW787175 JFS787175 JPO787175 JZK787175 KJG787175 KTC787175 LCY787175 LMU787175 LWQ787175 MGM787175 MQI787175 NAE787175 NKA787175 NTW787175 ODS787175 ONO787175 OXK787175 PHG787175 PRC787175 QAY787175 QKU787175 QUQ787175 REM787175 ROI787175 RYE787175 SIA787175 SRW787175 TBS787175 TLO787175 TVK787175 UFG787175 UPC787175 UYY787175 VIU787175 VSQ787175 WCM787175 WMI787175 WWE787175 W852711 JS852711 TO852711 ADK852711 ANG852711 AXC852711 BGY852711 BQU852711 CAQ852711 CKM852711 CUI852711 DEE852711 DOA852711 DXW852711 EHS852711 ERO852711 FBK852711 FLG852711 FVC852711 GEY852711 GOU852711 GYQ852711 HIM852711 HSI852711 ICE852711 IMA852711 IVW852711 JFS852711 JPO852711 JZK852711 KJG852711 KTC852711 LCY852711 LMU852711 LWQ852711 MGM852711 MQI852711 NAE852711 NKA852711 NTW852711 ODS852711 ONO852711 OXK852711 PHG852711 PRC852711 QAY852711 QKU852711 QUQ852711 REM852711 ROI852711 RYE852711 SIA852711 SRW852711 TBS852711 TLO852711 TVK852711 UFG852711 UPC852711 UYY852711 VIU852711 VSQ852711 WCM852711 WMI852711 WWE852711 W918247 JS918247 TO918247 ADK918247 ANG918247 AXC918247 BGY918247 BQU918247 CAQ918247 CKM918247 CUI918247 DEE918247 DOA918247 DXW918247 EHS918247 ERO918247 FBK918247 FLG918247 FVC918247 GEY918247 GOU918247 GYQ918247 HIM918247 HSI918247 ICE918247 IMA918247 IVW918247 JFS918247 JPO918247 JZK918247 KJG918247 KTC918247 LCY918247 LMU918247 LWQ918247 MGM918247 MQI918247 NAE918247 NKA918247 NTW918247 ODS918247 ONO918247 OXK918247 PHG918247 PRC918247 QAY918247 QKU918247 QUQ918247 REM918247 ROI918247 RYE918247 SIA918247 SRW918247 TBS918247 TLO918247 TVK918247 UFG918247 UPC918247 UYY918247 VIU918247 VSQ918247 WCM918247 WMI918247 WWE918247 W983783 JS983783 TO983783 ADK983783 ANG983783 AXC983783 BGY983783 BQU983783 CAQ983783 CKM983783 CUI983783 DEE983783 DOA983783 DXW983783 EHS983783 ERO983783 FBK983783 FLG983783 FVC983783 GEY983783 GOU983783 GYQ983783 HIM983783 HSI983783 ICE983783 IMA983783 IVW983783 JFS983783 JPO983783 JZK983783 KJG983783 KTC983783 LCY983783 LMU983783 LWQ983783 MGM983783 MQI983783 NAE983783 NKA983783 NTW983783 ODS983783 ONO983783 OXK983783 PHG983783 PRC983783 QAY983783 QKU983783 QUQ983783 REM983783 ROI983783 RYE983783 SIA983783 SRW983783 TBS983783 TLO983783 TVK983783 UFG983783 UPC983783 UYY983783 VIU983783 VSQ983783 WCM983783 WMI983783 WWE983783" xr:uid="{5C71C95B-31D6-48E9-BF85-0629BD31312B}">
      <formula1>$S$716:$S$717</formula1>
    </dataValidation>
    <dataValidation type="list" allowBlank="1" showInputMessage="1" showErrorMessage="1" sqref="W733 JS733 TO733 ADK733 ANG733 AXC733 BGY733 BQU733 CAQ733 CKM733 CUI733 DEE733 DOA733 DXW733 EHS733 ERO733 FBK733 FLG733 FVC733 GEY733 GOU733 GYQ733 HIM733 HSI733 ICE733 IMA733 IVW733 JFS733 JPO733 JZK733 KJG733 KTC733 LCY733 LMU733 LWQ733 MGM733 MQI733 NAE733 NKA733 NTW733 ODS733 ONO733 OXK733 PHG733 PRC733 QAY733 QKU733 QUQ733 REM733 ROI733 RYE733 SIA733 SRW733 TBS733 TLO733 TVK733 UFG733 UPC733 UYY733 VIU733 VSQ733 WCM733 WMI733 WWE733 W66269 JS66269 TO66269 ADK66269 ANG66269 AXC66269 BGY66269 BQU66269 CAQ66269 CKM66269 CUI66269 DEE66269 DOA66269 DXW66269 EHS66269 ERO66269 FBK66269 FLG66269 FVC66269 GEY66269 GOU66269 GYQ66269 HIM66269 HSI66269 ICE66269 IMA66269 IVW66269 JFS66269 JPO66269 JZK66269 KJG66269 KTC66269 LCY66269 LMU66269 LWQ66269 MGM66269 MQI66269 NAE66269 NKA66269 NTW66269 ODS66269 ONO66269 OXK66269 PHG66269 PRC66269 QAY66269 QKU66269 QUQ66269 REM66269 ROI66269 RYE66269 SIA66269 SRW66269 TBS66269 TLO66269 TVK66269 UFG66269 UPC66269 UYY66269 VIU66269 VSQ66269 WCM66269 WMI66269 WWE66269 W131805 JS131805 TO131805 ADK131805 ANG131805 AXC131805 BGY131805 BQU131805 CAQ131805 CKM131805 CUI131805 DEE131805 DOA131805 DXW131805 EHS131805 ERO131805 FBK131805 FLG131805 FVC131805 GEY131805 GOU131805 GYQ131805 HIM131805 HSI131805 ICE131805 IMA131805 IVW131805 JFS131805 JPO131805 JZK131805 KJG131805 KTC131805 LCY131805 LMU131805 LWQ131805 MGM131805 MQI131805 NAE131805 NKA131805 NTW131805 ODS131805 ONO131805 OXK131805 PHG131805 PRC131805 QAY131805 QKU131805 QUQ131805 REM131805 ROI131805 RYE131805 SIA131805 SRW131805 TBS131805 TLO131805 TVK131805 UFG131805 UPC131805 UYY131805 VIU131805 VSQ131805 WCM131805 WMI131805 WWE131805 W197341 JS197341 TO197341 ADK197341 ANG197341 AXC197341 BGY197341 BQU197341 CAQ197341 CKM197341 CUI197341 DEE197341 DOA197341 DXW197341 EHS197341 ERO197341 FBK197341 FLG197341 FVC197341 GEY197341 GOU197341 GYQ197341 HIM197341 HSI197341 ICE197341 IMA197341 IVW197341 JFS197341 JPO197341 JZK197341 KJG197341 KTC197341 LCY197341 LMU197341 LWQ197341 MGM197341 MQI197341 NAE197341 NKA197341 NTW197341 ODS197341 ONO197341 OXK197341 PHG197341 PRC197341 QAY197341 QKU197341 QUQ197341 REM197341 ROI197341 RYE197341 SIA197341 SRW197341 TBS197341 TLO197341 TVK197341 UFG197341 UPC197341 UYY197341 VIU197341 VSQ197341 WCM197341 WMI197341 WWE197341 W262877 JS262877 TO262877 ADK262877 ANG262877 AXC262877 BGY262877 BQU262877 CAQ262877 CKM262877 CUI262877 DEE262877 DOA262877 DXW262877 EHS262877 ERO262877 FBK262877 FLG262877 FVC262877 GEY262877 GOU262877 GYQ262877 HIM262877 HSI262877 ICE262877 IMA262877 IVW262877 JFS262877 JPO262877 JZK262877 KJG262877 KTC262877 LCY262877 LMU262877 LWQ262877 MGM262877 MQI262877 NAE262877 NKA262877 NTW262877 ODS262877 ONO262877 OXK262877 PHG262877 PRC262877 QAY262877 QKU262877 QUQ262877 REM262877 ROI262877 RYE262877 SIA262877 SRW262877 TBS262877 TLO262877 TVK262877 UFG262877 UPC262877 UYY262877 VIU262877 VSQ262877 WCM262877 WMI262877 WWE262877 W328413 JS328413 TO328413 ADK328413 ANG328413 AXC328413 BGY328413 BQU328413 CAQ328413 CKM328413 CUI328413 DEE328413 DOA328413 DXW328413 EHS328413 ERO328413 FBK328413 FLG328413 FVC328413 GEY328413 GOU328413 GYQ328413 HIM328413 HSI328413 ICE328413 IMA328413 IVW328413 JFS328413 JPO328413 JZK328413 KJG328413 KTC328413 LCY328413 LMU328413 LWQ328413 MGM328413 MQI328413 NAE328413 NKA328413 NTW328413 ODS328413 ONO328413 OXK328413 PHG328413 PRC328413 QAY328413 QKU328413 QUQ328413 REM328413 ROI328413 RYE328413 SIA328413 SRW328413 TBS328413 TLO328413 TVK328413 UFG328413 UPC328413 UYY328413 VIU328413 VSQ328413 WCM328413 WMI328413 WWE328413 W393949 JS393949 TO393949 ADK393949 ANG393949 AXC393949 BGY393949 BQU393949 CAQ393949 CKM393949 CUI393949 DEE393949 DOA393949 DXW393949 EHS393949 ERO393949 FBK393949 FLG393949 FVC393949 GEY393949 GOU393949 GYQ393949 HIM393949 HSI393949 ICE393949 IMA393949 IVW393949 JFS393949 JPO393949 JZK393949 KJG393949 KTC393949 LCY393949 LMU393949 LWQ393949 MGM393949 MQI393949 NAE393949 NKA393949 NTW393949 ODS393949 ONO393949 OXK393949 PHG393949 PRC393949 QAY393949 QKU393949 QUQ393949 REM393949 ROI393949 RYE393949 SIA393949 SRW393949 TBS393949 TLO393949 TVK393949 UFG393949 UPC393949 UYY393949 VIU393949 VSQ393949 WCM393949 WMI393949 WWE393949 W459485 JS459485 TO459485 ADK459485 ANG459485 AXC459485 BGY459485 BQU459485 CAQ459485 CKM459485 CUI459485 DEE459485 DOA459485 DXW459485 EHS459485 ERO459485 FBK459485 FLG459485 FVC459485 GEY459485 GOU459485 GYQ459485 HIM459485 HSI459485 ICE459485 IMA459485 IVW459485 JFS459485 JPO459485 JZK459485 KJG459485 KTC459485 LCY459485 LMU459485 LWQ459485 MGM459485 MQI459485 NAE459485 NKA459485 NTW459485 ODS459485 ONO459485 OXK459485 PHG459485 PRC459485 QAY459485 QKU459485 QUQ459485 REM459485 ROI459485 RYE459485 SIA459485 SRW459485 TBS459485 TLO459485 TVK459485 UFG459485 UPC459485 UYY459485 VIU459485 VSQ459485 WCM459485 WMI459485 WWE459485 W525021 JS525021 TO525021 ADK525021 ANG525021 AXC525021 BGY525021 BQU525021 CAQ525021 CKM525021 CUI525021 DEE525021 DOA525021 DXW525021 EHS525021 ERO525021 FBK525021 FLG525021 FVC525021 GEY525021 GOU525021 GYQ525021 HIM525021 HSI525021 ICE525021 IMA525021 IVW525021 JFS525021 JPO525021 JZK525021 KJG525021 KTC525021 LCY525021 LMU525021 LWQ525021 MGM525021 MQI525021 NAE525021 NKA525021 NTW525021 ODS525021 ONO525021 OXK525021 PHG525021 PRC525021 QAY525021 QKU525021 QUQ525021 REM525021 ROI525021 RYE525021 SIA525021 SRW525021 TBS525021 TLO525021 TVK525021 UFG525021 UPC525021 UYY525021 VIU525021 VSQ525021 WCM525021 WMI525021 WWE525021 W590557 JS590557 TO590557 ADK590557 ANG590557 AXC590557 BGY590557 BQU590557 CAQ590557 CKM590557 CUI590557 DEE590557 DOA590557 DXW590557 EHS590557 ERO590557 FBK590557 FLG590557 FVC590557 GEY590557 GOU590557 GYQ590557 HIM590557 HSI590557 ICE590557 IMA590557 IVW590557 JFS590557 JPO590557 JZK590557 KJG590557 KTC590557 LCY590557 LMU590557 LWQ590557 MGM590557 MQI590557 NAE590557 NKA590557 NTW590557 ODS590557 ONO590557 OXK590557 PHG590557 PRC590557 QAY590557 QKU590557 QUQ590557 REM590557 ROI590557 RYE590557 SIA590557 SRW590557 TBS590557 TLO590557 TVK590557 UFG590557 UPC590557 UYY590557 VIU590557 VSQ590557 WCM590557 WMI590557 WWE590557 W656093 JS656093 TO656093 ADK656093 ANG656093 AXC656093 BGY656093 BQU656093 CAQ656093 CKM656093 CUI656093 DEE656093 DOA656093 DXW656093 EHS656093 ERO656093 FBK656093 FLG656093 FVC656093 GEY656093 GOU656093 GYQ656093 HIM656093 HSI656093 ICE656093 IMA656093 IVW656093 JFS656093 JPO656093 JZK656093 KJG656093 KTC656093 LCY656093 LMU656093 LWQ656093 MGM656093 MQI656093 NAE656093 NKA656093 NTW656093 ODS656093 ONO656093 OXK656093 PHG656093 PRC656093 QAY656093 QKU656093 QUQ656093 REM656093 ROI656093 RYE656093 SIA656093 SRW656093 TBS656093 TLO656093 TVK656093 UFG656093 UPC656093 UYY656093 VIU656093 VSQ656093 WCM656093 WMI656093 WWE656093 W721629 JS721629 TO721629 ADK721629 ANG721629 AXC721629 BGY721629 BQU721629 CAQ721629 CKM721629 CUI721629 DEE721629 DOA721629 DXW721629 EHS721629 ERO721629 FBK721629 FLG721629 FVC721629 GEY721629 GOU721629 GYQ721629 HIM721629 HSI721629 ICE721629 IMA721629 IVW721629 JFS721629 JPO721629 JZK721629 KJG721629 KTC721629 LCY721629 LMU721629 LWQ721629 MGM721629 MQI721629 NAE721629 NKA721629 NTW721629 ODS721629 ONO721629 OXK721629 PHG721629 PRC721629 QAY721629 QKU721629 QUQ721629 REM721629 ROI721629 RYE721629 SIA721629 SRW721629 TBS721629 TLO721629 TVK721629 UFG721629 UPC721629 UYY721629 VIU721629 VSQ721629 WCM721629 WMI721629 WWE721629 W787165 JS787165 TO787165 ADK787165 ANG787165 AXC787165 BGY787165 BQU787165 CAQ787165 CKM787165 CUI787165 DEE787165 DOA787165 DXW787165 EHS787165 ERO787165 FBK787165 FLG787165 FVC787165 GEY787165 GOU787165 GYQ787165 HIM787165 HSI787165 ICE787165 IMA787165 IVW787165 JFS787165 JPO787165 JZK787165 KJG787165 KTC787165 LCY787165 LMU787165 LWQ787165 MGM787165 MQI787165 NAE787165 NKA787165 NTW787165 ODS787165 ONO787165 OXK787165 PHG787165 PRC787165 QAY787165 QKU787165 QUQ787165 REM787165 ROI787165 RYE787165 SIA787165 SRW787165 TBS787165 TLO787165 TVK787165 UFG787165 UPC787165 UYY787165 VIU787165 VSQ787165 WCM787165 WMI787165 WWE787165 W852701 JS852701 TO852701 ADK852701 ANG852701 AXC852701 BGY852701 BQU852701 CAQ852701 CKM852701 CUI852701 DEE852701 DOA852701 DXW852701 EHS852701 ERO852701 FBK852701 FLG852701 FVC852701 GEY852701 GOU852701 GYQ852701 HIM852701 HSI852701 ICE852701 IMA852701 IVW852701 JFS852701 JPO852701 JZK852701 KJG852701 KTC852701 LCY852701 LMU852701 LWQ852701 MGM852701 MQI852701 NAE852701 NKA852701 NTW852701 ODS852701 ONO852701 OXK852701 PHG852701 PRC852701 QAY852701 QKU852701 QUQ852701 REM852701 ROI852701 RYE852701 SIA852701 SRW852701 TBS852701 TLO852701 TVK852701 UFG852701 UPC852701 UYY852701 VIU852701 VSQ852701 WCM852701 WMI852701 WWE852701 W918237 JS918237 TO918237 ADK918237 ANG918237 AXC918237 BGY918237 BQU918237 CAQ918237 CKM918237 CUI918237 DEE918237 DOA918237 DXW918237 EHS918237 ERO918237 FBK918237 FLG918237 FVC918237 GEY918237 GOU918237 GYQ918237 HIM918237 HSI918237 ICE918237 IMA918237 IVW918237 JFS918237 JPO918237 JZK918237 KJG918237 KTC918237 LCY918237 LMU918237 LWQ918237 MGM918237 MQI918237 NAE918237 NKA918237 NTW918237 ODS918237 ONO918237 OXK918237 PHG918237 PRC918237 QAY918237 QKU918237 QUQ918237 REM918237 ROI918237 RYE918237 SIA918237 SRW918237 TBS918237 TLO918237 TVK918237 UFG918237 UPC918237 UYY918237 VIU918237 VSQ918237 WCM918237 WMI918237 WWE918237 W983773 JS983773 TO983773 ADK983773 ANG983773 AXC983773 BGY983773 BQU983773 CAQ983773 CKM983773 CUI983773 DEE983773 DOA983773 DXW983773 EHS983773 ERO983773 FBK983773 FLG983773 FVC983773 GEY983773 GOU983773 GYQ983773 HIM983773 HSI983773 ICE983773 IMA983773 IVW983773 JFS983773 JPO983773 JZK983773 KJG983773 KTC983773 LCY983773 LMU983773 LWQ983773 MGM983773 MQI983773 NAE983773 NKA983773 NTW983773 ODS983773 ONO983773 OXK983773 PHG983773 PRC983773 QAY983773 QKU983773 QUQ983773 REM983773 ROI983773 RYE983773 SIA983773 SRW983773 TBS983773 TLO983773 TVK983773 UFG983773 UPC983773 UYY983773 VIU983773 VSQ983773 WCM983773 WMI983773 WWE983773" xr:uid="{DCE79C7A-B5A9-4E80-8DD4-E22D321216F6}">
      <formula1>$AP$723:$AP$736</formula1>
    </dataValidation>
    <dataValidation type="list" allowBlank="1" showInputMessage="1" showErrorMessage="1" sqref="W724:W731 JS724:JS731 TO724:TO731 ADK724:ADK731 ANG724:ANG731 AXC724:AXC731 BGY724:BGY731 BQU724:BQU731 CAQ724:CAQ731 CKM724:CKM731 CUI724:CUI731 DEE724:DEE731 DOA724:DOA731 DXW724:DXW731 EHS724:EHS731 ERO724:ERO731 FBK724:FBK731 FLG724:FLG731 FVC724:FVC731 GEY724:GEY731 GOU724:GOU731 GYQ724:GYQ731 HIM724:HIM731 HSI724:HSI731 ICE724:ICE731 IMA724:IMA731 IVW724:IVW731 JFS724:JFS731 JPO724:JPO731 JZK724:JZK731 KJG724:KJG731 KTC724:KTC731 LCY724:LCY731 LMU724:LMU731 LWQ724:LWQ731 MGM724:MGM731 MQI724:MQI731 NAE724:NAE731 NKA724:NKA731 NTW724:NTW731 ODS724:ODS731 ONO724:ONO731 OXK724:OXK731 PHG724:PHG731 PRC724:PRC731 QAY724:QAY731 QKU724:QKU731 QUQ724:QUQ731 REM724:REM731 ROI724:ROI731 RYE724:RYE731 SIA724:SIA731 SRW724:SRW731 TBS724:TBS731 TLO724:TLO731 TVK724:TVK731 UFG724:UFG731 UPC724:UPC731 UYY724:UYY731 VIU724:VIU731 VSQ724:VSQ731 WCM724:WCM731 WMI724:WMI731 WWE724:WWE731 W66260:W66267 JS66260:JS66267 TO66260:TO66267 ADK66260:ADK66267 ANG66260:ANG66267 AXC66260:AXC66267 BGY66260:BGY66267 BQU66260:BQU66267 CAQ66260:CAQ66267 CKM66260:CKM66267 CUI66260:CUI66267 DEE66260:DEE66267 DOA66260:DOA66267 DXW66260:DXW66267 EHS66260:EHS66267 ERO66260:ERO66267 FBK66260:FBK66267 FLG66260:FLG66267 FVC66260:FVC66267 GEY66260:GEY66267 GOU66260:GOU66267 GYQ66260:GYQ66267 HIM66260:HIM66267 HSI66260:HSI66267 ICE66260:ICE66267 IMA66260:IMA66267 IVW66260:IVW66267 JFS66260:JFS66267 JPO66260:JPO66267 JZK66260:JZK66267 KJG66260:KJG66267 KTC66260:KTC66267 LCY66260:LCY66267 LMU66260:LMU66267 LWQ66260:LWQ66267 MGM66260:MGM66267 MQI66260:MQI66267 NAE66260:NAE66267 NKA66260:NKA66267 NTW66260:NTW66267 ODS66260:ODS66267 ONO66260:ONO66267 OXK66260:OXK66267 PHG66260:PHG66267 PRC66260:PRC66267 QAY66260:QAY66267 QKU66260:QKU66267 QUQ66260:QUQ66267 REM66260:REM66267 ROI66260:ROI66267 RYE66260:RYE66267 SIA66260:SIA66267 SRW66260:SRW66267 TBS66260:TBS66267 TLO66260:TLO66267 TVK66260:TVK66267 UFG66260:UFG66267 UPC66260:UPC66267 UYY66260:UYY66267 VIU66260:VIU66267 VSQ66260:VSQ66267 WCM66260:WCM66267 WMI66260:WMI66267 WWE66260:WWE66267 W131796:W131803 JS131796:JS131803 TO131796:TO131803 ADK131796:ADK131803 ANG131796:ANG131803 AXC131796:AXC131803 BGY131796:BGY131803 BQU131796:BQU131803 CAQ131796:CAQ131803 CKM131796:CKM131803 CUI131796:CUI131803 DEE131796:DEE131803 DOA131796:DOA131803 DXW131796:DXW131803 EHS131796:EHS131803 ERO131796:ERO131803 FBK131796:FBK131803 FLG131796:FLG131803 FVC131796:FVC131803 GEY131796:GEY131803 GOU131796:GOU131803 GYQ131796:GYQ131803 HIM131796:HIM131803 HSI131796:HSI131803 ICE131796:ICE131803 IMA131796:IMA131803 IVW131796:IVW131803 JFS131796:JFS131803 JPO131796:JPO131803 JZK131796:JZK131803 KJG131796:KJG131803 KTC131796:KTC131803 LCY131796:LCY131803 LMU131796:LMU131803 LWQ131796:LWQ131803 MGM131796:MGM131803 MQI131796:MQI131803 NAE131796:NAE131803 NKA131796:NKA131803 NTW131796:NTW131803 ODS131796:ODS131803 ONO131796:ONO131803 OXK131796:OXK131803 PHG131796:PHG131803 PRC131796:PRC131803 QAY131796:QAY131803 QKU131796:QKU131803 QUQ131796:QUQ131803 REM131796:REM131803 ROI131796:ROI131803 RYE131796:RYE131803 SIA131796:SIA131803 SRW131796:SRW131803 TBS131796:TBS131803 TLO131796:TLO131803 TVK131796:TVK131803 UFG131796:UFG131803 UPC131796:UPC131803 UYY131796:UYY131803 VIU131796:VIU131803 VSQ131796:VSQ131803 WCM131796:WCM131803 WMI131796:WMI131803 WWE131796:WWE131803 W197332:W197339 JS197332:JS197339 TO197332:TO197339 ADK197332:ADK197339 ANG197332:ANG197339 AXC197332:AXC197339 BGY197332:BGY197339 BQU197332:BQU197339 CAQ197332:CAQ197339 CKM197332:CKM197339 CUI197332:CUI197339 DEE197332:DEE197339 DOA197332:DOA197339 DXW197332:DXW197339 EHS197332:EHS197339 ERO197332:ERO197339 FBK197332:FBK197339 FLG197332:FLG197339 FVC197332:FVC197339 GEY197332:GEY197339 GOU197332:GOU197339 GYQ197332:GYQ197339 HIM197332:HIM197339 HSI197332:HSI197339 ICE197332:ICE197339 IMA197332:IMA197339 IVW197332:IVW197339 JFS197332:JFS197339 JPO197332:JPO197339 JZK197332:JZK197339 KJG197332:KJG197339 KTC197332:KTC197339 LCY197332:LCY197339 LMU197332:LMU197339 LWQ197332:LWQ197339 MGM197332:MGM197339 MQI197332:MQI197339 NAE197332:NAE197339 NKA197332:NKA197339 NTW197332:NTW197339 ODS197332:ODS197339 ONO197332:ONO197339 OXK197332:OXK197339 PHG197332:PHG197339 PRC197332:PRC197339 QAY197332:QAY197339 QKU197332:QKU197339 QUQ197332:QUQ197339 REM197332:REM197339 ROI197332:ROI197339 RYE197332:RYE197339 SIA197332:SIA197339 SRW197332:SRW197339 TBS197332:TBS197339 TLO197332:TLO197339 TVK197332:TVK197339 UFG197332:UFG197339 UPC197332:UPC197339 UYY197332:UYY197339 VIU197332:VIU197339 VSQ197332:VSQ197339 WCM197332:WCM197339 WMI197332:WMI197339 WWE197332:WWE197339 W262868:W262875 JS262868:JS262875 TO262868:TO262875 ADK262868:ADK262875 ANG262868:ANG262875 AXC262868:AXC262875 BGY262868:BGY262875 BQU262868:BQU262875 CAQ262868:CAQ262875 CKM262868:CKM262875 CUI262868:CUI262875 DEE262868:DEE262875 DOA262868:DOA262875 DXW262868:DXW262875 EHS262868:EHS262875 ERO262868:ERO262875 FBK262868:FBK262875 FLG262868:FLG262875 FVC262868:FVC262875 GEY262868:GEY262875 GOU262868:GOU262875 GYQ262868:GYQ262875 HIM262868:HIM262875 HSI262868:HSI262875 ICE262868:ICE262875 IMA262868:IMA262875 IVW262868:IVW262875 JFS262868:JFS262875 JPO262868:JPO262875 JZK262868:JZK262875 KJG262868:KJG262875 KTC262868:KTC262875 LCY262868:LCY262875 LMU262868:LMU262875 LWQ262868:LWQ262875 MGM262868:MGM262875 MQI262868:MQI262875 NAE262868:NAE262875 NKA262868:NKA262875 NTW262868:NTW262875 ODS262868:ODS262875 ONO262868:ONO262875 OXK262868:OXK262875 PHG262868:PHG262875 PRC262868:PRC262875 QAY262868:QAY262875 QKU262868:QKU262875 QUQ262868:QUQ262875 REM262868:REM262875 ROI262868:ROI262875 RYE262868:RYE262875 SIA262868:SIA262875 SRW262868:SRW262875 TBS262868:TBS262875 TLO262868:TLO262875 TVK262868:TVK262875 UFG262868:UFG262875 UPC262868:UPC262875 UYY262868:UYY262875 VIU262868:VIU262875 VSQ262868:VSQ262875 WCM262868:WCM262875 WMI262868:WMI262875 WWE262868:WWE262875 W328404:W328411 JS328404:JS328411 TO328404:TO328411 ADK328404:ADK328411 ANG328404:ANG328411 AXC328404:AXC328411 BGY328404:BGY328411 BQU328404:BQU328411 CAQ328404:CAQ328411 CKM328404:CKM328411 CUI328404:CUI328411 DEE328404:DEE328411 DOA328404:DOA328411 DXW328404:DXW328411 EHS328404:EHS328411 ERO328404:ERO328411 FBK328404:FBK328411 FLG328404:FLG328411 FVC328404:FVC328411 GEY328404:GEY328411 GOU328404:GOU328411 GYQ328404:GYQ328411 HIM328404:HIM328411 HSI328404:HSI328411 ICE328404:ICE328411 IMA328404:IMA328411 IVW328404:IVW328411 JFS328404:JFS328411 JPO328404:JPO328411 JZK328404:JZK328411 KJG328404:KJG328411 KTC328404:KTC328411 LCY328404:LCY328411 LMU328404:LMU328411 LWQ328404:LWQ328411 MGM328404:MGM328411 MQI328404:MQI328411 NAE328404:NAE328411 NKA328404:NKA328411 NTW328404:NTW328411 ODS328404:ODS328411 ONO328404:ONO328411 OXK328404:OXK328411 PHG328404:PHG328411 PRC328404:PRC328411 QAY328404:QAY328411 QKU328404:QKU328411 QUQ328404:QUQ328411 REM328404:REM328411 ROI328404:ROI328411 RYE328404:RYE328411 SIA328404:SIA328411 SRW328404:SRW328411 TBS328404:TBS328411 TLO328404:TLO328411 TVK328404:TVK328411 UFG328404:UFG328411 UPC328404:UPC328411 UYY328404:UYY328411 VIU328404:VIU328411 VSQ328404:VSQ328411 WCM328404:WCM328411 WMI328404:WMI328411 WWE328404:WWE328411 W393940:W393947 JS393940:JS393947 TO393940:TO393947 ADK393940:ADK393947 ANG393940:ANG393947 AXC393940:AXC393947 BGY393940:BGY393947 BQU393940:BQU393947 CAQ393940:CAQ393947 CKM393940:CKM393947 CUI393940:CUI393947 DEE393940:DEE393947 DOA393940:DOA393947 DXW393940:DXW393947 EHS393940:EHS393947 ERO393940:ERO393947 FBK393940:FBK393947 FLG393940:FLG393947 FVC393940:FVC393947 GEY393940:GEY393947 GOU393940:GOU393947 GYQ393940:GYQ393947 HIM393940:HIM393947 HSI393940:HSI393947 ICE393940:ICE393947 IMA393940:IMA393947 IVW393940:IVW393947 JFS393940:JFS393947 JPO393940:JPO393947 JZK393940:JZK393947 KJG393940:KJG393947 KTC393940:KTC393947 LCY393940:LCY393947 LMU393940:LMU393947 LWQ393940:LWQ393947 MGM393940:MGM393947 MQI393940:MQI393947 NAE393940:NAE393947 NKA393940:NKA393947 NTW393940:NTW393947 ODS393940:ODS393947 ONO393940:ONO393947 OXK393940:OXK393947 PHG393940:PHG393947 PRC393940:PRC393947 QAY393940:QAY393947 QKU393940:QKU393947 QUQ393940:QUQ393947 REM393940:REM393947 ROI393940:ROI393947 RYE393940:RYE393947 SIA393940:SIA393947 SRW393940:SRW393947 TBS393940:TBS393947 TLO393940:TLO393947 TVK393940:TVK393947 UFG393940:UFG393947 UPC393940:UPC393947 UYY393940:UYY393947 VIU393940:VIU393947 VSQ393940:VSQ393947 WCM393940:WCM393947 WMI393940:WMI393947 WWE393940:WWE393947 W459476:W459483 JS459476:JS459483 TO459476:TO459483 ADK459476:ADK459483 ANG459476:ANG459483 AXC459476:AXC459483 BGY459476:BGY459483 BQU459476:BQU459483 CAQ459476:CAQ459483 CKM459476:CKM459483 CUI459476:CUI459483 DEE459476:DEE459483 DOA459476:DOA459483 DXW459476:DXW459483 EHS459476:EHS459483 ERO459476:ERO459483 FBK459476:FBK459483 FLG459476:FLG459483 FVC459476:FVC459483 GEY459476:GEY459483 GOU459476:GOU459483 GYQ459476:GYQ459483 HIM459476:HIM459483 HSI459476:HSI459483 ICE459476:ICE459483 IMA459476:IMA459483 IVW459476:IVW459483 JFS459476:JFS459483 JPO459476:JPO459483 JZK459476:JZK459483 KJG459476:KJG459483 KTC459476:KTC459483 LCY459476:LCY459483 LMU459476:LMU459483 LWQ459476:LWQ459483 MGM459476:MGM459483 MQI459476:MQI459483 NAE459476:NAE459483 NKA459476:NKA459483 NTW459476:NTW459483 ODS459476:ODS459483 ONO459476:ONO459483 OXK459476:OXK459483 PHG459476:PHG459483 PRC459476:PRC459483 QAY459476:QAY459483 QKU459476:QKU459483 QUQ459476:QUQ459483 REM459476:REM459483 ROI459476:ROI459483 RYE459476:RYE459483 SIA459476:SIA459483 SRW459476:SRW459483 TBS459476:TBS459483 TLO459476:TLO459483 TVK459476:TVK459483 UFG459476:UFG459483 UPC459476:UPC459483 UYY459476:UYY459483 VIU459476:VIU459483 VSQ459476:VSQ459483 WCM459476:WCM459483 WMI459476:WMI459483 WWE459476:WWE459483 W525012:W525019 JS525012:JS525019 TO525012:TO525019 ADK525012:ADK525019 ANG525012:ANG525019 AXC525012:AXC525019 BGY525012:BGY525019 BQU525012:BQU525019 CAQ525012:CAQ525019 CKM525012:CKM525019 CUI525012:CUI525019 DEE525012:DEE525019 DOA525012:DOA525019 DXW525012:DXW525019 EHS525012:EHS525019 ERO525012:ERO525019 FBK525012:FBK525019 FLG525012:FLG525019 FVC525012:FVC525019 GEY525012:GEY525019 GOU525012:GOU525019 GYQ525012:GYQ525019 HIM525012:HIM525019 HSI525012:HSI525019 ICE525012:ICE525019 IMA525012:IMA525019 IVW525012:IVW525019 JFS525012:JFS525019 JPO525012:JPO525019 JZK525012:JZK525019 KJG525012:KJG525019 KTC525012:KTC525019 LCY525012:LCY525019 LMU525012:LMU525019 LWQ525012:LWQ525019 MGM525012:MGM525019 MQI525012:MQI525019 NAE525012:NAE525019 NKA525012:NKA525019 NTW525012:NTW525019 ODS525012:ODS525019 ONO525012:ONO525019 OXK525012:OXK525019 PHG525012:PHG525019 PRC525012:PRC525019 QAY525012:QAY525019 QKU525012:QKU525019 QUQ525012:QUQ525019 REM525012:REM525019 ROI525012:ROI525019 RYE525012:RYE525019 SIA525012:SIA525019 SRW525012:SRW525019 TBS525012:TBS525019 TLO525012:TLO525019 TVK525012:TVK525019 UFG525012:UFG525019 UPC525012:UPC525019 UYY525012:UYY525019 VIU525012:VIU525019 VSQ525012:VSQ525019 WCM525012:WCM525019 WMI525012:WMI525019 WWE525012:WWE525019 W590548:W590555 JS590548:JS590555 TO590548:TO590555 ADK590548:ADK590555 ANG590548:ANG590555 AXC590548:AXC590555 BGY590548:BGY590555 BQU590548:BQU590555 CAQ590548:CAQ590555 CKM590548:CKM590555 CUI590548:CUI590555 DEE590548:DEE590555 DOA590548:DOA590555 DXW590548:DXW590555 EHS590548:EHS590555 ERO590548:ERO590555 FBK590548:FBK590555 FLG590548:FLG590555 FVC590548:FVC590555 GEY590548:GEY590555 GOU590548:GOU590555 GYQ590548:GYQ590555 HIM590548:HIM590555 HSI590548:HSI590555 ICE590548:ICE590555 IMA590548:IMA590555 IVW590548:IVW590555 JFS590548:JFS590555 JPO590548:JPO590555 JZK590548:JZK590555 KJG590548:KJG590555 KTC590548:KTC590555 LCY590548:LCY590555 LMU590548:LMU590555 LWQ590548:LWQ590555 MGM590548:MGM590555 MQI590548:MQI590555 NAE590548:NAE590555 NKA590548:NKA590555 NTW590548:NTW590555 ODS590548:ODS590555 ONO590548:ONO590555 OXK590548:OXK590555 PHG590548:PHG590555 PRC590548:PRC590555 QAY590548:QAY590555 QKU590548:QKU590555 QUQ590548:QUQ590555 REM590548:REM590555 ROI590548:ROI590555 RYE590548:RYE590555 SIA590548:SIA590555 SRW590548:SRW590555 TBS590548:TBS590555 TLO590548:TLO590555 TVK590548:TVK590555 UFG590548:UFG590555 UPC590548:UPC590555 UYY590548:UYY590555 VIU590548:VIU590555 VSQ590548:VSQ590555 WCM590548:WCM590555 WMI590548:WMI590555 WWE590548:WWE590555 W656084:W656091 JS656084:JS656091 TO656084:TO656091 ADK656084:ADK656091 ANG656084:ANG656091 AXC656084:AXC656091 BGY656084:BGY656091 BQU656084:BQU656091 CAQ656084:CAQ656091 CKM656084:CKM656091 CUI656084:CUI656091 DEE656084:DEE656091 DOA656084:DOA656091 DXW656084:DXW656091 EHS656084:EHS656091 ERO656084:ERO656091 FBK656084:FBK656091 FLG656084:FLG656091 FVC656084:FVC656091 GEY656084:GEY656091 GOU656084:GOU656091 GYQ656084:GYQ656091 HIM656084:HIM656091 HSI656084:HSI656091 ICE656084:ICE656091 IMA656084:IMA656091 IVW656084:IVW656091 JFS656084:JFS656091 JPO656084:JPO656091 JZK656084:JZK656091 KJG656084:KJG656091 KTC656084:KTC656091 LCY656084:LCY656091 LMU656084:LMU656091 LWQ656084:LWQ656091 MGM656084:MGM656091 MQI656084:MQI656091 NAE656084:NAE656091 NKA656084:NKA656091 NTW656084:NTW656091 ODS656084:ODS656091 ONO656084:ONO656091 OXK656084:OXK656091 PHG656084:PHG656091 PRC656084:PRC656091 QAY656084:QAY656091 QKU656084:QKU656091 QUQ656084:QUQ656091 REM656084:REM656091 ROI656084:ROI656091 RYE656084:RYE656091 SIA656084:SIA656091 SRW656084:SRW656091 TBS656084:TBS656091 TLO656084:TLO656091 TVK656084:TVK656091 UFG656084:UFG656091 UPC656084:UPC656091 UYY656084:UYY656091 VIU656084:VIU656091 VSQ656084:VSQ656091 WCM656084:WCM656091 WMI656084:WMI656091 WWE656084:WWE656091 W721620:W721627 JS721620:JS721627 TO721620:TO721627 ADK721620:ADK721627 ANG721620:ANG721627 AXC721620:AXC721627 BGY721620:BGY721627 BQU721620:BQU721627 CAQ721620:CAQ721627 CKM721620:CKM721627 CUI721620:CUI721627 DEE721620:DEE721627 DOA721620:DOA721627 DXW721620:DXW721627 EHS721620:EHS721627 ERO721620:ERO721627 FBK721620:FBK721627 FLG721620:FLG721627 FVC721620:FVC721627 GEY721620:GEY721627 GOU721620:GOU721627 GYQ721620:GYQ721627 HIM721620:HIM721627 HSI721620:HSI721627 ICE721620:ICE721627 IMA721620:IMA721627 IVW721620:IVW721627 JFS721620:JFS721627 JPO721620:JPO721627 JZK721620:JZK721627 KJG721620:KJG721627 KTC721620:KTC721627 LCY721620:LCY721627 LMU721620:LMU721627 LWQ721620:LWQ721627 MGM721620:MGM721627 MQI721620:MQI721627 NAE721620:NAE721627 NKA721620:NKA721627 NTW721620:NTW721627 ODS721620:ODS721627 ONO721620:ONO721627 OXK721620:OXK721627 PHG721620:PHG721627 PRC721620:PRC721627 QAY721620:QAY721627 QKU721620:QKU721627 QUQ721620:QUQ721627 REM721620:REM721627 ROI721620:ROI721627 RYE721620:RYE721627 SIA721620:SIA721627 SRW721620:SRW721627 TBS721620:TBS721627 TLO721620:TLO721627 TVK721620:TVK721627 UFG721620:UFG721627 UPC721620:UPC721627 UYY721620:UYY721627 VIU721620:VIU721627 VSQ721620:VSQ721627 WCM721620:WCM721627 WMI721620:WMI721627 WWE721620:WWE721627 W787156:W787163 JS787156:JS787163 TO787156:TO787163 ADK787156:ADK787163 ANG787156:ANG787163 AXC787156:AXC787163 BGY787156:BGY787163 BQU787156:BQU787163 CAQ787156:CAQ787163 CKM787156:CKM787163 CUI787156:CUI787163 DEE787156:DEE787163 DOA787156:DOA787163 DXW787156:DXW787163 EHS787156:EHS787163 ERO787156:ERO787163 FBK787156:FBK787163 FLG787156:FLG787163 FVC787156:FVC787163 GEY787156:GEY787163 GOU787156:GOU787163 GYQ787156:GYQ787163 HIM787156:HIM787163 HSI787156:HSI787163 ICE787156:ICE787163 IMA787156:IMA787163 IVW787156:IVW787163 JFS787156:JFS787163 JPO787156:JPO787163 JZK787156:JZK787163 KJG787156:KJG787163 KTC787156:KTC787163 LCY787156:LCY787163 LMU787156:LMU787163 LWQ787156:LWQ787163 MGM787156:MGM787163 MQI787156:MQI787163 NAE787156:NAE787163 NKA787156:NKA787163 NTW787156:NTW787163 ODS787156:ODS787163 ONO787156:ONO787163 OXK787156:OXK787163 PHG787156:PHG787163 PRC787156:PRC787163 QAY787156:QAY787163 QKU787156:QKU787163 QUQ787156:QUQ787163 REM787156:REM787163 ROI787156:ROI787163 RYE787156:RYE787163 SIA787156:SIA787163 SRW787156:SRW787163 TBS787156:TBS787163 TLO787156:TLO787163 TVK787156:TVK787163 UFG787156:UFG787163 UPC787156:UPC787163 UYY787156:UYY787163 VIU787156:VIU787163 VSQ787156:VSQ787163 WCM787156:WCM787163 WMI787156:WMI787163 WWE787156:WWE787163 W852692:W852699 JS852692:JS852699 TO852692:TO852699 ADK852692:ADK852699 ANG852692:ANG852699 AXC852692:AXC852699 BGY852692:BGY852699 BQU852692:BQU852699 CAQ852692:CAQ852699 CKM852692:CKM852699 CUI852692:CUI852699 DEE852692:DEE852699 DOA852692:DOA852699 DXW852692:DXW852699 EHS852692:EHS852699 ERO852692:ERO852699 FBK852692:FBK852699 FLG852692:FLG852699 FVC852692:FVC852699 GEY852692:GEY852699 GOU852692:GOU852699 GYQ852692:GYQ852699 HIM852692:HIM852699 HSI852692:HSI852699 ICE852692:ICE852699 IMA852692:IMA852699 IVW852692:IVW852699 JFS852692:JFS852699 JPO852692:JPO852699 JZK852692:JZK852699 KJG852692:KJG852699 KTC852692:KTC852699 LCY852692:LCY852699 LMU852692:LMU852699 LWQ852692:LWQ852699 MGM852692:MGM852699 MQI852692:MQI852699 NAE852692:NAE852699 NKA852692:NKA852699 NTW852692:NTW852699 ODS852692:ODS852699 ONO852692:ONO852699 OXK852692:OXK852699 PHG852692:PHG852699 PRC852692:PRC852699 QAY852692:QAY852699 QKU852692:QKU852699 QUQ852692:QUQ852699 REM852692:REM852699 ROI852692:ROI852699 RYE852692:RYE852699 SIA852692:SIA852699 SRW852692:SRW852699 TBS852692:TBS852699 TLO852692:TLO852699 TVK852692:TVK852699 UFG852692:UFG852699 UPC852692:UPC852699 UYY852692:UYY852699 VIU852692:VIU852699 VSQ852692:VSQ852699 WCM852692:WCM852699 WMI852692:WMI852699 WWE852692:WWE852699 W918228:W918235 JS918228:JS918235 TO918228:TO918235 ADK918228:ADK918235 ANG918228:ANG918235 AXC918228:AXC918235 BGY918228:BGY918235 BQU918228:BQU918235 CAQ918228:CAQ918235 CKM918228:CKM918235 CUI918228:CUI918235 DEE918228:DEE918235 DOA918228:DOA918235 DXW918228:DXW918235 EHS918228:EHS918235 ERO918228:ERO918235 FBK918228:FBK918235 FLG918228:FLG918235 FVC918228:FVC918235 GEY918228:GEY918235 GOU918228:GOU918235 GYQ918228:GYQ918235 HIM918228:HIM918235 HSI918228:HSI918235 ICE918228:ICE918235 IMA918228:IMA918235 IVW918228:IVW918235 JFS918228:JFS918235 JPO918228:JPO918235 JZK918228:JZK918235 KJG918228:KJG918235 KTC918228:KTC918235 LCY918228:LCY918235 LMU918228:LMU918235 LWQ918228:LWQ918235 MGM918228:MGM918235 MQI918228:MQI918235 NAE918228:NAE918235 NKA918228:NKA918235 NTW918228:NTW918235 ODS918228:ODS918235 ONO918228:ONO918235 OXK918228:OXK918235 PHG918228:PHG918235 PRC918228:PRC918235 QAY918228:QAY918235 QKU918228:QKU918235 QUQ918228:QUQ918235 REM918228:REM918235 ROI918228:ROI918235 RYE918228:RYE918235 SIA918228:SIA918235 SRW918228:SRW918235 TBS918228:TBS918235 TLO918228:TLO918235 TVK918228:TVK918235 UFG918228:UFG918235 UPC918228:UPC918235 UYY918228:UYY918235 VIU918228:VIU918235 VSQ918228:VSQ918235 WCM918228:WCM918235 WMI918228:WMI918235 WWE918228:WWE918235 W983764:W983771 JS983764:JS983771 TO983764:TO983771 ADK983764:ADK983771 ANG983764:ANG983771 AXC983764:AXC983771 BGY983764:BGY983771 BQU983764:BQU983771 CAQ983764:CAQ983771 CKM983764:CKM983771 CUI983764:CUI983771 DEE983764:DEE983771 DOA983764:DOA983771 DXW983764:DXW983771 EHS983764:EHS983771 ERO983764:ERO983771 FBK983764:FBK983771 FLG983764:FLG983771 FVC983764:FVC983771 GEY983764:GEY983771 GOU983764:GOU983771 GYQ983764:GYQ983771 HIM983764:HIM983771 HSI983764:HSI983771 ICE983764:ICE983771 IMA983764:IMA983771 IVW983764:IVW983771 JFS983764:JFS983771 JPO983764:JPO983771 JZK983764:JZK983771 KJG983764:KJG983771 KTC983764:KTC983771 LCY983764:LCY983771 LMU983764:LMU983771 LWQ983764:LWQ983771 MGM983764:MGM983771 MQI983764:MQI983771 NAE983764:NAE983771 NKA983764:NKA983771 NTW983764:NTW983771 ODS983764:ODS983771 ONO983764:ONO983771 OXK983764:OXK983771 PHG983764:PHG983771 PRC983764:PRC983771 QAY983764:QAY983771 QKU983764:QKU983771 QUQ983764:QUQ983771 REM983764:REM983771 ROI983764:ROI983771 RYE983764:RYE983771 SIA983764:SIA983771 SRW983764:SRW983771 TBS983764:TBS983771 TLO983764:TLO983771 TVK983764:TVK983771 UFG983764:UFG983771 UPC983764:UPC983771 UYY983764:UYY983771 VIU983764:VIU983771 VSQ983764:VSQ983771 WCM983764:WCM983771 WMI983764:WMI983771 WWE983764:WWE983771" xr:uid="{EBEC11A2-416B-4FA3-8C54-22A82BEB6CE1}">
      <formula1>$AE$723:$AE$723</formula1>
    </dataValidation>
    <dataValidation type="list" allowBlank="1" showInputMessage="1" showErrorMessage="1" sqref="W722 JS722 TO722 ADK722 ANG722 AXC722 BGY722 BQU722 CAQ722 CKM722 CUI722 DEE722 DOA722 DXW722 EHS722 ERO722 FBK722 FLG722 FVC722 GEY722 GOU722 GYQ722 HIM722 HSI722 ICE722 IMA722 IVW722 JFS722 JPO722 JZK722 KJG722 KTC722 LCY722 LMU722 LWQ722 MGM722 MQI722 NAE722 NKA722 NTW722 ODS722 ONO722 OXK722 PHG722 PRC722 QAY722 QKU722 QUQ722 REM722 ROI722 RYE722 SIA722 SRW722 TBS722 TLO722 TVK722 UFG722 UPC722 UYY722 VIU722 VSQ722 WCM722 WMI722 WWE722 W66258 JS66258 TO66258 ADK66258 ANG66258 AXC66258 BGY66258 BQU66258 CAQ66258 CKM66258 CUI66258 DEE66258 DOA66258 DXW66258 EHS66258 ERO66258 FBK66258 FLG66258 FVC66258 GEY66258 GOU66258 GYQ66258 HIM66258 HSI66258 ICE66258 IMA66258 IVW66258 JFS66258 JPO66258 JZK66258 KJG66258 KTC66258 LCY66258 LMU66258 LWQ66258 MGM66258 MQI66258 NAE66258 NKA66258 NTW66258 ODS66258 ONO66258 OXK66258 PHG66258 PRC66258 QAY66258 QKU66258 QUQ66258 REM66258 ROI66258 RYE66258 SIA66258 SRW66258 TBS66258 TLO66258 TVK66258 UFG66258 UPC66258 UYY66258 VIU66258 VSQ66258 WCM66258 WMI66258 WWE66258 W131794 JS131794 TO131794 ADK131794 ANG131794 AXC131794 BGY131794 BQU131794 CAQ131794 CKM131794 CUI131794 DEE131794 DOA131794 DXW131794 EHS131794 ERO131794 FBK131794 FLG131794 FVC131794 GEY131794 GOU131794 GYQ131794 HIM131794 HSI131794 ICE131794 IMA131794 IVW131794 JFS131794 JPO131794 JZK131794 KJG131794 KTC131794 LCY131794 LMU131794 LWQ131794 MGM131794 MQI131794 NAE131794 NKA131794 NTW131794 ODS131794 ONO131794 OXK131794 PHG131794 PRC131794 QAY131794 QKU131794 QUQ131794 REM131794 ROI131794 RYE131794 SIA131794 SRW131794 TBS131794 TLO131794 TVK131794 UFG131794 UPC131794 UYY131794 VIU131794 VSQ131794 WCM131794 WMI131794 WWE131794 W197330 JS197330 TO197330 ADK197330 ANG197330 AXC197330 BGY197330 BQU197330 CAQ197330 CKM197330 CUI197330 DEE197330 DOA197330 DXW197330 EHS197330 ERO197330 FBK197330 FLG197330 FVC197330 GEY197330 GOU197330 GYQ197330 HIM197330 HSI197330 ICE197330 IMA197330 IVW197330 JFS197330 JPO197330 JZK197330 KJG197330 KTC197330 LCY197330 LMU197330 LWQ197330 MGM197330 MQI197330 NAE197330 NKA197330 NTW197330 ODS197330 ONO197330 OXK197330 PHG197330 PRC197330 QAY197330 QKU197330 QUQ197330 REM197330 ROI197330 RYE197330 SIA197330 SRW197330 TBS197330 TLO197330 TVK197330 UFG197330 UPC197330 UYY197330 VIU197330 VSQ197330 WCM197330 WMI197330 WWE197330 W262866 JS262866 TO262866 ADK262866 ANG262866 AXC262866 BGY262866 BQU262866 CAQ262866 CKM262866 CUI262866 DEE262866 DOA262866 DXW262866 EHS262866 ERO262866 FBK262866 FLG262866 FVC262866 GEY262866 GOU262866 GYQ262866 HIM262866 HSI262866 ICE262866 IMA262866 IVW262866 JFS262866 JPO262866 JZK262866 KJG262866 KTC262866 LCY262866 LMU262866 LWQ262866 MGM262866 MQI262866 NAE262866 NKA262866 NTW262866 ODS262866 ONO262866 OXK262866 PHG262866 PRC262866 QAY262866 QKU262866 QUQ262866 REM262866 ROI262866 RYE262866 SIA262866 SRW262866 TBS262866 TLO262866 TVK262866 UFG262866 UPC262866 UYY262866 VIU262866 VSQ262866 WCM262866 WMI262866 WWE262866 W328402 JS328402 TO328402 ADK328402 ANG328402 AXC328402 BGY328402 BQU328402 CAQ328402 CKM328402 CUI328402 DEE328402 DOA328402 DXW328402 EHS328402 ERO328402 FBK328402 FLG328402 FVC328402 GEY328402 GOU328402 GYQ328402 HIM328402 HSI328402 ICE328402 IMA328402 IVW328402 JFS328402 JPO328402 JZK328402 KJG328402 KTC328402 LCY328402 LMU328402 LWQ328402 MGM328402 MQI328402 NAE328402 NKA328402 NTW328402 ODS328402 ONO328402 OXK328402 PHG328402 PRC328402 QAY328402 QKU328402 QUQ328402 REM328402 ROI328402 RYE328402 SIA328402 SRW328402 TBS328402 TLO328402 TVK328402 UFG328402 UPC328402 UYY328402 VIU328402 VSQ328402 WCM328402 WMI328402 WWE328402 W393938 JS393938 TO393938 ADK393938 ANG393938 AXC393938 BGY393938 BQU393938 CAQ393938 CKM393938 CUI393938 DEE393938 DOA393938 DXW393938 EHS393938 ERO393938 FBK393938 FLG393938 FVC393938 GEY393938 GOU393938 GYQ393938 HIM393938 HSI393938 ICE393938 IMA393938 IVW393938 JFS393938 JPO393938 JZK393938 KJG393938 KTC393938 LCY393938 LMU393938 LWQ393938 MGM393938 MQI393938 NAE393938 NKA393938 NTW393938 ODS393938 ONO393938 OXK393938 PHG393938 PRC393938 QAY393938 QKU393938 QUQ393938 REM393938 ROI393938 RYE393938 SIA393938 SRW393938 TBS393938 TLO393938 TVK393938 UFG393938 UPC393938 UYY393938 VIU393938 VSQ393938 WCM393938 WMI393938 WWE393938 W459474 JS459474 TO459474 ADK459474 ANG459474 AXC459474 BGY459474 BQU459474 CAQ459474 CKM459474 CUI459474 DEE459474 DOA459474 DXW459474 EHS459474 ERO459474 FBK459474 FLG459474 FVC459474 GEY459474 GOU459474 GYQ459474 HIM459474 HSI459474 ICE459474 IMA459474 IVW459474 JFS459474 JPO459474 JZK459474 KJG459474 KTC459474 LCY459474 LMU459474 LWQ459474 MGM459474 MQI459474 NAE459474 NKA459474 NTW459474 ODS459474 ONO459474 OXK459474 PHG459474 PRC459474 QAY459474 QKU459474 QUQ459474 REM459474 ROI459474 RYE459474 SIA459474 SRW459474 TBS459474 TLO459474 TVK459474 UFG459474 UPC459474 UYY459474 VIU459474 VSQ459474 WCM459474 WMI459474 WWE459474 W525010 JS525010 TO525010 ADK525010 ANG525010 AXC525010 BGY525010 BQU525010 CAQ525010 CKM525010 CUI525010 DEE525010 DOA525010 DXW525010 EHS525010 ERO525010 FBK525010 FLG525010 FVC525010 GEY525010 GOU525010 GYQ525010 HIM525010 HSI525010 ICE525010 IMA525010 IVW525010 JFS525010 JPO525010 JZK525010 KJG525010 KTC525010 LCY525010 LMU525010 LWQ525010 MGM525010 MQI525010 NAE525010 NKA525010 NTW525010 ODS525010 ONO525010 OXK525010 PHG525010 PRC525010 QAY525010 QKU525010 QUQ525010 REM525010 ROI525010 RYE525010 SIA525010 SRW525010 TBS525010 TLO525010 TVK525010 UFG525010 UPC525010 UYY525010 VIU525010 VSQ525010 WCM525010 WMI525010 WWE525010 W590546 JS590546 TO590546 ADK590546 ANG590546 AXC590546 BGY590546 BQU590546 CAQ590546 CKM590546 CUI590546 DEE590546 DOA590546 DXW590546 EHS590546 ERO590546 FBK590546 FLG590546 FVC590546 GEY590546 GOU590546 GYQ590546 HIM590546 HSI590546 ICE590546 IMA590546 IVW590546 JFS590546 JPO590546 JZK590546 KJG590546 KTC590546 LCY590546 LMU590546 LWQ590546 MGM590546 MQI590546 NAE590546 NKA590546 NTW590546 ODS590546 ONO590546 OXK590546 PHG590546 PRC590546 QAY590546 QKU590546 QUQ590546 REM590546 ROI590546 RYE590546 SIA590546 SRW590546 TBS590546 TLO590546 TVK590546 UFG590546 UPC590546 UYY590546 VIU590546 VSQ590546 WCM590546 WMI590546 WWE590546 W656082 JS656082 TO656082 ADK656082 ANG656082 AXC656082 BGY656082 BQU656082 CAQ656082 CKM656082 CUI656082 DEE656082 DOA656082 DXW656082 EHS656082 ERO656082 FBK656082 FLG656082 FVC656082 GEY656082 GOU656082 GYQ656082 HIM656082 HSI656082 ICE656082 IMA656082 IVW656082 JFS656082 JPO656082 JZK656082 KJG656082 KTC656082 LCY656082 LMU656082 LWQ656082 MGM656082 MQI656082 NAE656082 NKA656082 NTW656082 ODS656082 ONO656082 OXK656082 PHG656082 PRC656082 QAY656082 QKU656082 QUQ656082 REM656082 ROI656082 RYE656082 SIA656082 SRW656082 TBS656082 TLO656082 TVK656082 UFG656082 UPC656082 UYY656082 VIU656082 VSQ656082 WCM656082 WMI656082 WWE656082 W721618 JS721618 TO721618 ADK721618 ANG721618 AXC721618 BGY721618 BQU721618 CAQ721618 CKM721618 CUI721618 DEE721618 DOA721618 DXW721618 EHS721618 ERO721618 FBK721618 FLG721618 FVC721618 GEY721618 GOU721618 GYQ721618 HIM721618 HSI721618 ICE721618 IMA721618 IVW721618 JFS721618 JPO721618 JZK721618 KJG721618 KTC721618 LCY721618 LMU721618 LWQ721618 MGM721618 MQI721618 NAE721618 NKA721618 NTW721618 ODS721618 ONO721618 OXK721618 PHG721618 PRC721618 QAY721618 QKU721618 QUQ721618 REM721618 ROI721618 RYE721618 SIA721618 SRW721618 TBS721618 TLO721618 TVK721618 UFG721618 UPC721618 UYY721618 VIU721618 VSQ721618 WCM721618 WMI721618 WWE721618 W787154 JS787154 TO787154 ADK787154 ANG787154 AXC787154 BGY787154 BQU787154 CAQ787154 CKM787154 CUI787154 DEE787154 DOA787154 DXW787154 EHS787154 ERO787154 FBK787154 FLG787154 FVC787154 GEY787154 GOU787154 GYQ787154 HIM787154 HSI787154 ICE787154 IMA787154 IVW787154 JFS787154 JPO787154 JZK787154 KJG787154 KTC787154 LCY787154 LMU787154 LWQ787154 MGM787154 MQI787154 NAE787154 NKA787154 NTW787154 ODS787154 ONO787154 OXK787154 PHG787154 PRC787154 QAY787154 QKU787154 QUQ787154 REM787154 ROI787154 RYE787154 SIA787154 SRW787154 TBS787154 TLO787154 TVK787154 UFG787154 UPC787154 UYY787154 VIU787154 VSQ787154 WCM787154 WMI787154 WWE787154 W852690 JS852690 TO852690 ADK852690 ANG852690 AXC852690 BGY852690 BQU852690 CAQ852690 CKM852690 CUI852690 DEE852690 DOA852690 DXW852690 EHS852690 ERO852690 FBK852690 FLG852690 FVC852690 GEY852690 GOU852690 GYQ852690 HIM852690 HSI852690 ICE852690 IMA852690 IVW852690 JFS852690 JPO852690 JZK852690 KJG852690 KTC852690 LCY852690 LMU852690 LWQ852690 MGM852690 MQI852690 NAE852690 NKA852690 NTW852690 ODS852690 ONO852690 OXK852690 PHG852690 PRC852690 QAY852690 QKU852690 QUQ852690 REM852690 ROI852690 RYE852690 SIA852690 SRW852690 TBS852690 TLO852690 TVK852690 UFG852690 UPC852690 UYY852690 VIU852690 VSQ852690 WCM852690 WMI852690 WWE852690 W918226 JS918226 TO918226 ADK918226 ANG918226 AXC918226 BGY918226 BQU918226 CAQ918226 CKM918226 CUI918226 DEE918226 DOA918226 DXW918226 EHS918226 ERO918226 FBK918226 FLG918226 FVC918226 GEY918226 GOU918226 GYQ918226 HIM918226 HSI918226 ICE918226 IMA918226 IVW918226 JFS918226 JPO918226 JZK918226 KJG918226 KTC918226 LCY918226 LMU918226 LWQ918226 MGM918226 MQI918226 NAE918226 NKA918226 NTW918226 ODS918226 ONO918226 OXK918226 PHG918226 PRC918226 QAY918226 QKU918226 QUQ918226 REM918226 ROI918226 RYE918226 SIA918226 SRW918226 TBS918226 TLO918226 TVK918226 UFG918226 UPC918226 UYY918226 VIU918226 VSQ918226 WCM918226 WMI918226 WWE918226 W983762 JS983762 TO983762 ADK983762 ANG983762 AXC983762 BGY983762 BQU983762 CAQ983762 CKM983762 CUI983762 DEE983762 DOA983762 DXW983762 EHS983762 ERO983762 FBK983762 FLG983762 FVC983762 GEY983762 GOU983762 GYQ983762 HIM983762 HSI983762 ICE983762 IMA983762 IVW983762 JFS983762 JPO983762 JZK983762 KJG983762 KTC983762 LCY983762 LMU983762 LWQ983762 MGM983762 MQI983762 NAE983762 NKA983762 NTW983762 ODS983762 ONO983762 OXK983762 PHG983762 PRC983762 QAY983762 QKU983762 QUQ983762 REM983762 ROI983762 RYE983762 SIA983762 SRW983762 TBS983762 TLO983762 TVK983762 UFG983762 UPC983762 UYY983762 VIU983762 VSQ983762 WCM983762 WMI983762 WWE983762" xr:uid="{90B82C9C-E433-4579-A56B-2BADBDFA01BE}">
      <formula1>$AC$717:$AC$718</formula1>
    </dataValidation>
    <dataValidation type="list" allowBlank="1" showInputMessage="1" showErrorMessage="1" sqref="AO734 KK734 UG734 AEC734 ANY734 AXU734 BHQ734 BRM734 CBI734 CLE734 CVA734 DEW734 DOS734 DYO734 EIK734 ESG734 FCC734 FLY734 FVU734 GFQ734 GPM734 GZI734 HJE734 HTA734 ICW734 IMS734 IWO734 JGK734 JQG734 KAC734 KJY734 KTU734 LDQ734 LNM734 LXI734 MHE734 MRA734 NAW734 NKS734 NUO734 OEK734 OOG734 OYC734 PHY734 PRU734 QBQ734 QLM734 QVI734 RFE734 RPA734 RYW734 SIS734 SSO734 TCK734 TMG734 TWC734 UFY734 UPU734 UZQ734 VJM734 VTI734 WDE734 WNA734 WWW734 AO66270 KK66270 UG66270 AEC66270 ANY66270 AXU66270 BHQ66270 BRM66270 CBI66270 CLE66270 CVA66270 DEW66270 DOS66270 DYO66270 EIK66270 ESG66270 FCC66270 FLY66270 FVU66270 GFQ66270 GPM66270 GZI66270 HJE66270 HTA66270 ICW66270 IMS66270 IWO66270 JGK66270 JQG66270 KAC66270 KJY66270 KTU66270 LDQ66270 LNM66270 LXI66270 MHE66270 MRA66270 NAW66270 NKS66270 NUO66270 OEK66270 OOG66270 OYC66270 PHY66270 PRU66270 QBQ66270 QLM66270 QVI66270 RFE66270 RPA66270 RYW66270 SIS66270 SSO66270 TCK66270 TMG66270 TWC66270 UFY66270 UPU66270 UZQ66270 VJM66270 VTI66270 WDE66270 WNA66270 WWW66270 AO131806 KK131806 UG131806 AEC131806 ANY131806 AXU131806 BHQ131806 BRM131806 CBI131806 CLE131806 CVA131806 DEW131806 DOS131806 DYO131806 EIK131806 ESG131806 FCC131806 FLY131806 FVU131806 GFQ131806 GPM131806 GZI131806 HJE131806 HTA131806 ICW131806 IMS131806 IWO131806 JGK131806 JQG131806 KAC131806 KJY131806 KTU131806 LDQ131806 LNM131806 LXI131806 MHE131806 MRA131806 NAW131806 NKS131806 NUO131806 OEK131806 OOG131806 OYC131806 PHY131806 PRU131806 QBQ131806 QLM131806 QVI131806 RFE131806 RPA131806 RYW131806 SIS131806 SSO131806 TCK131806 TMG131806 TWC131806 UFY131806 UPU131806 UZQ131806 VJM131806 VTI131806 WDE131806 WNA131806 WWW131806 AO197342 KK197342 UG197342 AEC197342 ANY197342 AXU197342 BHQ197342 BRM197342 CBI197342 CLE197342 CVA197342 DEW197342 DOS197342 DYO197342 EIK197342 ESG197342 FCC197342 FLY197342 FVU197342 GFQ197342 GPM197342 GZI197342 HJE197342 HTA197342 ICW197342 IMS197342 IWO197342 JGK197342 JQG197342 KAC197342 KJY197342 KTU197342 LDQ197342 LNM197342 LXI197342 MHE197342 MRA197342 NAW197342 NKS197342 NUO197342 OEK197342 OOG197342 OYC197342 PHY197342 PRU197342 QBQ197342 QLM197342 QVI197342 RFE197342 RPA197342 RYW197342 SIS197342 SSO197342 TCK197342 TMG197342 TWC197342 UFY197342 UPU197342 UZQ197342 VJM197342 VTI197342 WDE197342 WNA197342 WWW197342 AO262878 KK262878 UG262878 AEC262878 ANY262878 AXU262878 BHQ262878 BRM262878 CBI262878 CLE262878 CVA262878 DEW262878 DOS262878 DYO262878 EIK262878 ESG262878 FCC262878 FLY262878 FVU262878 GFQ262878 GPM262878 GZI262878 HJE262878 HTA262878 ICW262878 IMS262878 IWO262878 JGK262878 JQG262878 KAC262878 KJY262878 KTU262878 LDQ262878 LNM262878 LXI262878 MHE262878 MRA262878 NAW262878 NKS262878 NUO262878 OEK262878 OOG262878 OYC262878 PHY262878 PRU262878 QBQ262878 QLM262878 QVI262878 RFE262878 RPA262878 RYW262878 SIS262878 SSO262878 TCK262878 TMG262878 TWC262878 UFY262878 UPU262878 UZQ262878 VJM262878 VTI262878 WDE262878 WNA262878 WWW262878 AO328414 KK328414 UG328414 AEC328414 ANY328414 AXU328414 BHQ328414 BRM328414 CBI328414 CLE328414 CVA328414 DEW328414 DOS328414 DYO328414 EIK328414 ESG328414 FCC328414 FLY328414 FVU328414 GFQ328414 GPM328414 GZI328414 HJE328414 HTA328414 ICW328414 IMS328414 IWO328414 JGK328414 JQG328414 KAC328414 KJY328414 KTU328414 LDQ328414 LNM328414 LXI328414 MHE328414 MRA328414 NAW328414 NKS328414 NUO328414 OEK328414 OOG328414 OYC328414 PHY328414 PRU328414 QBQ328414 QLM328414 QVI328414 RFE328414 RPA328414 RYW328414 SIS328414 SSO328414 TCK328414 TMG328414 TWC328414 UFY328414 UPU328414 UZQ328414 VJM328414 VTI328414 WDE328414 WNA328414 WWW328414 AO393950 KK393950 UG393950 AEC393950 ANY393950 AXU393950 BHQ393950 BRM393950 CBI393950 CLE393950 CVA393950 DEW393950 DOS393950 DYO393950 EIK393950 ESG393950 FCC393950 FLY393950 FVU393950 GFQ393950 GPM393950 GZI393950 HJE393950 HTA393950 ICW393950 IMS393950 IWO393950 JGK393950 JQG393950 KAC393950 KJY393950 KTU393950 LDQ393950 LNM393950 LXI393950 MHE393950 MRA393950 NAW393950 NKS393950 NUO393950 OEK393950 OOG393950 OYC393950 PHY393950 PRU393950 QBQ393950 QLM393950 QVI393950 RFE393950 RPA393950 RYW393950 SIS393950 SSO393950 TCK393950 TMG393950 TWC393950 UFY393950 UPU393950 UZQ393950 VJM393950 VTI393950 WDE393950 WNA393950 WWW393950 AO459486 KK459486 UG459486 AEC459486 ANY459486 AXU459486 BHQ459486 BRM459486 CBI459486 CLE459486 CVA459486 DEW459486 DOS459486 DYO459486 EIK459486 ESG459486 FCC459486 FLY459486 FVU459486 GFQ459486 GPM459486 GZI459486 HJE459486 HTA459486 ICW459486 IMS459486 IWO459486 JGK459486 JQG459486 KAC459486 KJY459486 KTU459486 LDQ459486 LNM459486 LXI459486 MHE459486 MRA459486 NAW459486 NKS459486 NUO459486 OEK459486 OOG459486 OYC459486 PHY459486 PRU459486 QBQ459486 QLM459486 QVI459486 RFE459486 RPA459486 RYW459486 SIS459486 SSO459486 TCK459486 TMG459486 TWC459486 UFY459486 UPU459486 UZQ459486 VJM459486 VTI459486 WDE459486 WNA459486 WWW459486 AO525022 KK525022 UG525022 AEC525022 ANY525022 AXU525022 BHQ525022 BRM525022 CBI525022 CLE525022 CVA525022 DEW525022 DOS525022 DYO525022 EIK525022 ESG525022 FCC525022 FLY525022 FVU525022 GFQ525022 GPM525022 GZI525022 HJE525022 HTA525022 ICW525022 IMS525022 IWO525022 JGK525022 JQG525022 KAC525022 KJY525022 KTU525022 LDQ525022 LNM525022 LXI525022 MHE525022 MRA525022 NAW525022 NKS525022 NUO525022 OEK525022 OOG525022 OYC525022 PHY525022 PRU525022 QBQ525022 QLM525022 QVI525022 RFE525022 RPA525022 RYW525022 SIS525022 SSO525022 TCK525022 TMG525022 TWC525022 UFY525022 UPU525022 UZQ525022 VJM525022 VTI525022 WDE525022 WNA525022 WWW525022 AO590558 KK590558 UG590558 AEC590558 ANY590558 AXU590558 BHQ590558 BRM590558 CBI590558 CLE590558 CVA590558 DEW590558 DOS590558 DYO590558 EIK590558 ESG590558 FCC590558 FLY590558 FVU590558 GFQ590558 GPM590558 GZI590558 HJE590558 HTA590558 ICW590558 IMS590558 IWO590558 JGK590558 JQG590558 KAC590558 KJY590558 KTU590558 LDQ590558 LNM590558 LXI590558 MHE590558 MRA590558 NAW590558 NKS590558 NUO590558 OEK590558 OOG590558 OYC590558 PHY590558 PRU590558 QBQ590558 QLM590558 QVI590558 RFE590558 RPA590558 RYW590558 SIS590558 SSO590558 TCK590558 TMG590558 TWC590558 UFY590558 UPU590558 UZQ590558 VJM590558 VTI590558 WDE590558 WNA590558 WWW590558 AO656094 KK656094 UG656094 AEC656094 ANY656094 AXU656094 BHQ656094 BRM656094 CBI656094 CLE656094 CVA656094 DEW656094 DOS656094 DYO656094 EIK656094 ESG656094 FCC656094 FLY656094 FVU656094 GFQ656094 GPM656094 GZI656094 HJE656094 HTA656094 ICW656094 IMS656094 IWO656094 JGK656094 JQG656094 KAC656094 KJY656094 KTU656094 LDQ656094 LNM656094 LXI656094 MHE656094 MRA656094 NAW656094 NKS656094 NUO656094 OEK656094 OOG656094 OYC656094 PHY656094 PRU656094 QBQ656094 QLM656094 QVI656094 RFE656094 RPA656094 RYW656094 SIS656094 SSO656094 TCK656094 TMG656094 TWC656094 UFY656094 UPU656094 UZQ656094 VJM656094 VTI656094 WDE656094 WNA656094 WWW656094 AO721630 KK721630 UG721630 AEC721630 ANY721630 AXU721630 BHQ721630 BRM721630 CBI721630 CLE721630 CVA721630 DEW721630 DOS721630 DYO721630 EIK721630 ESG721630 FCC721630 FLY721630 FVU721630 GFQ721630 GPM721630 GZI721630 HJE721630 HTA721630 ICW721630 IMS721630 IWO721630 JGK721630 JQG721630 KAC721630 KJY721630 KTU721630 LDQ721630 LNM721630 LXI721630 MHE721630 MRA721630 NAW721630 NKS721630 NUO721630 OEK721630 OOG721630 OYC721630 PHY721630 PRU721630 QBQ721630 QLM721630 QVI721630 RFE721630 RPA721630 RYW721630 SIS721630 SSO721630 TCK721630 TMG721630 TWC721630 UFY721630 UPU721630 UZQ721630 VJM721630 VTI721630 WDE721630 WNA721630 WWW721630 AO787166 KK787166 UG787166 AEC787166 ANY787166 AXU787166 BHQ787166 BRM787166 CBI787166 CLE787166 CVA787166 DEW787166 DOS787166 DYO787166 EIK787166 ESG787166 FCC787166 FLY787166 FVU787166 GFQ787166 GPM787166 GZI787166 HJE787166 HTA787166 ICW787166 IMS787166 IWO787166 JGK787166 JQG787166 KAC787166 KJY787166 KTU787166 LDQ787166 LNM787166 LXI787166 MHE787166 MRA787166 NAW787166 NKS787166 NUO787166 OEK787166 OOG787166 OYC787166 PHY787166 PRU787166 QBQ787166 QLM787166 QVI787166 RFE787166 RPA787166 RYW787166 SIS787166 SSO787166 TCK787166 TMG787166 TWC787166 UFY787166 UPU787166 UZQ787166 VJM787166 VTI787166 WDE787166 WNA787166 WWW787166 AO852702 KK852702 UG852702 AEC852702 ANY852702 AXU852702 BHQ852702 BRM852702 CBI852702 CLE852702 CVA852702 DEW852702 DOS852702 DYO852702 EIK852702 ESG852702 FCC852702 FLY852702 FVU852702 GFQ852702 GPM852702 GZI852702 HJE852702 HTA852702 ICW852702 IMS852702 IWO852702 JGK852702 JQG852702 KAC852702 KJY852702 KTU852702 LDQ852702 LNM852702 LXI852702 MHE852702 MRA852702 NAW852702 NKS852702 NUO852702 OEK852702 OOG852702 OYC852702 PHY852702 PRU852702 QBQ852702 QLM852702 QVI852702 RFE852702 RPA852702 RYW852702 SIS852702 SSO852702 TCK852702 TMG852702 TWC852702 UFY852702 UPU852702 UZQ852702 VJM852702 VTI852702 WDE852702 WNA852702 WWW852702 AO918238 KK918238 UG918238 AEC918238 ANY918238 AXU918238 BHQ918238 BRM918238 CBI918238 CLE918238 CVA918238 DEW918238 DOS918238 DYO918238 EIK918238 ESG918238 FCC918238 FLY918238 FVU918238 GFQ918238 GPM918238 GZI918238 HJE918238 HTA918238 ICW918238 IMS918238 IWO918238 JGK918238 JQG918238 KAC918238 KJY918238 KTU918238 LDQ918238 LNM918238 LXI918238 MHE918238 MRA918238 NAW918238 NKS918238 NUO918238 OEK918238 OOG918238 OYC918238 PHY918238 PRU918238 QBQ918238 QLM918238 QVI918238 RFE918238 RPA918238 RYW918238 SIS918238 SSO918238 TCK918238 TMG918238 TWC918238 UFY918238 UPU918238 UZQ918238 VJM918238 VTI918238 WDE918238 WNA918238 WWW918238 AO983774 KK983774 UG983774 AEC983774 ANY983774 AXU983774 BHQ983774 BRM983774 CBI983774 CLE983774 CVA983774 DEW983774 DOS983774 DYO983774 EIK983774 ESG983774 FCC983774 FLY983774 FVU983774 GFQ983774 GPM983774 GZI983774 HJE983774 HTA983774 ICW983774 IMS983774 IWO983774 JGK983774 JQG983774 KAC983774 KJY983774 KTU983774 LDQ983774 LNM983774 LXI983774 MHE983774 MRA983774 NAW983774 NKS983774 NUO983774 OEK983774 OOG983774 OYC983774 PHY983774 PRU983774 QBQ983774 QLM983774 QVI983774 RFE983774 RPA983774 RYW983774 SIS983774 SSO983774 TCK983774 TMG983774 TWC983774 UFY983774 UPU983774 UZQ983774 VJM983774 VTI983774 WDE983774 WNA983774 WWW983774" xr:uid="{055F53F4-5CE1-4F78-B0ED-1ED8344F0992}">
      <formula1>$AO$735:$AO$761</formula1>
    </dataValidation>
    <dataValidation type="list" allowBlank="1" showInputMessage="1" showErrorMessage="1" sqref="AN721 KJ721 UF721 AEB721 ANX721 AXT721 BHP721 BRL721 CBH721 CLD721 CUZ721 DEV721 DOR721 DYN721 EIJ721 ESF721 FCB721 FLX721 FVT721 GFP721 GPL721 GZH721 HJD721 HSZ721 ICV721 IMR721 IWN721 JGJ721 JQF721 KAB721 KJX721 KTT721 LDP721 LNL721 LXH721 MHD721 MQZ721 NAV721 NKR721 NUN721 OEJ721 OOF721 OYB721 PHX721 PRT721 QBP721 QLL721 QVH721 RFD721 ROZ721 RYV721 SIR721 SSN721 TCJ721 TMF721 TWB721 UFX721 UPT721 UZP721 VJL721 VTH721 WDD721 WMZ721 WWV721 AN66257 KJ66257 UF66257 AEB66257 ANX66257 AXT66257 BHP66257 BRL66257 CBH66257 CLD66257 CUZ66257 DEV66257 DOR66257 DYN66257 EIJ66257 ESF66257 FCB66257 FLX66257 FVT66257 GFP66257 GPL66257 GZH66257 HJD66257 HSZ66257 ICV66257 IMR66257 IWN66257 JGJ66257 JQF66257 KAB66257 KJX66257 KTT66257 LDP66257 LNL66257 LXH66257 MHD66257 MQZ66257 NAV66257 NKR66257 NUN66257 OEJ66257 OOF66257 OYB66257 PHX66257 PRT66257 QBP66257 QLL66257 QVH66257 RFD66257 ROZ66257 RYV66257 SIR66257 SSN66257 TCJ66257 TMF66257 TWB66257 UFX66257 UPT66257 UZP66257 VJL66257 VTH66257 WDD66257 WMZ66257 WWV66257 AN131793 KJ131793 UF131793 AEB131793 ANX131793 AXT131793 BHP131793 BRL131793 CBH131793 CLD131793 CUZ131793 DEV131793 DOR131793 DYN131793 EIJ131793 ESF131793 FCB131793 FLX131793 FVT131793 GFP131793 GPL131793 GZH131793 HJD131793 HSZ131793 ICV131793 IMR131793 IWN131793 JGJ131793 JQF131793 KAB131793 KJX131793 KTT131793 LDP131793 LNL131793 LXH131793 MHD131793 MQZ131793 NAV131793 NKR131793 NUN131793 OEJ131793 OOF131793 OYB131793 PHX131793 PRT131793 QBP131793 QLL131793 QVH131793 RFD131793 ROZ131793 RYV131793 SIR131793 SSN131793 TCJ131793 TMF131793 TWB131793 UFX131793 UPT131793 UZP131793 VJL131793 VTH131793 WDD131793 WMZ131793 WWV131793 AN197329 KJ197329 UF197329 AEB197329 ANX197329 AXT197329 BHP197329 BRL197329 CBH197329 CLD197329 CUZ197329 DEV197329 DOR197329 DYN197329 EIJ197329 ESF197329 FCB197329 FLX197329 FVT197329 GFP197329 GPL197329 GZH197329 HJD197329 HSZ197329 ICV197329 IMR197329 IWN197329 JGJ197329 JQF197329 KAB197329 KJX197329 KTT197329 LDP197329 LNL197329 LXH197329 MHD197329 MQZ197329 NAV197329 NKR197329 NUN197329 OEJ197329 OOF197329 OYB197329 PHX197329 PRT197329 QBP197329 QLL197329 QVH197329 RFD197329 ROZ197329 RYV197329 SIR197329 SSN197329 TCJ197329 TMF197329 TWB197329 UFX197329 UPT197329 UZP197329 VJL197329 VTH197329 WDD197329 WMZ197329 WWV197329 AN262865 KJ262865 UF262865 AEB262865 ANX262865 AXT262865 BHP262865 BRL262865 CBH262865 CLD262865 CUZ262865 DEV262865 DOR262865 DYN262865 EIJ262865 ESF262865 FCB262865 FLX262865 FVT262865 GFP262865 GPL262865 GZH262865 HJD262865 HSZ262865 ICV262865 IMR262865 IWN262865 JGJ262865 JQF262865 KAB262865 KJX262865 KTT262865 LDP262865 LNL262865 LXH262865 MHD262865 MQZ262865 NAV262865 NKR262865 NUN262865 OEJ262865 OOF262865 OYB262865 PHX262865 PRT262865 QBP262865 QLL262865 QVH262865 RFD262865 ROZ262865 RYV262865 SIR262865 SSN262865 TCJ262865 TMF262865 TWB262865 UFX262865 UPT262865 UZP262865 VJL262865 VTH262865 WDD262865 WMZ262865 WWV262865 AN328401 KJ328401 UF328401 AEB328401 ANX328401 AXT328401 BHP328401 BRL328401 CBH328401 CLD328401 CUZ328401 DEV328401 DOR328401 DYN328401 EIJ328401 ESF328401 FCB328401 FLX328401 FVT328401 GFP328401 GPL328401 GZH328401 HJD328401 HSZ328401 ICV328401 IMR328401 IWN328401 JGJ328401 JQF328401 KAB328401 KJX328401 KTT328401 LDP328401 LNL328401 LXH328401 MHD328401 MQZ328401 NAV328401 NKR328401 NUN328401 OEJ328401 OOF328401 OYB328401 PHX328401 PRT328401 QBP328401 QLL328401 QVH328401 RFD328401 ROZ328401 RYV328401 SIR328401 SSN328401 TCJ328401 TMF328401 TWB328401 UFX328401 UPT328401 UZP328401 VJL328401 VTH328401 WDD328401 WMZ328401 WWV328401 AN393937 KJ393937 UF393937 AEB393937 ANX393937 AXT393937 BHP393937 BRL393937 CBH393937 CLD393937 CUZ393937 DEV393937 DOR393937 DYN393937 EIJ393937 ESF393937 FCB393937 FLX393937 FVT393937 GFP393937 GPL393937 GZH393937 HJD393937 HSZ393937 ICV393937 IMR393937 IWN393937 JGJ393937 JQF393937 KAB393937 KJX393937 KTT393937 LDP393937 LNL393937 LXH393937 MHD393937 MQZ393937 NAV393937 NKR393937 NUN393937 OEJ393937 OOF393937 OYB393937 PHX393937 PRT393937 QBP393937 QLL393937 QVH393937 RFD393937 ROZ393937 RYV393937 SIR393937 SSN393937 TCJ393937 TMF393937 TWB393937 UFX393937 UPT393937 UZP393937 VJL393937 VTH393937 WDD393937 WMZ393937 WWV393937 AN459473 KJ459473 UF459473 AEB459473 ANX459473 AXT459473 BHP459473 BRL459473 CBH459473 CLD459473 CUZ459473 DEV459473 DOR459473 DYN459473 EIJ459473 ESF459473 FCB459473 FLX459473 FVT459473 GFP459473 GPL459473 GZH459473 HJD459473 HSZ459473 ICV459473 IMR459473 IWN459473 JGJ459473 JQF459473 KAB459473 KJX459473 KTT459473 LDP459473 LNL459473 LXH459473 MHD459473 MQZ459473 NAV459473 NKR459473 NUN459473 OEJ459473 OOF459473 OYB459473 PHX459473 PRT459473 QBP459473 QLL459473 QVH459473 RFD459473 ROZ459473 RYV459473 SIR459473 SSN459473 TCJ459473 TMF459473 TWB459473 UFX459473 UPT459473 UZP459473 VJL459473 VTH459473 WDD459473 WMZ459473 WWV459473 AN525009 KJ525009 UF525009 AEB525009 ANX525009 AXT525009 BHP525009 BRL525009 CBH525009 CLD525009 CUZ525009 DEV525009 DOR525009 DYN525009 EIJ525009 ESF525009 FCB525009 FLX525009 FVT525009 GFP525009 GPL525009 GZH525009 HJD525009 HSZ525009 ICV525009 IMR525009 IWN525009 JGJ525009 JQF525009 KAB525009 KJX525009 KTT525009 LDP525009 LNL525009 LXH525009 MHD525009 MQZ525009 NAV525009 NKR525009 NUN525009 OEJ525009 OOF525009 OYB525009 PHX525009 PRT525009 QBP525009 QLL525009 QVH525009 RFD525009 ROZ525009 RYV525009 SIR525009 SSN525009 TCJ525009 TMF525009 TWB525009 UFX525009 UPT525009 UZP525009 VJL525009 VTH525009 WDD525009 WMZ525009 WWV525009 AN590545 KJ590545 UF590545 AEB590545 ANX590545 AXT590545 BHP590545 BRL590545 CBH590545 CLD590545 CUZ590545 DEV590545 DOR590545 DYN590545 EIJ590545 ESF590545 FCB590545 FLX590545 FVT590545 GFP590545 GPL590545 GZH590545 HJD590545 HSZ590545 ICV590545 IMR590545 IWN590545 JGJ590545 JQF590545 KAB590545 KJX590545 KTT590545 LDP590545 LNL590545 LXH590545 MHD590545 MQZ590545 NAV590545 NKR590545 NUN590545 OEJ590545 OOF590545 OYB590545 PHX590545 PRT590545 QBP590545 QLL590545 QVH590545 RFD590545 ROZ590545 RYV590545 SIR590545 SSN590545 TCJ590545 TMF590545 TWB590545 UFX590545 UPT590545 UZP590545 VJL590545 VTH590545 WDD590545 WMZ590545 WWV590545 AN656081 KJ656081 UF656081 AEB656081 ANX656081 AXT656081 BHP656081 BRL656081 CBH656081 CLD656081 CUZ656081 DEV656081 DOR656081 DYN656081 EIJ656081 ESF656081 FCB656081 FLX656081 FVT656081 GFP656081 GPL656081 GZH656081 HJD656081 HSZ656081 ICV656081 IMR656081 IWN656081 JGJ656081 JQF656081 KAB656081 KJX656081 KTT656081 LDP656081 LNL656081 LXH656081 MHD656081 MQZ656081 NAV656081 NKR656081 NUN656081 OEJ656081 OOF656081 OYB656081 PHX656081 PRT656081 QBP656081 QLL656081 QVH656081 RFD656081 ROZ656081 RYV656081 SIR656081 SSN656081 TCJ656081 TMF656081 TWB656081 UFX656081 UPT656081 UZP656081 VJL656081 VTH656081 WDD656081 WMZ656081 WWV656081 AN721617 KJ721617 UF721617 AEB721617 ANX721617 AXT721617 BHP721617 BRL721617 CBH721617 CLD721617 CUZ721617 DEV721617 DOR721617 DYN721617 EIJ721617 ESF721617 FCB721617 FLX721617 FVT721617 GFP721617 GPL721617 GZH721617 HJD721617 HSZ721617 ICV721617 IMR721617 IWN721617 JGJ721617 JQF721617 KAB721617 KJX721617 KTT721617 LDP721617 LNL721617 LXH721617 MHD721617 MQZ721617 NAV721617 NKR721617 NUN721617 OEJ721617 OOF721617 OYB721617 PHX721617 PRT721617 QBP721617 QLL721617 QVH721617 RFD721617 ROZ721617 RYV721617 SIR721617 SSN721617 TCJ721617 TMF721617 TWB721617 UFX721617 UPT721617 UZP721617 VJL721617 VTH721617 WDD721617 WMZ721617 WWV721617 AN787153 KJ787153 UF787153 AEB787153 ANX787153 AXT787153 BHP787153 BRL787153 CBH787153 CLD787153 CUZ787153 DEV787153 DOR787153 DYN787153 EIJ787153 ESF787153 FCB787153 FLX787153 FVT787153 GFP787153 GPL787153 GZH787153 HJD787153 HSZ787153 ICV787153 IMR787153 IWN787153 JGJ787153 JQF787153 KAB787153 KJX787153 KTT787153 LDP787153 LNL787153 LXH787153 MHD787153 MQZ787153 NAV787153 NKR787153 NUN787153 OEJ787153 OOF787153 OYB787153 PHX787153 PRT787153 QBP787153 QLL787153 QVH787153 RFD787153 ROZ787153 RYV787153 SIR787153 SSN787153 TCJ787153 TMF787153 TWB787153 UFX787153 UPT787153 UZP787153 VJL787153 VTH787153 WDD787153 WMZ787153 WWV787153 AN852689 KJ852689 UF852689 AEB852689 ANX852689 AXT852689 BHP852689 BRL852689 CBH852689 CLD852689 CUZ852689 DEV852689 DOR852689 DYN852689 EIJ852689 ESF852689 FCB852689 FLX852689 FVT852689 GFP852689 GPL852689 GZH852689 HJD852689 HSZ852689 ICV852689 IMR852689 IWN852689 JGJ852689 JQF852689 KAB852689 KJX852689 KTT852689 LDP852689 LNL852689 LXH852689 MHD852689 MQZ852689 NAV852689 NKR852689 NUN852689 OEJ852689 OOF852689 OYB852689 PHX852689 PRT852689 QBP852689 QLL852689 QVH852689 RFD852689 ROZ852689 RYV852689 SIR852689 SSN852689 TCJ852689 TMF852689 TWB852689 UFX852689 UPT852689 UZP852689 VJL852689 VTH852689 WDD852689 WMZ852689 WWV852689 AN918225 KJ918225 UF918225 AEB918225 ANX918225 AXT918225 BHP918225 BRL918225 CBH918225 CLD918225 CUZ918225 DEV918225 DOR918225 DYN918225 EIJ918225 ESF918225 FCB918225 FLX918225 FVT918225 GFP918225 GPL918225 GZH918225 HJD918225 HSZ918225 ICV918225 IMR918225 IWN918225 JGJ918225 JQF918225 KAB918225 KJX918225 KTT918225 LDP918225 LNL918225 LXH918225 MHD918225 MQZ918225 NAV918225 NKR918225 NUN918225 OEJ918225 OOF918225 OYB918225 PHX918225 PRT918225 QBP918225 QLL918225 QVH918225 RFD918225 ROZ918225 RYV918225 SIR918225 SSN918225 TCJ918225 TMF918225 TWB918225 UFX918225 UPT918225 UZP918225 VJL918225 VTH918225 WDD918225 WMZ918225 WWV918225 AN983761 KJ983761 UF983761 AEB983761 ANX983761 AXT983761 BHP983761 BRL983761 CBH983761 CLD983761 CUZ983761 DEV983761 DOR983761 DYN983761 EIJ983761 ESF983761 FCB983761 FLX983761 FVT983761 GFP983761 GPL983761 GZH983761 HJD983761 HSZ983761 ICV983761 IMR983761 IWN983761 JGJ983761 JQF983761 KAB983761 KJX983761 KTT983761 LDP983761 LNL983761 LXH983761 MHD983761 MQZ983761 NAV983761 NKR983761 NUN983761 OEJ983761 OOF983761 OYB983761 PHX983761 PRT983761 QBP983761 QLL983761 QVH983761 RFD983761 ROZ983761 RYV983761 SIR983761 SSN983761 TCJ983761 TMF983761 TWB983761 UFX983761 UPT983761 UZP983761 VJL983761 VTH983761 WDD983761 WMZ983761 WWV983761" xr:uid="{E7592EF5-99CD-4ED7-A036-66BBFAB6BF5F}">
      <formula1>$AN$722:$AN$761</formula1>
    </dataValidation>
    <dataValidation type="list" allowBlank="1" showInputMessage="1" showErrorMessage="1" sqref="BD711 KZ711 UV711 AER711 AON711 AYJ711 BIF711 BSB711 CBX711 CLT711 CVP711 DFL711 DPH711 DZD711 EIZ711 ESV711 FCR711 FMN711 FWJ711 GGF711 GQB711 GZX711 HJT711 HTP711 IDL711 INH711 IXD711 JGZ711 JQV711 KAR711 KKN711 KUJ711 LEF711 LOB711 LXX711 MHT711 MRP711 NBL711 NLH711 NVD711 OEZ711 OOV711 OYR711 PIN711 PSJ711 QCF711 QMB711 QVX711 RFT711 RPP711 RZL711 SJH711 STD711 TCZ711 TMV711 TWR711 UGN711 UQJ711 VAF711 VKB711 VTX711 WDT711 WNP711 WXL711 BD66247 KZ66247 UV66247 AER66247 AON66247 AYJ66247 BIF66247 BSB66247 CBX66247 CLT66247 CVP66247 DFL66247 DPH66247 DZD66247 EIZ66247 ESV66247 FCR66247 FMN66247 FWJ66247 GGF66247 GQB66247 GZX66247 HJT66247 HTP66247 IDL66247 INH66247 IXD66247 JGZ66247 JQV66247 KAR66247 KKN66247 KUJ66247 LEF66247 LOB66247 LXX66247 MHT66247 MRP66247 NBL66247 NLH66247 NVD66247 OEZ66247 OOV66247 OYR66247 PIN66247 PSJ66247 QCF66247 QMB66247 QVX66247 RFT66247 RPP66247 RZL66247 SJH66247 STD66247 TCZ66247 TMV66247 TWR66247 UGN66247 UQJ66247 VAF66247 VKB66247 VTX66247 WDT66247 WNP66247 WXL66247 BD131783 KZ131783 UV131783 AER131783 AON131783 AYJ131783 BIF131783 BSB131783 CBX131783 CLT131783 CVP131783 DFL131783 DPH131783 DZD131783 EIZ131783 ESV131783 FCR131783 FMN131783 FWJ131783 GGF131783 GQB131783 GZX131783 HJT131783 HTP131783 IDL131783 INH131783 IXD131783 JGZ131783 JQV131783 KAR131783 KKN131783 KUJ131783 LEF131783 LOB131783 LXX131783 MHT131783 MRP131783 NBL131783 NLH131783 NVD131783 OEZ131783 OOV131783 OYR131783 PIN131783 PSJ131783 QCF131783 QMB131783 QVX131783 RFT131783 RPP131783 RZL131783 SJH131783 STD131783 TCZ131783 TMV131783 TWR131783 UGN131783 UQJ131783 VAF131783 VKB131783 VTX131783 WDT131783 WNP131783 WXL131783 BD197319 KZ197319 UV197319 AER197319 AON197319 AYJ197319 BIF197319 BSB197319 CBX197319 CLT197319 CVP197319 DFL197319 DPH197319 DZD197319 EIZ197319 ESV197319 FCR197319 FMN197319 FWJ197319 GGF197319 GQB197319 GZX197319 HJT197319 HTP197319 IDL197319 INH197319 IXD197319 JGZ197319 JQV197319 KAR197319 KKN197319 KUJ197319 LEF197319 LOB197319 LXX197319 MHT197319 MRP197319 NBL197319 NLH197319 NVD197319 OEZ197319 OOV197319 OYR197319 PIN197319 PSJ197319 QCF197319 QMB197319 QVX197319 RFT197319 RPP197319 RZL197319 SJH197319 STD197319 TCZ197319 TMV197319 TWR197319 UGN197319 UQJ197319 VAF197319 VKB197319 VTX197319 WDT197319 WNP197319 WXL197319 BD262855 KZ262855 UV262855 AER262855 AON262855 AYJ262855 BIF262855 BSB262855 CBX262855 CLT262855 CVP262855 DFL262855 DPH262855 DZD262855 EIZ262855 ESV262855 FCR262855 FMN262855 FWJ262855 GGF262855 GQB262855 GZX262855 HJT262855 HTP262855 IDL262855 INH262855 IXD262855 JGZ262855 JQV262855 KAR262855 KKN262855 KUJ262855 LEF262855 LOB262855 LXX262855 MHT262855 MRP262855 NBL262855 NLH262855 NVD262855 OEZ262855 OOV262855 OYR262855 PIN262855 PSJ262855 QCF262855 QMB262855 QVX262855 RFT262855 RPP262855 RZL262855 SJH262855 STD262855 TCZ262855 TMV262855 TWR262855 UGN262855 UQJ262855 VAF262855 VKB262855 VTX262855 WDT262855 WNP262855 WXL262855 BD328391 KZ328391 UV328391 AER328391 AON328391 AYJ328391 BIF328391 BSB328391 CBX328391 CLT328391 CVP328391 DFL328391 DPH328391 DZD328391 EIZ328391 ESV328391 FCR328391 FMN328391 FWJ328391 GGF328391 GQB328391 GZX328391 HJT328391 HTP328391 IDL328391 INH328391 IXD328391 JGZ328391 JQV328391 KAR328391 KKN328391 KUJ328391 LEF328391 LOB328391 LXX328391 MHT328391 MRP328391 NBL328391 NLH328391 NVD328391 OEZ328391 OOV328391 OYR328391 PIN328391 PSJ328391 QCF328391 QMB328391 QVX328391 RFT328391 RPP328391 RZL328391 SJH328391 STD328391 TCZ328391 TMV328391 TWR328391 UGN328391 UQJ328391 VAF328391 VKB328391 VTX328391 WDT328391 WNP328391 WXL328391 BD393927 KZ393927 UV393927 AER393927 AON393927 AYJ393927 BIF393927 BSB393927 CBX393927 CLT393927 CVP393927 DFL393927 DPH393927 DZD393927 EIZ393927 ESV393927 FCR393927 FMN393927 FWJ393927 GGF393927 GQB393927 GZX393927 HJT393927 HTP393927 IDL393927 INH393927 IXD393927 JGZ393927 JQV393927 KAR393927 KKN393927 KUJ393927 LEF393927 LOB393927 LXX393927 MHT393927 MRP393927 NBL393927 NLH393927 NVD393927 OEZ393927 OOV393927 OYR393927 PIN393927 PSJ393927 QCF393927 QMB393927 QVX393927 RFT393927 RPP393927 RZL393927 SJH393927 STD393927 TCZ393927 TMV393927 TWR393927 UGN393927 UQJ393927 VAF393927 VKB393927 VTX393927 WDT393927 WNP393927 WXL393927 BD459463 KZ459463 UV459463 AER459463 AON459463 AYJ459463 BIF459463 BSB459463 CBX459463 CLT459463 CVP459463 DFL459463 DPH459463 DZD459463 EIZ459463 ESV459463 FCR459463 FMN459463 FWJ459463 GGF459463 GQB459463 GZX459463 HJT459463 HTP459463 IDL459463 INH459463 IXD459463 JGZ459463 JQV459463 KAR459463 KKN459463 KUJ459463 LEF459463 LOB459463 LXX459463 MHT459463 MRP459463 NBL459463 NLH459463 NVD459463 OEZ459463 OOV459463 OYR459463 PIN459463 PSJ459463 QCF459463 QMB459463 QVX459463 RFT459463 RPP459463 RZL459463 SJH459463 STD459463 TCZ459463 TMV459463 TWR459463 UGN459463 UQJ459463 VAF459463 VKB459463 VTX459463 WDT459463 WNP459463 WXL459463 BD524999 KZ524999 UV524999 AER524999 AON524999 AYJ524999 BIF524999 BSB524999 CBX524999 CLT524999 CVP524999 DFL524999 DPH524999 DZD524999 EIZ524999 ESV524999 FCR524999 FMN524999 FWJ524999 GGF524999 GQB524999 GZX524999 HJT524999 HTP524999 IDL524999 INH524999 IXD524999 JGZ524999 JQV524999 KAR524999 KKN524999 KUJ524999 LEF524999 LOB524999 LXX524999 MHT524999 MRP524999 NBL524999 NLH524999 NVD524999 OEZ524999 OOV524999 OYR524999 PIN524999 PSJ524999 QCF524999 QMB524999 QVX524999 RFT524999 RPP524999 RZL524999 SJH524999 STD524999 TCZ524999 TMV524999 TWR524999 UGN524999 UQJ524999 VAF524999 VKB524999 VTX524999 WDT524999 WNP524999 WXL524999 BD590535 KZ590535 UV590535 AER590535 AON590535 AYJ590535 BIF590535 BSB590535 CBX590535 CLT590535 CVP590535 DFL590535 DPH590535 DZD590535 EIZ590535 ESV590535 FCR590535 FMN590535 FWJ590535 GGF590535 GQB590535 GZX590535 HJT590535 HTP590535 IDL590535 INH590535 IXD590535 JGZ590535 JQV590535 KAR590535 KKN590535 KUJ590535 LEF590535 LOB590535 LXX590535 MHT590535 MRP590535 NBL590535 NLH590535 NVD590535 OEZ590535 OOV590535 OYR590535 PIN590535 PSJ590535 QCF590535 QMB590535 QVX590535 RFT590535 RPP590535 RZL590535 SJH590535 STD590535 TCZ590535 TMV590535 TWR590535 UGN590535 UQJ590535 VAF590535 VKB590535 VTX590535 WDT590535 WNP590535 WXL590535 BD656071 KZ656071 UV656071 AER656071 AON656071 AYJ656071 BIF656071 BSB656071 CBX656071 CLT656071 CVP656071 DFL656071 DPH656071 DZD656071 EIZ656071 ESV656071 FCR656071 FMN656071 FWJ656071 GGF656071 GQB656071 GZX656071 HJT656071 HTP656071 IDL656071 INH656071 IXD656071 JGZ656071 JQV656071 KAR656071 KKN656071 KUJ656071 LEF656071 LOB656071 LXX656071 MHT656071 MRP656071 NBL656071 NLH656071 NVD656071 OEZ656071 OOV656071 OYR656071 PIN656071 PSJ656071 QCF656071 QMB656071 QVX656071 RFT656071 RPP656071 RZL656071 SJH656071 STD656071 TCZ656071 TMV656071 TWR656071 UGN656071 UQJ656071 VAF656071 VKB656071 VTX656071 WDT656071 WNP656071 WXL656071 BD721607 KZ721607 UV721607 AER721607 AON721607 AYJ721607 BIF721607 BSB721607 CBX721607 CLT721607 CVP721607 DFL721607 DPH721607 DZD721607 EIZ721607 ESV721607 FCR721607 FMN721607 FWJ721607 GGF721607 GQB721607 GZX721607 HJT721607 HTP721607 IDL721607 INH721607 IXD721607 JGZ721607 JQV721607 KAR721607 KKN721607 KUJ721607 LEF721607 LOB721607 LXX721607 MHT721607 MRP721607 NBL721607 NLH721607 NVD721607 OEZ721607 OOV721607 OYR721607 PIN721607 PSJ721607 QCF721607 QMB721607 QVX721607 RFT721607 RPP721607 RZL721607 SJH721607 STD721607 TCZ721607 TMV721607 TWR721607 UGN721607 UQJ721607 VAF721607 VKB721607 VTX721607 WDT721607 WNP721607 WXL721607 BD787143 KZ787143 UV787143 AER787143 AON787143 AYJ787143 BIF787143 BSB787143 CBX787143 CLT787143 CVP787143 DFL787143 DPH787143 DZD787143 EIZ787143 ESV787143 FCR787143 FMN787143 FWJ787143 GGF787143 GQB787143 GZX787143 HJT787143 HTP787143 IDL787143 INH787143 IXD787143 JGZ787143 JQV787143 KAR787143 KKN787143 KUJ787143 LEF787143 LOB787143 LXX787143 MHT787143 MRP787143 NBL787143 NLH787143 NVD787143 OEZ787143 OOV787143 OYR787143 PIN787143 PSJ787143 QCF787143 QMB787143 QVX787143 RFT787143 RPP787143 RZL787143 SJH787143 STD787143 TCZ787143 TMV787143 TWR787143 UGN787143 UQJ787143 VAF787143 VKB787143 VTX787143 WDT787143 WNP787143 WXL787143 BD852679 KZ852679 UV852679 AER852679 AON852679 AYJ852679 BIF852679 BSB852679 CBX852679 CLT852679 CVP852679 DFL852679 DPH852679 DZD852679 EIZ852679 ESV852679 FCR852679 FMN852679 FWJ852679 GGF852679 GQB852679 GZX852679 HJT852679 HTP852679 IDL852679 INH852679 IXD852679 JGZ852679 JQV852679 KAR852679 KKN852679 KUJ852679 LEF852679 LOB852679 LXX852679 MHT852679 MRP852679 NBL852679 NLH852679 NVD852679 OEZ852679 OOV852679 OYR852679 PIN852679 PSJ852679 QCF852679 QMB852679 QVX852679 RFT852679 RPP852679 RZL852679 SJH852679 STD852679 TCZ852679 TMV852679 TWR852679 UGN852679 UQJ852679 VAF852679 VKB852679 VTX852679 WDT852679 WNP852679 WXL852679 BD918215 KZ918215 UV918215 AER918215 AON918215 AYJ918215 BIF918215 BSB918215 CBX918215 CLT918215 CVP918215 DFL918215 DPH918215 DZD918215 EIZ918215 ESV918215 FCR918215 FMN918215 FWJ918215 GGF918215 GQB918215 GZX918215 HJT918215 HTP918215 IDL918215 INH918215 IXD918215 JGZ918215 JQV918215 KAR918215 KKN918215 KUJ918215 LEF918215 LOB918215 LXX918215 MHT918215 MRP918215 NBL918215 NLH918215 NVD918215 OEZ918215 OOV918215 OYR918215 PIN918215 PSJ918215 QCF918215 QMB918215 QVX918215 RFT918215 RPP918215 RZL918215 SJH918215 STD918215 TCZ918215 TMV918215 TWR918215 UGN918215 UQJ918215 VAF918215 VKB918215 VTX918215 WDT918215 WNP918215 WXL918215 BD983751 KZ983751 UV983751 AER983751 AON983751 AYJ983751 BIF983751 BSB983751 CBX983751 CLT983751 CVP983751 DFL983751 DPH983751 DZD983751 EIZ983751 ESV983751 FCR983751 FMN983751 FWJ983751 GGF983751 GQB983751 GZX983751 HJT983751 HTP983751 IDL983751 INH983751 IXD983751 JGZ983751 JQV983751 KAR983751 KKN983751 KUJ983751 LEF983751 LOB983751 LXX983751 MHT983751 MRP983751 NBL983751 NLH983751 NVD983751 OEZ983751 OOV983751 OYR983751 PIN983751 PSJ983751 QCF983751 QMB983751 QVX983751 RFT983751 RPP983751 RZL983751 SJH983751 STD983751 TCZ983751 TMV983751 TWR983751 UGN983751 UQJ983751 VAF983751 VKB983751 VTX983751 WDT983751 WNP983751 WXL983751 P706 JL706 TH706 ADD706 AMZ706 AWV706 BGR706 BQN706 CAJ706 CKF706 CUB706 DDX706 DNT706 DXP706 EHL706 ERH706 FBD706 FKZ706 FUV706 GER706 GON706 GYJ706 HIF706 HSB706 IBX706 ILT706 IVP706 JFL706 JPH706 JZD706 KIZ706 KSV706 LCR706 LMN706 LWJ706 MGF706 MQB706 MZX706 NJT706 NTP706 ODL706 ONH706 OXD706 PGZ706 PQV706 QAR706 QKN706 QUJ706 REF706 ROB706 RXX706 SHT706 SRP706 TBL706 TLH706 TVD706 UEZ706 UOV706 UYR706 VIN706 VSJ706 WCF706 WMB706 WVX706 P66242 JL66242 TH66242 ADD66242 AMZ66242 AWV66242 BGR66242 BQN66242 CAJ66242 CKF66242 CUB66242 DDX66242 DNT66242 DXP66242 EHL66242 ERH66242 FBD66242 FKZ66242 FUV66242 GER66242 GON66242 GYJ66242 HIF66242 HSB66242 IBX66242 ILT66242 IVP66242 JFL66242 JPH66242 JZD66242 KIZ66242 KSV66242 LCR66242 LMN66242 LWJ66242 MGF66242 MQB66242 MZX66242 NJT66242 NTP66242 ODL66242 ONH66242 OXD66242 PGZ66242 PQV66242 QAR66242 QKN66242 QUJ66242 REF66242 ROB66242 RXX66242 SHT66242 SRP66242 TBL66242 TLH66242 TVD66242 UEZ66242 UOV66242 UYR66242 VIN66242 VSJ66242 WCF66242 WMB66242 WVX66242 P131778 JL131778 TH131778 ADD131778 AMZ131778 AWV131778 BGR131778 BQN131778 CAJ131778 CKF131778 CUB131778 DDX131778 DNT131778 DXP131778 EHL131778 ERH131778 FBD131778 FKZ131778 FUV131778 GER131778 GON131778 GYJ131778 HIF131778 HSB131778 IBX131778 ILT131778 IVP131778 JFL131778 JPH131778 JZD131778 KIZ131778 KSV131778 LCR131778 LMN131778 LWJ131778 MGF131778 MQB131778 MZX131778 NJT131778 NTP131778 ODL131778 ONH131778 OXD131778 PGZ131778 PQV131778 QAR131778 QKN131778 QUJ131778 REF131778 ROB131778 RXX131778 SHT131778 SRP131778 TBL131778 TLH131778 TVD131778 UEZ131778 UOV131778 UYR131778 VIN131778 VSJ131778 WCF131778 WMB131778 WVX131778 P197314 JL197314 TH197314 ADD197314 AMZ197314 AWV197314 BGR197314 BQN197314 CAJ197314 CKF197314 CUB197314 DDX197314 DNT197314 DXP197314 EHL197314 ERH197314 FBD197314 FKZ197314 FUV197314 GER197314 GON197314 GYJ197314 HIF197314 HSB197314 IBX197314 ILT197314 IVP197314 JFL197314 JPH197314 JZD197314 KIZ197314 KSV197314 LCR197314 LMN197314 LWJ197314 MGF197314 MQB197314 MZX197314 NJT197314 NTP197314 ODL197314 ONH197314 OXD197314 PGZ197314 PQV197314 QAR197314 QKN197314 QUJ197314 REF197314 ROB197314 RXX197314 SHT197314 SRP197314 TBL197314 TLH197314 TVD197314 UEZ197314 UOV197314 UYR197314 VIN197314 VSJ197314 WCF197314 WMB197314 WVX197314 P262850 JL262850 TH262850 ADD262850 AMZ262850 AWV262850 BGR262850 BQN262850 CAJ262850 CKF262850 CUB262850 DDX262850 DNT262850 DXP262850 EHL262850 ERH262850 FBD262850 FKZ262850 FUV262850 GER262850 GON262850 GYJ262850 HIF262850 HSB262850 IBX262850 ILT262850 IVP262850 JFL262850 JPH262850 JZD262850 KIZ262850 KSV262850 LCR262850 LMN262850 LWJ262850 MGF262850 MQB262850 MZX262850 NJT262850 NTP262850 ODL262850 ONH262850 OXD262850 PGZ262850 PQV262850 QAR262850 QKN262850 QUJ262850 REF262850 ROB262850 RXX262850 SHT262850 SRP262850 TBL262850 TLH262850 TVD262850 UEZ262850 UOV262850 UYR262850 VIN262850 VSJ262850 WCF262850 WMB262850 WVX262850 P328386 JL328386 TH328386 ADD328386 AMZ328386 AWV328386 BGR328386 BQN328386 CAJ328386 CKF328386 CUB328386 DDX328386 DNT328386 DXP328386 EHL328386 ERH328386 FBD328386 FKZ328386 FUV328386 GER328386 GON328386 GYJ328386 HIF328386 HSB328386 IBX328386 ILT328386 IVP328386 JFL328386 JPH328386 JZD328386 KIZ328386 KSV328386 LCR328386 LMN328386 LWJ328386 MGF328386 MQB328386 MZX328386 NJT328386 NTP328386 ODL328386 ONH328386 OXD328386 PGZ328386 PQV328386 QAR328386 QKN328386 QUJ328386 REF328386 ROB328386 RXX328386 SHT328386 SRP328386 TBL328386 TLH328386 TVD328386 UEZ328386 UOV328386 UYR328386 VIN328386 VSJ328386 WCF328386 WMB328386 WVX328386 P393922 JL393922 TH393922 ADD393922 AMZ393922 AWV393922 BGR393922 BQN393922 CAJ393922 CKF393922 CUB393922 DDX393922 DNT393922 DXP393922 EHL393922 ERH393922 FBD393922 FKZ393922 FUV393922 GER393922 GON393922 GYJ393922 HIF393922 HSB393922 IBX393922 ILT393922 IVP393922 JFL393922 JPH393922 JZD393922 KIZ393922 KSV393922 LCR393922 LMN393922 LWJ393922 MGF393922 MQB393922 MZX393922 NJT393922 NTP393922 ODL393922 ONH393922 OXD393922 PGZ393922 PQV393922 QAR393922 QKN393922 QUJ393922 REF393922 ROB393922 RXX393922 SHT393922 SRP393922 TBL393922 TLH393922 TVD393922 UEZ393922 UOV393922 UYR393922 VIN393922 VSJ393922 WCF393922 WMB393922 WVX393922 P459458 JL459458 TH459458 ADD459458 AMZ459458 AWV459458 BGR459458 BQN459458 CAJ459458 CKF459458 CUB459458 DDX459458 DNT459458 DXP459458 EHL459458 ERH459458 FBD459458 FKZ459458 FUV459458 GER459458 GON459458 GYJ459458 HIF459458 HSB459458 IBX459458 ILT459458 IVP459458 JFL459458 JPH459458 JZD459458 KIZ459458 KSV459458 LCR459458 LMN459458 LWJ459458 MGF459458 MQB459458 MZX459458 NJT459458 NTP459458 ODL459458 ONH459458 OXD459458 PGZ459458 PQV459458 QAR459458 QKN459458 QUJ459458 REF459458 ROB459458 RXX459458 SHT459458 SRP459458 TBL459458 TLH459458 TVD459458 UEZ459458 UOV459458 UYR459458 VIN459458 VSJ459458 WCF459458 WMB459458 WVX459458 P524994 JL524994 TH524994 ADD524994 AMZ524994 AWV524994 BGR524994 BQN524994 CAJ524994 CKF524994 CUB524994 DDX524994 DNT524994 DXP524994 EHL524994 ERH524994 FBD524994 FKZ524994 FUV524994 GER524994 GON524994 GYJ524994 HIF524994 HSB524994 IBX524994 ILT524994 IVP524994 JFL524994 JPH524994 JZD524994 KIZ524994 KSV524994 LCR524994 LMN524994 LWJ524994 MGF524994 MQB524994 MZX524994 NJT524994 NTP524994 ODL524994 ONH524994 OXD524994 PGZ524994 PQV524994 QAR524994 QKN524994 QUJ524994 REF524994 ROB524994 RXX524994 SHT524994 SRP524994 TBL524994 TLH524994 TVD524994 UEZ524994 UOV524994 UYR524994 VIN524994 VSJ524994 WCF524994 WMB524994 WVX524994 P590530 JL590530 TH590530 ADD590530 AMZ590530 AWV590530 BGR590530 BQN590530 CAJ590530 CKF590530 CUB590530 DDX590530 DNT590530 DXP590530 EHL590530 ERH590530 FBD590530 FKZ590530 FUV590530 GER590530 GON590530 GYJ590530 HIF590530 HSB590530 IBX590530 ILT590530 IVP590530 JFL590530 JPH590530 JZD590530 KIZ590530 KSV590530 LCR590530 LMN590530 LWJ590530 MGF590530 MQB590530 MZX590530 NJT590530 NTP590530 ODL590530 ONH590530 OXD590530 PGZ590530 PQV590530 QAR590530 QKN590530 QUJ590530 REF590530 ROB590530 RXX590530 SHT590530 SRP590530 TBL590530 TLH590530 TVD590530 UEZ590530 UOV590530 UYR590530 VIN590530 VSJ590530 WCF590530 WMB590530 WVX590530 P656066 JL656066 TH656066 ADD656066 AMZ656066 AWV656066 BGR656066 BQN656066 CAJ656066 CKF656066 CUB656066 DDX656066 DNT656066 DXP656066 EHL656066 ERH656066 FBD656066 FKZ656066 FUV656066 GER656066 GON656066 GYJ656066 HIF656066 HSB656066 IBX656066 ILT656066 IVP656066 JFL656066 JPH656066 JZD656066 KIZ656066 KSV656066 LCR656066 LMN656066 LWJ656066 MGF656066 MQB656066 MZX656066 NJT656066 NTP656066 ODL656066 ONH656066 OXD656066 PGZ656066 PQV656066 QAR656066 QKN656066 QUJ656066 REF656066 ROB656066 RXX656066 SHT656066 SRP656066 TBL656066 TLH656066 TVD656066 UEZ656066 UOV656066 UYR656066 VIN656066 VSJ656066 WCF656066 WMB656066 WVX656066 P721602 JL721602 TH721602 ADD721602 AMZ721602 AWV721602 BGR721602 BQN721602 CAJ721602 CKF721602 CUB721602 DDX721602 DNT721602 DXP721602 EHL721602 ERH721602 FBD721602 FKZ721602 FUV721602 GER721602 GON721602 GYJ721602 HIF721602 HSB721602 IBX721602 ILT721602 IVP721602 JFL721602 JPH721602 JZD721602 KIZ721602 KSV721602 LCR721602 LMN721602 LWJ721602 MGF721602 MQB721602 MZX721602 NJT721602 NTP721602 ODL721602 ONH721602 OXD721602 PGZ721602 PQV721602 QAR721602 QKN721602 QUJ721602 REF721602 ROB721602 RXX721602 SHT721602 SRP721602 TBL721602 TLH721602 TVD721602 UEZ721602 UOV721602 UYR721602 VIN721602 VSJ721602 WCF721602 WMB721602 WVX721602 P787138 JL787138 TH787138 ADD787138 AMZ787138 AWV787138 BGR787138 BQN787138 CAJ787138 CKF787138 CUB787138 DDX787138 DNT787138 DXP787138 EHL787138 ERH787138 FBD787138 FKZ787138 FUV787138 GER787138 GON787138 GYJ787138 HIF787138 HSB787138 IBX787138 ILT787138 IVP787138 JFL787138 JPH787138 JZD787138 KIZ787138 KSV787138 LCR787138 LMN787138 LWJ787138 MGF787138 MQB787138 MZX787138 NJT787138 NTP787138 ODL787138 ONH787138 OXD787138 PGZ787138 PQV787138 QAR787138 QKN787138 QUJ787138 REF787138 ROB787138 RXX787138 SHT787138 SRP787138 TBL787138 TLH787138 TVD787138 UEZ787138 UOV787138 UYR787138 VIN787138 VSJ787138 WCF787138 WMB787138 WVX787138 P852674 JL852674 TH852674 ADD852674 AMZ852674 AWV852674 BGR852674 BQN852674 CAJ852674 CKF852674 CUB852674 DDX852674 DNT852674 DXP852674 EHL852674 ERH852674 FBD852674 FKZ852674 FUV852674 GER852674 GON852674 GYJ852674 HIF852674 HSB852674 IBX852674 ILT852674 IVP852674 JFL852674 JPH852674 JZD852674 KIZ852674 KSV852674 LCR852674 LMN852674 LWJ852674 MGF852674 MQB852674 MZX852674 NJT852674 NTP852674 ODL852674 ONH852674 OXD852674 PGZ852674 PQV852674 QAR852674 QKN852674 QUJ852674 REF852674 ROB852674 RXX852674 SHT852674 SRP852674 TBL852674 TLH852674 TVD852674 UEZ852674 UOV852674 UYR852674 VIN852674 VSJ852674 WCF852674 WMB852674 WVX852674 P918210 JL918210 TH918210 ADD918210 AMZ918210 AWV918210 BGR918210 BQN918210 CAJ918210 CKF918210 CUB918210 DDX918210 DNT918210 DXP918210 EHL918210 ERH918210 FBD918210 FKZ918210 FUV918210 GER918210 GON918210 GYJ918210 HIF918210 HSB918210 IBX918210 ILT918210 IVP918210 JFL918210 JPH918210 JZD918210 KIZ918210 KSV918210 LCR918210 LMN918210 LWJ918210 MGF918210 MQB918210 MZX918210 NJT918210 NTP918210 ODL918210 ONH918210 OXD918210 PGZ918210 PQV918210 QAR918210 QKN918210 QUJ918210 REF918210 ROB918210 RXX918210 SHT918210 SRP918210 TBL918210 TLH918210 TVD918210 UEZ918210 UOV918210 UYR918210 VIN918210 VSJ918210 WCF918210 WMB918210 WVX918210 P983746 JL983746 TH983746 ADD983746 AMZ983746 AWV983746 BGR983746 BQN983746 CAJ983746 CKF983746 CUB983746 DDX983746 DNT983746 DXP983746 EHL983746 ERH983746 FBD983746 FKZ983746 FUV983746 GER983746 GON983746 GYJ983746 HIF983746 HSB983746 IBX983746 ILT983746 IVP983746 JFL983746 JPH983746 JZD983746 KIZ983746 KSV983746 LCR983746 LMN983746 LWJ983746 MGF983746 MQB983746 MZX983746 NJT983746 NTP983746 ODL983746 ONH983746 OXD983746 PGZ983746 PQV983746 QAR983746 QKN983746 QUJ983746 REF983746 ROB983746 RXX983746 SHT983746 SRP983746 TBL983746 TLH983746 TVD983746 UEZ983746 UOV983746 UYR983746 VIN983746 VSJ983746 WCF983746 WMB983746 WVX983746 E901 JA901 SW901 ACS901 AMO901 AWK901 BGG901 BQC901 BZY901 CJU901 CTQ901 DDM901 DNI901 DXE901 EHA901 EQW901 FAS901 FKO901 FUK901 GEG901 GOC901 GXY901 HHU901 HRQ901 IBM901 ILI901 IVE901 JFA901 JOW901 JYS901 KIO901 KSK901 LCG901 LMC901 LVY901 MFU901 MPQ901 MZM901 NJI901 NTE901 ODA901 OMW901 OWS901 PGO901 PQK901 QAG901 QKC901 QTY901 RDU901 RNQ901 RXM901 SHI901 SRE901 TBA901 TKW901 TUS901 UEO901 UOK901 UYG901 VIC901 VRY901 WBU901 WLQ901 WVM901 E66437 JA66437 SW66437 ACS66437 AMO66437 AWK66437 BGG66437 BQC66437 BZY66437 CJU66437 CTQ66437 DDM66437 DNI66437 DXE66437 EHA66437 EQW66437 FAS66437 FKO66437 FUK66437 GEG66437 GOC66437 GXY66437 HHU66437 HRQ66437 IBM66437 ILI66437 IVE66437 JFA66437 JOW66437 JYS66437 KIO66437 KSK66437 LCG66437 LMC66437 LVY66437 MFU66437 MPQ66437 MZM66437 NJI66437 NTE66437 ODA66437 OMW66437 OWS66437 PGO66437 PQK66437 QAG66437 QKC66437 QTY66437 RDU66437 RNQ66437 RXM66437 SHI66437 SRE66437 TBA66437 TKW66437 TUS66437 UEO66437 UOK66437 UYG66437 VIC66437 VRY66437 WBU66437 WLQ66437 WVM66437 E131973 JA131973 SW131973 ACS131973 AMO131973 AWK131973 BGG131973 BQC131973 BZY131973 CJU131973 CTQ131973 DDM131973 DNI131973 DXE131973 EHA131973 EQW131973 FAS131973 FKO131973 FUK131973 GEG131973 GOC131973 GXY131973 HHU131973 HRQ131973 IBM131973 ILI131973 IVE131973 JFA131973 JOW131973 JYS131973 KIO131973 KSK131973 LCG131973 LMC131973 LVY131973 MFU131973 MPQ131973 MZM131973 NJI131973 NTE131973 ODA131973 OMW131973 OWS131973 PGO131973 PQK131973 QAG131973 QKC131973 QTY131973 RDU131973 RNQ131973 RXM131973 SHI131973 SRE131973 TBA131973 TKW131973 TUS131973 UEO131973 UOK131973 UYG131973 VIC131973 VRY131973 WBU131973 WLQ131973 WVM131973 E197509 JA197509 SW197509 ACS197509 AMO197509 AWK197509 BGG197509 BQC197509 BZY197509 CJU197509 CTQ197509 DDM197509 DNI197509 DXE197509 EHA197509 EQW197509 FAS197509 FKO197509 FUK197509 GEG197509 GOC197509 GXY197509 HHU197509 HRQ197509 IBM197509 ILI197509 IVE197509 JFA197509 JOW197509 JYS197509 KIO197509 KSK197509 LCG197509 LMC197509 LVY197509 MFU197509 MPQ197509 MZM197509 NJI197509 NTE197509 ODA197509 OMW197509 OWS197509 PGO197509 PQK197509 QAG197509 QKC197509 QTY197509 RDU197509 RNQ197509 RXM197509 SHI197509 SRE197509 TBA197509 TKW197509 TUS197509 UEO197509 UOK197509 UYG197509 VIC197509 VRY197509 WBU197509 WLQ197509 WVM197509 E263045 JA263045 SW263045 ACS263045 AMO263045 AWK263045 BGG263045 BQC263045 BZY263045 CJU263045 CTQ263045 DDM263045 DNI263045 DXE263045 EHA263045 EQW263045 FAS263045 FKO263045 FUK263045 GEG263045 GOC263045 GXY263045 HHU263045 HRQ263045 IBM263045 ILI263045 IVE263045 JFA263045 JOW263045 JYS263045 KIO263045 KSK263045 LCG263045 LMC263045 LVY263045 MFU263045 MPQ263045 MZM263045 NJI263045 NTE263045 ODA263045 OMW263045 OWS263045 PGO263045 PQK263045 QAG263045 QKC263045 QTY263045 RDU263045 RNQ263045 RXM263045 SHI263045 SRE263045 TBA263045 TKW263045 TUS263045 UEO263045 UOK263045 UYG263045 VIC263045 VRY263045 WBU263045 WLQ263045 WVM263045 E328581 JA328581 SW328581 ACS328581 AMO328581 AWK328581 BGG328581 BQC328581 BZY328581 CJU328581 CTQ328581 DDM328581 DNI328581 DXE328581 EHA328581 EQW328581 FAS328581 FKO328581 FUK328581 GEG328581 GOC328581 GXY328581 HHU328581 HRQ328581 IBM328581 ILI328581 IVE328581 JFA328581 JOW328581 JYS328581 KIO328581 KSK328581 LCG328581 LMC328581 LVY328581 MFU328581 MPQ328581 MZM328581 NJI328581 NTE328581 ODA328581 OMW328581 OWS328581 PGO328581 PQK328581 QAG328581 QKC328581 QTY328581 RDU328581 RNQ328581 RXM328581 SHI328581 SRE328581 TBA328581 TKW328581 TUS328581 UEO328581 UOK328581 UYG328581 VIC328581 VRY328581 WBU328581 WLQ328581 WVM328581 E394117 JA394117 SW394117 ACS394117 AMO394117 AWK394117 BGG394117 BQC394117 BZY394117 CJU394117 CTQ394117 DDM394117 DNI394117 DXE394117 EHA394117 EQW394117 FAS394117 FKO394117 FUK394117 GEG394117 GOC394117 GXY394117 HHU394117 HRQ394117 IBM394117 ILI394117 IVE394117 JFA394117 JOW394117 JYS394117 KIO394117 KSK394117 LCG394117 LMC394117 LVY394117 MFU394117 MPQ394117 MZM394117 NJI394117 NTE394117 ODA394117 OMW394117 OWS394117 PGO394117 PQK394117 QAG394117 QKC394117 QTY394117 RDU394117 RNQ394117 RXM394117 SHI394117 SRE394117 TBA394117 TKW394117 TUS394117 UEO394117 UOK394117 UYG394117 VIC394117 VRY394117 WBU394117 WLQ394117 WVM394117 E459653 JA459653 SW459653 ACS459653 AMO459653 AWK459653 BGG459653 BQC459653 BZY459653 CJU459653 CTQ459653 DDM459653 DNI459653 DXE459653 EHA459653 EQW459653 FAS459653 FKO459653 FUK459653 GEG459653 GOC459653 GXY459653 HHU459653 HRQ459653 IBM459653 ILI459653 IVE459653 JFA459653 JOW459653 JYS459653 KIO459653 KSK459653 LCG459653 LMC459653 LVY459653 MFU459653 MPQ459653 MZM459653 NJI459653 NTE459653 ODA459653 OMW459653 OWS459653 PGO459653 PQK459653 QAG459653 QKC459653 QTY459653 RDU459653 RNQ459653 RXM459653 SHI459653 SRE459653 TBA459653 TKW459653 TUS459653 UEO459653 UOK459653 UYG459653 VIC459653 VRY459653 WBU459653 WLQ459653 WVM459653 E525189 JA525189 SW525189 ACS525189 AMO525189 AWK525189 BGG525189 BQC525189 BZY525189 CJU525189 CTQ525189 DDM525189 DNI525189 DXE525189 EHA525189 EQW525189 FAS525189 FKO525189 FUK525189 GEG525189 GOC525189 GXY525189 HHU525189 HRQ525189 IBM525189 ILI525189 IVE525189 JFA525189 JOW525189 JYS525189 KIO525189 KSK525189 LCG525189 LMC525189 LVY525189 MFU525189 MPQ525189 MZM525189 NJI525189 NTE525189 ODA525189 OMW525189 OWS525189 PGO525189 PQK525189 QAG525189 QKC525189 QTY525189 RDU525189 RNQ525189 RXM525189 SHI525189 SRE525189 TBA525189 TKW525189 TUS525189 UEO525189 UOK525189 UYG525189 VIC525189 VRY525189 WBU525189 WLQ525189 WVM525189 E590725 JA590725 SW590725 ACS590725 AMO590725 AWK590725 BGG590725 BQC590725 BZY590725 CJU590725 CTQ590725 DDM590725 DNI590725 DXE590725 EHA590725 EQW590725 FAS590725 FKO590725 FUK590725 GEG590725 GOC590725 GXY590725 HHU590725 HRQ590725 IBM590725 ILI590725 IVE590725 JFA590725 JOW590725 JYS590725 KIO590725 KSK590725 LCG590725 LMC590725 LVY590725 MFU590725 MPQ590725 MZM590725 NJI590725 NTE590725 ODA590725 OMW590725 OWS590725 PGO590725 PQK590725 QAG590725 QKC590725 QTY590725 RDU590725 RNQ590725 RXM590725 SHI590725 SRE590725 TBA590725 TKW590725 TUS590725 UEO590725 UOK590725 UYG590725 VIC590725 VRY590725 WBU590725 WLQ590725 WVM590725 E656261 JA656261 SW656261 ACS656261 AMO656261 AWK656261 BGG656261 BQC656261 BZY656261 CJU656261 CTQ656261 DDM656261 DNI656261 DXE656261 EHA656261 EQW656261 FAS656261 FKO656261 FUK656261 GEG656261 GOC656261 GXY656261 HHU656261 HRQ656261 IBM656261 ILI656261 IVE656261 JFA656261 JOW656261 JYS656261 KIO656261 KSK656261 LCG656261 LMC656261 LVY656261 MFU656261 MPQ656261 MZM656261 NJI656261 NTE656261 ODA656261 OMW656261 OWS656261 PGO656261 PQK656261 QAG656261 QKC656261 QTY656261 RDU656261 RNQ656261 RXM656261 SHI656261 SRE656261 TBA656261 TKW656261 TUS656261 UEO656261 UOK656261 UYG656261 VIC656261 VRY656261 WBU656261 WLQ656261 WVM656261 E721797 JA721797 SW721797 ACS721797 AMO721797 AWK721797 BGG721797 BQC721797 BZY721797 CJU721797 CTQ721797 DDM721797 DNI721797 DXE721797 EHA721797 EQW721797 FAS721797 FKO721797 FUK721797 GEG721797 GOC721797 GXY721797 HHU721797 HRQ721797 IBM721797 ILI721797 IVE721797 JFA721797 JOW721797 JYS721797 KIO721797 KSK721797 LCG721797 LMC721797 LVY721797 MFU721797 MPQ721797 MZM721797 NJI721797 NTE721797 ODA721797 OMW721797 OWS721797 PGO721797 PQK721797 QAG721797 QKC721797 QTY721797 RDU721797 RNQ721797 RXM721797 SHI721797 SRE721797 TBA721797 TKW721797 TUS721797 UEO721797 UOK721797 UYG721797 VIC721797 VRY721797 WBU721797 WLQ721797 WVM721797 E787333 JA787333 SW787333 ACS787333 AMO787333 AWK787333 BGG787333 BQC787333 BZY787333 CJU787333 CTQ787333 DDM787333 DNI787333 DXE787333 EHA787333 EQW787333 FAS787333 FKO787333 FUK787333 GEG787333 GOC787333 GXY787333 HHU787333 HRQ787333 IBM787333 ILI787333 IVE787333 JFA787333 JOW787333 JYS787333 KIO787333 KSK787333 LCG787333 LMC787333 LVY787333 MFU787333 MPQ787333 MZM787333 NJI787333 NTE787333 ODA787333 OMW787333 OWS787333 PGO787333 PQK787333 QAG787333 QKC787333 QTY787333 RDU787333 RNQ787333 RXM787333 SHI787333 SRE787333 TBA787333 TKW787333 TUS787333 UEO787333 UOK787333 UYG787333 VIC787333 VRY787333 WBU787333 WLQ787333 WVM787333 E852869 JA852869 SW852869 ACS852869 AMO852869 AWK852869 BGG852869 BQC852869 BZY852869 CJU852869 CTQ852869 DDM852869 DNI852869 DXE852869 EHA852869 EQW852869 FAS852869 FKO852869 FUK852869 GEG852869 GOC852869 GXY852869 HHU852869 HRQ852869 IBM852869 ILI852869 IVE852869 JFA852869 JOW852869 JYS852869 KIO852869 KSK852869 LCG852869 LMC852869 LVY852869 MFU852869 MPQ852869 MZM852869 NJI852869 NTE852869 ODA852869 OMW852869 OWS852869 PGO852869 PQK852869 QAG852869 QKC852869 QTY852869 RDU852869 RNQ852869 RXM852869 SHI852869 SRE852869 TBA852869 TKW852869 TUS852869 UEO852869 UOK852869 UYG852869 VIC852869 VRY852869 WBU852869 WLQ852869 WVM852869 E918405 JA918405 SW918405 ACS918405 AMO918405 AWK918405 BGG918405 BQC918405 BZY918405 CJU918405 CTQ918405 DDM918405 DNI918405 DXE918405 EHA918405 EQW918405 FAS918405 FKO918405 FUK918405 GEG918405 GOC918405 GXY918405 HHU918405 HRQ918405 IBM918405 ILI918405 IVE918405 JFA918405 JOW918405 JYS918405 KIO918405 KSK918405 LCG918405 LMC918405 LVY918405 MFU918405 MPQ918405 MZM918405 NJI918405 NTE918405 ODA918405 OMW918405 OWS918405 PGO918405 PQK918405 QAG918405 QKC918405 QTY918405 RDU918405 RNQ918405 RXM918405 SHI918405 SRE918405 TBA918405 TKW918405 TUS918405 UEO918405 UOK918405 UYG918405 VIC918405 VRY918405 WBU918405 WLQ918405 WVM918405 E983941 JA983941 SW983941 ACS983941 AMO983941 AWK983941 BGG983941 BQC983941 BZY983941 CJU983941 CTQ983941 DDM983941 DNI983941 DXE983941 EHA983941 EQW983941 FAS983941 FKO983941 FUK983941 GEG983941 GOC983941 GXY983941 HHU983941 HRQ983941 IBM983941 ILI983941 IVE983941 JFA983941 JOW983941 JYS983941 KIO983941 KSK983941 LCG983941 LMC983941 LVY983941 MFU983941 MPQ983941 MZM983941 NJI983941 NTE983941 ODA983941 OMW983941 OWS983941 PGO983941 PQK983941 QAG983941 QKC983941 QTY983941 RDU983941 RNQ983941 RXM983941 SHI983941 SRE983941 TBA983941 TKW983941 TUS983941 UEO983941 UOK983941 UYG983941 VIC983941 VRY983941 WBU983941 WLQ983941 WVM983941 AF707:AF709 KB707:KB709 TX707:TX709 ADT707:ADT709 ANP707:ANP709 AXL707:AXL709 BHH707:BHH709 BRD707:BRD709 CAZ707:CAZ709 CKV707:CKV709 CUR707:CUR709 DEN707:DEN709 DOJ707:DOJ709 DYF707:DYF709 EIB707:EIB709 ERX707:ERX709 FBT707:FBT709 FLP707:FLP709 FVL707:FVL709 GFH707:GFH709 GPD707:GPD709 GYZ707:GYZ709 HIV707:HIV709 HSR707:HSR709 ICN707:ICN709 IMJ707:IMJ709 IWF707:IWF709 JGB707:JGB709 JPX707:JPX709 JZT707:JZT709 KJP707:KJP709 KTL707:KTL709 LDH707:LDH709 LND707:LND709 LWZ707:LWZ709 MGV707:MGV709 MQR707:MQR709 NAN707:NAN709 NKJ707:NKJ709 NUF707:NUF709 OEB707:OEB709 ONX707:ONX709 OXT707:OXT709 PHP707:PHP709 PRL707:PRL709 QBH707:QBH709 QLD707:QLD709 QUZ707:QUZ709 REV707:REV709 ROR707:ROR709 RYN707:RYN709 SIJ707:SIJ709 SSF707:SSF709 TCB707:TCB709 TLX707:TLX709 TVT707:TVT709 UFP707:UFP709 UPL707:UPL709 UZH707:UZH709 VJD707:VJD709 VSZ707:VSZ709 WCV707:WCV709 WMR707:WMR709 WWN707:WWN709 AF66243:AF66245 KB66243:KB66245 TX66243:TX66245 ADT66243:ADT66245 ANP66243:ANP66245 AXL66243:AXL66245 BHH66243:BHH66245 BRD66243:BRD66245 CAZ66243:CAZ66245 CKV66243:CKV66245 CUR66243:CUR66245 DEN66243:DEN66245 DOJ66243:DOJ66245 DYF66243:DYF66245 EIB66243:EIB66245 ERX66243:ERX66245 FBT66243:FBT66245 FLP66243:FLP66245 FVL66243:FVL66245 GFH66243:GFH66245 GPD66243:GPD66245 GYZ66243:GYZ66245 HIV66243:HIV66245 HSR66243:HSR66245 ICN66243:ICN66245 IMJ66243:IMJ66245 IWF66243:IWF66245 JGB66243:JGB66245 JPX66243:JPX66245 JZT66243:JZT66245 KJP66243:KJP66245 KTL66243:KTL66245 LDH66243:LDH66245 LND66243:LND66245 LWZ66243:LWZ66245 MGV66243:MGV66245 MQR66243:MQR66245 NAN66243:NAN66245 NKJ66243:NKJ66245 NUF66243:NUF66245 OEB66243:OEB66245 ONX66243:ONX66245 OXT66243:OXT66245 PHP66243:PHP66245 PRL66243:PRL66245 QBH66243:QBH66245 QLD66243:QLD66245 QUZ66243:QUZ66245 REV66243:REV66245 ROR66243:ROR66245 RYN66243:RYN66245 SIJ66243:SIJ66245 SSF66243:SSF66245 TCB66243:TCB66245 TLX66243:TLX66245 TVT66243:TVT66245 UFP66243:UFP66245 UPL66243:UPL66245 UZH66243:UZH66245 VJD66243:VJD66245 VSZ66243:VSZ66245 WCV66243:WCV66245 WMR66243:WMR66245 WWN66243:WWN66245 AF131779:AF131781 KB131779:KB131781 TX131779:TX131781 ADT131779:ADT131781 ANP131779:ANP131781 AXL131779:AXL131781 BHH131779:BHH131781 BRD131779:BRD131781 CAZ131779:CAZ131781 CKV131779:CKV131781 CUR131779:CUR131781 DEN131779:DEN131781 DOJ131779:DOJ131781 DYF131779:DYF131781 EIB131779:EIB131781 ERX131779:ERX131781 FBT131779:FBT131781 FLP131779:FLP131781 FVL131779:FVL131781 GFH131779:GFH131781 GPD131779:GPD131781 GYZ131779:GYZ131781 HIV131779:HIV131781 HSR131779:HSR131781 ICN131779:ICN131781 IMJ131779:IMJ131781 IWF131779:IWF131781 JGB131779:JGB131781 JPX131779:JPX131781 JZT131779:JZT131781 KJP131779:KJP131781 KTL131779:KTL131781 LDH131779:LDH131781 LND131779:LND131781 LWZ131779:LWZ131781 MGV131779:MGV131781 MQR131779:MQR131781 NAN131779:NAN131781 NKJ131779:NKJ131781 NUF131779:NUF131781 OEB131779:OEB131781 ONX131779:ONX131781 OXT131779:OXT131781 PHP131779:PHP131781 PRL131779:PRL131781 QBH131779:QBH131781 QLD131779:QLD131781 QUZ131779:QUZ131781 REV131779:REV131781 ROR131779:ROR131781 RYN131779:RYN131781 SIJ131779:SIJ131781 SSF131779:SSF131781 TCB131779:TCB131781 TLX131779:TLX131781 TVT131779:TVT131781 UFP131779:UFP131781 UPL131779:UPL131781 UZH131779:UZH131781 VJD131779:VJD131781 VSZ131779:VSZ131781 WCV131779:WCV131781 WMR131779:WMR131781 WWN131779:WWN131781 AF197315:AF197317 KB197315:KB197317 TX197315:TX197317 ADT197315:ADT197317 ANP197315:ANP197317 AXL197315:AXL197317 BHH197315:BHH197317 BRD197315:BRD197317 CAZ197315:CAZ197317 CKV197315:CKV197317 CUR197315:CUR197317 DEN197315:DEN197317 DOJ197315:DOJ197317 DYF197315:DYF197317 EIB197315:EIB197317 ERX197315:ERX197317 FBT197315:FBT197317 FLP197315:FLP197317 FVL197315:FVL197317 GFH197315:GFH197317 GPD197315:GPD197317 GYZ197315:GYZ197317 HIV197315:HIV197317 HSR197315:HSR197317 ICN197315:ICN197317 IMJ197315:IMJ197317 IWF197315:IWF197317 JGB197315:JGB197317 JPX197315:JPX197317 JZT197315:JZT197317 KJP197315:KJP197317 KTL197315:KTL197317 LDH197315:LDH197317 LND197315:LND197317 LWZ197315:LWZ197317 MGV197315:MGV197317 MQR197315:MQR197317 NAN197315:NAN197317 NKJ197315:NKJ197317 NUF197315:NUF197317 OEB197315:OEB197317 ONX197315:ONX197317 OXT197315:OXT197317 PHP197315:PHP197317 PRL197315:PRL197317 QBH197315:QBH197317 QLD197315:QLD197317 QUZ197315:QUZ197317 REV197315:REV197317 ROR197315:ROR197317 RYN197315:RYN197317 SIJ197315:SIJ197317 SSF197315:SSF197317 TCB197315:TCB197317 TLX197315:TLX197317 TVT197315:TVT197317 UFP197315:UFP197317 UPL197315:UPL197317 UZH197315:UZH197317 VJD197315:VJD197317 VSZ197315:VSZ197317 WCV197315:WCV197317 WMR197315:WMR197317 WWN197315:WWN197317 AF262851:AF262853 KB262851:KB262853 TX262851:TX262853 ADT262851:ADT262853 ANP262851:ANP262853 AXL262851:AXL262853 BHH262851:BHH262853 BRD262851:BRD262853 CAZ262851:CAZ262853 CKV262851:CKV262853 CUR262851:CUR262853 DEN262851:DEN262853 DOJ262851:DOJ262853 DYF262851:DYF262853 EIB262851:EIB262853 ERX262851:ERX262853 FBT262851:FBT262853 FLP262851:FLP262853 FVL262851:FVL262853 GFH262851:GFH262853 GPD262851:GPD262853 GYZ262851:GYZ262853 HIV262851:HIV262853 HSR262851:HSR262853 ICN262851:ICN262853 IMJ262851:IMJ262853 IWF262851:IWF262853 JGB262851:JGB262853 JPX262851:JPX262853 JZT262851:JZT262853 KJP262851:KJP262853 KTL262851:KTL262853 LDH262851:LDH262853 LND262851:LND262853 LWZ262851:LWZ262853 MGV262851:MGV262853 MQR262851:MQR262853 NAN262851:NAN262853 NKJ262851:NKJ262853 NUF262851:NUF262853 OEB262851:OEB262853 ONX262851:ONX262853 OXT262851:OXT262853 PHP262851:PHP262853 PRL262851:PRL262853 QBH262851:QBH262853 QLD262851:QLD262853 QUZ262851:QUZ262853 REV262851:REV262853 ROR262851:ROR262853 RYN262851:RYN262853 SIJ262851:SIJ262853 SSF262851:SSF262853 TCB262851:TCB262853 TLX262851:TLX262853 TVT262851:TVT262853 UFP262851:UFP262853 UPL262851:UPL262853 UZH262851:UZH262853 VJD262851:VJD262853 VSZ262851:VSZ262853 WCV262851:WCV262853 WMR262851:WMR262853 WWN262851:WWN262853 AF328387:AF328389 KB328387:KB328389 TX328387:TX328389 ADT328387:ADT328389 ANP328387:ANP328389 AXL328387:AXL328389 BHH328387:BHH328389 BRD328387:BRD328389 CAZ328387:CAZ328389 CKV328387:CKV328389 CUR328387:CUR328389 DEN328387:DEN328389 DOJ328387:DOJ328389 DYF328387:DYF328389 EIB328387:EIB328389 ERX328387:ERX328389 FBT328387:FBT328389 FLP328387:FLP328389 FVL328387:FVL328389 GFH328387:GFH328389 GPD328387:GPD328389 GYZ328387:GYZ328389 HIV328387:HIV328389 HSR328387:HSR328389 ICN328387:ICN328389 IMJ328387:IMJ328389 IWF328387:IWF328389 JGB328387:JGB328389 JPX328387:JPX328389 JZT328387:JZT328389 KJP328387:KJP328389 KTL328387:KTL328389 LDH328387:LDH328389 LND328387:LND328389 LWZ328387:LWZ328389 MGV328387:MGV328389 MQR328387:MQR328389 NAN328387:NAN328389 NKJ328387:NKJ328389 NUF328387:NUF328389 OEB328387:OEB328389 ONX328387:ONX328389 OXT328387:OXT328389 PHP328387:PHP328389 PRL328387:PRL328389 QBH328387:QBH328389 QLD328387:QLD328389 QUZ328387:QUZ328389 REV328387:REV328389 ROR328387:ROR328389 RYN328387:RYN328389 SIJ328387:SIJ328389 SSF328387:SSF328389 TCB328387:TCB328389 TLX328387:TLX328389 TVT328387:TVT328389 UFP328387:UFP328389 UPL328387:UPL328389 UZH328387:UZH328389 VJD328387:VJD328389 VSZ328387:VSZ328389 WCV328387:WCV328389 WMR328387:WMR328389 WWN328387:WWN328389 AF393923:AF393925 KB393923:KB393925 TX393923:TX393925 ADT393923:ADT393925 ANP393923:ANP393925 AXL393923:AXL393925 BHH393923:BHH393925 BRD393923:BRD393925 CAZ393923:CAZ393925 CKV393923:CKV393925 CUR393923:CUR393925 DEN393923:DEN393925 DOJ393923:DOJ393925 DYF393923:DYF393925 EIB393923:EIB393925 ERX393923:ERX393925 FBT393923:FBT393925 FLP393923:FLP393925 FVL393923:FVL393925 GFH393923:GFH393925 GPD393923:GPD393925 GYZ393923:GYZ393925 HIV393923:HIV393925 HSR393923:HSR393925 ICN393923:ICN393925 IMJ393923:IMJ393925 IWF393923:IWF393925 JGB393923:JGB393925 JPX393923:JPX393925 JZT393923:JZT393925 KJP393923:KJP393925 KTL393923:KTL393925 LDH393923:LDH393925 LND393923:LND393925 LWZ393923:LWZ393925 MGV393923:MGV393925 MQR393923:MQR393925 NAN393923:NAN393925 NKJ393923:NKJ393925 NUF393923:NUF393925 OEB393923:OEB393925 ONX393923:ONX393925 OXT393923:OXT393925 PHP393923:PHP393925 PRL393923:PRL393925 QBH393923:QBH393925 QLD393923:QLD393925 QUZ393923:QUZ393925 REV393923:REV393925 ROR393923:ROR393925 RYN393923:RYN393925 SIJ393923:SIJ393925 SSF393923:SSF393925 TCB393923:TCB393925 TLX393923:TLX393925 TVT393923:TVT393925 UFP393923:UFP393925 UPL393923:UPL393925 UZH393923:UZH393925 VJD393923:VJD393925 VSZ393923:VSZ393925 WCV393923:WCV393925 WMR393923:WMR393925 WWN393923:WWN393925 AF459459:AF459461 KB459459:KB459461 TX459459:TX459461 ADT459459:ADT459461 ANP459459:ANP459461 AXL459459:AXL459461 BHH459459:BHH459461 BRD459459:BRD459461 CAZ459459:CAZ459461 CKV459459:CKV459461 CUR459459:CUR459461 DEN459459:DEN459461 DOJ459459:DOJ459461 DYF459459:DYF459461 EIB459459:EIB459461 ERX459459:ERX459461 FBT459459:FBT459461 FLP459459:FLP459461 FVL459459:FVL459461 GFH459459:GFH459461 GPD459459:GPD459461 GYZ459459:GYZ459461 HIV459459:HIV459461 HSR459459:HSR459461 ICN459459:ICN459461 IMJ459459:IMJ459461 IWF459459:IWF459461 JGB459459:JGB459461 JPX459459:JPX459461 JZT459459:JZT459461 KJP459459:KJP459461 KTL459459:KTL459461 LDH459459:LDH459461 LND459459:LND459461 LWZ459459:LWZ459461 MGV459459:MGV459461 MQR459459:MQR459461 NAN459459:NAN459461 NKJ459459:NKJ459461 NUF459459:NUF459461 OEB459459:OEB459461 ONX459459:ONX459461 OXT459459:OXT459461 PHP459459:PHP459461 PRL459459:PRL459461 QBH459459:QBH459461 QLD459459:QLD459461 QUZ459459:QUZ459461 REV459459:REV459461 ROR459459:ROR459461 RYN459459:RYN459461 SIJ459459:SIJ459461 SSF459459:SSF459461 TCB459459:TCB459461 TLX459459:TLX459461 TVT459459:TVT459461 UFP459459:UFP459461 UPL459459:UPL459461 UZH459459:UZH459461 VJD459459:VJD459461 VSZ459459:VSZ459461 WCV459459:WCV459461 WMR459459:WMR459461 WWN459459:WWN459461 AF524995:AF524997 KB524995:KB524997 TX524995:TX524997 ADT524995:ADT524997 ANP524995:ANP524997 AXL524995:AXL524997 BHH524995:BHH524997 BRD524995:BRD524997 CAZ524995:CAZ524997 CKV524995:CKV524997 CUR524995:CUR524997 DEN524995:DEN524997 DOJ524995:DOJ524997 DYF524995:DYF524997 EIB524995:EIB524997 ERX524995:ERX524997 FBT524995:FBT524997 FLP524995:FLP524997 FVL524995:FVL524997 GFH524995:GFH524997 GPD524995:GPD524997 GYZ524995:GYZ524997 HIV524995:HIV524997 HSR524995:HSR524997 ICN524995:ICN524997 IMJ524995:IMJ524997 IWF524995:IWF524997 JGB524995:JGB524997 JPX524995:JPX524997 JZT524995:JZT524997 KJP524995:KJP524997 KTL524995:KTL524997 LDH524995:LDH524997 LND524995:LND524997 LWZ524995:LWZ524997 MGV524995:MGV524997 MQR524995:MQR524997 NAN524995:NAN524997 NKJ524995:NKJ524997 NUF524995:NUF524997 OEB524995:OEB524997 ONX524995:ONX524997 OXT524995:OXT524997 PHP524995:PHP524997 PRL524995:PRL524997 QBH524995:QBH524997 QLD524995:QLD524997 QUZ524995:QUZ524997 REV524995:REV524997 ROR524995:ROR524997 RYN524995:RYN524997 SIJ524995:SIJ524997 SSF524995:SSF524997 TCB524995:TCB524997 TLX524995:TLX524997 TVT524995:TVT524997 UFP524995:UFP524997 UPL524995:UPL524997 UZH524995:UZH524997 VJD524995:VJD524997 VSZ524995:VSZ524997 WCV524995:WCV524997 WMR524995:WMR524997 WWN524995:WWN524997 AF590531:AF590533 KB590531:KB590533 TX590531:TX590533 ADT590531:ADT590533 ANP590531:ANP590533 AXL590531:AXL590533 BHH590531:BHH590533 BRD590531:BRD590533 CAZ590531:CAZ590533 CKV590531:CKV590533 CUR590531:CUR590533 DEN590531:DEN590533 DOJ590531:DOJ590533 DYF590531:DYF590533 EIB590531:EIB590533 ERX590531:ERX590533 FBT590531:FBT590533 FLP590531:FLP590533 FVL590531:FVL590533 GFH590531:GFH590533 GPD590531:GPD590533 GYZ590531:GYZ590533 HIV590531:HIV590533 HSR590531:HSR590533 ICN590531:ICN590533 IMJ590531:IMJ590533 IWF590531:IWF590533 JGB590531:JGB590533 JPX590531:JPX590533 JZT590531:JZT590533 KJP590531:KJP590533 KTL590531:KTL590533 LDH590531:LDH590533 LND590531:LND590533 LWZ590531:LWZ590533 MGV590531:MGV590533 MQR590531:MQR590533 NAN590531:NAN590533 NKJ590531:NKJ590533 NUF590531:NUF590533 OEB590531:OEB590533 ONX590531:ONX590533 OXT590531:OXT590533 PHP590531:PHP590533 PRL590531:PRL590533 QBH590531:QBH590533 QLD590531:QLD590533 QUZ590531:QUZ590533 REV590531:REV590533 ROR590531:ROR590533 RYN590531:RYN590533 SIJ590531:SIJ590533 SSF590531:SSF590533 TCB590531:TCB590533 TLX590531:TLX590533 TVT590531:TVT590533 UFP590531:UFP590533 UPL590531:UPL590533 UZH590531:UZH590533 VJD590531:VJD590533 VSZ590531:VSZ590533 WCV590531:WCV590533 WMR590531:WMR590533 WWN590531:WWN590533 AF656067:AF656069 KB656067:KB656069 TX656067:TX656069 ADT656067:ADT656069 ANP656067:ANP656069 AXL656067:AXL656069 BHH656067:BHH656069 BRD656067:BRD656069 CAZ656067:CAZ656069 CKV656067:CKV656069 CUR656067:CUR656069 DEN656067:DEN656069 DOJ656067:DOJ656069 DYF656067:DYF656069 EIB656067:EIB656069 ERX656067:ERX656069 FBT656067:FBT656069 FLP656067:FLP656069 FVL656067:FVL656069 GFH656067:GFH656069 GPD656067:GPD656069 GYZ656067:GYZ656069 HIV656067:HIV656069 HSR656067:HSR656069 ICN656067:ICN656069 IMJ656067:IMJ656069 IWF656067:IWF656069 JGB656067:JGB656069 JPX656067:JPX656069 JZT656067:JZT656069 KJP656067:KJP656069 KTL656067:KTL656069 LDH656067:LDH656069 LND656067:LND656069 LWZ656067:LWZ656069 MGV656067:MGV656069 MQR656067:MQR656069 NAN656067:NAN656069 NKJ656067:NKJ656069 NUF656067:NUF656069 OEB656067:OEB656069 ONX656067:ONX656069 OXT656067:OXT656069 PHP656067:PHP656069 PRL656067:PRL656069 QBH656067:QBH656069 QLD656067:QLD656069 QUZ656067:QUZ656069 REV656067:REV656069 ROR656067:ROR656069 RYN656067:RYN656069 SIJ656067:SIJ656069 SSF656067:SSF656069 TCB656067:TCB656069 TLX656067:TLX656069 TVT656067:TVT656069 UFP656067:UFP656069 UPL656067:UPL656069 UZH656067:UZH656069 VJD656067:VJD656069 VSZ656067:VSZ656069 WCV656067:WCV656069 WMR656067:WMR656069 WWN656067:WWN656069 AF721603:AF721605 KB721603:KB721605 TX721603:TX721605 ADT721603:ADT721605 ANP721603:ANP721605 AXL721603:AXL721605 BHH721603:BHH721605 BRD721603:BRD721605 CAZ721603:CAZ721605 CKV721603:CKV721605 CUR721603:CUR721605 DEN721603:DEN721605 DOJ721603:DOJ721605 DYF721603:DYF721605 EIB721603:EIB721605 ERX721603:ERX721605 FBT721603:FBT721605 FLP721603:FLP721605 FVL721603:FVL721605 GFH721603:GFH721605 GPD721603:GPD721605 GYZ721603:GYZ721605 HIV721603:HIV721605 HSR721603:HSR721605 ICN721603:ICN721605 IMJ721603:IMJ721605 IWF721603:IWF721605 JGB721603:JGB721605 JPX721603:JPX721605 JZT721603:JZT721605 KJP721603:KJP721605 KTL721603:KTL721605 LDH721603:LDH721605 LND721603:LND721605 LWZ721603:LWZ721605 MGV721603:MGV721605 MQR721603:MQR721605 NAN721603:NAN721605 NKJ721603:NKJ721605 NUF721603:NUF721605 OEB721603:OEB721605 ONX721603:ONX721605 OXT721603:OXT721605 PHP721603:PHP721605 PRL721603:PRL721605 QBH721603:QBH721605 QLD721603:QLD721605 QUZ721603:QUZ721605 REV721603:REV721605 ROR721603:ROR721605 RYN721603:RYN721605 SIJ721603:SIJ721605 SSF721603:SSF721605 TCB721603:TCB721605 TLX721603:TLX721605 TVT721603:TVT721605 UFP721603:UFP721605 UPL721603:UPL721605 UZH721603:UZH721605 VJD721603:VJD721605 VSZ721603:VSZ721605 WCV721603:WCV721605 WMR721603:WMR721605 WWN721603:WWN721605 AF787139:AF787141 KB787139:KB787141 TX787139:TX787141 ADT787139:ADT787141 ANP787139:ANP787141 AXL787139:AXL787141 BHH787139:BHH787141 BRD787139:BRD787141 CAZ787139:CAZ787141 CKV787139:CKV787141 CUR787139:CUR787141 DEN787139:DEN787141 DOJ787139:DOJ787141 DYF787139:DYF787141 EIB787139:EIB787141 ERX787139:ERX787141 FBT787139:FBT787141 FLP787139:FLP787141 FVL787139:FVL787141 GFH787139:GFH787141 GPD787139:GPD787141 GYZ787139:GYZ787141 HIV787139:HIV787141 HSR787139:HSR787141 ICN787139:ICN787141 IMJ787139:IMJ787141 IWF787139:IWF787141 JGB787139:JGB787141 JPX787139:JPX787141 JZT787139:JZT787141 KJP787139:KJP787141 KTL787139:KTL787141 LDH787139:LDH787141 LND787139:LND787141 LWZ787139:LWZ787141 MGV787139:MGV787141 MQR787139:MQR787141 NAN787139:NAN787141 NKJ787139:NKJ787141 NUF787139:NUF787141 OEB787139:OEB787141 ONX787139:ONX787141 OXT787139:OXT787141 PHP787139:PHP787141 PRL787139:PRL787141 QBH787139:QBH787141 QLD787139:QLD787141 QUZ787139:QUZ787141 REV787139:REV787141 ROR787139:ROR787141 RYN787139:RYN787141 SIJ787139:SIJ787141 SSF787139:SSF787141 TCB787139:TCB787141 TLX787139:TLX787141 TVT787139:TVT787141 UFP787139:UFP787141 UPL787139:UPL787141 UZH787139:UZH787141 VJD787139:VJD787141 VSZ787139:VSZ787141 WCV787139:WCV787141 WMR787139:WMR787141 WWN787139:WWN787141 AF852675:AF852677 KB852675:KB852677 TX852675:TX852677 ADT852675:ADT852677 ANP852675:ANP852677 AXL852675:AXL852677 BHH852675:BHH852677 BRD852675:BRD852677 CAZ852675:CAZ852677 CKV852675:CKV852677 CUR852675:CUR852677 DEN852675:DEN852677 DOJ852675:DOJ852677 DYF852675:DYF852677 EIB852675:EIB852677 ERX852675:ERX852677 FBT852675:FBT852677 FLP852675:FLP852677 FVL852675:FVL852677 GFH852675:GFH852677 GPD852675:GPD852677 GYZ852675:GYZ852677 HIV852675:HIV852677 HSR852675:HSR852677 ICN852675:ICN852677 IMJ852675:IMJ852677 IWF852675:IWF852677 JGB852675:JGB852677 JPX852675:JPX852677 JZT852675:JZT852677 KJP852675:KJP852677 KTL852675:KTL852677 LDH852675:LDH852677 LND852675:LND852677 LWZ852675:LWZ852677 MGV852675:MGV852677 MQR852675:MQR852677 NAN852675:NAN852677 NKJ852675:NKJ852677 NUF852675:NUF852677 OEB852675:OEB852677 ONX852675:ONX852677 OXT852675:OXT852677 PHP852675:PHP852677 PRL852675:PRL852677 QBH852675:QBH852677 QLD852675:QLD852677 QUZ852675:QUZ852677 REV852675:REV852677 ROR852675:ROR852677 RYN852675:RYN852677 SIJ852675:SIJ852677 SSF852675:SSF852677 TCB852675:TCB852677 TLX852675:TLX852677 TVT852675:TVT852677 UFP852675:UFP852677 UPL852675:UPL852677 UZH852675:UZH852677 VJD852675:VJD852677 VSZ852675:VSZ852677 WCV852675:WCV852677 WMR852675:WMR852677 WWN852675:WWN852677 AF918211:AF918213 KB918211:KB918213 TX918211:TX918213 ADT918211:ADT918213 ANP918211:ANP918213 AXL918211:AXL918213 BHH918211:BHH918213 BRD918211:BRD918213 CAZ918211:CAZ918213 CKV918211:CKV918213 CUR918211:CUR918213 DEN918211:DEN918213 DOJ918211:DOJ918213 DYF918211:DYF918213 EIB918211:EIB918213 ERX918211:ERX918213 FBT918211:FBT918213 FLP918211:FLP918213 FVL918211:FVL918213 GFH918211:GFH918213 GPD918211:GPD918213 GYZ918211:GYZ918213 HIV918211:HIV918213 HSR918211:HSR918213 ICN918211:ICN918213 IMJ918211:IMJ918213 IWF918211:IWF918213 JGB918211:JGB918213 JPX918211:JPX918213 JZT918211:JZT918213 KJP918211:KJP918213 KTL918211:KTL918213 LDH918211:LDH918213 LND918211:LND918213 LWZ918211:LWZ918213 MGV918211:MGV918213 MQR918211:MQR918213 NAN918211:NAN918213 NKJ918211:NKJ918213 NUF918211:NUF918213 OEB918211:OEB918213 ONX918211:ONX918213 OXT918211:OXT918213 PHP918211:PHP918213 PRL918211:PRL918213 QBH918211:QBH918213 QLD918211:QLD918213 QUZ918211:QUZ918213 REV918211:REV918213 ROR918211:ROR918213 RYN918211:RYN918213 SIJ918211:SIJ918213 SSF918211:SSF918213 TCB918211:TCB918213 TLX918211:TLX918213 TVT918211:TVT918213 UFP918211:UFP918213 UPL918211:UPL918213 UZH918211:UZH918213 VJD918211:VJD918213 VSZ918211:VSZ918213 WCV918211:WCV918213 WMR918211:WMR918213 WWN918211:WWN918213 AF983747:AF983749 KB983747:KB983749 TX983747:TX983749 ADT983747:ADT983749 ANP983747:ANP983749 AXL983747:AXL983749 BHH983747:BHH983749 BRD983747:BRD983749 CAZ983747:CAZ983749 CKV983747:CKV983749 CUR983747:CUR983749 DEN983747:DEN983749 DOJ983747:DOJ983749 DYF983747:DYF983749 EIB983747:EIB983749 ERX983747:ERX983749 FBT983747:FBT983749 FLP983747:FLP983749 FVL983747:FVL983749 GFH983747:GFH983749 GPD983747:GPD983749 GYZ983747:GYZ983749 HIV983747:HIV983749 HSR983747:HSR983749 ICN983747:ICN983749 IMJ983747:IMJ983749 IWF983747:IWF983749 JGB983747:JGB983749 JPX983747:JPX983749 JZT983747:JZT983749 KJP983747:KJP983749 KTL983747:KTL983749 LDH983747:LDH983749 LND983747:LND983749 LWZ983747:LWZ983749 MGV983747:MGV983749 MQR983747:MQR983749 NAN983747:NAN983749 NKJ983747:NKJ983749 NUF983747:NUF983749 OEB983747:OEB983749 ONX983747:ONX983749 OXT983747:OXT983749 PHP983747:PHP983749 PRL983747:PRL983749 QBH983747:QBH983749 QLD983747:QLD983749 QUZ983747:QUZ983749 REV983747:REV983749 ROR983747:ROR983749 RYN983747:RYN983749 SIJ983747:SIJ983749 SSF983747:SSF983749 TCB983747:TCB983749 TLX983747:TLX983749 TVT983747:TVT983749 UFP983747:UFP983749 UPL983747:UPL983749 UZH983747:UZH983749 VJD983747:VJD983749 VSZ983747:VSZ983749 WCV983747:WCV983749 WMR983747:WMR983749 WWN983747:WWN983749" xr:uid="{F3EB4E89-EDD0-44D0-AE97-E059CA5D5FFE}">
      <formula1>$AC$754:$AC$755</formula1>
    </dataValidation>
    <dataValidation type="list" allowBlank="1" showInputMessage="1" showErrorMessage="1" sqref="C51 IY51 SU51 ACQ51 AMM51 AWI51 BGE51 BQA51 BZW51 CJS51 CTO51 DDK51 DNG51 DXC51 EGY51 EQU51 FAQ51 FKM51 FUI51 GEE51 GOA51 GXW51 HHS51 HRO51 IBK51 ILG51 IVC51 JEY51 JOU51 JYQ51 KIM51 KSI51 LCE51 LMA51 LVW51 MFS51 MPO51 MZK51 NJG51 NTC51 OCY51 OMU51 OWQ51 PGM51 PQI51 QAE51 QKA51 QTW51 RDS51 RNO51 RXK51 SHG51 SRC51 TAY51 TKU51 TUQ51 UEM51 UOI51 UYE51 VIA51 VRW51 WBS51 WLO51 WVK51 C65587 IY65587 SU65587 ACQ65587 AMM65587 AWI65587 BGE65587 BQA65587 BZW65587 CJS65587 CTO65587 DDK65587 DNG65587 DXC65587 EGY65587 EQU65587 FAQ65587 FKM65587 FUI65587 GEE65587 GOA65587 GXW65587 HHS65587 HRO65587 IBK65587 ILG65587 IVC65587 JEY65587 JOU65587 JYQ65587 KIM65587 KSI65587 LCE65587 LMA65587 LVW65587 MFS65587 MPO65587 MZK65587 NJG65587 NTC65587 OCY65587 OMU65587 OWQ65587 PGM65587 PQI65587 QAE65587 QKA65587 QTW65587 RDS65587 RNO65587 RXK65587 SHG65587 SRC65587 TAY65587 TKU65587 TUQ65587 UEM65587 UOI65587 UYE65587 VIA65587 VRW65587 WBS65587 WLO65587 WVK65587 C131123 IY131123 SU131123 ACQ131123 AMM131123 AWI131123 BGE131123 BQA131123 BZW131123 CJS131123 CTO131123 DDK131123 DNG131123 DXC131123 EGY131123 EQU131123 FAQ131123 FKM131123 FUI131123 GEE131123 GOA131123 GXW131123 HHS131123 HRO131123 IBK131123 ILG131123 IVC131123 JEY131123 JOU131123 JYQ131123 KIM131123 KSI131123 LCE131123 LMA131123 LVW131123 MFS131123 MPO131123 MZK131123 NJG131123 NTC131123 OCY131123 OMU131123 OWQ131123 PGM131123 PQI131123 QAE131123 QKA131123 QTW131123 RDS131123 RNO131123 RXK131123 SHG131123 SRC131123 TAY131123 TKU131123 TUQ131123 UEM131123 UOI131123 UYE131123 VIA131123 VRW131123 WBS131123 WLO131123 WVK131123 C196659 IY196659 SU196659 ACQ196659 AMM196659 AWI196659 BGE196659 BQA196659 BZW196659 CJS196659 CTO196659 DDK196659 DNG196659 DXC196659 EGY196659 EQU196659 FAQ196659 FKM196659 FUI196659 GEE196659 GOA196659 GXW196659 HHS196659 HRO196659 IBK196659 ILG196659 IVC196659 JEY196659 JOU196659 JYQ196659 KIM196659 KSI196659 LCE196659 LMA196659 LVW196659 MFS196659 MPO196659 MZK196659 NJG196659 NTC196659 OCY196659 OMU196659 OWQ196659 PGM196659 PQI196659 QAE196659 QKA196659 QTW196659 RDS196659 RNO196659 RXK196659 SHG196659 SRC196659 TAY196659 TKU196659 TUQ196659 UEM196659 UOI196659 UYE196659 VIA196659 VRW196659 WBS196659 WLO196659 WVK196659 C262195 IY262195 SU262195 ACQ262195 AMM262195 AWI262195 BGE262195 BQA262195 BZW262195 CJS262195 CTO262195 DDK262195 DNG262195 DXC262195 EGY262195 EQU262195 FAQ262195 FKM262195 FUI262195 GEE262195 GOA262195 GXW262195 HHS262195 HRO262195 IBK262195 ILG262195 IVC262195 JEY262195 JOU262195 JYQ262195 KIM262195 KSI262195 LCE262195 LMA262195 LVW262195 MFS262195 MPO262195 MZK262195 NJG262195 NTC262195 OCY262195 OMU262195 OWQ262195 PGM262195 PQI262195 QAE262195 QKA262195 QTW262195 RDS262195 RNO262195 RXK262195 SHG262195 SRC262195 TAY262195 TKU262195 TUQ262195 UEM262195 UOI262195 UYE262195 VIA262195 VRW262195 WBS262195 WLO262195 WVK262195 C327731 IY327731 SU327731 ACQ327731 AMM327731 AWI327731 BGE327731 BQA327731 BZW327731 CJS327731 CTO327731 DDK327731 DNG327731 DXC327731 EGY327731 EQU327731 FAQ327731 FKM327731 FUI327731 GEE327731 GOA327731 GXW327731 HHS327731 HRO327731 IBK327731 ILG327731 IVC327731 JEY327731 JOU327731 JYQ327731 KIM327731 KSI327731 LCE327731 LMA327731 LVW327731 MFS327731 MPO327731 MZK327731 NJG327731 NTC327731 OCY327731 OMU327731 OWQ327731 PGM327731 PQI327731 QAE327731 QKA327731 QTW327731 RDS327731 RNO327731 RXK327731 SHG327731 SRC327731 TAY327731 TKU327731 TUQ327731 UEM327731 UOI327731 UYE327731 VIA327731 VRW327731 WBS327731 WLO327731 WVK327731 C393267 IY393267 SU393267 ACQ393267 AMM393267 AWI393267 BGE393267 BQA393267 BZW393267 CJS393267 CTO393267 DDK393267 DNG393267 DXC393267 EGY393267 EQU393267 FAQ393267 FKM393267 FUI393267 GEE393267 GOA393267 GXW393267 HHS393267 HRO393267 IBK393267 ILG393267 IVC393267 JEY393267 JOU393267 JYQ393267 KIM393267 KSI393267 LCE393267 LMA393267 LVW393267 MFS393267 MPO393267 MZK393267 NJG393267 NTC393267 OCY393267 OMU393267 OWQ393267 PGM393267 PQI393267 QAE393267 QKA393267 QTW393267 RDS393267 RNO393267 RXK393267 SHG393267 SRC393267 TAY393267 TKU393267 TUQ393267 UEM393267 UOI393267 UYE393267 VIA393267 VRW393267 WBS393267 WLO393267 WVK393267 C458803 IY458803 SU458803 ACQ458803 AMM458803 AWI458803 BGE458803 BQA458803 BZW458803 CJS458803 CTO458803 DDK458803 DNG458803 DXC458803 EGY458803 EQU458803 FAQ458803 FKM458803 FUI458803 GEE458803 GOA458803 GXW458803 HHS458803 HRO458803 IBK458803 ILG458803 IVC458803 JEY458803 JOU458803 JYQ458803 KIM458803 KSI458803 LCE458803 LMA458803 LVW458803 MFS458803 MPO458803 MZK458803 NJG458803 NTC458803 OCY458803 OMU458803 OWQ458803 PGM458803 PQI458803 QAE458803 QKA458803 QTW458803 RDS458803 RNO458803 RXK458803 SHG458803 SRC458803 TAY458803 TKU458803 TUQ458803 UEM458803 UOI458803 UYE458803 VIA458803 VRW458803 WBS458803 WLO458803 WVK458803 C524339 IY524339 SU524339 ACQ524339 AMM524339 AWI524339 BGE524339 BQA524339 BZW524339 CJS524339 CTO524339 DDK524339 DNG524339 DXC524339 EGY524339 EQU524339 FAQ524339 FKM524339 FUI524339 GEE524339 GOA524339 GXW524339 HHS524339 HRO524339 IBK524339 ILG524339 IVC524339 JEY524339 JOU524339 JYQ524339 KIM524339 KSI524339 LCE524339 LMA524339 LVW524339 MFS524339 MPO524339 MZK524339 NJG524339 NTC524339 OCY524339 OMU524339 OWQ524339 PGM524339 PQI524339 QAE524339 QKA524339 QTW524339 RDS524339 RNO524339 RXK524339 SHG524339 SRC524339 TAY524339 TKU524339 TUQ524339 UEM524339 UOI524339 UYE524339 VIA524339 VRW524339 WBS524339 WLO524339 WVK524339 C589875 IY589875 SU589875 ACQ589875 AMM589875 AWI589875 BGE589875 BQA589875 BZW589875 CJS589875 CTO589875 DDK589875 DNG589875 DXC589875 EGY589875 EQU589875 FAQ589875 FKM589875 FUI589875 GEE589875 GOA589875 GXW589875 HHS589875 HRO589875 IBK589875 ILG589875 IVC589875 JEY589875 JOU589875 JYQ589875 KIM589875 KSI589875 LCE589875 LMA589875 LVW589875 MFS589875 MPO589875 MZK589875 NJG589875 NTC589875 OCY589875 OMU589875 OWQ589875 PGM589875 PQI589875 QAE589875 QKA589875 QTW589875 RDS589875 RNO589875 RXK589875 SHG589875 SRC589875 TAY589875 TKU589875 TUQ589875 UEM589875 UOI589875 UYE589875 VIA589875 VRW589875 WBS589875 WLO589875 WVK589875 C655411 IY655411 SU655411 ACQ655411 AMM655411 AWI655411 BGE655411 BQA655411 BZW655411 CJS655411 CTO655411 DDK655411 DNG655411 DXC655411 EGY655411 EQU655411 FAQ655411 FKM655411 FUI655411 GEE655411 GOA655411 GXW655411 HHS655411 HRO655411 IBK655411 ILG655411 IVC655411 JEY655411 JOU655411 JYQ655411 KIM655411 KSI655411 LCE655411 LMA655411 LVW655411 MFS655411 MPO655411 MZK655411 NJG655411 NTC655411 OCY655411 OMU655411 OWQ655411 PGM655411 PQI655411 QAE655411 QKA655411 QTW655411 RDS655411 RNO655411 RXK655411 SHG655411 SRC655411 TAY655411 TKU655411 TUQ655411 UEM655411 UOI655411 UYE655411 VIA655411 VRW655411 WBS655411 WLO655411 WVK655411 C720947 IY720947 SU720947 ACQ720947 AMM720947 AWI720947 BGE720947 BQA720947 BZW720947 CJS720947 CTO720947 DDK720947 DNG720947 DXC720947 EGY720947 EQU720947 FAQ720947 FKM720947 FUI720947 GEE720947 GOA720947 GXW720947 HHS720947 HRO720947 IBK720947 ILG720947 IVC720947 JEY720947 JOU720947 JYQ720947 KIM720947 KSI720947 LCE720947 LMA720947 LVW720947 MFS720947 MPO720947 MZK720947 NJG720947 NTC720947 OCY720947 OMU720947 OWQ720947 PGM720947 PQI720947 QAE720947 QKA720947 QTW720947 RDS720947 RNO720947 RXK720947 SHG720947 SRC720947 TAY720947 TKU720947 TUQ720947 UEM720947 UOI720947 UYE720947 VIA720947 VRW720947 WBS720947 WLO720947 WVK720947 C786483 IY786483 SU786483 ACQ786483 AMM786483 AWI786483 BGE786483 BQA786483 BZW786483 CJS786483 CTO786483 DDK786483 DNG786483 DXC786483 EGY786483 EQU786483 FAQ786483 FKM786483 FUI786483 GEE786483 GOA786483 GXW786483 HHS786483 HRO786483 IBK786483 ILG786483 IVC786483 JEY786483 JOU786483 JYQ786483 KIM786483 KSI786483 LCE786483 LMA786483 LVW786483 MFS786483 MPO786483 MZK786483 NJG786483 NTC786483 OCY786483 OMU786483 OWQ786483 PGM786483 PQI786483 QAE786483 QKA786483 QTW786483 RDS786483 RNO786483 RXK786483 SHG786483 SRC786483 TAY786483 TKU786483 TUQ786483 UEM786483 UOI786483 UYE786483 VIA786483 VRW786483 WBS786483 WLO786483 WVK786483 C852019 IY852019 SU852019 ACQ852019 AMM852019 AWI852019 BGE852019 BQA852019 BZW852019 CJS852019 CTO852019 DDK852019 DNG852019 DXC852019 EGY852019 EQU852019 FAQ852019 FKM852019 FUI852019 GEE852019 GOA852019 GXW852019 HHS852019 HRO852019 IBK852019 ILG852019 IVC852019 JEY852019 JOU852019 JYQ852019 KIM852019 KSI852019 LCE852019 LMA852019 LVW852019 MFS852019 MPO852019 MZK852019 NJG852019 NTC852019 OCY852019 OMU852019 OWQ852019 PGM852019 PQI852019 QAE852019 QKA852019 QTW852019 RDS852019 RNO852019 RXK852019 SHG852019 SRC852019 TAY852019 TKU852019 TUQ852019 UEM852019 UOI852019 UYE852019 VIA852019 VRW852019 WBS852019 WLO852019 WVK852019 C917555 IY917555 SU917555 ACQ917555 AMM917555 AWI917555 BGE917555 BQA917555 BZW917555 CJS917555 CTO917555 DDK917555 DNG917555 DXC917555 EGY917555 EQU917555 FAQ917555 FKM917555 FUI917555 GEE917555 GOA917555 GXW917555 HHS917555 HRO917555 IBK917555 ILG917555 IVC917555 JEY917555 JOU917555 JYQ917555 KIM917555 KSI917555 LCE917555 LMA917555 LVW917555 MFS917555 MPO917555 MZK917555 NJG917555 NTC917555 OCY917555 OMU917555 OWQ917555 PGM917555 PQI917555 QAE917555 QKA917555 QTW917555 RDS917555 RNO917555 RXK917555 SHG917555 SRC917555 TAY917555 TKU917555 TUQ917555 UEM917555 UOI917555 UYE917555 VIA917555 VRW917555 WBS917555 WLO917555 WVK917555 C983091 IY983091 SU983091 ACQ983091 AMM983091 AWI983091 BGE983091 BQA983091 BZW983091 CJS983091 CTO983091 DDK983091 DNG983091 DXC983091 EGY983091 EQU983091 FAQ983091 FKM983091 FUI983091 GEE983091 GOA983091 GXW983091 HHS983091 HRO983091 IBK983091 ILG983091 IVC983091 JEY983091 JOU983091 JYQ983091 KIM983091 KSI983091 LCE983091 LMA983091 LVW983091 MFS983091 MPO983091 MZK983091 NJG983091 NTC983091 OCY983091 OMU983091 OWQ983091 PGM983091 PQI983091 QAE983091 QKA983091 QTW983091 RDS983091 RNO983091 RXK983091 SHG983091 SRC983091 TAY983091 TKU983091 TUQ983091 UEM983091 UOI983091 UYE983091 VIA983091 VRW983091 WBS983091 WLO983091 WVK983091" xr:uid="{34AD3281-453B-4029-ABB4-53C1B1ED2246}">
      <formula1>$BW$719:$BY$719</formula1>
    </dataValidation>
    <dataValidation type="list" allowBlank="1" showInputMessage="1" showErrorMessage="1" sqref="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xr:uid="{2E697CC9-866B-4B23-B7B2-23CDC9C5FDC7}">
      <formula1>$V$705:$V$713</formula1>
    </dataValidation>
    <dataValidation type="list" allowBlank="1" showInputMessage="1" showErrorMessage="1" sqref="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7 IY65557 SU65557 ACQ65557 AMM65557 AWI65557 BGE65557 BQA65557 BZW65557 CJS65557 CTO65557 DDK65557 DNG65557 DXC65557 EGY65557 EQU65557 FAQ65557 FKM65557 FUI65557 GEE65557 GOA65557 GXW65557 HHS65557 HRO65557 IBK65557 ILG65557 IVC65557 JEY65557 JOU65557 JYQ65557 KIM65557 KSI65557 LCE65557 LMA65557 LVW65557 MFS65557 MPO65557 MZK65557 NJG65557 NTC65557 OCY65557 OMU65557 OWQ65557 PGM65557 PQI65557 QAE65557 QKA65557 QTW65557 RDS65557 RNO65557 RXK65557 SHG65557 SRC65557 TAY65557 TKU65557 TUQ65557 UEM65557 UOI65557 UYE65557 VIA65557 VRW65557 WBS65557 WLO65557 WVK65557 C131093 IY131093 SU131093 ACQ131093 AMM131093 AWI131093 BGE131093 BQA131093 BZW131093 CJS131093 CTO131093 DDK131093 DNG131093 DXC131093 EGY131093 EQU131093 FAQ131093 FKM131093 FUI131093 GEE131093 GOA131093 GXW131093 HHS131093 HRO131093 IBK131093 ILG131093 IVC131093 JEY131093 JOU131093 JYQ131093 KIM131093 KSI131093 LCE131093 LMA131093 LVW131093 MFS131093 MPO131093 MZK131093 NJG131093 NTC131093 OCY131093 OMU131093 OWQ131093 PGM131093 PQI131093 QAE131093 QKA131093 QTW131093 RDS131093 RNO131093 RXK131093 SHG131093 SRC131093 TAY131093 TKU131093 TUQ131093 UEM131093 UOI131093 UYE131093 VIA131093 VRW131093 WBS131093 WLO131093 WVK131093 C196629 IY196629 SU196629 ACQ196629 AMM196629 AWI196629 BGE196629 BQA196629 BZW196629 CJS196629 CTO196629 DDK196629 DNG196629 DXC196629 EGY196629 EQU196629 FAQ196629 FKM196629 FUI196629 GEE196629 GOA196629 GXW196629 HHS196629 HRO196629 IBK196629 ILG196629 IVC196629 JEY196629 JOU196629 JYQ196629 KIM196629 KSI196629 LCE196629 LMA196629 LVW196629 MFS196629 MPO196629 MZK196629 NJG196629 NTC196629 OCY196629 OMU196629 OWQ196629 PGM196629 PQI196629 QAE196629 QKA196629 QTW196629 RDS196629 RNO196629 RXK196629 SHG196629 SRC196629 TAY196629 TKU196629 TUQ196629 UEM196629 UOI196629 UYE196629 VIA196629 VRW196629 WBS196629 WLO196629 WVK196629 C262165 IY262165 SU262165 ACQ262165 AMM262165 AWI262165 BGE262165 BQA262165 BZW262165 CJS262165 CTO262165 DDK262165 DNG262165 DXC262165 EGY262165 EQU262165 FAQ262165 FKM262165 FUI262165 GEE262165 GOA262165 GXW262165 HHS262165 HRO262165 IBK262165 ILG262165 IVC262165 JEY262165 JOU262165 JYQ262165 KIM262165 KSI262165 LCE262165 LMA262165 LVW262165 MFS262165 MPO262165 MZK262165 NJG262165 NTC262165 OCY262165 OMU262165 OWQ262165 PGM262165 PQI262165 QAE262165 QKA262165 QTW262165 RDS262165 RNO262165 RXK262165 SHG262165 SRC262165 TAY262165 TKU262165 TUQ262165 UEM262165 UOI262165 UYE262165 VIA262165 VRW262165 WBS262165 WLO262165 WVK262165 C327701 IY327701 SU327701 ACQ327701 AMM327701 AWI327701 BGE327701 BQA327701 BZW327701 CJS327701 CTO327701 DDK327701 DNG327701 DXC327701 EGY327701 EQU327701 FAQ327701 FKM327701 FUI327701 GEE327701 GOA327701 GXW327701 HHS327701 HRO327701 IBK327701 ILG327701 IVC327701 JEY327701 JOU327701 JYQ327701 KIM327701 KSI327701 LCE327701 LMA327701 LVW327701 MFS327701 MPO327701 MZK327701 NJG327701 NTC327701 OCY327701 OMU327701 OWQ327701 PGM327701 PQI327701 QAE327701 QKA327701 QTW327701 RDS327701 RNO327701 RXK327701 SHG327701 SRC327701 TAY327701 TKU327701 TUQ327701 UEM327701 UOI327701 UYE327701 VIA327701 VRW327701 WBS327701 WLO327701 WVK327701 C393237 IY393237 SU393237 ACQ393237 AMM393237 AWI393237 BGE393237 BQA393237 BZW393237 CJS393237 CTO393237 DDK393237 DNG393237 DXC393237 EGY393237 EQU393237 FAQ393237 FKM393237 FUI393237 GEE393237 GOA393237 GXW393237 HHS393237 HRO393237 IBK393237 ILG393237 IVC393237 JEY393237 JOU393237 JYQ393237 KIM393237 KSI393237 LCE393237 LMA393237 LVW393237 MFS393237 MPO393237 MZK393237 NJG393237 NTC393237 OCY393237 OMU393237 OWQ393237 PGM393237 PQI393237 QAE393237 QKA393237 QTW393237 RDS393237 RNO393237 RXK393237 SHG393237 SRC393237 TAY393237 TKU393237 TUQ393237 UEM393237 UOI393237 UYE393237 VIA393237 VRW393237 WBS393237 WLO393237 WVK393237 C458773 IY458773 SU458773 ACQ458773 AMM458773 AWI458773 BGE458773 BQA458773 BZW458773 CJS458773 CTO458773 DDK458773 DNG458773 DXC458773 EGY458773 EQU458773 FAQ458773 FKM458773 FUI458773 GEE458773 GOA458773 GXW458773 HHS458773 HRO458773 IBK458773 ILG458773 IVC458773 JEY458773 JOU458773 JYQ458773 KIM458773 KSI458773 LCE458773 LMA458773 LVW458773 MFS458773 MPO458773 MZK458773 NJG458773 NTC458773 OCY458773 OMU458773 OWQ458773 PGM458773 PQI458773 QAE458773 QKA458773 QTW458773 RDS458773 RNO458773 RXK458773 SHG458773 SRC458773 TAY458773 TKU458773 TUQ458773 UEM458773 UOI458773 UYE458773 VIA458773 VRW458773 WBS458773 WLO458773 WVK458773 C524309 IY524309 SU524309 ACQ524309 AMM524309 AWI524309 BGE524309 BQA524309 BZW524309 CJS524309 CTO524309 DDK524309 DNG524309 DXC524309 EGY524309 EQU524309 FAQ524309 FKM524309 FUI524309 GEE524309 GOA524309 GXW524309 HHS524309 HRO524309 IBK524309 ILG524309 IVC524309 JEY524309 JOU524309 JYQ524309 KIM524309 KSI524309 LCE524309 LMA524309 LVW524309 MFS524309 MPO524309 MZK524309 NJG524309 NTC524309 OCY524309 OMU524309 OWQ524309 PGM524309 PQI524309 QAE524309 QKA524309 QTW524309 RDS524309 RNO524309 RXK524309 SHG524309 SRC524309 TAY524309 TKU524309 TUQ524309 UEM524309 UOI524309 UYE524309 VIA524309 VRW524309 WBS524309 WLO524309 WVK524309 C589845 IY589845 SU589845 ACQ589845 AMM589845 AWI589845 BGE589845 BQA589845 BZW589845 CJS589845 CTO589845 DDK589845 DNG589845 DXC589845 EGY589845 EQU589845 FAQ589845 FKM589845 FUI589845 GEE589845 GOA589845 GXW589845 HHS589845 HRO589845 IBK589845 ILG589845 IVC589845 JEY589845 JOU589845 JYQ589845 KIM589845 KSI589845 LCE589845 LMA589845 LVW589845 MFS589845 MPO589845 MZK589845 NJG589845 NTC589845 OCY589845 OMU589845 OWQ589845 PGM589845 PQI589845 QAE589845 QKA589845 QTW589845 RDS589845 RNO589845 RXK589845 SHG589845 SRC589845 TAY589845 TKU589845 TUQ589845 UEM589845 UOI589845 UYE589845 VIA589845 VRW589845 WBS589845 WLO589845 WVK589845 C655381 IY655381 SU655381 ACQ655381 AMM655381 AWI655381 BGE655381 BQA655381 BZW655381 CJS655381 CTO655381 DDK655381 DNG655381 DXC655381 EGY655381 EQU655381 FAQ655381 FKM655381 FUI655381 GEE655381 GOA655381 GXW655381 HHS655381 HRO655381 IBK655381 ILG655381 IVC655381 JEY655381 JOU655381 JYQ655381 KIM655381 KSI655381 LCE655381 LMA655381 LVW655381 MFS655381 MPO655381 MZK655381 NJG655381 NTC655381 OCY655381 OMU655381 OWQ655381 PGM655381 PQI655381 QAE655381 QKA655381 QTW655381 RDS655381 RNO655381 RXK655381 SHG655381 SRC655381 TAY655381 TKU655381 TUQ655381 UEM655381 UOI655381 UYE655381 VIA655381 VRW655381 WBS655381 WLO655381 WVK655381 C720917 IY720917 SU720917 ACQ720917 AMM720917 AWI720917 BGE720917 BQA720917 BZW720917 CJS720917 CTO720917 DDK720917 DNG720917 DXC720917 EGY720917 EQU720917 FAQ720917 FKM720917 FUI720917 GEE720917 GOA720917 GXW720917 HHS720917 HRO720917 IBK720917 ILG720917 IVC720917 JEY720917 JOU720917 JYQ720917 KIM720917 KSI720917 LCE720917 LMA720917 LVW720917 MFS720917 MPO720917 MZK720917 NJG720917 NTC720917 OCY720917 OMU720917 OWQ720917 PGM720917 PQI720917 QAE720917 QKA720917 QTW720917 RDS720917 RNO720917 RXK720917 SHG720917 SRC720917 TAY720917 TKU720917 TUQ720917 UEM720917 UOI720917 UYE720917 VIA720917 VRW720917 WBS720917 WLO720917 WVK720917 C786453 IY786453 SU786453 ACQ786453 AMM786453 AWI786453 BGE786453 BQA786453 BZW786453 CJS786453 CTO786453 DDK786453 DNG786453 DXC786453 EGY786453 EQU786453 FAQ786453 FKM786453 FUI786453 GEE786453 GOA786453 GXW786453 HHS786453 HRO786453 IBK786453 ILG786453 IVC786453 JEY786453 JOU786453 JYQ786453 KIM786453 KSI786453 LCE786453 LMA786453 LVW786453 MFS786453 MPO786453 MZK786453 NJG786453 NTC786453 OCY786453 OMU786453 OWQ786453 PGM786453 PQI786453 QAE786453 QKA786453 QTW786453 RDS786453 RNO786453 RXK786453 SHG786453 SRC786453 TAY786453 TKU786453 TUQ786453 UEM786453 UOI786453 UYE786453 VIA786453 VRW786453 WBS786453 WLO786453 WVK786453 C851989 IY851989 SU851989 ACQ851989 AMM851989 AWI851989 BGE851989 BQA851989 BZW851989 CJS851989 CTO851989 DDK851989 DNG851989 DXC851989 EGY851989 EQU851989 FAQ851989 FKM851989 FUI851989 GEE851989 GOA851989 GXW851989 HHS851989 HRO851989 IBK851989 ILG851989 IVC851989 JEY851989 JOU851989 JYQ851989 KIM851989 KSI851989 LCE851989 LMA851989 LVW851989 MFS851989 MPO851989 MZK851989 NJG851989 NTC851989 OCY851989 OMU851989 OWQ851989 PGM851989 PQI851989 QAE851989 QKA851989 QTW851989 RDS851989 RNO851989 RXK851989 SHG851989 SRC851989 TAY851989 TKU851989 TUQ851989 UEM851989 UOI851989 UYE851989 VIA851989 VRW851989 WBS851989 WLO851989 WVK851989 C917525 IY917525 SU917525 ACQ917525 AMM917525 AWI917525 BGE917525 BQA917525 BZW917525 CJS917525 CTO917525 DDK917525 DNG917525 DXC917525 EGY917525 EQU917525 FAQ917525 FKM917525 FUI917525 GEE917525 GOA917525 GXW917525 HHS917525 HRO917525 IBK917525 ILG917525 IVC917525 JEY917525 JOU917525 JYQ917525 KIM917525 KSI917525 LCE917525 LMA917525 LVW917525 MFS917525 MPO917525 MZK917525 NJG917525 NTC917525 OCY917525 OMU917525 OWQ917525 PGM917525 PQI917525 QAE917525 QKA917525 QTW917525 RDS917525 RNO917525 RXK917525 SHG917525 SRC917525 TAY917525 TKU917525 TUQ917525 UEM917525 UOI917525 UYE917525 VIA917525 VRW917525 WBS917525 WLO917525 WVK917525 C983061 IY983061 SU983061 ACQ983061 AMM983061 AWI983061 BGE983061 BQA983061 BZW983061 CJS983061 CTO983061 DDK983061 DNG983061 DXC983061 EGY983061 EQU983061 FAQ983061 FKM983061 FUI983061 GEE983061 GOA983061 GXW983061 HHS983061 HRO983061 IBK983061 ILG983061 IVC983061 JEY983061 JOU983061 JYQ983061 KIM983061 KSI983061 LCE983061 LMA983061 LVW983061 MFS983061 MPO983061 MZK983061 NJG983061 NTC983061 OCY983061 OMU983061 OWQ983061 PGM983061 PQI983061 QAE983061 QKA983061 QTW983061 RDS983061 RNO983061 RXK983061 SHG983061 SRC983061 TAY983061 TKU983061 TUQ983061 UEM983061 UOI983061 UYE983061 VIA983061 VRW983061 WBS983061 WLO983061 WVK983061" xr:uid="{D0FF3E41-13AE-442A-9A99-D7BE0861859E}">
      <formula1>$S$723:$S$726</formula1>
    </dataValidation>
    <dataValidation type="list" allowBlank="1" showInputMessage="1" showErrorMessage="1" sqref="BB781 KX781 UT781 AEP781 AOL781 AYH781 BID781 BRZ781 CBV781 CLR781 CVN781 DFJ781 DPF781 DZB781 EIX781 EST781 FCP781 FML781 FWH781 GGD781 GPZ781 GZV781 HJR781 HTN781 IDJ781 INF781 IXB781 JGX781 JQT781 KAP781 KKL781 KUH781 LED781 LNZ781 LXV781 MHR781 MRN781 NBJ781 NLF781 NVB781 OEX781 OOT781 OYP781 PIL781 PSH781 QCD781 QLZ781 QVV781 RFR781 RPN781 RZJ781 SJF781 STB781 TCX781 TMT781 TWP781 UGL781 UQH781 VAD781 VJZ781 VTV781 WDR781 WNN781 WXJ781 BB66317 KX66317 UT66317 AEP66317 AOL66317 AYH66317 BID66317 BRZ66317 CBV66317 CLR66317 CVN66317 DFJ66317 DPF66317 DZB66317 EIX66317 EST66317 FCP66317 FML66317 FWH66317 GGD66317 GPZ66317 GZV66317 HJR66317 HTN66317 IDJ66317 INF66317 IXB66317 JGX66317 JQT66317 KAP66317 KKL66317 KUH66317 LED66317 LNZ66317 LXV66317 MHR66317 MRN66317 NBJ66317 NLF66317 NVB66317 OEX66317 OOT66317 OYP66317 PIL66317 PSH66317 QCD66317 QLZ66317 QVV66317 RFR66317 RPN66317 RZJ66317 SJF66317 STB66317 TCX66317 TMT66317 TWP66317 UGL66317 UQH66317 VAD66317 VJZ66317 VTV66317 WDR66317 WNN66317 WXJ66317 BB131853 KX131853 UT131853 AEP131853 AOL131853 AYH131853 BID131853 BRZ131853 CBV131853 CLR131853 CVN131853 DFJ131853 DPF131853 DZB131853 EIX131853 EST131853 FCP131853 FML131853 FWH131853 GGD131853 GPZ131853 GZV131853 HJR131853 HTN131853 IDJ131853 INF131853 IXB131853 JGX131853 JQT131853 KAP131853 KKL131853 KUH131853 LED131853 LNZ131853 LXV131853 MHR131853 MRN131853 NBJ131853 NLF131853 NVB131853 OEX131853 OOT131853 OYP131853 PIL131853 PSH131853 QCD131853 QLZ131853 QVV131853 RFR131853 RPN131853 RZJ131853 SJF131853 STB131853 TCX131853 TMT131853 TWP131853 UGL131853 UQH131853 VAD131853 VJZ131853 VTV131853 WDR131853 WNN131853 WXJ131853 BB197389 KX197389 UT197389 AEP197389 AOL197389 AYH197389 BID197389 BRZ197389 CBV197389 CLR197389 CVN197389 DFJ197389 DPF197389 DZB197389 EIX197389 EST197389 FCP197389 FML197389 FWH197389 GGD197389 GPZ197389 GZV197389 HJR197389 HTN197389 IDJ197389 INF197389 IXB197389 JGX197389 JQT197389 KAP197389 KKL197389 KUH197389 LED197389 LNZ197389 LXV197389 MHR197389 MRN197389 NBJ197389 NLF197389 NVB197389 OEX197389 OOT197389 OYP197389 PIL197389 PSH197389 QCD197389 QLZ197389 QVV197389 RFR197389 RPN197389 RZJ197389 SJF197389 STB197389 TCX197389 TMT197389 TWP197389 UGL197389 UQH197389 VAD197389 VJZ197389 VTV197389 WDR197389 WNN197389 WXJ197389 BB262925 KX262925 UT262925 AEP262925 AOL262925 AYH262925 BID262925 BRZ262925 CBV262925 CLR262925 CVN262925 DFJ262925 DPF262925 DZB262925 EIX262925 EST262925 FCP262925 FML262925 FWH262925 GGD262925 GPZ262925 GZV262925 HJR262925 HTN262925 IDJ262925 INF262925 IXB262925 JGX262925 JQT262925 KAP262925 KKL262925 KUH262925 LED262925 LNZ262925 LXV262925 MHR262925 MRN262925 NBJ262925 NLF262925 NVB262925 OEX262925 OOT262925 OYP262925 PIL262925 PSH262925 QCD262925 QLZ262925 QVV262925 RFR262925 RPN262925 RZJ262925 SJF262925 STB262925 TCX262925 TMT262925 TWP262925 UGL262925 UQH262925 VAD262925 VJZ262925 VTV262925 WDR262925 WNN262925 WXJ262925 BB328461 KX328461 UT328461 AEP328461 AOL328461 AYH328461 BID328461 BRZ328461 CBV328461 CLR328461 CVN328461 DFJ328461 DPF328461 DZB328461 EIX328461 EST328461 FCP328461 FML328461 FWH328461 GGD328461 GPZ328461 GZV328461 HJR328461 HTN328461 IDJ328461 INF328461 IXB328461 JGX328461 JQT328461 KAP328461 KKL328461 KUH328461 LED328461 LNZ328461 LXV328461 MHR328461 MRN328461 NBJ328461 NLF328461 NVB328461 OEX328461 OOT328461 OYP328461 PIL328461 PSH328461 QCD328461 QLZ328461 QVV328461 RFR328461 RPN328461 RZJ328461 SJF328461 STB328461 TCX328461 TMT328461 TWP328461 UGL328461 UQH328461 VAD328461 VJZ328461 VTV328461 WDR328461 WNN328461 WXJ328461 BB393997 KX393997 UT393997 AEP393997 AOL393997 AYH393997 BID393997 BRZ393997 CBV393997 CLR393997 CVN393997 DFJ393997 DPF393997 DZB393997 EIX393997 EST393997 FCP393997 FML393997 FWH393997 GGD393997 GPZ393997 GZV393997 HJR393997 HTN393997 IDJ393997 INF393997 IXB393997 JGX393997 JQT393997 KAP393997 KKL393997 KUH393997 LED393997 LNZ393997 LXV393997 MHR393997 MRN393997 NBJ393997 NLF393997 NVB393997 OEX393997 OOT393997 OYP393997 PIL393997 PSH393997 QCD393997 QLZ393997 QVV393997 RFR393997 RPN393997 RZJ393997 SJF393997 STB393997 TCX393997 TMT393997 TWP393997 UGL393997 UQH393997 VAD393997 VJZ393997 VTV393997 WDR393997 WNN393997 WXJ393997 BB459533 KX459533 UT459533 AEP459533 AOL459533 AYH459533 BID459533 BRZ459533 CBV459533 CLR459533 CVN459533 DFJ459533 DPF459533 DZB459533 EIX459533 EST459533 FCP459533 FML459533 FWH459533 GGD459533 GPZ459533 GZV459533 HJR459533 HTN459533 IDJ459533 INF459533 IXB459533 JGX459533 JQT459533 KAP459533 KKL459533 KUH459533 LED459533 LNZ459533 LXV459533 MHR459533 MRN459533 NBJ459533 NLF459533 NVB459533 OEX459533 OOT459533 OYP459533 PIL459533 PSH459533 QCD459533 QLZ459533 QVV459533 RFR459533 RPN459533 RZJ459533 SJF459533 STB459533 TCX459533 TMT459533 TWP459533 UGL459533 UQH459533 VAD459533 VJZ459533 VTV459533 WDR459533 WNN459533 WXJ459533 BB525069 KX525069 UT525069 AEP525069 AOL525069 AYH525069 BID525069 BRZ525069 CBV525069 CLR525069 CVN525069 DFJ525069 DPF525069 DZB525069 EIX525069 EST525069 FCP525069 FML525069 FWH525069 GGD525069 GPZ525069 GZV525069 HJR525069 HTN525069 IDJ525069 INF525069 IXB525069 JGX525069 JQT525069 KAP525069 KKL525069 KUH525069 LED525069 LNZ525069 LXV525069 MHR525069 MRN525069 NBJ525069 NLF525069 NVB525069 OEX525069 OOT525069 OYP525069 PIL525069 PSH525069 QCD525069 QLZ525069 QVV525069 RFR525069 RPN525069 RZJ525069 SJF525069 STB525069 TCX525069 TMT525069 TWP525069 UGL525069 UQH525069 VAD525069 VJZ525069 VTV525069 WDR525069 WNN525069 WXJ525069 BB590605 KX590605 UT590605 AEP590605 AOL590605 AYH590605 BID590605 BRZ590605 CBV590605 CLR590605 CVN590605 DFJ590605 DPF590605 DZB590605 EIX590605 EST590605 FCP590605 FML590605 FWH590605 GGD590605 GPZ590605 GZV590605 HJR590605 HTN590605 IDJ590605 INF590605 IXB590605 JGX590605 JQT590605 KAP590605 KKL590605 KUH590605 LED590605 LNZ590605 LXV590605 MHR590605 MRN590605 NBJ590605 NLF590605 NVB590605 OEX590605 OOT590605 OYP590605 PIL590605 PSH590605 QCD590605 QLZ590605 QVV590605 RFR590605 RPN590605 RZJ590605 SJF590605 STB590605 TCX590605 TMT590605 TWP590605 UGL590605 UQH590605 VAD590605 VJZ590605 VTV590605 WDR590605 WNN590605 WXJ590605 BB656141 KX656141 UT656141 AEP656141 AOL656141 AYH656141 BID656141 BRZ656141 CBV656141 CLR656141 CVN656141 DFJ656141 DPF656141 DZB656141 EIX656141 EST656141 FCP656141 FML656141 FWH656141 GGD656141 GPZ656141 GZV656141 HJR656141 HTN656141 IDJ656141 INF656141 IXB656141 JGX656141 JQT656141 KAP656141 KKL656141 KUH656141 LED656141 LNZ656141 LXV656141 MHR656141 MRN656141 NBJ656141 NLF656141 NVB656141 OEX656141 OOT656141 OYP656141 PIL656141 PSH656141 QCD656141 QLZ656141 QVV656141 RFR656141 RPN656141 RZJ656141 SJF656141 STB656141 TCX656141 TMT656141 TWP656141 UGL656141 UQH656141 VAD656141 VJZ656141 VTV656141 WDR656141 WNN656141 WXJ656141 BB721677 KX721677 UT721677 AEP721677 AOL721677 AYH721677 BID721677 BRZ721677 CBV721677 CLR721677 CVN721677 DFJ721677 DPF721677 DZB721677 EIX721677 EST721677 FCP721677 FML721677 FWH721677 GGD721677 GPZ721677 GZV721677 HJR721677 HTN721677 IDJ721677 INF721677 IXB721677 JGX721677 JQT721677 KAP721677 KKL721677 KUH721677 LED721677 LNZ721677 LXV721677 MHR721677 MRN721677 NBJ721677 NLF721677 NVB721677 OEX721677 OOT721677 OYP721677 PIL721677 PSH721677 QCD721677 QLZ721677 QVV721677 RFR721677 RPN721677 RZJ721677 SJF721677 STB721677 TCX721677 TMT721677 TWP721677 UGL721677 UQH721677 VAD721677 VJZ721677 VTV721677 WDR721677 WNN721677 WXJ721677 BB787213 KX787213 UT787213 AEP787213 AOL787213 AYH787213 BID787213 BRZ787213 CBV787213 CLR787213 CVN787213 DFJ787213 DPF787213 DZB787213 EIX787213 EST787213 FCP787213 FML787213 FWH787213 GGD787213 GPZ787213 GZV787213 HJR787213 HTN787213 IDJ787213 INF787213 IXB787213 JGX787213 JQT787213 KAP787213 KKL787213 KUH787213 LED787213 LNZ787213 LXV787213 MHR787213 MRN787213 NBJ787213 NLF787213 NVB787213 OEX787213 OOT787213 OYP787213 PIL787213 PSH787213 QCD787213 QLZ787213 QVV787213 RFR787213 RPN787213 RZJ787213 SJF787213 STB787213 TCX787213 TMT787213 TWP787213 UGL787213 UQH787213 VAD787213 VJZ787213 VTV787213 WDR787213 WNN787213 WXJ787213 BB852749 KX852749 UT852749 AEP852749 AOL852749 AYH852749 BID852749 BRZ852749 CBV852749 CLR852749 CVN852749 DFJ852749 DPF852749 DZB852749 EIX852749 EST852749 FCP852749 FML852749 FWH852749 GGD852749 GPZ852749 GZV852749 HJR852749 HTN852749 IDJ852749 INF852749 IXB852749 JGX852749 JQT852749 KAP852749 KKL852749 KUH852749 LED852749 LNZ852749 LXV852749 MHR852749 MRN852749 NBJ852749 NLF852749 NVB852749 OEX852749 OOT852749 OYP852749 PIL852749 PSH852749 QCD852749 QLZ852749 QVV852749 RFR852749 RPN852749 RZJ852749 SJF852749 STB852749 TCX852749 TMT852749 TWP852749 UGL852749 UQH852749 VAD852749 VJZ852749 VTV852749 WDR852749 WNN852749 WXJ852749 BB918285 KX918285 UT918285 AEP918285 AOL918285 AYH918285 BID918285 BRZ918285 CBV918285 CLR918285 CVN918285 DFJ918285 DPF918285 DZB918285 EIX918285 EST918285 FCP918285 FML918285 FWH918285 GGD918285 GPZ918285 GZV918285 HJR918285 HTN918285 IDJ918285 INF918285 IXB918285 JGX918285 JQT918285 KAP918285 KKL918285 KUH918285 LED918285 LNZ918285 LXV918285 MHR918285 MRN918285 NBJ918285 NLF918285 NVB918285 OEX918285 OOT918285 OYP918285 PIL918285 PSH918285 QCD918285 QLZ918285 QVV918285 RFR918285 RPN918285 RZJ918285 SJF918285 STB918285 TCX918285 TMT918285 TWP918285 UGL918285 UQH918285 VAD918285 VJZ918285 VTV918285 WDR918285 WNN918285 WXJ918285 BB983821 KX983821 UT983821 AEP983821 AOL983821 AYH983821 BID983821 BRZ983821 CBV983821 CLR983821 CVN983821 DFJ983821 DPF983821 DZB983821 EIX983821 EST983821 FCP983821 FML983821 FWH983821 GGD983821 GPZ983821 GZV983821 HJR983821 HTN983821 IDJ983821 INF983821 IXB983821 JGX983821 JQT983821 KAP983821 KKL983821 KUH983821 LED983821 LNZ983821 LXV983821 MHR983821 MRN983821 NBJ983821 NLF983821 NVB983821 OEX983821 OOT983821 OYP983821 PIL983821 PSH983821 QCD983821 QLZ983821 QVV983821 RFR983821 RPN983821 RZJ983821 SJF983821 STB983821 TCX983821 TMT983821 TWP983821 UGL983821 UQH983821 VAD983821 VJZ983821 VTV983821 WDR983821 WNN983821 WXJ983821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xr:uid="{9648C5ED-2A1B-48BC-8051-76DF94FEED0E}">
      <formula1>$Y$723:$Y$724</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xr:uid="{1BB6B6C9-D18D-408E-99B4-7B36A4186537}">
      <formula1>$D$157:$D$160</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xr:uid="{0D230A09-BD8D-4F88-9D3A-D8A9E8F35B86}">
      <formula1>$B$152:$B$165</formula1>
    </dataValidation>
    <dataValidation type="list" allowBlank="1" showInputMessage="1" showErrorMessage="1" sqref="AS18 KO18 UK18 AEG18 AOC18 AXY18 BHU18 BRQ18 CBM18 CLI18 CVE18 DFA18 DOW18 DYS18 EIO18 ESK18 FCG18 FMC18 FVY18 GFU18 GPQ18 GZM18 HJI18 HTE18 IDA18 IMW18 IWS18 JGO18 JQK18 KAG18 KKC18 KTY18 LDU18 LNQ18 LXM18 MHI18 MRE18 NBA18 NKW18 NUS18 OEO18 OOK18 OYG18 PIC18 PRY18 QBU18 QLQ18 QVM18 RFI18 RPE18 RZA18 SIW18 SSS18 TCO18 TMK18 TWG18 UGC18 UPY18 UZU18 VJQ18 VTM18 WDI18 WNE18 WXA18 AS65554 KO65554 UK65554 AEG65554 AOC65554 AXY65554 BHU65554 BRQ65554 CBM65554 CLI65554 CVE65554 DFA65554 DOW65554 DYS65554 EIO65554 ESK65554 FCG65554 FMC65554 FVY65554 GFU65554 GPQ65554 GZM65554 HJI65554 HTE65554 IDA65554 IMW65554 IWS65554 JGO65554 JQK65554 KAG65554 KKC65554 KTY65554 LDU65554 LNQ65554 LXM65554 MHI65554 MRE65554 NBA65554 NKW65554 NUS65554 OEO65554 OOK65554 OYG65554 PIC65554 PRY65554 QBU65554 QLQ65554 QVM65554 RFI65554 RPE65554 RZA65554 SIW65554 SSS65554 TCO65554 TMK65554 TWG65554 UGC65554 UPY65554 UZU65554 VJQ65554 VTM65554 WDI65554 WNE65554 WXA65554 AS131090 KO131090 UK131090 AEG131090 AOC131090 AXY131090 BHU131090 BRQ131090 CBM131090 CLI131090 CVE131090 DFA131090 DOW131090 DYS131090 EIO131090 ESK131090 FCG131090 FMC131090 FVY131090 GFU131090 GPQ131090 GZM131090 HJI131090 HTE131090 IDA131090 IMW131090 IWS131090 JGO131090 JQK131090 KAG131090 KKC131090 KTY131090 LDU131090 LNQ131090 LXM131090 MHI131090 MRE131090 NBA131090 NKW131090 NUS131090 OEO131090 OOK131090 OYG131090 PIC131090 PRY131090 QBU131090 QLQ131090 QVM131090 RFI131090 RPE131090 RZA131090 SIW131090 SSS131090 TCO131090 TMK131090 TWG131090 UGC131090 UPY131090 UZU131090 VJQ131090 VTM131090 WDI131090 WNE131090 WXA131090 AS196626 KO196626 UK196626 AEG196626 AOC196626 AXY196626 BHU196626 BRQ196626 CBM196626 CLI196626 CVE196626 DFA196626 DOW196626 DYS196626 EIO196626 ESK196626 FCG196626 FMC196626 FVY196626 GFU196626 GPQ196626 GZM196626 HJI196626 HTE196626 IDA196626 IMW196626 IWS196626 JGO196626 JQK196626 KAG196626 KKC196626 KTY196626 LDU196626 LNQ196626 LXM196626 MHI196626 MRE196626 NBA196626 NKW196626 NUS196626 OEO196626 OOK196626 OYG196626 PIC196626 PRY196626 QBU196626 QLQ196626 QVM196626 RFI196626 RPE196626 RZA196626 SIW196626 SSS196626 TCO196626 TMK196626 TWG196626 UGC196626 UPY196626 UZU196626 VJQ196626 VTM196626 WDI196626 WNE196626 WXA196626 AS262162 KO262162 UK262162 AEG262162 AOC262162 AXY262162 BHU262162 BRQ262162 CBM262162 CLI262162 CVE262162 DFA262162 DOW262162 DYS262162 EIO262162 ESK262162 FCG262162 FMC262162 FVY262162 GFU262162 GPQ262162 GZM262162 HJI262162 HTE262162 IDA262162 IMW262162 IWS262162 JGO262162 JQK262162 KAG262162 KKC262162 KTY262162 LDU262162 LNQ262162 LXM262162 MHI262162 MRE262162 NBA262162 NKW262162 NUS262162 OEO262162 OOK262162 OYG262162 PIC262162 PRY262162 QBU262162 QLQ262162 QVM262162 RFI262162 RPE262162 RZA262162 SIW262162 SSS262162 TCO262162 TMK262162 TWG262162 UGC262162 UPY262162 UZU262162 VJQ262162 VTM262162 WDI262162 WNE262162 WXA262162 AS327698 KO327698 UK327698 AEG327698 AOC327698 AXY327698 BHU327698 BRQ327698 CBM327698 CLI327698 CVE327698 DFA327698 DOW327698 DYS327698 EIO327698 ESK327698 FCG327698 FMC327698 FVY327698 GFU327698 GPQ327698 GZM327698 HJI327698 HTE327698 IDA327698 IMW327698 IWS327698 JGO327698 JQK327698 KAG327698 KKC327698 KTY327698 LDU327698 LNQ327698 LXM327698 MHI327698 MRE327698 NBA327698 NKW327698 NUS327698 OEO327698 OOK327698 OYG327698 PIC327698 PRY327698 QBU327698 QLQ327698 QVM327698 RFI327698 RPE327698 RZA327698 SIW327698 SSS327698 TCO327698 TMK327698 TWG327698 UGC327698 UPY327698 UZU327698 VJQ327698 VTM327698 WDI327698 WNE327698 WXA327698 AS393234 KO393234 UK393234 AEG393234 AOC393234 AXY393234 BHU393234 BRQ393234 CBM393234 CLI393234 CVE393234 DFA393234 DOW393234 DYS393234 EIO393234 ESK393234 FCG393234 FMC393234 FVY393234 GFU393234 GPQ393234 GZM393234 HJI393234 HTE393234 IDA393234 IMW393234 IWS393234 JGO393234 JQK393234 KAG393234 KKC393234 KTY393234 LDU393234 LNQ393234 LXM393234 MHI393234 MRE393234 NBA393234 NKW393234 NUS393234 OEO393234 OOK393234 OYG393234 PIC393234 PRY393234 QBU393234 QLQ393234 QVM393234 RFI393234 RPE393234 RZA393234 SIW393234 SSS393234 TCO393234 TMK393234 TWG393234 UGC393234 UPY393234 UZU393234 VJQ393234 VTM393234 WDI393234 WNE393234 WXA393234 AS458770 KO458770 UK458770 AEG458770 AOC458770 AXY458770 BHU458770 BRQ458770 CBM458770 CLI458770 CVE458770 DFA458770 DOW458770 DYS458770 EIO458770 ESK458770 FCG458770 FMC458770 FVY458770 GFU458770 GPQ458770 GZM458770 HJI458770 HTE458770 IDA458770 IMW458770 IWS458770 JGO458770 JQK458770 KAG458770 KKC458770 KTY458770 LDU458770 LNQ458770 LXM458770 MHI458770 MRE458770 NBA458770 NKW458770 NUS458770 OEO458770 OOK458770 OYG458770 PIC458770 PRY458770 QBU458770 QLQ458770 QVM458770 RFI458770 RPE458770 RZA458770 SIW458770 SSS458770 TCO458770 TMK458770 TWG458770 UGC458770 UPY458770 UZU458770 VJQ458770 VTM458770 WDI458770 WNE458770 WXA458770 AS524306 KO524306 UK524306 AEG524306 AOC524306 AXY524306 BHU524306 BRQ524306 CBM524306 CLI524306 CVE524306 DFA524306 DOW524306 DYS524306 EIO524306 ESK524306 FCG524306 FMC524306 FVY524306 GFU524306 GPQ524306 GZM524306 HJI524306 HTE524306 IDA524306 IMW524306 IWS524306 JGO524306 JQK524306 KAG524306 KKC524306 KTY524306 LDU524306 LNQ524306 LXM524306 MHI524306 MRE524306 NBA524306 NKW524306 NUS524306 OEO524306 OOK524306 OYG524306 PIC524306 PRY524306 QBU524306 QLQ524306 QVM524306 RFI524306 RPE524306 RZA524306 SIW524306 SSS524306 TCO524306 TMK524306 TWG524306 UGC524306 UPY524306 UZU524306 VJQ524306 VTM524306 WDI524306 WNE524306 WXA524306 AS589842 KO589842 UK589842 AEG589842 AOC589842 AXY589842 BHU589842 BRQ589842 CBM589842 CLI589842 CVE589842 DFA589842 DOW589842 DYS589842 EIO589842 ESK589842 FCG589842 FMC589842 FVY589842 GFU589842 GPQ589842 GZM589842 HJI589842 HTE589842 IDA589842 IMW589842 IWS589842 JGO589842 JQK589842 KAG589842 KKC589842 KTY589842 LDU589842 LNQ589842 LXM589842 MHI589842 MRE589842 NBA589842 NKW589842 NUS589842 OEO589842 OOK589842 OYG589842 PIC589842 PRY589842 QBU589842 QLQ589842 QVM589842 RFI589842 RPE589842 RZA589842 SIW589842 SSS589842 TCO589842 TMK589842 TWG589842 UGC589842 UPY589842 UZU589842 VJQ589842 VTM589842 WDI589842 WNE589842 WXA589842 AS655378 KO655378 UK655378 AEG655378 AOC655378 AXY655378 BHU655378 BRQ655378 CBM655378 CLI655378 CVE655378 DFA655378 DOW655378 DYS655378 EIO655378 ESK655378 FCG655378 FMC655378 FVY655378 GFU655378 GPQ655378 GZM655378 HJI655378 HTE655378 IDA655378 IMW655378 IWS655378 JGO655378 JQK655378 KAG655378 KKC655378 KTY655378 LDU655378 LNQ655378 LXM655378 MHI655378 MRE655378 NBA655378 NKW655378 NUS655378 OEO655378 OOK655378 OYG655378 PIC655378 PRY655378 QBU655378 QLQ655378 QVM655378 RFI655378 RPE655378 RZA655378 SIW655378 SSS655378 TCO655378 TMK655378 TWG655378 UGC655378 UPY655378 UZU655378 VJQ655378 VTM655378 WDI655378 WNE655378 WXA655378 AS720914 KO720914 UK720914 AEG720914 AOC720914 AXY720914 BHU720914 BRQ720914 CBM720914 CLI720914 CVE720914 DFA720914 DOW720914 DYS720914 EIO720914 ESK720914 FCG720914 FMC720914 FVY720914 GFU720914 GPQ720914 GZM720914 HJI720914 HTE720914 IDA720914 IMW720914 IWS720914 JGO720914 JQK720914 KAG720914 KKC720914 KTY720914 LDU720914 LNQ720914 LXM720914 MHI720914 MRE720914 NBA720914 NKW720914 NUS720914 OEO720914 OOK720914 OYG720914 PIC720914 PRY720914 QBU720914 QLQ720914 QVM720914 RFI720914 RPE720914 RZA720914 SIW720914 SSS720914 TCO720914 TMK720914 TWG720914 UGC720914 UPY720914 UZU720914 VJQ720914 VTM720914 WDI720914 WNE720914 WXA720914 AS786450 KO786450 UK786450 AEG786450 AOC786450 AXY786450 BHU786450 BRQ786450 CBM786450 CLI786450 CVE786450 DFA786450 DOW786450 DYS786450 EIO786450 ESK786450 FCG786450 FMC786450 FVY786450 GFU786450 GPQ786450 GZM786450 HJI786450 HTE786450 IDA786450 IMW786450 IWS786450 JGO786450 JQK786450 KAG786450 KKC786450 KTY786450 LDU786450 LNQ786450 LXM786450 MHI786450 MRE786450 NBA786450 NKW786450 NUS786450 OEO786450 OOK786450 OYG786450 PIC786450 PRY786450 QBU786450 QLQ786450 QVM786450 RFI786450 RPE786450 RZA786450 SIW786450 SSS786450 TCO786450 TMK786450 TWG786450 UGC786450 UPY786450 UZU786450 VJQ786450 VTM786450 WDI786450 WNE786450 WXA786450 AS851986 KO851986 UK851986 AEG851986 AOC851986 AXY851986 BHU851986 BRQ851986 CBM851986 CLI851986 CVE851986 DFA851986 DOW851986 DYS851986 EIO851986 ESK851986 FCG851986 FMC851986 FVY851986 GFU851986 GPQ851986 GZM851986 HJI851986 HTE851986 IDA851986 IMW851986 IWS851986 JGO851986 JQK851986 KAG851986 KKC851986 KTY851986 LDU851986 LNQ851986 LXM851986 MHI851986 MRE851986 NBA851986 NKW851986 NUS851986 OEO851986 OOK851986 OYG851986 PIC851986 PRY851986 QBU851986 QLQ851986 QVM851986 RFI851986 RPE851986 RZA851986 SIW851986 SSS851986 TCO851986 TMK851986 TWG851986 UGC851986 UPY851986 UZU851986 VJQ851986 VTM851986 WDI851986 WNE851986 WXA851986 AS917522 KO917522 UK917522 AEG917522 AOC917522 AXY917522 BHU917522 BRQ917522 CBM917522 CLI917522 CVE917522 DFA917522 DOW917522 DYS917522 EIO917522 ESK917522 FCG917522 FMC917522 FVY917522 GFU917522 GPQ917522 GZM917522 HJI917522 HTE917522 IDA917522 IMW917522 IWS917522 JGO917522 JQK917522 KAG917522 KKC917522 KTY917522 LDU917522 LNQ917522 LXM917522 MHI917522 MRE917522 NBA917522 NKW917522 NUS917522 OEO917522 OOK917522 OYG917522 PIC917522 PRY917522 QBU917522 QLQ917522 QVM917522 RFI917522 RPE917522 RZA917522 SIW917522 SSS917522 TCO917522 TMK917522 TWG917522 UGC917522 UPY917522 UZU917522 VJQ917522 VTM917522 WDI917522 WNE917522 WXA917522 AS983058 KO983058 UK983058 AEG983058 AOC983058 AXY983058 BHU983058 BRQ983058 CBM983058 CLI983058 CVE983058 DFA983058 DOW983058 DYS983058 EIO983058 ESK983058 FCG983058 FMC983058 FVY983058 GFU983058 GPQ983058 GZM983058 HJI983058 HTE983058 IDA983058 IMW983058 IWS983058 JGO983058 JQK983058 KAG983058 KKC983058 KTY983058 LDU983058 LNQ983058 LXM983058 MHI983058 MRE983058 NBA983058 NKW983058 NUS983058 OEO983058 OOK983058 OYG983058 PIC983058 PRY983058 QBU983058 QLQ983058 QVM983058 RFI983058 RPE983058 RZA983058 SIW983058 SSS983058 TCO983058 TMK983058 TWG983058 UGC983058 UPY983058 UZU983058 VJQ983058 VTM983058 WDI983058 WNE983058 WXA983058" xr:uid="{8E93B259-90C1-40B1-8CF3-D058ACC67510}">
      <formula1>$AS$19:$AS$51</formula1>
    </dataValidation>
    <dataValidation type="list" allowBlank="1" showInputMessage="1" showErrorMessage="1" sqref="AT24 KP24 UL24 AEH24 AOD24 AXZ24 BHV24 BRR24 CBN24 CLJ24 CVF24 DFB24 DOX24 DYT24 EIP24 ESL24 FCH24 FMD24 FVZ24 GFV24 GPR24 GZN24 HJJ24 HTF24 IDB24 IMX24 IWT24 JGP24 JQL24 KAH24 KKD24 KTZ24 LDV24 LNR24 LXN24 MHJ24 MRF24 NBB24 NKX24 NUT24 OEP24 OOL24 OYH24 PID24 PRZ24 QBV24 QLR24 QVN24 RFJ24 RPF24 RZB24 SIX24 SST24 TCP24 TML24 TWH24 UGD24 UPZ24 UZV24 VJR24 VTN24 WDJ24 WNF24 WXB24 AT65560 KP65560 UL65560 AEH65560 AOD65560 AXZ65560 BHV65560 BRR65560 CBN65560 CLJ65560 CVF65560 DFB65560 DOX65560 DYT65560 EIP65560 ESL65560 FCH65560 FMD65560 FVZ65560 GFV65560 GPR65560 GZN65560 HJJ65560 HTF65560 IDB65560 IMX65560 IWT65560 JGP65560 JQL65560 KAH65560 KKD65560 KTZ65560 LDV65560 LNR65560 LXN65560 MHJ65560 MRF65560 NBB65560 NKX65560 NUT65560 OEP65560 OOL65560 OYH65560 PID65560 PRZ65560 QBV65560 QLR65560 QVN65560 RFJ65560 RPF65560 RZB65560 SIX65560 SST65560 TCP65560 TML65560 TWH65560 UGD65560 UPZ65560 UZV65560 VJR65560 VTN65560 WDJ65560 WNF65560 WXB65560 AT131096 KP131096 UL131096 AEH131096 AOD131096 AXZ131096 BHV131096 BRR131096 CBN131096 CLJ131096 CVF131096 DFB131096 DOX131096 DYT131096 EIP131096 ESL131096 FCH131096 FMD131096 FVZ131096 GFV131096 GPR131096 GZN131096 HJJ131096 HTF131096 IDB131096 IMX131096 IWT131096 JGP131096 JQL131096 KAH131096 KKD131096 KTZ131096 LDV131096 LNR131096 LXN131096 MHJ131096 MRF131096 NBB131096 NKX131096 NUT131096 OEP131096 OOL131096 OYH131096 PID131096 PRZ131096 QBV131096 QLR131096 QVN131096 RFJ131096 RPF131096 RZB131096 SIX131096 SST131096 TCP131096 TML131096 TWH131096 UGD131096 UPZ131096 UZV131096 VJR131096 VTN131096 WDJ131096 WNF131096 WXB131096 AT196632 KP196632 UL196632 AEH196632 AOD196632 AXZ196632 BHV196632 BRR196632 CBN196632 CLJ196632 CVF196632 DFB196632 DOX196632 DYT196632 EIP196632 ESL196632 FCH196632 FMD196632 FVZ196632 GFV196632 GPR196632 GZN196632 HJJ196632 HTF196632 IDB196632 IMX196632 IWT196632 JGP196632 JQL196632 KAH196632 KKD196632 KTZ196632 LDV196632 LNR196632 LXN196632 MHJ196632 MRF196632 NBB196632 NKX196632 NUT196632 OEP196632 OOL196632 OYH196632 PID196632 PRZ196632 QBV196632 QLR196632 QVN196632 RFJ196632 RPF196632 RZB196632 SIX196632 SST196632 TCP196632 TML196632 TWH196632 UGD196632 UPZ196632 UZV196632 VJR196632 VTN196632 WDJ196632 WNF196632 WXB196632 AT262168 KP262168 UL262168 AEH262168 AOD262168 AXZ262168 BHV262168 BRR262168 CBN262168 CLJ262168 CVF262168 DFB262168 DOX262168 DYT262168 EIP262168 ESL262168 FCH262168 FMD262168 FVZ262168 GFV262168 GPR262168 GZN262168 HJJ262168 HTF262168 IDB262168 IMX262168 IWT262168 JGP262168 JQL262168 KAH262168 KKD262168 KTZ262168 LDV262168 LNR262168 LXN262168 MHJ262168 MRF262168 NBB262168 NKX262168 NUT262168 OEP262168 OOL262168 OYH262168 PID262168 PRZ262168 QBV262168 QLR262168 QVN262168 RFJ262168 RPF262168 RZB262168 SIX262168 SST262168 TCP262168 TML262168 TWH262168 UGD262168 UPZ262168 UZV262168 VJR262168 VTN262168 WDJ262168 WNF262168 WXB262168 AT327704 KP327704 UL327704 AEH327704 AOD327704 AXZ327704 BHV327704 BRR327704 CBN327704 CLJ327704 CVF327704 DFB327704 DOX327704 DYT327704 EIP327704 ESL327704 FCH327704 FMD327704 FVZ327704 GFV327704 GPR327704 GZN327704 HJJ327704 HTF327704 IDB327704 IMX327704 IWT327704 JGP327704 JQL327704 KAH327704 KKD327704 KTZ327704 LDV327704 LNR327704 LXN327704 MHJ327704 MRF327704 NBB327704 NKX327704 NUT327704 OEP327704 OOL327704 OYH327704 PID327704 PRZ327704 QBV327704 QLR327704 QVN327704 RFJ327704 RPF327704 RZB327704 SIX327704 SST327704 TCP327704 TML327704 TWH327704 UGD327704 UPZ327704 UZV327704 VJR327704 VTN327704 WDJ327704 WNF327704 WXB327704 AT393240 KP393240 UL393240 AEH393240 AOD393240 AXZ393240 BHV393240 BRR393240 CBN393240 CLJ393240 CVF393240 DFB393240 DOX393240 DYT393240 EIP393240 ESL393240 FCH393240 FMD393240 FVZ393240 GFV393240 GPR393240 GZN393240 HJJ393240 HTF393240 IDB393240 IMX393240 IWT393240 JGP393240 JQL393240 KAH393240 KKD393240 KTZ393240 LDV393240 LNR393240 LXN393240 MHJ393240 MRF393240 NBB393240 NKX393240 NUT393240 OEP393240 OOL393240 OYH393240 PID393240 PRZ393240 QBV393240 QLR393240 QVN393240 RFJ393240 RPF393240 RZB393240 SIX393240 SST393240 TCP393240 TML393240 TWH393240 UGD393240 UPZ393240 UZV393240 VJR393240 VTN393240 WDJ393240 WNF393240 WXB393240 AT458776 KP458776 UL458776 AEH458776 AOD458776 AXZ458776 BHV458776 BRR458776 CBN458776 CLJ458776 CVF458776 DFB458776 DOX458776 DYT458776 EIP458776 ESL458776 FCH458776 FMD458776 FVZ458776 GFV458776 GPR458776 GZN458776 HJJ458776 HTF458776 IDB458776 IMX458776 IWT458776 JGP458776 JQL458776 KAH458776 KKD458776 KTZ458776 LDV458776 LNR458776 LXN458776 MHJ458776 MRF458776 NBB458776 NKX458776 NUT458776 OEP458776 OOL458776 OYH458776 PID458776 PRZ458776 QBV458776 QLR458776 QVN458776 RFJ458776 RPF458776 RZB458776 SIX458776 SST458776 TCP458776 TML458776 TWH458776 UGD458776 UPZ458776 UZV458776 VJR458776 VTN458776 WDJ458776 WNF458776 WXB458776 AT524312 KP524312 UL524312 AEH524312 AOD524312 AXZ524312 BHV524312 BRR524312 CBN524312 CLJ524312 CVF524312 DFB524312 DOX524312 DYT524312 EIP524312 ESL524312 FCH524312 FMD524312 FVZ524312 GFV524312 GPR524312 GZN524312 HJJ524312 HTF524312 IDB524312 IMX524312 IWT524312 JGP524312 JQL524312 KAH524312 KKD524312 KTZ524312 LDV524312 LNR524312 LXN524312 MHJ524312 MRF524312 NBB524312 NKX524312 NUT524312 OEP524312 OOL524312 OYH524312 PID524312 PRZ524312 QBV524312 QLR524312 QVN524312 RFJ524312 RPF524312 RZB524312 SIX524312 SST524312 TCP524312 TML524312 TWH524312 UGD524312 UPZ524312 UZV524312 VJR524312 VTN524312 WDJ524312 WNF524312 WXB524312 AT589848 KP589848 UL589848 AEH589848 AOD589848 AXZ589848 BHV589848 BRR589848 CBN589848 CLJ589848 CVF589848 DFB589848 DOX589848 DYT589848 EIP589848 ESL589848 FCH589848 FMD589848 FVZ589848 GFV589848 GPR589848 GZN589848 HJJ589848 HTF589848 IDB589848 IMX589848 IWT589848 JGP589848 JQL589848 KAH589848 KKD589848 KTZ589848 LDV589848 LNR589848 LXN589848 MHJ589848 MRF589848 NBB589848 NKX589848 NUT589848 OEP589848 OOL589848 OYH589848 PID589848 PRZ589848 QBV589848 QLR589848 QVN589848 RFJ589848 RPF589848 RZB589848 SIX589848 SST589848 TCP589848 TML589848 TWH589848 UGD589848 UPZ589848 UZV589848 VJR589848 VTN589848 WDJ589848 WNF589848 WXB589848 AT655384 KP655384 UL655384 AEH655384 AOD655384 AXZ655384 BHV655384 BRR655384 CBN655384 CLJ655384 CVF655384 DFB655384 DOX655384 DYT655384 EIP655384 ESL655384 FCH655384 FMD655384 FVZ655384 GFV655384 GPR655384 GZN655384 HJJ655384 HTF655384 IDB655384 IMX655384 IWT655384 JGP655384 JQL655384 KAH655384 KKD655384 KTZ655384 LDV655384 LNR655384 LXN655384 MHJ655384 MRF655384 NBB655384 NKX655384 NUT655384 OEP655384 OOL655384 OYH655384 PID655384 PRZ655384 QBV655384 QLR655384 QVN655384 RFJ655384 RPF655384 RZB655384 SIX655384 SST655384 TCP655384 TML655384 TWH655384 UGD655384 UPZ655384 UZV655384 VJR655384 VTN655384 WDJ655384 WNF655384 WXB655384 AT720920 KP720920 UL720920 AEH720920 AOD720920 AXZ720920 BHV720920 BRR720920 CBN720920 CLJ720920 CVF720920 DFB720920 DOX720920 DYT720920 EIP720920 ESL720920 FCH720920 FMD720920 FVZ720920 GFV720920 GPR720920 GZN720920 HJJ720920 HTF720920 IDB720920 IMX720920 IWT720920 JGP720920 JQL720920 KAH720920 KKD720920 KTZ720920 LDV720920 LNR720920 LXN720920 MHJ720920 MRF720920 NBB720920 NKX720920 NUT720920 OEP720920 OOL720920 OYH720920 PID720920 PRZ720920 QBV720920 QLR720920 QVN720920 RFJ720920 RPF720920 RZB720920 SIX720920 SST720920 TCP720920 TML720920 TWH720920 UGD720920 UPZ720920 UZV720920 VJR720920 VTN720920 WDJ720920 WNF720920 WXB720920 AT786456 KP786456 UL786456 AEH786456 AOD786456 AXZ786456 BHV786456 BRR786456 CBN786456 CLJ786456 CVF786456 DFB786456 DOX786456 DYT786456 EIP786456 ESL786456 FCH786456 FMD786456 FVZ786456 GFV786456 GPR786456 GZN786456 HJJ786456 HTF786456 IDB786456 IMX786456 IWT786456 JGP786456 JQL786456 KAH786456 KKD786456 KTZ786456 LDV786456 LNR786456 LXN786456 MHJ786456 MRF786456 NBB786456 NKX786456 NUT786456 OEP786456 OOL786456 OYH786456 PID786456 PRZ786456 QBV786456 QLR786456 QVN786456 RFJ786456 RPF786456 RZB786456 SIX786456 SST786456 TCP786456 TML786456 TWH786456 UGD786456 UPZ786456 UZV786456 VJR786456 VTN786456 WDJ786456 WNF786456 WXB786456 AT851992 KP851992 UL851992 AEH851992 AOD851992 AXZ851992 BHV851992 BRR851992 CBN851992 CLJ851992 CVF851992 DFB851992 DOX851992 DYT851992 EIP851992 ESL851992 FCH851992 FMD851992 FVZ851992 GFV851992 GPR851992 GZN851992 HJJ851992 HTF851992 IDB851992 IMX851992 IWT851992 JGP851992 JQL851992 KAH851992 KKD851992 KTZ851992 LDV851992 LNR851992 LXN851992 MHJ851992 MRF851992 NBB851992 NKX851992 NUT851992 OEP851992 OOL851992 OYH851992 PID851992 PRZ851992 QBV851992 QLR851992 QVN851992 RFJ851992 RPF851992 RZB851992 SIX851992 SST851992 TCP851992 TML851992 TWH851992 UGD851992 UPZ851992 UZV851992 VJR851992 VTN851992 WDJ851992 WNF851992 WXB851992 AT917528 KP917528 UL917528 AEH917528 AOD917528 AXZ917528 BHV917528 BRR917528 CBN917528 CLJ917528 CVF917528 DFB917528 DOX917528 DYT917528 EIP917528 ESL917528 FCH917528 FMD917528 FVZ917528 GFV917528 GPR917528 GZN917528 HJJ917528 HTF917528 IDB917528 IMX917528 IWT917528 JGP917528 JQL917528 KAH917528 KKD917528 KTZ917528 LDV917528 LNR917528 LXN917528 MHJ917528 MRF917528 NBB917528 NKX917528 NUT917528 OEP917528 OOL917528 OYH917528 PID917528 PRZ917528 QBV917528 QLR917528 QVN917528 RFJ917528 RPF917528 RZB917528 SIX917528 SST917528 TCP917528 TML917528 TWH917528 UGD917528 UPZ917528 UZV917528 VJR917528 VTN917528 WDJ917528 WNF917528 WXB917528 AT983064 KP983064 UL983064 AEH983064 AOD983064 AXZ983064 BHV983064 BRR983064 CBN983064 CLJ983064 CVF983064 DFB983064 DOX983064 DYT983064 EIP983064 ESL983064 FCH983064 FMD983064 FVZ983064 GFV983064 GPR983064 GZN983064 HJJ983064 HTF983064 IDB983064 IMX983064 IWT983064 JGP983064 JQL983064 KAH983064 KKD983064 KTZ983064 LDV983064 LNR983064 LXN983064 MHJ983064 MRF983064 NBB983064 NKX983064 NUT983064 OEP983064 OOL983064 OYH983064 PID983064 PRZ983064 QBV983064 QLR983064 QVN983064 RFJ983064 RPF983064 RZB983064 SIX983064 SST983064 TCP983064 TML983064 TWH983064 UGD983064 UPZ983064 UZV983064 VJR983064 VTN983064 WDJ983064 WNF983064 WXB983064" xr:uid="{DC5CC9C1-AF15-482C-91AD-CD6BE8F23C14}">
      <formula1>$AT$25:$AT$51</formula1>
    </dataValidation>
    <dataValidation type="list" allowBlank="1" showInputMessage="1" showErrorMessage="1" sqref="AB19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55 JX65555 TT65555 ADP65555 ANL65555 AXH65555 BHD65555 BQZ65555 CAV65555 CKR65555 CUN65555 DEJ65555 DOF65555 DYB65555 EHX65555 ERT65555 FBP65555 FLL65555 FVH65555 GFD65555 GOZ65555 GYV65555 HIR65555 HSN65555 ICJ65555 IMF65555 IWB65555 JFX65555 JPT65555 JZP65555 KJL65555 KTH65555 LDD65555 LMZ65555 LWV65555 MGR65555 MQN65555 NAJ65555 NKF65555 NUB65555 ODX65555 ONT65555 OXP65555 PHL65555 PRH65555 QBD65555 QKZ65555 QUV65555 RER65555 RON65555 RYJ65555 SIF65555 SSB65555 TBX65555 TLT65555 TVP65555 UFL65555 UPH65555 UZD65555 VIZ65555 VSV65555 WCR65555 WMN65555 WWJ65555 AB131091 JX131091 TT131091 ADP131091 ANL131091 AXH131091 BHD131091 BQZ131091 CAV131091 CKR131091 CUN131091 DEJ131091 DOF131091 DYB131091 EHX131091 ERT131091 FBP131091 FLL131091 FVH131091 GFD131091 GOZ131091 GYV131091 HIR131091 HSN131091 ICJ131091 IMF131091 IWB131091 JFX131091 JPT131091 JZP131091 KJL131091 KTH131091 LDD131091 LMZ131091 LWV131091 MGR131091 MQN131091 NAJ131091 NKF131091 NUB131091 ODX131091 ONT131091 OXP131091 PHL131091 PRH131091 QBD131091 QKZ131091 QUV131091 RER131091 RON131091 RYJ131091 SIF131091 SSB131091 TBX131091 TLT131091 TVP131091 UFL131091 UPH131091 UZD131091 VIZ131091 VSV131091 WCR131091 WMN131091 WWJ131091 AB196627 JX196627 TT196627 ADP196627 ANL196627 AXH196627 BHD196627 BQZ196627 CAV196627 CKR196627 CUN196627 DEJ196627 DOF196627 DYB196627 EHX196627 ERT196627 FBP196627 FLL196627 FVH196627 GFD196627 GOZ196627 GYV196627 HIR196627 HSN196627 ICJ196627 IMF196627 IWB196627 JFX196627 JPT196627 JZP196627 KJL196627 KTH196627 LDD196627 LMZ196627 LWV196627 MGR196627 MQN196627 NAJ196627 NKF196627 NUB196627 ODX196627 ONT196627 OXP196627 PHL196627 PRH196627 QBD196627 QKZ196627 QUV196627 RER196627 RON196627 RYJ196627 SIF196627 SSB196627 TBX196627 TLT196627 TVP196627 UFL196627 UPH196627 UZD196627 VIZ196627 VSV196627 WCR196627 WMN196627 WWJ196627 AB262163 JX262163 TT262163 ADP262163 ANL262163 AXH262163 BHD262163 BQZ262163 CAV262163 CKR262163 CUN262163 DEJ262163 DOF262163 DYB262163 EHX262163 ERT262163 FBP262163 FLL262163 FVH262163 GFD262163 GOZ262163 GYV262163 HIR262163 HSN262163 ICJ262163 IMF262163 IWB262163 JFX262163 JPT262163 JZP262163 KJL262163 KTH262163 LDD262163 LMZ262163 LWV262163 MGR262163 MQN262163 NAJ262163 NKF262163 NUB262163 ODX262163 ONT262163 OXP262163 PHL262163 PRH262163 QBD262163 QKZ262163 QUV262163 RER262163 RON262163 RYJ262163 SIF262163 SSB262163 TBX262163 TLT262163 TVP262163 UFL262163 UPH262163 UZD262163 VIZ262163 VSV262163 WCR262163 WMN262163 WWJ262163 AB327699 JX327699 TT327699 ADP327699 ANL327699 AXH327699 BHD327699 BQZ327699 CAV327699 CKR327699 CUN327699 DEJ327699 DOF327699 DYB327699 EHX327699 ERT327699 FBP327699 FLL327699 FVH327699 GFD327699 GOZ327699 GYV327699 HIR327699 HSN327699 ICJ327699 IMF327699 IWB327699 JFX327699 JPT327699 JZP327699 KJL327699 KTH327699 LDD327699 LMZ327699 LWV327699 MGR327699 MQN327699 NAJ327699 NKF327699 NUB327699 ODX327699 ONT327699 OXP327699 PHL327699 PRH327699 QBD327699 QKZ327699 QUV327699 RER327699 RON327699 RYJ327699 SIF327699 SSB327699 TBX327699 TLT327699 TVP327699 UFL327699 UPH327699 UZD327699 VIZ327699 VSV327699 WCR327699 WMN327699 WWJ327699 AB393235 JX393235 TT393235 ADP393235 ANL393235 AXH393235 BHD393235 BQZ393235 CAV393235 CKR393235 CUN393235 DEJ393235 DOF393235 DYB393235 EHX393235 ERT393235 FBP393235 FLL393235 FVH393235 GFD393235 GOZ393235 GYV393235 HIR393235 HSN393235 ICJ393235 IMF393235 IWB393235 JFX393235 JPT393235 JZP393235 KJL393235 KTH393235 LDD393235 LMZ393235 LWV393235 MGR393235 MQN393235 NAJ393235 NKF393235 NUB393235 ODX393235 ONT393235 OXP393235 PHL393235 PRH393235 QBD393235 QKZ393235 QUV393235 RER393235 RON393235 RYJ393235 SIF393235 SSB393235 TBX393235 TLT393235 TVP393235 UFL393235 UPH393235 UZD393235 VIZ393235 VSV393235 WCR393235 WMN393235 WWJ393235 AB458771 JX458771 TT458771 ADP458771 ANL458771 AXH458771 BHD458771 BQZ458771 CAV458771 CKR458771 CUN458771 DEJ458771 DOF458771 DYB458771 EHX458771 ERT458771 FBP458771 FLL458771 FVH458771 GFD458771 GOZ458771 GYV458771 HIR458771 HSN458771 ICJ458771 IMF458771 IWB458771 JFX458771 JPT458771 JZP458771 KJL458771 KTH458771 LDD458771 LMZ458771 LWV458771 MGR458771 MQN458771 NAJ458771 NKF458771 NUB458771 ODX458771 ONT458771 OXP458771 PHL458771 PRH458771 QBD458771 QKZ458771 QUV458771 RER458771 RON458771 RYJ458771 SIF458771 SSB458771 TBX458771 TLT458771 TVP458771 UFL458771 UPH458771 UZD458771 VIZ458771 VSV458771 WCR458771 WMN458771 WWJ458771 AB524307 JX524307 TT524307 ADP524307 ANL524307 AXH524307 BHD524307 BQZ524307 CAV524307 CKR524307 CUN524307 DEJ524307 DOF524307 DYB524307 EHX524307 ERT524307 FBP524307 FLL524307 FVH524307 GFD524307 GOZ524307 GYV524307 HIR524307 HSN524307 ICJ524307 IMF524307 IWB524307 JFX524307 JPT524307 JZP524307 KJL524307 KTH524307 LDD524307 LMZ524307 LWV524307 MGR524307 MQN524307 NAJ524307 NKF524307 NUB524307 ODX524307 ONT524307 OXP524307 PHL524307 PRH524307 QBD524307 QKZ524307 QUV524307 RER524307 RON524307 RYJ524307 SIF524307 SSB524307 TBX524307 TLT524307 TVP524307 UFL524307 UPH524307 UZD524307 VIZ524307 VSV524307 WCR524307 WMN524307 WWJ524307 AB589843 JX589843 TT589843 ADP589843 ANL589843 AXH589843 BHD589843 BQZ589843 CAV589843 CKR589843 CUN589843 DEJ589843 DOF589843 DYB589843 EHX589843 ERT589843 FBP589843 FLL589843 FVH589843 GFD589843 GOZ589843 GYV589843 HIR589843 HSN589843 ICJ589843 IMF589843 IWB589843 JFX589843 JPT589843 JZP589843 KJL589843 KTH589843 LDD589843 LMZ589843 LWV589843 MGR589843 MQN589843 NAJ589843 NKF589843 NUB589843 ODX589843 ONT589843 OXP589843 PHL589843 PRH589843 QBD589843 QKZ589843 QUV589843 RER589843 RON589843 RYJ589843 SIF589843 SSB589843 TBX589843 TLT589843 TVP589843 UFL589843 UPH589843 UZD589843 VIZ589843 VSV589843 WCR589843 WMN589843 WWJ589843 AB655379 JX655379 TT655379 ADP655379 ANL655379 AXH655379 BHD655379 BQZ655379 CAV655379 CKR655379 CUN655379 DEJ655379 DOF655379 DYB655379 EHX655379 ERT655379 FBP655379 FLL655379 FVH655379 GFD655379 GOZ655379 GYV655379 HIR655379 HSN655379 ICJ655379 IMF655379 IWB655379 JFX655379 JPT655379 JZP655379 KJL655379 KTH655379 LDD655379 LMZ655379 LWV655379 MGR655379 MQN655379 NAJ655379 NKF655379 NUB655379 ODX655379 ONT655379 OXP655379 PHL655379 PRH655379 QBD655379 QKZ655379 QUV655379 RER655379 RON655379 RYJ655379 SIF655379 SSB655379 TBX655379 TLT655379 TVP655379 UFL655379 UPH655379 UZD655379 VIZ655379 VSV655379 WCR655379 WMN655379 WWJ655379 AB720915 JX720915 TT720915 ADP720915 ANL720915 AXH720915 BHD720915 BQZ720915 CAV720915 CKR720915 CUN720915 DEJ720915 DOF720915 DYB720915 EHX720915 ERT720915 FBP720915 FLL720915 FVH720915 GFD720915 GOZ720915 GYV720915 HIR720915 HSN720915 ICJ720915 IMF720915 IWB720915 JFX720915 JPT720915 JZP720915 KJL720915 KTH720915 LDD720915 LMZ720915 LWV720915 MGR720915 MQN720915 NAJ720915 NKF720915 NUB720915 ODX720915 ONT720915 OXP720915 PHL720915 PRH720915 QBD720915 QKZ720915 QUV720915 RER720915 RON720915 RYJ720915 SIF720915 SSB720915 TBX720915 TLT720915 TVP720915 UFL720915 UPH720915 UZD720915 VIZ720915 VSV720915 WCR720915 WMN720915 WWJ720915 AB786451 JX786451 TT786451 ADP786451 ANL786451 AXH786451 BHD786451 BQZ786451 CAV786451 CKR786451 CUN786451 DEJ786451 DOF786451 DYB786451 EHX786451 ERT786451 FBP786451 FLL786451 FVH786451 GFD786451 GOZ786451 GYV786451 HIR786451 HSN786451 ICJ786451 IMF786451 IWB786451 JFX786451 JPT786451 JZP786451 KJL786451 KTH786451 LDD786451 LMZ786451 LWV786451 MGR786451 MQN786451 NAJ786451 NKF786451 NUB786451 ODX786451 ONT786451 OXP786451 PHL786451 PRH786451 QBD786451 QKZ786451 QUV786451 RER786451 RON786451 RYJ786451 SIF786451 SSB786451 TBX786451 TLT786451 TVP786451 UFL786451 UPH786451 UZD786451 VIZ786451 VSV786451 WCR786451 WMN786451 WWJ786451 AB851987 JX851987 TT851987 ADP851987 ANL851987 AXH851987 BHD851987 BQZ851987 CAV851987 CKR851987 CUN851987 DEJ851987 DOF851987 DYB851987 EHX851987 ERT851987 FBP851987 FLL851987 FVH851987 GFD851987 GOZ851987 GYV851987 HIR851987 HSN851987 ICJ851987 IMF851987 IWB851987 JFX851987 JPT851987 JZP851987 KJL851987 KTH851987 LDD851987 LMZ851987 LWV851987 MGR851987 MQN851987 NAJ851987 NKF851987 NUB851987 ODX851987 ONT851987 OXP851987 PHL851987 PRH851987 QBD851987 QKZ851987 QUV851987 RER851987 RON851987 RYJ851987 SIF851987 SSB851987 TBX851987 TLT851987 TVP851987 UFL851987 UPH851987 UZD851987 VIZ851987 VSV851987 WCR851987 WMN851987 WWJ851987 AB917523 JX917523 TT917523 ADP917523 ANL917523 AXH917523 BHD917523 BQZ917523 CAV917523 CKR917523 CUN917523 DEJ917523 DOF917523 DYB917523 EHX917523 ERT917523 FBP917523 FLL917523 FVH917523 GFD917523 GOZ917523 GYV917523 HIR917523 HSN917523 ICJ917523 IMF917523 IWB917523 JFX917523 JPT917523 JZP917523 KJL917523 KTH917523 LDD917523 LMZ917523 LWV917523 MGR917523 MQN917523 NAJ917523 NKF917523 NUB917523 ODX917523 ONT917523 OXP917523 PHL917523 PRH917523 QBD917523 QKZ917523 QUV917523 RER917523 RON917523 RYJ917523 SIF917523 SSB917523 TBX917523 TLT917523 TVP917523 UFL917523 UPH917523 UZD917523 VIZ917523 VSV917523 WCR917523 WMN917523 WWJ917523 AB983059 JX983059 TT983059 ADP983059 ANL983059 AXH983059 BHD983059 BQZ983059 CAV983059 CKR983059 CUN983059 DEJ983059 DOF983059 DYB983059 EHX983059 ERT983059 FBP983059 FLL983059 FVH983059 GFD983059 GOZ983059 GYV983059 HIR983059 HSN983059 ICJ983059 IMF983059 IWB983059 JFX983059 JPT983059 JZP983059 KJL983059 KTH983059 LDD983059 LMZ983059 LWV983059 MGR983059 MQN983059 NAJ983059 NKF983059 NUB983059 ODX983059 ONT983059 OXP983059 PHL983059 PRH983059 QBD983059 QKZ983059 QUV983059 RER983059 RON983059 RYJ983059 SIF983059 SSB983059 TBX983059 TLT983059 TVP983059 UFL983059 UPH983059 UZD983059 VIZ983059 VSV983059 WCR983059 WMN983059 WWJ983059" xr:uid="{259E6B8B-BAA8-43F5-97CF-75A2BFBF571E}">
      <formula1>$AH$14:$AH$15</formula1>
    </dataValidation>
    <dataValidation type="list" allowBlank="1" showInputMessage="1" showErrorMessage="1" sqref="AB21 JX21 TT21 ADP21 ANL21 AXH21 BHD21 BQZ21 CAV21 CKR21 CUN21 DEJ21 DOF21 DYB21 EHX21 ERT21 FBP21 FLL21 FVH21 GFD21 GOZ21 GYV21 HIR21 HSN21 ICJ21 IMF21 IWB21 JFX21 JPT21 JZP21 KJL21 KTH21 LDD21 LMZ21 LWV21 MGR21 MQN21 NAJ21 NKF21 NUB21 ODX21 ONT21 OXP21 PHL21 PRH21 QBD21 QKZ21 QUV21 RER21 RON21 RYJ21 SIF21 SSB21 TBX21 TLT21 TVP21 UFL21 UPH21 UZD21 VIZ21 VSV21 WCR21 WMN21 WWJ21 AB65557 JX65557 TT65557 ADP65557 ANL65557 AXH65557 BHD65557 BQZ65557 CAV65557 CKR65557 CUN65557 DEJ65557 DOF65557 DYB65557 EHX65557 ERT65557 FBP65557 FLL65557 FVH65557 GFD65557 GOZ65557 GYV65557 HIR65557 HSN65557 ICJ65557 IMF65557 IWB65557 JFX65557 JPT65557 JZP65557 KJL65557 KTH65557 LDD65557 LMZ65557 LWV65557 MGR65557 MQN65557 NAJ65557 NKF65557 NUB65557 ODX65557 ONT65557 OXP65557 PHL65557 PRH65557 QBD65557 QKZ65557 QUV65557 RER65557 RON65557 RYJ65557 SIF65557 SSB65557 TBX65557 TLT65557 TVP65557 UFL65557 UPH65557 UZD65557 VIZ65557 VSV65557 WCR65557 WMN65557 WWJ65557 AB131093 JX131093 TT131093 ADP131093 ANL131093 AXH131093 BHD131093 BQZ131093 CAV131093 CKR131093 CUN131093 DEJ131093 DOF131093 DYB131093 EHX131093 ERT131093 FBP131093 FLL131093 FVH131093 GFD131093 GOZ131093 GYV131093 HIR131093 HSN131093 ICJ131093 IMF131093 IWB131093 JFX131093 JPT131093 JZP131093 KJL131093 KTH131093 LDD131093 LMZ131093 LWV131093 MGR131093 MQN131093 NAJ131093 NKF131093 NUB131093 ODX131093 ONT131093 OXP131093 PHL131093 PRH131093 QBD131093 QKZ131093 QUV131093 RER131093 RON131093 RYJ131093 SIF131093 SSB131093 TBX131093 TLT131093 TVP131093 UFL131093 UPH131093 UZD131093 VIZ131093 VSV131093 WCR131093 WMN131093 WWJ131093 AB196629 JX196629 TT196629 ADP196629 ANL196629 AXH196629 BHD196629 BQZ196629 CAV196629 CKR196629 CUN196629 DEJ196629 DOF196629 DYB196629 EHX196629 ERT196629 FBP196629 FLL196629 FVH196629 GFD196629 GOZ196629 GYV196629 HIR196629 HSN196629 ICJ196629 IMF196629 IWB196629 JFX196629 JPT196629 JZP196629 KJL196629 KTH196629 LDD196629 LMZ196629 LWV196629 MGR196629 MQN196629 NAJ196629 NKF196629 NUB196629 ODX196629 ONT196629 OXP196629 PHL196629 PRH196629 QBD196629 QKZ196629 QUV196629 RER196629 RON196629 RYJ196629 SIF196629 SSB196629 TBX196629 TLT196629 TVP196629 UFL196629 UPH196629 UZD196629 VIZ196629 VSV196629 WCR196629 WMN196629 WWJ196629 AB262165 JX262165 TT262165 ADP262165 ANL262165 AXH262165 BHD262165 BQZ262165 CAV262165 CKR262165 CUN262165 DEJ262165 DOF262165 DYB262165 EHX262165 ERT262165 FBP262165 FLL262165 FVH262165 GFD262165 GOZ262165 GYV262165 HIR262165 HSN262165 ICJ262165 IMF262165 IWB262165 JFX262165 JPT262165 JZP262165 KJL262165 KTH262165 LDD262165 LMZ262165 LWV262165 MGR262165 MQN262165 NAJ262165 NKF262165 NUB262165 ODX262165 ONT262165 OXP262165 PHL262165 PRH262165 QBD262165 QKZ262165 QUV262165 RER262165 RON262165 RYJ262165 SIF262165 SSB262165 TBX262165 TLT262165 TVP262165 UFL262165 UPH262165 UZD262165 VIZ262165 VSV262165 WCR262165 WMN262165 WWJ262165 AB327701 JX327701 TT327701 ADP327701 ANL327701 AXH327701 BHD327701 BQZ327701 CAV327701 CKR327701 CUN327701 DEJ327701 DOF327701 DYB327701 EHX327701 ERT327701 FBP327701 FLL327701 FVH327701 GFD327701 GOZ327701 GYV327701 HIR327701 HSN327701 ICJ327701 IMF327701 IWB327701 JFX327701 JPT327701 JZP327701 KJL327701 KTH327701 LDD327701 LMZ327701 LWV327701 MGR327701 MQN327701 NAJ327701 NKF327701 NUB327701 ODX327701 ONT327701 OXP327701 PHL327701 PRH327701 QBD327701 QKZ327701 QUV327701 RER327701 RON327701 RYJ327701 SIF327701 SSB327701 TBX327701 TLT327701 TVP327701 UFL327701 UPH327701 UZD327701 VIZ327701 VSV327701 WCR327701 WMN327701 WWJ327701 AB393237 JX393237 TT393237 ADP393237 ANL393237 AXH393237 BHD393237 BQZ393237 CAV393237 CKR393237 CUN393237 DEJ393237 DOF393237 DYB393237 EHX393237 ERT393237 FBP393237 FLL393237 FVH393237 GFD393237 GOZ393237 GYV393237 HIR393237 HSN393237 ICJ393237 IMF393237 IWB393237 JFX393237 JPT393237 JZP393237 KJL393237 KTH393237 LDD393237 LMZ393237 LWV393237 MGR393237 MQN393237 NAJ393237 NKF393237 NUB393237 ODX393237 ONT393237 OXP393237 PHL393237 PRH393237 QBD393237 QKZ393237 QUV393237 RER393237 RON393237 RYJ393237 SIF393237 SSB393237 TBX393237 TLT393237 TVP393237 UFL393237 UPH393237 UZD393237 VIZ393237 VSV393237 WCR393237 WMN393237 WWJ393237 AB458773 JX458773 TT458773 ADP458773 ANL458773 AXH458773 BHD458773 BQZ458773 CAV458773 CKR458773 CUN458773 DEJ458773 DOF458773 DYB458773 EHX458773 ERT458773 FBP458773 FLL458773 FVH458773 GFD458773 GOZ458773 GYV458773 HIR458773 HSN458773 ICJ458773 IMF458773 IWB458773 JFX458773 JPT458773 JZP458773 KJL458773 KTH458773 LDD458773 LMZ458773 LWV458773 MGR458773 MQN458773 NAJ458773 NKF458773 NUB458773 ODX458773 ONT458773 OXP458773 PHL458773 PRH458773 QBD458773 QKZ458773 QUV458773 RER458773 RON458773 RYJ458773 SIF458773 SSB458773 TBX458773 TLT458773 TVP458773 UFL458773 UPH458773 UZD458773 VIZ458773 VSV458773 WCR458773 WMN458773 WWJ458773 AB524309 JX524309 TT524309 ADP524309 ANL524309 AXH524309 BHD524309 BQZ524309 CAV524309 CKR524309 CUN524309 DEJ524309 DOF524309 DYB524309 EHX524309 ERT524309 FBP524309 FLL524309 FVH524309 GFD524309 GOZ524309 GYV524309 HIR524309 HSN524309 ICJ524309 IMF524309 IWB524309 JFX524309 JPT524309 JZP524309 KJL524309 KTH524309 LDD524309 LMZ524309 LWV524309 MGR524309 MQN524309 NAJ524309 NKF524309 NUB524309 ODX524309 ONT524309 OXP524309 PHL524309 PRH524309 QBD524309 QKZ524309 QUV524309 RER524309 RON524309 RYJ524309 SIF524309 SSB524309 TBX524309 TLT524309 TVP524309 UFL524309 UPH524309 UZD524309 VIZ524309 VSV524309 WCR524309 WMN524309 WWJ524309 AB589845 JX589845 TT589845 ADP589845 ANL589845 AXH589845 BHD589845 BQZ589845 CAV589845 CKR589845 CUN589845 DEJ589845 DOF589845 DYB589845 EHX589845 ERT589845 FBP589845 FLL589845 FVH589845 GFD589845 GOZ589845 GYV589845 HIR589845 HSN589845 ICJ589845 IMF589845 IWB589845 JFX589845 JPT589845 JZP589845 KJL589845 KTH589845 LDD589845 LMZ589845 LWV589845 MGR589845 MQN589845 NAJ589845 NKF589845 NUB589845 ODX589845 ONT589845 OXP589845 PHL589845 PRH589845 QBD589845 QKZ589845 QUV589845 RER589845 RON589845 RYJ589845 SIF589845 SSB589845 TBX589845 TLT589845 TVP589845 UFL589845 UPH589845 UZD589845 VIZ589845 VSV589845 WCR589845 WMN589845 WWJ589845 AB655381 JX655381 TT655381 ADP655381 ANL655381 AXH655381 BHD655381 BQZ655381 CAV655381 CKR655381 CUN655381 DEJ655381 DOF655381 DYB655381 EHX655381 ERT655381 FBP655381 FLL655381 FVH655381 GFD655381 GOZ655381 GYV655381 HIR655381 HSN655381 ICJ655381 IMF655381 IWB655381 JFX655381 JPT655381 JZP655381 KJL655381 KTH655381 LDD655381 LMZ655381 LWV655381 MGR655381 MQN655381 NAJ655381 NKF655381 NUB655381 ODX655381 ONT655381 OXP655381 PHL655381 PRH655381 QBD655381 QKZ655381 QUV655381 RER655381 RON655381 RYJ655381 SIF655381 SSB655381 TBX655381 TLT655381 TVP655381 UFL655381 UPH655381 UZD655381 VIZ655381 VSV655381 WCR655381 WMN655381 WWJ655381 AB720917 JX720917 TT720917 ADP720917 ANL720917 AXH720917 BHD720917 BQZ720917 CAV720917 CKR720917 CUN720917 DEJ720917 DOF720917 DYB720917 EHX720917 ERT720917 FBP720917 FLL720917 FVH720917 GFD720917 GOZ720917 GYV720917 HIR720917 HSN720917 ICJ720917 IMF720917 IWB720917 JFX720917 JPT720917 JZP720917 KJL720917 KTH720917 LDD720917 LMZ720917 LWV720917 MGR720917 MQN720917 NAJ720917 NKF720917 NUB720917 ODX720917 ONT720917 OXP720917 PHL720917 PRH720917 QBD720917 QKZ720917 QUV720917 RER720917 RON720917 RYJ720917 SIF720917 SSB720917 TBX720917 TLT720917 TVP720917 UFL720917 UPH720917 UZD720917 VIZ720917 VSV720917 WCR720917 WMN720917 WWJ720917 AB786453 JX786453 TT786453 ADP786453 ANL786453 AXH786453 BHD786453 BQZ786453 CAV786453 CKR786453 CUN786453 DEJ786453 DOF786453 DYB786453 EHX786453 ERT786453 FBP786453 FLL786453 FVH786453 GFD786453 GOZ786453 GYV786453 HIR786453 HSN786453 ICJ786453 IMF786453 IWB786453 JFX786453 JPT786453 JZP786453 KJL786453 KTH786453 LDD786453 LMZ786453 LWV786453 MGR786453 MQN786453 NAJ786453 NKF786453 NUB786453 ODX786453 ONT786453 OXP786453 PHL786453 PRH786453 QBD786453 QKZ786453 QUV786453 RER786453 RON786453 RYJ786453 SIF786453 SSB786453 TBX786453 TLT786453 TVP786453 UFL786453 UPH786453 UZD786453 VIZ786453 VSV786453 WCR786453 WMN786453 WWJ786453 AB851989 JX851989 TT851989 ADP851989 ANL851989 AXH851989 BHD851989 BQZ851989 CAV851989 CKR851989 CUN851989 DEJ851989 DOF851989 DYB851989 EHX851989 ERT851989 FBP851989 FLL851989 FVH851989 GFD851989 GOZ851989 GYV851989 HIR851989 HSN851989 ICJ851989 IMF851989 IWB851989 JFX851989 JPT851989 JZP851989 KJL851989 KTH851989 LDD851989 LMZ851989 LWV851989 MGR851989 MQN851989 NAJ851989 NKF851989 NUB851989 ODX851989 ONT851989 OXP851989 PHL851989 PRH851989 QBD851989 QKZ851989 QUV851989 RER851989 RON851989 RYJ851989 SIF851989 SSB851989 TBX851989 TLT851989 TVP851989 UFL851989 UPH851989 UZD851989 VIZ851989 VSV851989 WCR851989 WMN851989 WWJ851989 AB917525 JX917525 TT917525 ADP917525 ANL917525 AXH917525 BHD917525 BQZ917525 CAV917525 CKR917525 CUN917525 DEJ917525 DOF917525 DYB917525 EHX917525 ERT917525 FBP917525 FLL917525 FVH917525 GFD917525 GOZ917525 GYV917525 HIR917525 HSN917525 ICJ917525 IMF917525 IWB917525 JFX917525 JPT917525 JZP917525 KJL917525 KTH917525 LDD917525 LMZ917525 LWV917525 MGR917525 MQN917525 NAJ917525 NKF917525 NUB917525 ODX917525 ONT917525 OXP917525 PHL917525 PRH917525 QBD917525 QKZ917525 QUV917525 RER917525 RON917525 RYJ917525 SIF917525 SSB917525 TBX917525 TLT917525 TVP917525 UFL917525 UPH917525 UZD917525 VIZ917525 VSV917525 WCR917525 WMN917525 WWJ917525 AB983061 JX983061 TT983061 ADP983061 ANL983061 AXH983061 BHD983061 BQZ983061 CAV983061 CKR983061 CUN983061 DEJ983061 DOF983061 DYB983061 EHX983061 ERT983061 FBP983061 FLL983061 FVH983061 GFD983061 GOZ983061 GYV983061 HIR983061 HSN983061 ICJ983061 IMF983061 IWB983061 JFX983061 JPT983061 JZP983061 KJL983061 KTH983061 LDD983061 LMZ983061 LWV983061 MGR983061 MQN983061 NAJ983061 NKF983061 NUB983061 ODX983061 ONT983061 OXP983061 PHL983061 PRH983061 QBD983061 QKZ983061 QUV983061 RER983061 RON983061 RYJ983061 SIF983061 SSB983061 TBX983061 TLT983061 TVP983061 UFL983061 UPH983061 UZD983061 VIZ983061 VSV983061 WCR983061 WMN983061 WWJ983061" xr:uid="{37160892-24B4-4C0D-AA9B-1477A252E77B}">
      <formula1>$AJ$20:$AJ$20</formula1>
    </dataValidation>
    <dataValidation type="list" allowBlank="1" showInputMessage="1" showErrorMessage="1" sqref="AB23 JX23 TT23 ADP23 ANL23 AXH23 BHD23 BQZ23 CAV23 CKR23 CUN23 DEJ23 DOF23 DYB23 EHX23 ERT23 FBP23 FLL23 FVH23 GFD23 GOZ23 GYV23 HIR23 HSN23 ICJ23 IMF23 IWB23 JFX23 JPT23 JZP23 KJL23 KTH23 LDD23 LMZ23 LWV23 MGR23 MQN23 NAJ23 NKF23 NUB23 ODX23 ONT23 OXP23 PHL23 PRH23 QBD23 QKZ23 QUV23 RER23 RON23 RYJ23 SIF23 SSB23 TBX23 TLT23 TVP23 UFL23 UPH23 UZD23 VIZ23 VSV23 WCR23 WMN23 WWJ23 AB65559 JX65559 TT65559 ADP65559 ANL65559 AXH65559 BHD65559 BQZ65559 CAV65559 CKR65559 CUN65559 DEJ65559 DOF65559 DYB65559 EHX65559 ERT65559 FBP65559 FLL65559 FVH65559 GFD65559 GOZ65559 GYV65559 HIR65559 HSN65559 ICJ65559 IMF65559 IWB65559 JFX65559 JPT65559 JZP65559 KJL65559 KTH65559 LDD65559 LMZ65559 LWV65559 MGR65559 MQN65559 NAJ65559 NKF65559 NUB65559 ODX65559 ONT65559 OXP65559 PHL65559 PRH65559 QBD65559 QKZ65559 QUV65559 RER65559 RON65559 RYJ65559 SIF65559 SSB65559 TBX65559 TLT65559 TVP65559 UFL65559 UPH65559 UZD65559 VIZ65559 VSV65559 WCR65559 WMN65559 WWJ65559 AB131095 JX131095 TT131095 ADP131095 ANL131095 AXH131095 BHD131095 BQZ131095 CAV131095 CKR131095 CUN131095 DEJ131095 DOF131095 DYB131095 EHX131095 ERT131095 FBP131095 FLL131095 FVH131095 GFD131095 GOZ131095 GYV131095 HIR131095 HSN131095 ICJ131095 IMF131095 IWB131095 JFX131095 JPT131095 JZP131095 KJL131095 KTH131095 LDD131095 LMZ131095 LWV131095 MGR131095 MQN131095 NAJ131095 NKF131095 NUB131095 ODX131095 ONT131095 OXP131095 PHL131095 PRH131095 QBD131095 QKZ131095 QUV131095 RER131095 RON131095 RYJ131095 SIF131095 SSB131095 TBX131095 TLT131095 TVP131095 UFL131095 UPH131095 UZD131095 VIZ131095 VSV131095 WCR131095 WMN131095 WWJ131095 AB196631 JX196631 TT196631 ADP196631 ANL196631 AXH196631 BHD196631 BQZ196631 CAV196631 CKR196631 CUN196631 DEJ196631 DOF196631 DYB196631 EHX196631 ERT196631 FBP196631 FLL196631 FVH196631 GFD196631 GOZ196631 GYV196631 HIR196631 HSN196631 ICJ196631 IMF196631 IWB196631 JFX196631 JPT196631 JZP196631 KJL196631 KTH196631 LDD196631 LMZ196631 LWV196631 MGR196631 MQN196631 NAJ196631 NKF196631 NUB196631 ODX196631 ONT196631 OXP196631 PHL196631 PRH196631 QBD196631 QKZ196631 QUV196631 RER196631 RON196631 RYJ196631 SIF196631 SSB196631 TBX196631 TLT196631 TVP196631 UFL196631 UPH196631 UZD196631 VIZ196631 VSV196631 WCR196631 WMN196631 WWJ196631 AB262167 JX262167 TT262167 ADP262167 ANL262167 AXH262167 BHD262167 BQZ262167 CAV262167 CKR262167 CUN262167 DEJ262167 DOF262167 DYB262167 EHX262167 ERT262167 FBP262167 FLL262167 FVH262167 GFD262167 GOZ262167 GYV262167 HIR262167 HSN262167 ICJ262167 IMF262167 IWB262167 JFX262167 JPT262167 JZP262167 KJL262167 KTH262167 LDD262167 LMZ262167 LWV262167 MGR262167 MQN262167 NAJ262167 NKF262167 NUB262167 ODX262167 ONT262167 OXP262167 PHL262167 PRH262167 QBD262167 QKZ262167 QUV262167 RER262167 RON262167 RYJ262167 SIF262167 SSB262167 TBX262167 TLT262167 TVP262167 UFL262167 UPH262167 UZD262167 VIZ262167 VSV262167 WCR262167 WMN262167 WWJ262167 AB327703 JX327703 TT327703 ADP327703 ANL327703 AXH327703 BHD327703 BQZ327703 CAV327703 CKR327703 CUN327703 DEJ327703 DOF327703 DYB327703 EHX327703 ERT327703 FBP327703 FLL327703 FVH327703 GFD327703 GOZ327703 GYV327703 HIR327703 HSN327703 ICJ327703 IMF327703 IWB327703 JFX327703 JPT327703 JZP327703 KJL327703 KTH327703 LDD327703 LMZ327703 LWV327703 MGR327703 MQN327703 NAJ327703 NKF327703 NUB327703 ODX327703 ONT327703 OXP327703 PHL327703 PRH327703 QBD327703 QKZ327703 QUV327703 RER327703 RON327703 RYJ327703 SIF327703 SSB327703 TBX327703 TLT327703 TVP327703 UFL327703 UPH327703 UZD327703 VIZ327703 VSV327703 WCR327703 WMN327703 WWJ327703 AB393239 JX393239 TT393239 ADP393239 ANL393239 AXH393239 BHD393239 BQZ393239 CAV393239 CKR393239 CUN393239 DEJ393239 DOF393239 DYB393239 EHX393239 ERT393239 FBP393239 FLL393239 FVH393239 GFD393239 GOZ393239 GYV393239 HIR393239 HSN393239 ICJ393239 IMF393239 IWB393239 JFX393239 JPT393239 JZP393239 KJL393239 KTH393239 LDD393239 LMZ393239 LWV393239 MGR393239 MQN393239 NAJ393239 NKF393239 NUB393239 ODX393239 ONT393239 OXP393239 PHL393239 PRH393239 QBD393239 QKZ393239 QUV393239 RER393239 RON393239 RYJ393239 SIF393239 SSB393239 TBX393239 TLT393239 TVP393239 UFL393239 UPH393239 UZD393239 VIZ393239 VSV393239 WCR393239 WMN393239 WWJ393239 AB458775 JX458775 TT458775 ADP458775 ANL458775 AXH458775 BHD458775 BQZ458775 CAV458775 CKR458775 CUN458775 DEJ458775 DOF458775 DYB458775 EHX458775 ERT458775 FBP458775 FLL458775 FVH458775 GFD458775 GOZ458775 GYV458775 HIR458775 HSN458775 ICJ458775 IMF458775 IWB458775 JFX458775 JPT458775 JZP458775 KJL458775 KTH458775 LDD458775 LMZ458775 LWV458775 MGR458775 MQN458775 NAJ458775 NKF458775 NUB458775 ODX458775 ONT458775 OXP458775 PHL458775 PRH458775 QBD458775 QKZ458775 QUV458775 RER458775 RON458775 RYJ458775 SIF458775 SSB458775 TBX458775 TLT458775 TVP458775 UFL458775 UPH458775 UZD458775 VIZ458775 VSV458775 WCR458775 WMN458775 WWJ458775 AB524311 JX524311 TT524311 ADP524311 ANL524311 AXH524311 BHD524311 BQZ524311 CAV524311 CKR524311 CUN524311 DEJ524311 DOF524311 DYB524311 EHX524311 ERT524311 FBP524311 FLL524311 FVH524311 GFD524311 GOZ524311 GYV524311 HIR524311 HSN524311 ICJ524311 IMF524311 IWB524311 JFX524311 JPT524311 JZP524311 KJL524311 KTH524311 LDD524311 LMZ524311 LWV524311 MGR524311 MQN524311 NAJ524311 NKF524311 NUB524311 ODX524311 ONT524311 OXP524311 PHL524311 PRH524311 QBD524311 QKZ524311 QUV524311 RER524311 RON524311 RYJ524311 SIF524311 SSB524311 TBX524311 TLT524311 TVP524311 UFL524311 UPH524311 UZD524311 VIZ524311 VSV524311 WCR524311 WMN524311 WWJ524311 AB589847 JX589847 TT589847 ADP589847 ANL589847 AXH589847 BHD589847 BQZ589847 CAV589847 CKR589847 CUN589847 DEJ589847 DOF589847 DYB589847 EHX589847 ERT589847 FBP589847 FLL589847 FVH589847 GFD589847 GOZ589847 GYV589847 HIR589847 HSN589847 ICJ589847 IMF589847 IWB589847 JFX589847 JPT589847 JZP589847 KJL589847 KTH589847 LDD589847 LMZ589847 LWV589847 MGR589847 MQN589847 NAJ589847 NKF589847 NUB589847 ODX589847 ONT589847 OXP589847 PHL589847 PRH589847 QBD589847 QKZ589847 QUV589847 RER589847 RON589847 RYJ589847 SIF589847 SSB589847 TBX589847 TLT589847 TVP589847 UFL589847 UPH589847 UZD589847 VIZ589847 VSV589847 WCR589847 WMN589847 WWJ589847 AB655383 JX655383 TT655383 ADP655383 ANL655383 AXH655383 BHD655383 BQZ655383 CAV655383 CKR655383 CUN655383 DEJ655383 DOF655383 DYB655383 EHX655383 ERT655383 FBP655383 FLL655383 FVH655383 GFD655383 GOZ655383 GYV655383 HIR655383 HSN655383 ICJ655383 IMF655383 IWB655383 JFX655383 JPT655383 JZP655383 KJL655383 KTH655383 LDD655383 LMZ655383 LWV655383 MGR655383 MQN655383 NAJ655383 NKF655383 NUB655383 ODX655383 ONT655383 OXP655383 PHL655383 PRH655383 QBD655383 QKZ655383 QUV655383 RER655383 RON655383 RYJ655383 SIF655383 SSB655383 TBX655383 TLT655383 TVP655383 UFL655383 UPH655383 UZD655383 VIZ655383 VSV655383 WCR655383 WMN655383 WWJ655383 AB720919 JX720919 TT720919 ADP720919 ANL720919 AXH720919 BHD720919 BQZ720919 CAV720919 CKR720919 CUN720919 DEJ720919 DOF720919 DYB720919 EHX720919 ERT720919 FBP720919 FLL720919 FVH720919 GFD720919 GOZ720919 GYV720919 HIR720919 HSN720919 ICJ720919 IMF720919 IWB720919 JFX720919 JPT720919 JZP720919 KJL720919 KTH720919 LDD720919 LMZ720919 LWV720919 MGR720919 MQN720919 NAJ720919 NKF720919 NUB720919 ODX720919 ONT720919 OXP720919 PHL720919 PRH720919 QBD720919 QKZ720919 QUV720919 RER720919 RON720919 RYJ720919 SIF720919 SSB720919 TBX720919 TLT720919 TVP720919 UFL720919 UPH720919 UZD720919 VIZ720919 VSV720919 WCR720919 WMN720919 WWJ720919 AB786455 JX786455 TT786455 ADP786455 ANL786455 AXH786455 BHD786455 BQZ786455 CAV786455 CKR786455 CUN786455 DEJ786455 DOF786455 DYB786455 EHX786455 ERT786455 FBP786455 FLL786455 FVH786455 GFD786455 GOZ786455 GYV786455 HIR786455 HSN786455 ICJ786455 IMF786455 IWB786455 JFX786455 JPT786455 JZP786455 KJL786455 KTH786455 LDD786455 LMZ786455 LWV786455 MGR786455 MQN786455 NAJ786455 NKF786455 NUB786455 ODX786455 ONT786455 OXP786455 PHL786455 PRH786455 QBD786455 QKZ786455 QUV786455 RER786455 RON786455 RYJ786455 SIF786455 SSB786455 TBX786455 TLT786455 TVP786455 UFL786455 UPH786455 UZD786455 VIZ786455 VSV786455 WCR786455 WMN786455 WWJ786455 AB851991 JX851991 TT851991 ADP851991 ANL851991 AXH851991 BHD851991 BQZ851991 CAV851991 CKR851991 CUN851991 DEJ851991 DOF851991 DYB851991 EHX851991 ERT851991 FBP851991 FLL851991 FVH851991 GFD851991 GOZ851991 GYV851991 HIR851991 HSN851991 ICJ851991 IMF851991 IWB851991 JFX851991 JPT851991 JZP851991 KJL851991 KTH851991 LDD851991 LMZ851991 LWV851991 MGR851991 MQN851991 NAJ851991 NKF851991 NUB851991 ODX851991 ONT851991 OXP851991 PHL851991 PRH851991 QBD851991 QKZ851991 QUV851991 RER851991 RON851991 RYJ851991 SIF851991 SSB851991 TBX851991 TLT851991 TVP851991 UFL851991 UPH851991 UZD851991 VIZ851991 VSV851991 WCR851991 WMN851991 WWJ851991 AB917527 JX917527 TT917527 ADP917527 ANL917527 AXH917527 BHD917527 BQZ917527 CAV917527 CKR917527 CUN917527 DEJ917527 DOF917527 DYB917527 EHX917527 ERT917527 FBP917527 FLL917527 FVH917527 GFD917527 GOZ917527 GYV917527 HIR917527 HSN917527 ICJ917527 IMF917527 IWB917527 JFX917527 JPT917527 JZP917527 KJL917527 KTH917527 LDD917527 LMZ917527 LWV917527 MGR917527 MQN917527 NAJ917527 NKF917527 NUB917527 ODX917527 ONT917527 OXP917527 PHL917527 PRH917527 QBD917527 QKZ917527 QUV917527 RER917527 RON917527 RYJ917527 SIF917527 SSB917527 TBX917527 TLT917527 TVP917527 UFL917527 UPH917527 UZD917527 VIZ917527 VSV917527 WCR917527 WMN917527 WWJ917527 AB983063 JX983063 TT983063 ADP983063 ANL983063 AXH983063 BHD983063 BQZ983063 CAV983063 CKR983063 CUN983063 DEJ983063 DOF983063 DYB983063 EHX983063 ERT983063 FBP983063 FLL983063 FVH983063 GFD983063 GOZ983063 GYV983063 HIR983063 HSN983063 ICJ983063 IMF983063 IWB983063 JFX983063 JPT983063 JZP983063 KJL983063 KTH983063 LDD983063 LMZ983063 LWV983063 MGR983063 MQN983063 NAJ983063 NKF983063 NUB983063 ODX983063 ONT983063 OXP983063 PHL983063 PRH983063 QBD983063 QKZ983063 QUV983063 RER983063 RON983063 RYJ983063 SIF983063 SSB983063 TBX983063 TLT983063 TVP983063 UFL983063 UPH983063 UZD983063 VIZ983063 VSV983063 WCR983063 WMN983063 WWJ983063" xr:uid="{F9E520C4-E2B3-488D-A439-032230B5D22A}">
      <formula1>$AU$20:$AU$26</formula1>
    </dataValidation>
    <dataValidation type="list" allowBlank="1" showInputMessage="1" showErrorMessage="1" sqref="AB33 JX33 TT33 ADP33 ANL33 AXH33 BHD33 BQZ33 CAV33 CKR33 CUN33 DEJ33 DOF33 DYB33 EHX33 ERT33 FBP33 FLL33 FVH33 GFD33 GOZ33 GYV33 HIR33 HSN33 ICJ33 IMF33 IWB33 JFX33 JPT33 JZP33 KJL33 KTH33 LDD33 LMZ33 LWV33 MGR33 MQN33 NAJ33 NKF33 NUB33 ODX33 ONT33 OXP33 PHL33 PRH33 QBD33 QKZ33 QUV33 RER33 RON33 RYJ33 SIF33 SSB33 TBX33 TLT33 TVP33 UFL33 UPH33 UZD33 VIZ33 VSV33 WCR33 WMN33 WWJ33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xr:uid="{A78E23F3-0684-4D1F-A56A-7D1454A9645F}">
      <formula1>$X$13:$X$14</formula1>
    </dataValidation>
    <dataValidation type="list" allowBlank="1" showInputMessage="1" showErrorMessage="1" sqref="AB32 JX32 TT32 ADP32 ANL32 AXH32 BHD32 BQZ32 CAV32 CKR32 CUN32 DEJ32 DOF32 DYB32 EHX32 ERT32 FBP32 FLL32 FVH32 GFD32 GOZ32 GYV32 HIR32 HSN32 ICJ32 IMF32 IWB32 JFX32 JPT32 JZP32 KJL32 KTH32 LDD32 LMZ32 LWV32 MGR32 MQN32 NAJ32 NKF32 NUB32 ODX32 ONT32 OXP32 PHL32 PRH32 QBD32 QKZ32 QUV32 RER32 RON32 RYJ32 SIF32 SSB32 TBX32 TLT32 TVP32 UFL32 UPH32 UZD32 VIZ32 VSV32 WCR32 WMN32 WWJ32 AB65568 JX65568 TT65568 ADP65568 ANL65568 AXH65568 BHD65568 BQZ65568 CAV65568 CKR65568 CUN65568 DEJ65568 DOF65568 DYB65568 EHX65568 ERT65568 FBP65568 FLL65568 FVH65568 GFD65568 GOZ65568 GYV65568 HIR65568 HSN65568 ICJ65568 IMF65568 IWB65568 JFX65568 JPT65568 JZP65568 KJL65568 KTH65568 LDD65568 LMZ65568 LWV65568 MGR65568 MQN65568 NAJ65568 NKF65568 NUB65568 ODX65568 ONT65568 OXP65568 PHL65568 PRH65568 QBD65568 QKZ65568 QUV65568 RER65568 RON65568 RYJ65568 SIF65568 SSB65568 TBX65568 TLT65568 TVP65568 UFL65568 UPH65568 UZD65568 VIZ65568 VSV65568 WCR65568 WMN65568 WWJ65568 AB131104 JX131104 TT131104 ADP131104 ANL131104 AXH131104 BHD131104 BQZ131104 CAV131104 CKR131104 CUN131104 DEJ131104 DOF131104 DYB131104 EHX131104 ERT131104 FBP131104 FLL131104 FVH131104 GFD131104 GOZ131104 GYV131104 HIR131104 HSN131104 ICJ131104 IMF131104 IWB131104 JFX131104 JPT131104 JZP131104 KJL131104 KTH131104 LDD131104 LMZ131104 LWV131104 MGR131104 MQN131104 NAJ131104 NKF131104 NUB131104 ODX131104 ONT131104 OXP131104 PHL131104 PRH131104 QBD131104 QKZ131104 QUV131104 RER131104 RON131104 RYJ131104 SIF131104 SSB131104 TBX131104 TLT131104 TVP131104 UFL131104 UPH131104 UZD131104 VIZ131104 VSV131104 WCR131104 WMN131104 WWJ131104 AB196640 JX196640 TT196640 ADP196640 ANL196640 AXH196640 BHD196640 BQZ196640 CAV196640 CKR196640 CUN196640 DEJ196640 DOF196640 DYB196640 EHX196640 ERT196640 FBP196640 FLL196640 FVH196640 GFD196640 GOZ196640 GYV196640 HIR196640 HSN196640 ICJ196640 IMF196640 IWB196640 JFX196640 JPT196640 JZP196640 KJL196640 KTH196640 LDD196640 LMZ196640 LWV196640 MGR196640 MQN196640 NAJ196640 NKF196640 NUB196640 ODX196640 ONT196640 OXP196640 PHL196640 PRH196640 QBD196640 QKZ196640 QUV196640 RER196640 RON196640 RYJ196640 SIF196640 SSB196640 TBX196640 TLT196640 TVP196640 UFL196640 UPH196640 UZD196640 VIZ196640 VSV196640 WCR196640 WMN196640 WWJ196640 AB262176 JX262176 TT262176 ADP262176 ANL262176 AXH262176 BHD262176 BQZ262176 CAV262176 CKR262176 CUN262176 DEJ262176 DOF262176 DYB262176 EHX262176 ERT262176 FBP262176 FLL262176 FVH262176 GFD262176 GOZ262176 GYV262176 HIR262176 HSN262176 ICJ262176 IMF262176 IWB262176 JFX262176 JPT262176 JZP262176 KJL262176 KTH262176 LDD262176 LMZ262176 LWV262176 MGR262176 MQN262176 NAJ262176 NKF262176 NUB262176 ODX262176 ONT262176 OXP262176 PHL262176 PRH262176 QBD262176 QKZ262176 QUV262176 RER262176 RON262176 RYJ262176 SIF262176 SSB262176 TBX262176 TLT262176 TVP262176 UFL262176 UPH262176 UZD262176 VIZ262176 VSV262176 WCR262176 WMN262176 WWJ262176 AB327712 JX327712 TT327712 ADP327712 ANL327712 AXH327712 BHD327712 BQZ327712 CAV327712 CKR327712 CUN327712 DEJ327712 DOF327712 DYB327712 EHX327712 ERT327712 FBP327712 FLL327712 FVH327712 GFD327712 GOZ327712 GYV327712 HIR327712 HSN327712 ICJ327712 IMF327712 IWB327712 JFX327712 JPT327712 JZP327712 KJL327712 KTH327712 LDD327712 LMZ327712 LWV327712 MGR327712 MQN327712 NAJ327712 NKF327712 NUB327712 ODX327712 ONT327712 OXP327712 PHL327712 PRH327712 QBD327712 QKZ327712 QUV327712 RER327712 RON327712 RYJ327712 SIF327712 SSB327712 TBX327712 TLT327712 TVP327712 UFL327712 UPH327712 UZD327712 VIZ327712 VSV327712 WCR327712 WMN327712 WWJ327712 AB393248 JX393248 TT393248 ADP393248 ANL393248 AXH393248 BHD393248 BQZ393248 CAV393248 CKR393248 CUN393248 DEJ393248 DOF393248 DYB393248 EHX393248 ERT393248 FBP393248 FLL393248 FVH393248 GFD393248 GOZ393248 GYV393248 HIR393248 HSN393248 ICJ393248 IMF393248 IWB393248 JFX393248 JPT393248 JZP393248 KJL393248 KTH393248 LDD393248 LMZ393248 LWV393248 MGR393248 MQN393248 NAJ393248 NKF393248 NUB393248 ODX393248 ONT393248 OXP393248 PHL393248 PRH393248 QBD393248 QKZ393248 QUV393248 RER393248 RON393248 RYJ393248 SIF393248 SSB393248 TBX393248 TLT393248 TVP393248 UFL393248 UPH393248 UZD393248 VIZ393248 VSV393248 WCR393248 WMN393248 WWJ393248 AB458784 JX458784 TT458784 ADP458784 ANL458784 AXH458784 BHD458784 BQZ458784 CAV458784 CKR458784 CUN458784 DEJ458784 DOF458784 DYB458784 EHX458784 ERT458784 FBP458784 FLL458784 FVH458784 GFD458784 GOZ458784 GYV458784 HIR458784 HSN458784 ICJ458784 IMF458784 IWB458784 JFX458784 JPT458784 JZP458784 KJL458784 KTH458784 LDD458784 LMZ458784 LWV458784 MGR458784 MQN458784 NAJ458784 NKF458784 NUB458784 ODX458784 ONT458784 OXP458784 PHL458784 PRH458784 QBD458784 QKZ458784 QUV458784 RER458784 RON458784 RYJ458784 SIF458784 SSB458784 TBX458784 TLT458784 TVP458784 UFL458784 UPH458784 UZD458784 VIZ458784 VSV458784 WCR458784 WMN458784 WWJ458784 AB524320 JX524320 TT524320 ADP524320 ANL524320 AXH524320 BHD524320 BQZ524320 CAV524320 CKR524320 CUN524320 DEJ524320 DOF524320 DYB524320 EHX524320 ERT524320 FBP524320 FLL524320 FVH524320 GFD524320 GOZ524320 GYV524320 HIR524320 HSN524320 ICJ524320 IMF524320 IWB524320 JFX524320 JPT524320 JZP524320 KJL524320 KTH524320 LDD524320 LMZ524320 LWV524320 MGR524320 MQN524320 NAJ524320 NKF524320 NUB524320 ODX524320 ONT524320 OXP524320 PHL524320 PRH524320 QBD524320 QKZ524320 QUV524320 RER524320 RON524320 RYJ524320 SIF524320 SSB524320 TBX524320 TLT524320 TVP524320 UFL524320 UPH524320 UZD524320 VIZ524320 VSV524320 WCR524320 WMN524320 WWJ524320 AB589856 JX589856 TT589856 ADP589856 ANL589856 AXH589856 BHD589856 BQZ589856 CAV589856 CKR589856 CUN589856 DEJ589856 DOF589856 DYB589856 EHX589856 ERT589856 FBP589856 FLL589856 FVH589856 GFD589856 GOZ589856 GYV589856 HIR589856 HSN589856 ICJ589856 IMF589856 IWB589856 JFX589856 JPT589856 JZP589856 KJL589856 KTH589856 LDD589856 LMZ589856 LWV589856 MGR589856 MQN589856 NAJ589856 NKF589856 NUB589856 ODX589856 ONT589856 OXP589856 PHL589856 PRH589856 QBD589856 QKZ589856 QUV589856 RER589856 RON589856 RYJ589856 SIF589856 SSB589856 TBX589856 TLT589856 TVP589856 UFL589856 UPH589856 UZD589856 VIZ589856 VSV589856 WCR589856 WMN589856 WWJ589856 AB655392 JX655392 TT655392 ADP655392 ANL655392 AXH655392 BHD655392 BQZ655392 CAV655392 CKR655392 CUN655392 DEJ655392 DOF655392 DYB655392 EHX655392 ERT655392 FBP655392 FLL655392 FVH655392 GFD655392 GOZ655392 GYV655392 HIR655392 HSN655392 ICJ655392 IMF655392 IWB655392 JFX655392 JPT655392 JZP655392 KJL655392 KTH655392 LDD655392 LMZ655392 LWV655392 MGR655392 MQN655392 NAJ655392 NKF655392 NUB655392 ODX655392 ONT655392 OXP655392 PHL655392 PRH655392 QBD655392 QKZ655392 QUV655392 RER655392 RON655392 RYJ655392 SIF655392 SSB655392 TBX655392 TLT655392 TVP655392 UFL655392 UPH655392 UZD655392 VIZ655392 VSV655392 WCR655392 WMN655392 WWJ655392 AB720928 JX720928 TT720928 ADP720928 ANL720928 AXH720928 BHD720928 BQZ720928 CAV720928 CKR720928 CUN720928 DEJ720928 DOF720928 DYB720928 EHX720928 ERT720928 FBP720928 FLL720928 FVH720928 GFD720928 GOZ720928 GYV720928 HIR720928 HSN720928 ICJ720928 IMF720928 IWB720928 JFX720928 JPT720928 JZP720928 KJL720928 KTH720928 LDD720928 LMZ720928 LWV720928 MGR720928 MQN720928 NAJ720928 NKF720928 NUB720928 ODX720928 ONT720928 OXP720928 PHL720928 PRH720928 QBD720928 QKZ720928 QUV720928 RER720928 RON720928 RYJ720928 SIF720928 SSB720928 TBX720928 TLT720928 TVP720928 UFL720928 UPH720928 UZD720928 VIZ720928 VSV720928 WCR720928 WMN720928 WWJ720928 AB786464 JX786464 TT786464 ADP786464 ANL786464 AXH786464 BHD786464 BQZ786464 CAV786464 CKR786464 CUN786464 DEJ786464 DOF786464 DYB786464 EHX786464 ERT786464 FBP786464 FLL786464 FVH786464 GFD786464 GOZ786464 GYV786464 HIR786464 HSN786464 ICJ786464 IMF786464 IWB786464 JFX786464 JPT786464 JZP786464 KJL786464 KTH786464 LDD786464 LMZ786464 LWV786464 MGR786464 MQN786464 NAJ786464 NKF786464 NUB786464 ODX786464 ONT786464 OXP786464 PHL786464 PRH786464 QBD786464 QKZ786464 QUV786464 RER786464 RON786464 RYJ786464 SIF786464 SSB786464 TBX786464 TLT786464 TVP786464 UFL786464 UPH786464 UZD786464 VIZ786464 VSV786464 WCR786464 WMN786464 WWJ786464 AB852000 JX852000 TT852000 ADP852000 ANL852000 AXH852000 BHD852000 BQZ852000 CAV852000 CKR852000 CUN852000 DEJ852000 DOF852000 DYB852000 EHX852000 ERT852000 FBP852000 FLL852000 FVH852000 GFD852000 GOZ852000 GYV852000 HIR852000 HSN852000 ICJ852000 IMF852000 IWB852000 JFX852000 JPT852000 JZP852000 KJL852000 KTH852000 LDD852000 LMZ852000 LWV852000 MGR852000 MQN852000 NAJ852000 NKF852000 NUB852000 ODX852000 ONT852000 OXP852000 PHL852000 PRH852000 QBD852000 QKZ852000 QUV852000 RER852000 RON852000 RYJ852000 SIF852000 SSB852000 TBX852000 TLT852000 TVP852000 UFL852000 UPH852000 UZD852000 VIZ852000 VSV852000 WCR852000 WMN852000 WWJ852000 AB917536 JX917536 TT917536 ADP917536 ANL917536 AXH917536 BHD917536 BQZ917536 CAV917536 CKR917536 CUN917536 DEJ917536 DOF917536 DYB917536 EHX917536 ERT917536 FBP917536 FLL917536 FVH917536 GFD917536 GOZ917536 GYV917536 HIR917536 HSN917536 ICJ917536 IMF917536 IWB917536 JFX917536 JPT917536 JZP917536 KJL917536 KTH917536 LDD917536 LMZ917536 LWV917536 MGR917536 MQN917536 NAJ917536 NKF917536 NUB917536 ODX917536 ONT917536 OXP917536 PHL917536 PRH917536 QBD917536 QKZ917536 QUV917536 RER917536 RON917536 RYJ917536 SIF917536 SSB917536 TBX917536 TLT917536 TVP917536 UFL917536 UPH917536 UZD917536 VIZ917536 VSV917536 WCR917536 WMN917536 WWJ917536 AB983072 JX983072 TT983072 ADP983072 ANL983072 AXH983072 BHD983072 BQZ983072 CAV983072 CKR983072 CUN983072 DEJ983072 DOF983072 DYB983072 EHX983072 ERT983072 FBP983072 FLL983072 FVH983072 GFD983072 GOZ983072 GYV983072 HIR983072 HSN983072 ICJ983072 IMF983072 IWB983072 JFX983072 JPT983072 JZP983072 KJL983072 KTH983072 LDD983072 LMZ983072 LWV983072 MGR983072 MQN983072 NAJ983072 NKF983072 NUB983072 ODX983072 ONT983072 OXP983072 PHL983072 PRH983072 QBD983072 QKZ983072 QUV983072 RER983072 RON983072 RYJ983072 SIF983072 SSB983072 TBX983072 TLT983072 TVP983072 UFL983072 UPH983072 UZD983072 VIZ983072 VSV983072 WCR983072 WMN983072 WWJ983072" xr:uid="{8C7D6B06-A7B6-4EEB-8AB5-9589421D9060}">
      <formula1>$X$24:$X$25</formula1>
    </dataValidation>
    <dataValidation type="list" allowBlank="1" showInputMessage="1" showErrorMessage="1" sqref="AC53 JY53 TU53 ADQ53 ANM53 AXI53 BHE53 BRA53 CAW53 CKS53 CUO53 DEK53 DOG53 DYC53 EHY53 ERU53 FBQ53 FLM53 FVI53 GFE53 GPA53 GYW53 HIS53 HSO53 ICK53 IMG53 IWC53 JFY53 JPU53 JZQ53 KJM53 KTI53 LDE53 LNA53 LWW53 MGS53 MQO53 NAK53 NKG53 NUC53 ODY53 ONU53 OXQ53 PHM53 PRI53 QBE53 QLA53 QUW53 RES53 ROO53 RYK53 SIG53 SSC53 TBY53 TLU53 TVQ53 UFM53 UPI53 UZE53 VJA53 VSW53 WCS53 WMO53 WWK53 AC65589 JY65589 TU65589 ADQ65589 ANM65589 AXI65589 BHE65589 BRA65589 CAW65589 CKS65589 CUO65589 DEK65589 DOG65589 DYC65589 EHY65589 ERU65589 FBQ65589 FLM65589 FVI65589 GFE65589 GPA65589 GYW65589 HIS65589 HSO65589 ICK65589 IMG65589 IWC65589 JFY65589 JPU65589 JZQ65589 KJM65589 KTI65589 LDE65589 LNA65589 LWW65589 MGS65589 MQO65589 NAK65589 NKG65589 NUC65589 ODY65589 ONU65589 OXQ65589 PHM65589 PRI65589 QBE65589 QLA65589 QUW65589 RES65589 ROO65589 RYK65589 SIG65589 SSC65589 TBY65589 TLU65589 TVQ65589 UFM65589 UPI65589 UZE65589 VJA65589 VSW65589 WCS65589 WMO65589 WWK65589 AC131125 JY131125 TU131125 ADQ131125 ANM131125 AXI131125 BHE131125 BRA131125 CAW131125 CKS131125 CUO131125 DEK131125 DOG131125 DYC131125 EHY131125 ERU131125 FBQ131125 FLM131125 FVI131125 GFE131125 GPA131125 GYW131125 HIS131125 HSO131125 ICK131125 IMG131125 IWC131125 JFY131125 JPU131125 JZQ131125 KJM131125 KTI131125 LDE131125 LNA131125 LWW131125 MGS131125 MQO131125 NAK131125 NKG131125 NUC131125 ODY131125 ONU131125 OXQ131125 PHM131125 PRI131125 QBE131125 QLA131125 QUW131125 RES131125 ROO131125 RYK131125 SIG131125 SSC131125 TBY131125 TLU131125 TVQ131125 UFM131125 UPI131125 UZE131125 VJA131125 VSW131125 WCS131125 WMO131125 WWK131125 AC196661 JY196661 TU196661 ADQ196661 ANM196661 AXI196661 BHE196661 BRA196661 CAW196661 CKS196661 CUO196661 DEK196661 DOG196661 DYC196661 EHY196661 ERU196661 FBQ196661 FLM196661 FVI196661 GFE196661 GPA196661 GYW196661 HIS196661 HSO196661 ICK196661 IMG196661 IWC196661 JFY196661 JPU196661 JZQ196661 KJM196661 KTI196661 LDE196661 LNA196661 LWW196661 MGS196661 MQO196661 NAK196661 NKG196661 NUC196661 ODY196661 ONU196661 OXQ196661 PHM196661 PRI196661 QBE196661 QLA196661 QUW196661 RES196661 ROO196661 RYK196661 SIG196661 SSC196661 TBY196661 TLU196661 TVQ196661 UFM196661 UPI196661 UZE196661 VJA196661 VSW196661 WCS196661 WMO196661 WWK196661 AC262197 JY262197 TU262197 ADQ262197 ANM262197 AXI262197 BHE262197 BRA262197 CAW262197 CKS262197 CUO262197 DEK262197 DOG262197 DYC262197 EHY262197 ERU262197 FBQ262197 FLM262197 FVI262197 GFE262197 GPA262197 GYW262197 HIS262197 HSO262197 ICK262197 IMG262197 IWC262197 JFY262197 JPU262197 JZQ262197 KJM262197 KTI262197 LDE262197 LNA262197 LWW262197 MGS262197 MQO262197 NAK262197 NKG262197 NUC262197 ODY262197 ONU262197 OXQ262197 PHM262197 PRI262197 QBE262197 QLA262197 QUW262197 RES262197 ROO262197 RYK262197 SIG262197 SSC262197 TBY262197 TLU262197 TVQ262197 UFM262197 UPI262197 UZE262197 VJA262197 VSW262197 WCS262197 WMO262197 WWK262197 AC327733 JY327733 TU327733 ADQ327733 ANM327733 AXI327733 BHE327733 BRA327733 CAW327733 CKS327733 CUO327733 DEK327733 DOG327733 DYC327733 EHY327733 ERU327733 FBQ327733 FLM327733 FVI327733 GFE327733 GPA327733 GYW327733 HIS327733 HSO327733 ICK327733 IMG327733 IWC327733 JFY327733 JPU327733 JZQ327733 KJM327733 KTI327733 LDE327733 LNA327733 LWW327733 MGS327733 MQO327733 NAK327733 NKG327733 NUC327733 ODY327733 ONU327733 OXQ327733 PHM327733 PRI327733 QBE327733 QLA327733 QUW327733 RES327733 ROO327733 RYK327733 SIG327733 SSC327733 TBY327733 TLU327733 TVQ327733 UFM327733 UPI327733 UZE327733 VJA327733 VSW327733 WCS327733 WMO327733 WWK327733 AC393269 JY393269 TU393269 ADQ393269 ANM393269 AXI393269 BHE393269 BRA393269 CAW393269 CKS393269 CUO393269 DEK393269 DOG393269 DYC393269 EHY393269 ERU393269 FBQ393269 FLM393269 FVI393269 GFE393269 GPA393269 GYW393269 HIS393269 HSO393269 ICK393269 IMG393269 IWC393269 JFY393269 JPU393269 JZQ393269 KJM393269 KTI393269 LDE393269 LNA393269 LWW393269 MGS393269 MQO393269 NAK393269 NKG393269 NUC393269 ODY393269 ONU393269 OXQ393269 PHM393269 PRI393269 QBE393269 QLA393269 QUW393269 RES393269 ROO393269 RYK393269 SIG393269 SSC393269 TBY393269 TLU393269 TVQ393269 UFM393269 UPI393269 UZE393269 VJA393269 VSW393269 WCS393269 WMO393269 WWK393269 AC458805 JY458805 TU458805 ADQ458805 ANM458805 AXI458805 BHE458805 BRA458805 CAW458805 CKS458805 CUO458805 DEK458805 DOG458805 DYC458805 EHY458805 ERU458805 FBQ458805 FLM458805 FVI458805 GFE458805 GPA458805 GYW458805 HIS458805 HSO458805 ICK458805 IMG458805 IWC458805 JFY458805 JPU458805 JZQ458805 KJM458805 KTI458805 LDE458805 LNA458805 LWW458805 MGS458805 MQO458805 NAK458805 NKG458805 NUC458805 ODY458805 ONU458805 OXQ458805 PHM458805 PRI458805 QBE458805 QLA458805 QUW458805 RES458805 ROO458805 RYK458805 SIG458805 SSC458805 TBY458805 TLU458805 TVQ458805 UFM458805 UPI458805 UZE458805 VJA458805 VSW458805 WCS458805 WMO458805 WWK458805 AC524341 JY524341 TU524341 ADQ524341 ANM524341 AXI524341 BHE524341 BRA524341 CAW524341 CKS524341 CUO524341 DEK524341 DOG524341 DYC524341 EHY524341 ERU524341 FBQ524341 FLM524341 FVI524341 GFE524341 GPA524341 GYW524341 HIS524341 HSO524341 ICK524341 IMG524341 IWC524341 JFY524341 JPU524341 JZQ524341 KJM524341 KTI524341 LDE524341 LNA524341 LWW524341 MGS524341 MQO524341 NAK524341 NKG524341 NUC524341 ODY524341 ONU524341 OXQ524341 PHM524341 PRI524341 QBE524341 QLA524341 QUW524341 RES524341 ROO524341 RYK524341 SIG524341 SSC524341 TBY524341 TLU524341 TVQ524341 UFM524341 UPI524341 UZE524341 VJA524341 VSW524341 WCS524341 WMO524341 WWK524341 AC589877 JY589877 TU589877 ADQ589877 ANM589877 AXI589877 BHE589877 BRA589877 CAW589877 CKS589877 CUO589877 DEK589877 DOG589877 DYC589877 EHY589877 ERU589877 FBQ589877 FLM589877 FVI589877 GFE589877 GPA589877 GYW589877 HIS589877 HSO589877 ICK589877 IMG589877 IWC589877 JFY589877 JPU589877 JZQ589877 KJM589877 KTI589877 LDE589877 LNA589877 LWW589877 MGS589877 MQO589877 NAK589877 NKG589877 NUC589877 ODY589877 ONU589877 OXQ589877 PHM589877 PRI589877 QBE589877 QLA589877 QUW589877 RES589877 ROO589877 RYK589877 SIG589877 SSC589877 TBY589877 TLU589877 TVQ589877 UFM589877 UPI589877 UZE589877 VJA589877 VSW589877 WCS589877 WMO589877 WWK589877 AC655413 JY655413 TU655413 ADQ655413 ANM655413 AXI655413 BHE655413 BRA655413 CAW655413 CKS655413 CUO655413 DEK655413 DOG655413 DYC655413 EHY655413 ERU655413 FBQ655413 FLM655413 FVI655413 GFE655413 GPA655413 GYW655413 HIS655413 HSO655413 ICK655413 IMG655413 IWC655413 JFY655413 JPU655413 JZQ655413 KJM655413 KTI655413 LDE655413 LNA655413 LWW655413 MGS655413 MQO655413 NAK655413 NKG655413 NUC655413 ODY655413 ONU655413 OXQ655413 PHM655413 PRI655413 QBE655413 QLA655413 QUW655413 RES655413 ROO655413 RYK655413 SIG655413 SSC655413 TBY655413 TLU655413 TVQ655413 UFM655413 UPI655413 UZE655413 VJA655413 VSW655413 WCS655413 WMO655413 WWK655413 AC720949 JY720949 TU720949 ADQ720949 ANM720949 AXI720949 BHE720949 BRA720949 CAW720949 CKS720949 CUO720949 DEK720949 DOG720949 DYC720949 EHY720949 ERU720949 FBQ720949 FLM720949 FVI720949 GFE720949 GPA720949 GYW720949 HIS720949 HSO720949 ICK720949 IMG720949 IWC720949 JFY720949 JPU720949 JZQ720949 KJM720949 KTI720949 LDE720949 LNA720949 LWW720949 MGS720949 MQO720949 NAK720949 NKG720949 NUC720949 ODY720949 ONU720949 OXQ720949 PHM720949 PRI720949 QBE720949 QLA720949 QUW720949 RES720949 ROO720949 RYK720949 SIG720949 SSC720949 TBY720949 TLU720949 TVQ720949 UFM720949 UPI720949 UZE720949 VJA720949 VSW720949 WCS720949 WMO720949 WWK720949 AC786485 JY786485 TU786485 ADQ786485 ANM786485 AXI786485 BHE786485 BRA786485 CAW786485 CKS786485 CUO786485 DEK786485 DOG786485 DYC786485 EHY786485 ERU786485 FBQ786485 FLM786485 FVI786485 GFE786485 GPA786485 GYW786485 HIS786485 HSO786485 ICK786485 IMG786485 IWC786485 JFY786485 JPU786485 JZQ786485 KJM786485 KTI786485 LDE786485 LNA786485 LWW786485 MGS786485 MQO786485 NAK786485 NKG786485 NUC786485 ODY786485 ONU786485 OXQ786485 PHM786485 PRI786485 QBE786485 QLA786485 QUW786485 RES786485 ROO786485 RYK786485 SIG786485 SSC786485 TBY786485 TLU786485 TVQ786485 UFM786485 UPI786485 UZE786485 VJA786485 VSW786485 WCS786485 WMO786485 WWK786485 AC852021 JY852021 TU852021 ADQ852021 ANM852021 AXI852021 BHE852021 BRA852021 CAW852021 CKS852021 CUO852021 DEK852021 DOG852021 DYC852021 EHY852021 ERU852021 FBQ852021 FLM852021 FVI852021 GFE852021 GPA852021 GYW852021 HIS852021 HSO852021 ICK852021 IMG852021 IWC852021 JFY852021 JPU852021 JZQ852021 KJM852021 KTI852021 LDE852021 LNA852021 LWW852021 MGS852021 MQO852021 NAK852021 NKG852021 NUC852021 ODY852021 ONU852021 OXQ852021 PHM852021 PRI852021 QBE852021 QLA852021 QUW852021 RES852021 ROO852021 RYK852021 SIG852021 SSC852021 TBY852021 TLU852021 TVQ852021 UFM852021 UPI852021 UZE852021 VJA852021 VSW852021 WCS852021 WMO852021 WWK852021 AC917557 JY917557 TU917557 ADQ917557 ANM917557 AXI917557 BHE917557 BRA917557 CAW917557 CKS917557 CUO917557 DEK917557 DOG917557 DYC917557 EHY917557 ERU917557 FBQ917557 FLM917557 FVI917557 GFE917557 GPA917557 GYW917557 HIS917557 HSO917557 ICK917557 IMG917557 IWC917557 JFY917557 JPU917557 JZQ917557 KJM917557 KTI917557 LDE917557 LNA917557 LWW917557 MGS917557 MQO917557 NAK917557 NKG917557 NUC917557 ODY917557 ONU917557 OXQ917557 PHM917557 PRI917557 QBE917557 QLA917557 QUW917557 RES917557 ROO917557 RYK917557 SIG917557 SSC917557 TBY917557 TLU917557 TVQ917557 UFM917557 UPI917557 UZE917557 VJA917557 VSW917557 WCS917557 WMO917557 WWK917557 AC983093 JY983093 TU983093 ADQ983093 ANM983093 AXI983093 BHE983093 BRA983093 CAW983093 CKS983093 CUO983093 DEK983093 DOG983093 DYC983093 EHY983093 ERU983093 FBQ983093 FLM983093 FVI983093 GFE983093 GPA983093 GYW983093 HIS983093 HSO983093 ICK983093 IMG983093 IWC983093 JFY983093 JPU983093 JZQ983093 KJM983093 KTI983093 LDE983093 LNA983093 LWW983093 MGS983093 MQO983093 NAK983093 NKG983093 NUC983093 ODY983093 ONU983093 OXQ983093 PHM983093 PRI983093 QBE983093 QLA983093 QUW983093 RES983093 ROO983093 RYK983093 SIG983093 SSC983093 TBY983093 TLU983093 TVQ983093 UFM983093 UPI983093 UZE983093 VJA983093 VSW983093 WCS983093 WMO983093 WWK983093" xr:uid="{A6628D12-47E4-40BA-8140-50247419DB20}">
      <formula1>$AA$48:$AA$50</formula1>
    </dataValidation>
    <dataValidation type="list" allowBlank="1" showInputMessage="1" showErrorMessage="1" sqref="U2 JQ2 TM2 ADI2 ANE2 AXA2 BGW2 BQS2 CAO2 CKK2 CUG2 DEC2 DNY2 DXU2 EHQ2 ERM2 FBI2 FLE2 FVA2 GEW2 GOS2 GYO2 HIK2 HSG2 ICC2 ILY2 IVU2 JFQ2 JPM2 JZI2 KJE2 KTA2 LCW2 LMS2 LWO2 MGK2 MQG2 NAC2 NJY2 NTU2 ODQ2 ONM2 OXI2 PHE2 PRA2 QAW2 QKS2 QUO2 REK2 ROG2 RYC2 SHY2 SRU2 TBQ2 TLM2 TVI2 UFE2 UPA2 UYW2 VIS2 VSO2 WCK2 WMG2 WWC2 U65538 JQ65538 TM65538 ADI65538 ANE65538 AXA65538 BGW65538 BQS65538 CAO65538 CKK65538 CUG65538 DEC65538 DNY65538 DXU65538 EHQ65538 ERM65538 FBI65538 FLE65538 FVA65538 GEW65538 GOS65538 GYO65538 HIK65538 HSG65538 ICC65538 ILY65538 IVU65538 JFQ65538 JPM65538 JZI65538 KJE65538 KTA65538 LCW65538 LMS65538 LWO65538 MGK65538 MQG65538 NAC65538 NJY65538 NTU65538 ODQ65538 ONM65538 OXI65538 PHE65538 PRA65538 QAW65538 QKS65538 QUO65538 REK65538 ROG65538 RYC65538 SHY65538 SRU65538 TBQ65538 TLM65538 TVI65538 UFE65538 UPA65538 UYW65538 VIS65538 VSO65538 WCK65538 WMG65538 WWC65538 U131074 JQ131074 TM131074 ADI131074 ANE131074 AXA131074 BGW131074 BQS131074 CAO131074 CKK131074 CUG131074 DEC131074 DNY131074 DXU131074 EHQ131074 ERM131074 FBI131074 FLE131074 FVA131074 GEW131074 GOS131074 GYO131074 HIK131074 HSG131074 ICC131074 ILY131074 IVU131074 JFQ131074 JPM131074 JZI131074 KJE131074 KTA131074 LCW131074 LMS131074 LWO131074 MGK131074 MQG131074 NAC131074 NJY131074 NTU131074 ODQ131074 ONM131074 OXI131074 PHE131074 PRA131074 QAW131074 QKS131074 QUO131074 REK131074 ROG131074 RYC131074 SHY131074 SRU131074 TBQ131074 TLM131074 TVI131074 UFE131074 UPA131074 UYW131074 VIS131074 VSO131074 WCK131074 WMG131074 WWC131074 U196610 JQ196610 TM196610 ADI196610 ANE196610 AXA196610 BGW196610 BQS196610 CAO196610 CKK196610 CUG196610 DEC196610 DNY196610 DXU196610 EHQ196610 ERM196610 FBI196610 FLE196610 FVA196610 GEW196610 GOS196610 GYO196610 HIK196610 HSG196610 ICC196610 ILY196610 IVU196610 JFQ196610 JPM196610 JZI196610 KJE196610 KTA196610 LCW196610 LMS196610 LWO196610 MGK196610 MQG196610 NAC196610 NJY196610 NTU196610 ODQ196610 ONM196610 OXI196610 PHE196610 PRA196610 QAW196610 QKS196610 QUO196610 REK196610 ROG196610 RYC196610 SHY196610 SRU196610 TBQ196610 TLM196610 TVI196610 UFE196610 UPA196610 UYW196610 VIS196610 VSO196610 WCK196610 WMG196610 WWC196610 U262146 JQ262146 TM262146 ADI262146 ANE262146 AXA262146 BGW262146 BQS262146 CAO262146 CKK262146 CUG262146 DEC262146 DNY262146 DXU262146 EHQ262146 ERM262146 FBI262146 FLE262146 FVA262146 GEW262146 GOS262146 GYO262146 HIK262146 HSG262146 ICC262146 ILY262146 IVU262146 JFQ262146 JPM262146 JZI262146 KJE262146 KTA262146 LCW262146 LMS262146 LWO262146 MGK262146 MQG262146 NAC262146 NJY262146 NTU262146 ODQ262146 ONM262146 OXI262146 PHE262146 PRA262146 QAW262146 QKS262146 QUO262146 REK262146 ROG262146 RYC262146 SHY262146 SRU262146 TBQ262146 TLM262146 TVI262146 UFE262146 UPA262146 UYW262146 VIS262146 VSO262146 WCK262146 WMG262146 WWC262146 U327682 JQ327682 TM327682 ADI327682 ANE327682 AXA327682 BGW327682 BQS327682 CAO327682 CKK327682 CUG327682 DEC327682 DNY327682 DXU327682 EHQ327682 ERM327682 FBI327682 FLE327682 FVA327682 GEW327682 GOS327682 GYO327682 HIK327682 HSG327682 ICC327682 ILY327682 IVU327682 JFQ327682 JPM327682 JZI327682 KJE327682 KTA327682 LCW327682 LMS327682 LWO327682 MGK327682 MQG327682 NAC327682 NJY327682 NTU327682 ODQ327682 ONM327682 OXI327682 PHE327682 PRA327682 QAW327682 QKS327682 QUO327682 REK327682 ROG327682 RYC327682 SHY327682 SRU327682 TBQ327682 TLM327682 TVI327682 UFE327682 UPA327682 UYW327682 VIS327682 VSO327682 WCK327682 WMG327682 WWC327682 U393218 JQ393218 TM393218 ADI393218 ANE393218 AXA393218 BGW393218 BQS393218 CAO393218 CKK393218 CUG393218 DEC393218 DNY393218 DXU393218 EHQ393218 ERM393218 FBI393218 FLE393218 FVA393218 GEW393218 GOS393218 GYO393218 HIK393218 HSG393218 ICC393218 ILY393218 IVU393218 JFQ393218 JPM393218 JZI393218 KJE393218 KTA393218 LCW393218 LMS393218 LWO393218 MGK393218 MQG393218 NAC393218 NJY393218 NTU393218 ODQ393218 ONM393218 OXI393218 PHE393218 PRA393218 QAW393218 QKS393218 QUO393218 REK393218 ROG393218 RYC393218 SHY393218 SRU393218 TBQ393218 TLM393218 TVI393218 UFE393218 UPA393218 UYW393218 VIS393218 VSO393218 WCK393218 WMG393218 WWC393218 U458754 JQ458754 TM458754 ADI458754 ANE458754 AXA458754 BGW458754 BQS458754 CAO458754 CKK458754 CUG458754 DEC458754 DNY458754 DXU458754 EHQ458754 ERM458754 FBI458754 FLE458754 FVA458754 GEW458754 GOS458754 GYO458754 HIK458754 HSG458754 ICC458754 ILY458754 IVU458754 JFQ458754 JPM458754 JZI458754 KJE458754 KTA458754 LCW458754 LMS458754 LWO458754 MGK458754 MQG458754 NAC458754 NJY458754 NTU458754 ODQ458754 ONM458754 OXI458754 PHE458754 PRA458754 QAW458754 QKS458754 QUO458754 REK458754 ROG458754 RYC458754 SHY458754 SRU458754 TBQ458754 TLM458754 TVI458754 UFE458754 UPA458754 UYW458754 VIS458754 VSO458754 WCK458754 WMG458754 WWC458754 U524290 JQ524290 TM524290 ADI524290 ANE524290 AXA524290 BGW524290 BQS524290 CAO524290 CKK524290 CUG524290 DEC524290 DNY524290 DXU524290 EHQ524290 ERM524290 FBI524290 FLE524290 FVA524290 GEW524290 GOS524290 GYO524290 HIK524290 HSG524290 ICC524290 ILY524290 IVU524290 JFQ524290 JPM524290 JZI524290 KJE524290 KTA524290 LCW524290 LMS524290 LWO524290 MGK524290 MQG524290 NAC524290 NJY524290 NTU524290 ODQ524290 ONM524290 OXI524290 PHE524290 PRA524290 QAW524290 QKS524290 QUO524290 REK524290 ROG524290 RYC524290 SHY524290 SRU524290 TBQ524290 TLM524290 TVI524290 UFE524290 UPA524290 UYW524290 VIS524290 VSO524290 WCK524290 WMG524290 WWC524290 U589826 JQ589826 TM589826 ADI589826 ANE589826 AXA589826 BGW589826 BQS589826 CAO589826 CKK589826 CUG589826 DEC589826 DNY589826 DXU589826 EHQ589826 ERM589826 FBI589826 FLE589826 FVA589826 GEW589826 GOS589826 GYO589826 HIK589826 HSG589826 ICC589826 ILY589826 IVU589826 JFQ589826 JPM589826 JZI589826 KJE589826 KTA589826 LCW589826 LMS589826 LWO589826 MGK589826 MQG589826 NAC589826 NJY589826 NTU589826 ODQ589826 ONM589826 OXI589826 PHE589826 PRA589826 QAW589826 QKS589826 QUO589826 REK589826 ROG589826 RYC589826 SHY589826 SRU589826 TBQ589826 TLM589826 TVI589826 UFE589826 UPA589826 UYW589826 VIS589826 VSO589826 WCK589826 WMG589826 WWC589826 U655362 JQ655362 TM655362 ADI655362 ANE655362 AXA655362 BGW655362 BQS655362 CAO655362 CKK655362 CUG655362 DEC655362 DNY655362 DXU655362 EHQ655362 ERM655362 FBI655362 FLE655362 FVA655362 GEW655362 GOS655362 GYO655362 HIK655362 HSG655362 ICC655362 ILY655362 IVU655362 JFQ655362 JPM655362 JZI655362 KJE655362 KTA655362 LCW655362 LMS655362 LWO655362 MGK655362 MQG655362 NAC655362 NJY655362 NTU655362 ODQ655362 ONM655362 OXI655362 PHE655362 PRA655362 QAW655362 QKS655362 QUO655362 REK655362 ROG655362 RYC655362 SHY655362 SRU655362 TBQ655362 TLM655362 TVI655362 UFE655362 UPA655362 UYW655362 VIS655362 VSO655362 WCK655362 WMG655362 WWC655362 U720898 JQ720898 TM720898 ADI720898 ANE720898 AXA720898 BGW720898 BQS720898 CAO720898 CKK720898 CUG720898 DEC720898 DNY720898 DXU720898 EHQ720898 ERM720898 FBI720898 FLE720898 FVA720898 GEW720898 GOS720898 GYO720898 HIK720898 HSG720898 ICC720898 ILY720898 IVU720898 JFQ720898 JPM720898 JZI720898 KJE720898 KTA720898 LCW720898 LMS720898 LWO720898 MGK720898 MQG720898 NAC720898 NJY720898 NTU720898 ODQ720898 ONM720898 OXI720898 PHE720898 PRA720898 QAW720898 QKS720898 QUO720898 REK720898 ROG720898 RYC720898 SHY720898 SRU720898 TBQ720898 TLM720898 TVI720898 UFE720898 UPA720898 UYW720898 VIS720898 VSO720898 WCK720898 WMG720898 WWC720898 U786434 JQ786434 TM786434 ADI786434 ANE786434 AXA786434 BGW786434 BQS786434 CAO786434 CKK786434 CUG786434 DEC786434 DNY786434 DXU786434 EHQ786434 ERM786434 FBI786434 FLE786434 FVA786434 GEW786434 GOS786434 GYO786434 HIK786434 HSG786434 ICC786434 ILY786434 IVU786434 JFQ786434 JPM786434 JZI786434 KJE786434 KTA786434 LCW786434 LMS786434 LWO786434 MGK786434 MQG786434 NAC786434 NJY786434 NTU786434 ODQ786434 ONM786434 OXI786434 PHE786434 PRA786434 QAW786434 QKS786434 QUO786434 REK786434 ROG786434 RYC786434 SHY786434 SRU786434 TBQ786434 TLM786434 TVI786434 UFE786434 UPA786434 UYW786434 VIS786434 VSO786434 WCK786434 WMG786434 WWC786434 U851970 JQ851970 TM851970 ADI851970 ANE851970 AXA851970 BGW851970 BQS851970 CAO851970 CKK851970 CUG851970 DEC851970 DNY851970 DXU851970 EHQ851970 ERM851970 FBI851970 FLE851970 FVA851970 GEW851970 GOS851970 GYO851970 HIK851970 HSG851970 ICC851970 ILY851970 IVU851970 JFQ851970 JPM851970 JZI851970 KJE851970 KTA851970 LCW851970 LMS851970 LWO851970 MGK851970 MQG851970 NAC851970 NJY851970 NTU851970 ODQ851970 ONM851970 OXI851970 PHE851970 PRA851970 QAW851970 QKS851970 QUO851970 REK851970 ROG851970 RYC851970 SHY851970 SRU851970 TBQ851970 TLM851970 TVI851970 UFE851970 UPA851970 UYW851970 VIS851970 VSO851970 WCK851970 WMG851970 WWC851970 U917506 JQ917506 TM917506 ADI917506 ANE917506 AXA917506 BGW917506 BQS917506 CAO917506 CKK917506 CUG917506 DEC917506 DNY917506 DXU917506 EHQ917506 ERM917506 FBI917506 FLE917506 FVA917506 GEW917506 GOS917506 GYO917506 HIK917506 HSG917506 ICC917506 ILY917506 IVU917506 JFQ917506 JPM917506 JZI917506 KJE917506 KTA917506 LCW917506 LMS917506 LWO917506 MGK917506 MQG917506 NAC917506 NJY917506 NTU917506 ODQ917506 ONM917506 OXI917506 PHE917506 PRA917506 QAW917506 QKS917506 QUO917506 REK917506 ROG917506 RYC917506 SHY917506 SRU917506 TBQ917506 TLM917506 TVI917506 UFE917506 UPA917506 UYW917506 VIS917506 VSO917506 WCK917506 WMG917506 WWC917506 U983042 JQ983042 TM983042 ADI983042 ANE983042 AXA983042 BGW983042 BQS983042 CAO983042 CKK983042 CUG983042 DEC983042 DNY983042 DXU983042 EHQ983042 ERM983042 FBI983042 FLE983042 FVA983042 GEW983042 GOS983042 GYO983042 HIK983042 HSG983042 ICC983042 ILY983042 IVU983042 JFQ983042 JPM983042 JZI983042 KJE983042 KTA983042 LCW983042 LMS983042 LWO983042 MGK983042 MQG983042 NAC983042 NJY983042 NTU983042 ODQ983042 ONM983042 OXI983042 PHE983042 PRA983042 QAW983042 QKS983042 QUO983042 REK983042 ROG983042 RYC983042 SHY983042 SRU983042 TBQ983042 TLM983042 TVI983042 UFE983042 UPA983042 UYW983042 VIS983042 VSO983042 WCK983042 WMG983042 WWC983042" xr:uid="{4F26DA0F-928B-42E4-8033-35AC6C7C41CD}">
      <formula1>$BH$91:$BH$97</formula1>
    </dataValidation>
    <dataValidation type="list" allowBlank="1" showInputMessage="1" showErrorMessage="1" sqref="AQ21 KM21 UI21 AEE21 AOA21 AXW21 BHS21 BRO21 CBK21 CLG21 CVC21 DEY21 DOU21 DYQ21 EIM21 ESI21 FCE21 FMA21 FVW21 GFS21 GPO21 GZK21 HJG21 HTC21 ICY21 IMU21 IWQ21 JGM21 JQI21 KAE21 KKA21 KTW21 LDS21 LNO21 LXK21 MHG21 MRC21 NAY21 NKU21 NUQ21 OEM21 OOI21 OYE21 PIA21 PRW21 QBS21 QLO21 QVK21 RFG21 RPC21 RYY21 SIU21 SSQ21 TCM21 TMI21 TWE21 UGA21 UPW21 UZS21 VJO21 VTK21 WDG21 WNC21 WWY21 AQ65557 KM65557 UI65557 AEE65557 AOA65557 AXW65557 BHS65557 BRO65557 CBK65557 CLG65557 CVC65557 DEY65557 DOU65557 DYQ65557 EIM65557 ESI65557 FCE65557 FMA65557 FVW65557 GFS65557 GPO65557 GZK65557 HJG65557 HTC65557 ICY65557 IMU65557 IWQ65557 JGM65557 JQI65557 KAE65557 KKA65557 KTW65557 LDS65557 LNO65557 LXK65557 MHG65557 MRC65557 NAY65557 NKU65557 NUQ65557 OEM65557 OOI65557 OYE65557 PIA65557 PRW65557 QBS65557 QLO65557 QVK65557 RFG65557 RPC65557 RYY65557 SIU65557 SSQ65557 TCM65557 TMI65557 TWE65557 UGA65557 UPW65557 UZS65557 VJO65557 VTK65557 WDG65557 WNC65557 WWY65557 AQ131093 KM131093 UI131093 AEE131093 AOA131093 AXW131093 BHS131093 BRO131093 CBK131093 CLG131093 CVC131093 DEY131093 DOU131093 DYQ131093 EIM131093 ESI131093 FCE131093 FMA131093 FVW131093 GFS131093 GPO131093 GZK131093 HJG131093 HTC131093 ICY131093 IMU131093 IWQ131093 JGM131093 JQI131093 KAE131093 KKA131093 KTW131093 LDS131093 LNO131093 LXK131093 MHG131093 MRC131093 NAY131093 NKU131093 NUQ131093 OEM131093 OOI131093 OYE131093 PIA131093 PRW131093 QBS131093 QLO131093 QVK131093 RFG131093 RPC131093 RYY131093 SIU131093 SSQ131093 TCM131093 TMI131093 TWE131093 UGA131093 UPW131093 UZS131093 VJO131093 VTK131093 WDG131093 WNC131093 WWY131093 AQ196629 KM196629 UI196629 AEE196629 AOA196629 AXW196629 BHS196629 BRO196629 CBK196629 CLG196629 CVC196629 DEY196629 DOU196629 DYQ196629 EIM196629 ESI196629 FCE196629 FMA196629 FVW196629 GFS196629 GPO196629 GZK196629 HJG196629 HTC196629 ICY196629 IMU196629 IWQ196629 JGM196629 JQI196629 KAE196629 KKA196629 KTW196629 LDS196629 LNO196629 LXK196629 MHG196629 MRC196629 NAY196629 NKU196629 NUQ196629 OEM196629 OOI196629 OYE196629 PIA196629 PRW196629 QBS196629 QLO196629 QVK196629 RFG196629 RPC196629 RYY196629 SIU196629 SSQ196629 TCM196629 TMI196629 TWE196629 UGA196629 UPW196629 UZS196629 VJO196629 VTK196629 WDG196629 WNC196629 WWY196629 AQ262165 KM262165 UI262165 AEE262165 AOA262165 AXW262165 BHS262165 BRO262165 CBK262165 CLG262165 CVC262165 DEY262165 DOU262165 DYQ262165 EIM262165 ESI262165 FCE262165 FMA262165 FVW262165 GFS262165 GPO262165 GZK262165 HJG262165 HTC262165 ICY262165 IMU262165 IWQ262165 JGM262165 JQI262165 KAE262165 KKA262165 KTW262165 LDS262165 LNO262165 LXK262165 MHG262165 MRC262165 NAY262165 NKU262165 NUQ262165 OEM262165 OOI262165 OYE262165 PIA262165 PRW262165 QBS262165 QLO262165 QVK262165 RFG262165 RPC262165 RYY262165 SIU262165 SSQ262165 TCM262165 TMI262165 TWE262165 UGA262165 UPW262165 UZS262165 VJO262165 VTK262165 WDG262165 WNC262165 WWY262165 AQ327701 KM327701 UI327701 AEE327701 AOA327701 AXW327701 BHS327701 BRO327701 CBK327701 CLG327701 CVC327701 DEY327701 DOU327701 DYQ327701 EIM327701 ESI327701 FCE327701 FMA327701 FVW327701 GFS327701 GPO327701 GZK327701 HJG327701 HTC327701 ICY327701 IMU327701 IWQ327701 JGM327701 JQI327701 KAE327701 KKA327701 KTW327701 LDS327701 LNO327701 LXK327701 MHG327701 MRC327701 NAY327701 NKU327701 NUQ327701 OEM327701 OOI327701 OYE327701 PIA327701 PRW327701 QBS327701 QLO327701 QVK327701 RFG327701 RPC327701 RYY327701 SIU327701 SSQ327701 TCM327701 TMI327701 TWE327701 UGA327701 UPW327701 UZS327701 VJO327701 VTK327701 WDG327701 WNC327701 WWY327701 AQ393237 KM393237 UI393237 AEE393237 AOA393237 AXW393237 BHS393237 BRO393237 CBK393237 CLG393237 CVC393237 DEY393237 DOU393237 DYQ393237 EIM393237 ESI393237 FCE393237 FMA393237 FVW393237 GFS393237 GPO393237 GZK393237 HJG393237 HTC393237 ICY393237 IMU393237 IWQ393237 JGM393237 JQI393237 KAE393237 KKA393237 KTW393237 LDS393237 LNO393237 LXK393237 MHG393237 MRC393237 NAY393237 NKU393237 NUQ393237 OEM393237 OOI393237 OYE393237 PIA393237 PRW393237 QBS393237 QLO393237 QVK393237 RFG393237 RPC393237 RYY393237 SIU393237 SSQ393237 TCM393237 TMI393237 TWE393237 UGA393237 UPW393237 UZS393237 VJO393237 VTK393237 WDG393237 WNC393237 WWY393237 AQ458773 KM458773 UI458773 AEE458773 AOA458773 AXW458773 BHS458773 BRO458773 CBK458773 CLG458773 CVC458773 DEY458773 DOU458773 DYQ458773 EIM458773 ESI458773 FCE458773 FMA458773 FVW458773 GFS458773 GPO458773 GZK458773 HJG458773 HTC458773 ICY458773 IMU458773 IWQ458773 JGM458773 JQI458773 KAE458773 KKA458773 KTW458773 LDS458773 LNO458773 LXK458773 MHG458773 MRC458773 NAY458773 NKU458773 NUQ458773 OEM458773 OOI458773 OYE458773 PIA458773 PRW458773 QBS458773 QLO458773 QVK458773 RFG458773 RPC458773 RYY458773 SIU458773 SSQ458773 TCM458773 TMI458773 TWE458773 UGA458773 UPW458773 UZS458773 VJO458773 VTK458773 WDG458773 WNC458773 WWY458773 AQ524309 KM524309 UI524309 AEE524309 AOA524309 AXW524309 BHS524309 BRO524309 CBK524309 CLG524309 CVC524309 DEY524309 DOU524309 DYQ524309 EIM524309 ESI524309 FCE524309 FMA524309 FVW524309 GFS524309 GPO524309 GZK524309 HJG524309 HTC524309 ICY524309 IMU524309 IWQ524309 JGM524309 JQI524309 KAE524309 KKA524309 KTW524309 LDS524309 LNO524309 LXK524309 MHG524309 MRC524309 NAY524309 NKU524309 NUQ524309 OEM524309 OOI524309 OYE524309 PIA524309 PRW524309 QBS524309 QLO524309 QVK524309 RFG524309 RPC524309 RYY524309 SIU524309 SSQ524309 TCM524309 TMI524309 TWE524309 UGA524309 UPW524309 UZS524309 VJO524309 VTK524309 WDG524309 WNC524309 WWY524309 AQ589845 KM589845 UI589845 AEE589845 AOA589845 AXW589845 BHS589845 BRO589845 CBK589845 CLG589845 CVC589845 DEY589845 DOU589845 DYQ589845 EIM589845 ESI589845 FCE589845 FMA589845 FVW589845 GFS589845 GPO589845 GZK589845 HJG589845 HTC589845 ICY589845 IMU589845 IWQ589845 JGM589845 JQI589845 KAE589845 KKA589845 KTW589845 LDS589845 LNO589845 LXK589845 MHG589845 MRC589845 NAY589845 NKU589845 NUQ589845 OEM589845 OOI589845 OYE589845 PIA589845 PRW589845 QBS589845 QLO589845 QVK589845 RFG589845 RPC589845 RYY589845 SIU589845 SSQ589845 TCM589845 TMI589845 TWE589845 UGA589845 UPW589845 UZS589845 VJO589845 VTK589845 WDG589845 WNC589845 WWY589845 AQ655381 KM655381 UI655381 AEE655381 AOA655381 AXW655381 BHS655381 BRO655381 CBK655381 CLG655381 CVC655381 DEY655381 DOU655381 DYQ655381 EIM655381 ESI655381 FCE655381 FMA655381 FVW655381 GFS655381 GPO655381 GZK655381 HJG655381 HTC655381 ICY655381 IMU655381 IWQ655381 JGM655381 JQI655381 KAE655381 KKA655381 KTW655381 LDS655381 LNO655381 LXK655381 MHG655381 MRC655381 NAY655381 NKU655381 NUQ655381 OEM655381 OOI655381 OYE655381 PIA655381 PRW655381 QBS655381 QLO655381 QVK655381 RFG655381 RPC655381 RYY655381 SIU655381 SSQ655381 TCM655381 TMI655381 TWE655381 UGA655381 UPW655381 UZS655381 VJO655381 VTK655381 WDG655381 WNC655381 WWY655381 AQ720917 KM720917 UI720917 AEE720917 AOA720917 AXW720917 BHS720917 BRO720917 CBK720917 CLG720917 CVC720917 DEY720917 DOU720917 DYQ720917 EIM720917 ESI720917 FCE720917 FMA720917 FVW720917 GFS720917 GPO720917 GZK720917 HJG720917 HTC720917 ICY720917 IMU720917 IWQ720917 JGM720917 JQI720917 KAE720917 KKA720917 KTW720917 LDS720917 LNO720917 LXK720917 MHG720917 MRC720917 NAY720917 NKU720917 NUQ720917 OEM720917 OOI720917 OYE720917 PIA720917 PRW720917 QBS720917 QLO720917 QVK720917 RFG720917 RPC720917 RYY720917 SIU720917 SSQ720917 TCM720917 TMI720917 TWE720917 UGA720917 UPW720917 UZS720917 VJO720917 VTK720917 WDG720917 WNC720917 WWY720917 AQ786453 KM786453 UI786453 AEE786453 AOA786453 AXW786453 BHS786453 BRO786453 CBK786453 CLG786453 CVC786453 DEY786453 DOU786453 DYQ786453 EIM786453 ESI786453 FCE786453 FMA786453 FVW786453 GFS786453 GPO786453 GZK786453 HJG786453 HTC786453 ICY786453 IMU786453 IWQ786453 JGM786453 JQI786453 KAE786453 KKA786453 KTW786453 LDS786453 LNO786453 LXK786453 MHG786453 MRC786453 NAY786453 NKU786453 NUQ786453 OEM786453 OOI786453 OYE786453 PIA786453 PRW786453 QBS786453 QLO786453 QVK786453 RFG786453 RPC786453 RYY786453 SIU786453 SSQ786453 TCM786453 TMI786453 TWE786453 UGA786453 UPW786453 UZS786453 VJO786453 VTK786453 WDG786453 WNC786453 WWY786453 AQ851989 KM851989 UI851989 AEE851989 AOA851989 AXW851989 BHS851989 BRO851989 CBK851989 CLG851989 CVC851989 DEY851989 DOU851989 DYQ851989 EIM851989 ESI851989 FCE851989 FMA851989 FVW851989 GFS851989 GPO851989 GZK851989 HJG851989 HTC851989 ICY851989 IMU851989 IWQ851989 JGM851989 JQI851989 KAE851989 KKA851989 KTW851989 LDS851989 LNO851989 LXK851989 MHG851989 MRC851989 NAY851989 NKU851989 NUQ851989 OEM851989 OOI851989 OYE851989 PIA851989 PRW851989 QBS851989 QLO851989 QVK851989 RFG851989 RPC851989 RYY851989 SIU851989 SSQ851989 TCM851989 TMI851989 TWE851989 UGA851989 UPW851989 UZS851989 VJO851989 VTK851989 WDG851989 WNC851989 WWY851989 AQ917525 KM917525 UI917525 AEE917525 AOA917525 AXW917525 BHS917525 BRO917525 CBK917525 CLG917525 CVC917525 DEY917525 DOU917525 DYQ917525 EIM917525 ESI917525 FCE917525 FMA917525 FVW917525 GFS917525 GPO917525 GZK917525 HJG917525 HTC917525 ICY917525 IMU917525 IWQ917525 JGM917525 JQI917525 KAE917525 KKA917525 KTW917525 LDS917525 LNO917525 LXK917525 MHG917525 MRC917525 NAY917525 NKU917525 NUQ917525 OEM917525 OOI917525 OYE917525 PIA917525 PRW917525 QBS917525 QLO917525 QVK917525 RFG917525 RPC917525 RYY917525 SIU917525 SSQ917525 TCM917525 TMI917525 TWE917525 UGA917525 UPW917525 UZS917525 VJO917525 VTK917525 WDG917525 WNC917525 WWY917525 AQ983061 KM983061 UI983061 AEE983061 AOA983061 AXW983061 BHS983061 BRO983061 CBK983061 CLG983061 CVC983061 DEY983061 DOU983061 DYQ983061 EIM983061 ESI983061 FCE983061 FMA983061 FVW983061 GFS983061 GPO983061 GZK983061 HJG983061 HTC983061 ICY983061 IMU983061 IWQ983061 JGM983061 JQI983061 KAE983061 KKA983061 KTW983061 LDS983061 LNO983061 LXK983061 MHG983061 MRC983061 NAY983061 NKU983061 NUQ983061 OEM983061 OOI983061 OYE983061 PIA983061 PRW983061 QBS983061 QLO983061 QVK983061 RFG983061 RPC983061 RYY983061 SIU983061 SSQ983061 TCM983061 TMI983061 TWE983061 UGA983061 UPW983061 UZS983061 VJO983061 VTK983061 WDG983061 WNC983061 WWY983061" xr:uid="{30612106-E811-472C-B280-5AF4C9D2F001}">
      <formula1>$AJ$26:$AJ$26</formula1>
    </dataValidation>
    <dataValidation type="list" allowBlank="1" showInputMessage="1" showErrorMessage="1" sqref="BG67 LC67 UY67 AEU67 AOQ67 AYM67 BII67 BSE67 CCA67 CLW67 CVS67 DFO67 DPK67 DZG67 EJC67 ESY67 FCU67 FMQ67 FWM67 GGI67 GQE67 HAA67 HJW67 HTS67 IDO67 INK67 IXG67 JHC67 JQY67 KAU67 KKQ67 KUM67 LEI67 LOE67 LYA67 MHW67 MRS67 NBO67 NLK67 NVG67 OFC67 OOY67 OYU67 PIQ67 PSM67 QCI67 QME67 QWA67 RFW67 RPS67 RZO67 SJK67 STG67 TDC67 TMY67 TWU67 UGQ67 UQM67 VAI67 VKE67 VUA67 WDW67 WNS67 WXO67 BG65603 LC65603 UY65603 AEU65603 AOQ65603 AYM65603 BII65603 BSE65603 CCA65603 CLW65603 CVS65603 DFO65603 DPK65603 DZG65603 EJC65603 ESY65603 FCU65603 FMQ65603 FWM65603 GGI65603 GQE65603 HAA65603 HJW65603 HTS65603 IDO65603 INK65603 IXG65603 JHC65603 JQY65603 KAU65603 KKQ65603 KUM65603 LEI65603 LOE65603 LYA65603 MHW65603 MRS65603 NBO65603 NLK65603 NVG65603 OFC65603 OOY65603 OYU65603 PIQ65603 PSM65603 QCI65603 QME65603 QWA65603 RFW65603 RPS65603 RZO65603 SJK65603 STG65603 TDC65603 TMY65603 TWU65603 UGQ65603 UQM65603 VAI65603 VKE65603 VUA65603 WDW65603 WNS65603 WXO65603 BG131139 LC131139 UY131139 AEU131139 AOQ131139 AYM131139 BII131139 BSE131139 CCA131139 CLW131139 CVS131139 DFO131139 DPK131139 DZG131139 EJC131139 ESY131139 FCU131139 FMQ131139 FWM131139 GGI131139 GQE131139 HAA131139 HJW131139 HTS131139 IDO131139 INK131139 IXG131139 JHC131139 JQY131139 KAU131139 KKQ131139 KUM131139 LEI131139 LOE131139 LYA131139 MHW131139 MRS131139 NBO131139 NLK131139 NVG131139 OFC131139 OOY131139 OYU131139 PIQ131139 PSM131139 QCI131139 QME131139 QWA131139 RFW131139 RPS131139 RZO131139 SJK131139 STG131139 TDC131139 TMY131139 TWU131139 UGQ131139 UQM131139 VAI131139 VKE131139 VUA131139 WDW131139 WNS131139 WXO131139 BG196675 LC196675 UY196675 AEU196675 AOQ196675 AYM196675 BII196675 BSE196675 CCA196675 CLW196675 CVS196675 DFO196675 DPK196675 DZG196675 EJC196675 ESY196675 FCU196675 FMQ196675 FWM196675 GGI196675 GQE196675 HAA196675 HJW196675 HTS196675 IDO196675 INK196675 IXG196675 JHC196675 JQY196675 KAU196675 KKQ196675 KUM196675 LEI196675 LOE196675 LYA196675 MHW196675 MRS196675 NBO196675 NLK196675 NVG196675 OFC196675 OOY196675 OYU196675 PIQ196675 PSM196675 QCI196675 QME196675 QWA196675 RFW196675 RPS196675 RZO196675 SJK196675 STG196675 TDC196675 TMY196675 TWU196675 UGQ196675 UQM196675 VAI196675 VKE196675 VUA196675 WDW196675 WNS196675 WXO196675 BG262211 LC262211 UY262211 AEU262211 AOQ262211 AYM262211 BII262211 BSE262211 CCA262211 CLW262211 CVS262211 DFO262211 DPK262211 DZG262211 EJC262211 ESY262211 FCU262211 FMQ262211 FWM262211 GGI262211 GQE262211 HAA262211 HJW262211 HTS262211 IDO262211 INK262211 IXG262211 JHC262211 JQY262211 KAU262211 KKQ262211 KUM262211 LEI262211 LOE262211 LYA262211 MHW262211 MRS262211 NBO262211 NLK262211 NVG262211 OFC262211 OOY262211 OYU262211 PIQ262211 PSM262211 QCI262211 QME262211 QWA262211 RFW262211 RPS262211 RZO262211 SJK262211 STG262211 TDC262211 TMY262211 TWU262211 UGQ262211 UQM262211 VAI262211 VKE262211 VUA262211 WDW262211 WNS262211 WXO262211 BG327747 LC327747 UY327747 AEU327747 AOQ327747 AYM327747 BII327747 BSE327747 CCA327747 CLW327747 CVS327747 DFO327747 DPK327747 DZG327747 EJC327747 ESY327747 FCU327747 FMQ327747 FWM327747 GGI327747 GQE327747 HAA327747 HJW327747 HTS327747 IDO327747 INK327747 IXG327747 JHC327747 JQY327747 KAU327747 KKQ327747 KUM327747 LEI327747 LOE327747 LYA327747 MHW327747 MRS327747 NBO327747 NLK327747 NVG327747 OFC327747 OOY327747 OYU327747 PIQ327747 PSM327747 QCI327747 QME327747 QWA327747 RFW327747 RPS327747 RZO327747 SJK327747 STG327747 TDC327747 TMY327747 TWU327747 UGQ327747 UQM327747 VAI327747 VKE327747 VUA327747 WDW327747 WNS327747 WXO327747 BG393283 LC393283 UY393283 AEU393283 AOQ393283 AYM393283 BII393283 BSE393283 CCA393283 CLW393283 CVS393283 DFO393283 DPK393283 DZG393283 EJC393283 ESY393283 FCU393283 FMQ393283 FWM393283 GGI393283 GQE393283 HAA393283 HJW393283 HTS393283 IDO393283 INK393283 IXG393283 JHC393283 JQY393283 KAU393283 KKQ393283 KUM393283 LEI393283 LOE393283 LYA393283 MHW393283 MRS393283 NBO393283 NLK393283 NVG393283 OFC393283 OOY393283 OYU393283 PIQ393283 PSM393283 QCI393283 QME393283 QWA393283 RFW393283 RPS393283 RZO393283 SJK393283 STG393283 TDC393283 TMY393283 TWU393283 UGQ393283 UQM393283 VAI393283 VKE393283 VUA393283 WDW393283 WNS393283 WXO393283 BG458819 LC458819 UY458819 AEU458819 AOQ458819 AYM458819 BII458819 BSE458819 CCA458819 CLW458819 CVS458819 DFO458819 DPK458819 DZG458819 EJC458819 ESY458819 FCU458819 FMQ458819 FWM458819 GGI458819 GQE458819 HAA458819 HJW458819 HTS458819 IDO458819 INK458819 IXG458819 JHC458819 JQY458819 KAU458819 KKQ458819 KUM458819 LEI458819 LOE458819 LYA458819 MHW458819 MRS458819 NBO458819 NLK458819 NVG458819 OFC458819 OOY458819 OYU458819 PIQ458819 PSM458819 QCI458819 QME458819 QWA458819 RFW458819 RPS458819 RZO458819 SJK458819 STG458819 TDC458819 TMY458819 TWU458819 UGQ458819 UQM458819 VAI458819 VKE458819 VUA458819 WDW458819 WNS458819 WXO458819 BG524355 LC524355 UY524355 AEU524355 AOQ524355 AYM524355 BII524355 BSE524355 CCA524355 CLW524355 CVS524355 DFO524355 DPK524355 DZG524355 EJC524355 ESY524355 FCU524355 FMQ524355 FWM524355 GGI524355 GQE524355 HAA524355 HJW524355 HTS524355 IDO524355 INK524355 IXG524355 JHC524355 JQY524355 KAU524355 KKQ524355 KUM524355 LEI524355 LOE524355 LYA524355 MHW524355 MRS524355 NBO524355 NLK524355 NVG524355 OFC524355 OOY524355 OYU524355 PIQ524355 PSM524355 QCI524355 QME524355 QWA524355 RFW524355 RPS524355 RZO524355 SJK524355 STG524355 TDC524355 TMY524355 TWU524355 UGQ524355 UQM524355 VAI524355 VKE524355 VUA524355 WDW524355 WNS524355 WXO524355 BG589891 LC589891 UY589891 AEU589891 AOQ589891 AYM589891 BII589891 BSE589891 CCA589891 CLW589891 CVS589891 DFO589891 DPK589891 DZG589891 EJC589891 ESY589891 FCU589891 FMQ589891 FWM589891 GGI589891 GQE589891 HAA589891 HJW589891 HTS589891 IDO589891 INK589891 IXG589891 JHC589891 JQY589891 KAU589891 KKQ589891 KUM589891 LEI589891 LOE589891 LYA589891 MHW589891 MRS589891 NBO589891 NLK589891 NVG589891 OFC589891 OOY589891 OYU589891 PIQ589891 PSM589891 QCI589891 QME589891 QWA589891 RFW589891 RPS589891 RZO589891 SJK589891 STG589891 TDC589891 TMY589891 TWU589891 UGQ589891 UQM589891 VAI589891 VKE589891 VUA589891 WDW589891 WNS589891 WXO589891 BG655427 LC655427 UY655427 AEU655427 AOQ655427 AYM655427 BII655427 BSE655427 CCA655427 CLW655427 CVS655427 DFO655427 DPK655427 DZG655427 EJC655427 ESY655427 FCU655427 FMQ655427 FWM655427 GGI655427 GQE655427 HAA655427 HJW655427 HTS655427 IDO655427 INK655427 IXG655427 JHC655427 JQY655427 KAU655427 KKQ655427 KUM655427 LEI655427 LOE655427 LYA655427 MHW655427 MRS655427 NBO655427 NLK655427 NVG655427 OFC655427 OOY655427 OYU655427 PIQ655427 PSM655427 QCI655427 QME655427 QWA655427 RFW655427 RPS655427 RZO655427 SJK655427 STG655427 TDC655427 TMY655427 TWU655427 UGQ655427 UQM655427 VAI655427 VKE655427 VUA655427 WDW655427 WNS655427 WXO655427 BG720963 LC720963 UY720963 AEU720963 AOQ720963 AYM720963 BII720963 BSE720963 CCA720963 CLW720963 CVS720963 DFO720963 DPK720963 DZG720963 EJC720963 ESY720963 FCU720963 FMQ720963 FWM720963 GGI720963 GQE720963 HAA720963 HJW720963 HTS720963 IDO720963 INK720963 IXG720963 JHC720963 JQY720963 KAU720963 KKQ720963 KUM720963 LEI720963 LOE720963 LYA720963 MHW720963 MRS720963 NBO720963 NLK720963 NVG720963 OFC720963 OOY720963 OYU720963 PIQ720963 PSM720963 QCI720963 QME720963 QWA720963 RFW720963 RPS720963 RZO720963 SJK720963 STG720963 TDC720963 TMY720963 TWU720963 UGQ720963 UQM720963 VAI720963 VKE720963 VUA720963 WDW720963 WNS720963 WXO720963 BG786499 LC786499 UY786499 AEU786499 AOQ786499 AYM786499 BII786499 BSE786499 CCA786499 CLW786499 CVS786499 DFO786499 DPK786499 DZG786499 EJC786499 ESY786499 FCU786499 FMQ786499 FWM786499 GGI786499 GQE786499 HAA786499 HJW786499 HTS786499 IDO786499 INK786499 IXG786499 JHC786499 JQY786499 KAU786499 KKQ786499 KUM786499 LEI786499 LOE786499 LYA786499 MHW786499 MRS786499 NBO786499 NLK786499 NVG786499 OFC786499 OOY786499 OYU786499 PIQ786499 PSM786499 QCI786499 QME786499 QWA786499 RFW786499 RPS786499 RZO786499 SJK786499 STG786499 TDC786499 TMY786499 TWU786499 UGQ786499 UQM786499 VAI786499 VKE786499 VUA786499 WDW786499 WNS786499 WXO786499 BG852035 LC852035 UY852035 AEU852035 AOQ852035 AYM852035 BII852035 BSE852035 CCA852035 CLW852035 CVS852035 DFO852035 DPK852035 DZG852035 EJC852035 ESY852035 FCU852035 FMQ852035 FWM852035 GGI852035 GQE852035 HAA852035 HJW852035 HTS852035 IDO852035 INK852035 IXG852035 JHC852035 JQY852035 KAU852035 KKQ852035 KUM852035 LEI852035 LOE852035 LYA852035 MHW852035 MRS852035 NBO852035 NLK852035 NVG852035 OFC852035 OOY852035 OYU852035 PIQ852035 PSM852035 QCI852035 QME852035 QWA852035 RFW852035 RPS852035 RZO852035 SJK852035 STG852035 TDC852035 TMY852035 TWU852035 UGQ852035 UQM852035 VAI852035 VKE852035 VUA852035 WDW852035 WNS852035 WXO852035 BG917571 LC917571 UY917571 AEU917571 AOQ917571 AYM917571 BII917571 BSE917571 CCA917571 CLW917571 CVS917571 DFO917571 DPK917571 DZG917571 EJC917571 ESY917571 FCU917571 FMQ917571 FWM917571 GGI917571 GQE917571 HAA917571 HJW917571 HTS917571 IDO917571 INK917571 IXG917571 JHC917571 JQY917571 KAU917571 KKQ917571 KUM917571 LEI917571 LOE917571 LYA917571 MHW917571 MRS917571 NBO917571 NLK917571 NVG917571 OFC917571 OOY917571 OYU917571 PIQ917571 PSM917571 QCI917571 QME917571 QWA917571 RFW917571 RPS917571 RZO917571 SJK917571 STG917571 TDC917571 TMY917571 TWU917571 UGQ917571 UQM917571 VAI917571 VKE917571 VUA917571 WDW917571 WNS917571 WXO917571 BG983107 LC983107 UY983107 AEU983107 AOQ983107 AYM983107 BII983107 BSE983107 CCA983107 CLW983107 CVS983107 DFO983107 DPK983107 DZG983107 EJC983107 ESY983107 FCU983107 FMQ983107 FWM983107 GGI983107 GQE983107 HAA983107 HJW983107 HTS983107 IDO983107 INK983107 IXG983107 JHC983107 JQY983107 KAU983107 KKQ983107 KUM983107 LEI983107 LOE983107 LYA983107 MHW983107 MRS983107 NBO983107 NLK983107 NVG983107 OFC983107 OOY983107 OYU983107 PIQ983107 PSM983107 QCI983107 QME983107 QWA983107 RFW983107 RPS983107 RZO983107 SJK983107 STG983107 TDC983107 TMY983107 TWU983107 UGQ983107 UQM983107 VAI983107 VKE983107 VUA983107 WDW983107 WNS983107 WXO983107" xr:uid="{8E63B912-BC92-440B-86C9-171846460CE3}">
      <formula1>$AE$3:$AE$10</formula1>
    </dataValidation>
    <dataValidation type="list" allowBlank="1" showInputMessage="1" showErrorMessage="1" sqref="BG65 LC65 UY65 AEU65 AOQ65 AYM65 BII65 BSE65 CCA65 CLW65 CVS65 DFO65 DPK65 DZG65 EJC65 ESY65 FCU65 FMQ65 FWM65 GGI65 GQE65 HAA65 HJW65 HTS65 IDO65 INK65 IXG65 JHC65 JQY65 KAU65 KKQ65 KUM65 LEI65 LOE65 LYA65 MHW65 MRS65 NBO65 NLK65 NVG65 OFC65 OOY65 OYU65 PIQ65 PSM65 QCI65 QME65 QWA65 RFW65 RPS65 RZO65 SJK65 STG65 TDC65 TMY65 TWU65 UGQ65 UQM65 VAI65 VKE65 VUA65 WDW65 WNS65 WXO65 BG65601 LC65601 UY65601 AEU65601 AOQ65601 AYM65601 BII65601 BSE65601 CCA65601 CLW65601 CVS65601 DFO65601 DPK65601 DZG65601 EJC65601 ESY65601 FCU65601 FMQ65601 FWM65601 GGI65601 GQE65601 HAA65601 HJW65601 HTS65601 IDO65601 INK65601 IXG65601 JHC65601 JQY65601 KAU65601 KKQ65601 KUM65601 LEI65601 LOE65601 LYA65601 MHW65601 MRS65601 NBO65601 NLK65601 NVG65601 OFC65601 OOY65601 OYU65601 PIQ65601 PSM65601 QCI65601 QME65601 QWA65601 RFW65601 RPS65601 RZO65601 SJK65601 STG65601 TDC65601 TMY65601 TWU65601 UGQ65601 UQM65601 VAI65601 VKE65601 VUA65601 WDW65601 WNS65601 WXO65601 BG131137 LC131137 UY131137 AEU131137 AOQ131137 AYM131137 BII131137 BSE131137 CCA131137 CLW131137 CVS131137 DFO131137 DPK131137 DZG131137 EJC131137 ESY131137 FCU131137 FMQ131137 FWM131137 GGI131137 GQE131137 HAA131137 HJW131137 HTS131137 IDO131137 INK131137 IXG131137 JHC131137 JQY131137 KAU131137 KKQ131137 KUM131137 LEI131137 LOE131137 LYA131137 MHW131137 MRS131137 NBO131137 NLK131137 NVG131137 OFC131137 OOY131137 OYU131137 PIQ131137 PSM131137 QCI131137 QME131137 QWA131137 RFW131137 RPS131137 RZO131137 SJK131137 STG131137 TDC131137 TMY131137 TWU131137 UGQ131137 UQM131137 VAI131137 VKE131137 VUA131137 WDW131137 WNS131137 WXO131137 BG196673 LC196673 UY196673 AEU196673 AOQ196673 AYM196673 BII196673 BSE196673 CCA196673 CLW196673 CVS196673 DFO196673 DPK196673 DZG196673 EJC196673 ESY196673 FCU196673 FMQ196673 FWM196673 GGI196673 GQE196673 HAA196673 HJW196673 HTS196673 IDO196673 INK196673 IXG196673 JHC196673 JQY196673 KAU196673 KKQ196673 KUM196673 LEI196673 LOE196673 LYA196673 MHW196673 MRS196673 NBO196673 NLK196673 NVG196673 OFC196673 OOY196673 OYU196673 PIQ196673 PSM196673 QCI196673 QME196673 QWA196673 RFW196673 RPS196673 RZO196673 SJK196673 STG196673 TDC196673 TMY196673 TWU196673 UGQ196673 UQM196673 VAI196673 VKE196673 VUA196673 WDW196673 WNS196673 WXO196673 BG262209 LC262209 UY262209 AEU262209 AOQ262209 AYM262209 BII262209 BSE262209 CCA262209 CLW262209 CVS262209 DFO262209 DPK262209 DZG262209 EJC262209 ESY262209 FCU262209 FMQ262209 FWM262209 GGI262209 GQE262209 HAA262209 HJW262209 HTS262209 IDO262209 INK262209 IXG262209 JHC262209 JQY262209 KAU262209 KKQ262209 KUM262209 LEI262209 LOE262209 LYA262209 MHW262209 MRS262209 NBO262209 NLK262209 NVG262209 OFC262209 OOY262209 OYU262209 PIQ262209 PSM262209 QCI262209 QME262209 QWA262209 RFW262209 RPS262209 RZO262209 SJK262209 STG262209 TDC262209 TMY262209 TWU262209 UGQ262209 UQM262209 VAI262209 VKE262209 VUA262209 WDW262209 WNS262209 WXO262209 BG327745 LC327745 UY327745 AEU327745 AOQ327745 AYM327745 BII327745 BSE327745 CCA327745 CLW327745 CVS327745 DFO327745 DPK327745 DZG327745 EJC327745 ESY327745 FCU327745 FMQ327745 FWM327745 GGI327745 GQE327745 HAA327745 HJW327745 HTS327745 IDO327745 INK327745 IXG327745 JHC327745 JQY327745 KAU327745 KKQ327745 KUM327745 LEI327745 LOE327745 LYA327745 MHW327745 MRS327745 NBO327745 NLK327745 NVG327745 OFC327745 OOY327745 OYU327745 PIQ327745 PSM327745 QCI327745 QME327745 QWA327745 RFW327745 RPS327745 RZO327745 SJK327745 STG327745 TDC327745 TMY327745 TWU327745 UGQ327745 UQM327745 VAI327745 VKE327745 VUA327745 WDW327745 WNS327745 WXO327745 BG393281 LC393281 UY393281 AEU393281 AOQ393281 AYM393281 BII393281 BSE393281 CCA393281 CLW393281 CVS393281 DFO393281 DPK393281 DZG393281 EJC393281 ESY393281 FCU393281 FMQ393281 FWM393281 GGI393281 GQE393281 HAA393281 HJW393281 HTS393281 IDO393281 INK393281 IXG393281 JHC393281 JQY393281 KAU393281 KKQ393281 KUM393281 LEI393281 LOE393281 LYA393281 MHW393281 MRS393281 NBO393281 NLK393281 NVG393281 OFC393281 OOY393281 OYU393281 PIQ393281 PSM393281 QCI393281 QME393281 QWA393281 RFW393281 RPS393281 RZO393281 SJK393281 STG393281 TDC393281 TMY393281 TWU393281 UGQ393281 UQM393281 VAI393281 VKE393281 VUA393281 WDW393281 WNS393281 WXO393281 BG458817 LC458817 UY458817 AEU458817 AOQ458817 AYM458817 BII458817 BSE458817 CCA458817 CLW458817 CVS458817 DFO458817 DPK458817 DZG458817 EJC458817 ESY458817 FCU458817 FMQ458817 FWM458817 GGI458817 GQE458817 HAA458817 HJW458817 HTS458817 IDO458817 INK458817 IXG458817 JHC458817 JQY458817 KAU458817 KKQ458817 KUM458817 LEI458817 LOE458817 LYA458817 MHW458817 MRS458817 NBO458817 NLK458817 NVG458817 OFC458817 OOY458817 OYU458817 PIQ458817 PSM458817 QCI458817 QME458817 QWA458817 RFW458817 RPS458817 RZO458817 SJK458817 STG458817 TDC458817 TMY458817 TWU458817 UGQ458817 UQM458817 VAI458817 VKE458817 VUA458817 WDW458817 WNS458817 WXO458817 BG524353 LC524353 UY524353 AEU524353 AOQ524353 AYM524353 BII524353 BSE524353 CCA524353 CLW524353 CVS524353 DFO524353 DPK524353 DZG524353 EJC524353 ESY524353 FCU524353 FMQ524353 FWM524353 GGI524353 GQE524353 HAA524353 HJW524353 HTS524353 IDO524353 INK524353 IXG524353 JHC524353 JQY524353 KAU524353 KKQ524353 KUM524353 LEI524353 LOE524353 LYA524353 MHW524353 MRS524353 NBO524353 NLK524353 NVG524353 OFC524353 OOY524353 OYU524353 PIQ524353 PSM524353 QCI524353 QME524353 QWA524353 RFW524353 RPS524353 RZO524353 SJK524353 STG524353 TDC524353 TMY524353 TWU524353 UGQ524353 UQM524353 VAI524353 VKE524353 VUA524353 WDW524353 WNS524353 WXO524353 BG589889 LC589889 UY589889 AEU589889 AOQ589889 AYM589889 BII589889 BSE589889 CCA589889 CLW589889 CVS589889 DFO589889 DPK589889 DZG589889 EJC589889 ESY589889 FCU589889 FMQ589889 FWM589889 GGI589889 GQE589889 HAA589889 HJW589889 HTS589889 IDO589889 INK589889 IXG589889 JHC589889 JQY589889 KAU589889 KKQ589889 KUM589889 LEI589889 LOE589889 LYA589889 MHW589889 MRS589889 NBO589889 NLK589889 NVG589889 OFC589889 OOY589889 OYU589889 PIQ589889 PSM589889 QCI589889 QME589889 QWA589889 RFW589889 RPS589889 RZO589889 SJK589889 STG589889 TDC589889 TMY589889 TWU589889 UGQ589889 UQM589889 VAI589889 VKE589889 VUA589889 WDW589889 WNS589889 WXO589889 BG655425 LC655425 UY655425 AEU655425 AOQ655425 AYM655425 BII655425 BSE655425 CCA655425 CLW655425 CVS655425 DFO655425 DPK655425 DZG655425 EJC655425 ESY655425 FCU655425 FMQ655425 FWM655425 GGI655425 GQE655425 HAA655425 HJW655425 HTS655425 IDO655425 INK655425 IXG655425 JHC655425 JQY655425 KAU655425 KKQ655425 KUM655425 LEI655425 LOE655425 LYA655425 MHW655425 MRS655425 NBO655425 NLK655425 NVG655425 OFC655425 OOY655425 OYU655425 PIQ655425 PSM655425 QCI655425 QME655425 QWA655425 RFW655425 RPS655425 RZO655425 SJK655425 STG655425 TDC655425 TMY655425 TWU655425 UGQ655425 UQM655425 VAI655425 VKE655425 VUA655425 WDW655425 WNS655425 WXO655425 BG720961 LC720961 UY720961 AEU720961 AOQ720961 AYM720961 BII720961 BSE720961 CCA720961 CLW720961 CVS720961 DFO720961 DPK720961 DZG720961 EJC720961 ESY720961 FCU720961 FMQ720961 FWM720961 GGI720961 GQE720961 HAA720961 HJW720961 HTS720961 IDO720961 INK720961 IXG720961 JHC720961 JQY720961 KAU720961 KKQ720961 KUM720961 LEI720961 LOE720961 LYA720961 MHW720961 MRS720961 NBO720961 NLK720961 NVG720961 OFC720961 OOY720961 OYU720961 PIQ720961 PSM720961 QCI720961 QME720961 QWA720961 RFW720961 RPS720961 RZO720961 SJK720961 STG720961 TDC720961 TMY720961 TWU720961 UGQ720961 UQM720961 VAI720961 VKE720961 VUA720961 WDW720961 WNS720961 WXO720961 BG786497 LC786497 UY786497 AEU786497 AOQ786497 AYM786497 BII786497 BSE786497 CCA786497 CLW786497 CVS786497 DFO786497 DPK786497 DZG786497 EJC786497 ESY786497 FCU786497 FMQ786497 FWM786497 GGI786497 GQE786497 HAA786497 HJW786497 HTS786497 IDO786497 INK786497 IXG786497 JHC786497 JQY786497 KAU786497 KKQ786497 KUM786497 LEI786497 LOE786497 LYA786497 MHW786497 MRS786497 NBO786497 NLK786497 NVG786497 OFC786497 OOY786497 OYU786497 PIQ786497 PSM786497 QCI786497 QME786497 QWA786497 RFW786497 RPS786497 RZO786497 SJK786497 STG786497 TDC786497 TMY786497 TWU786497 UGQ786497 UQM786497 VAI786497 VKE786497 VUA786497 WDW786497 WNS786497 WXO786497 BG852033 LC852033 UY852033 AEU852033 AOQ852033 AYM852033 BII852033 BSE852033 CCA852033 CLW852033 CVS852033 DFO852033 DPK852033 DZG852033 EJC852033 ESY852033 FCU852033 FMQ852033 FWM852033 GGI852033 GQE852033 HAA852033 HJW852033 HTS852033 IDO852033 INK852033 IXG852033 JHC852033 JQY852033 KAU852033 KKQ852033 KUM852033 LEI852033 LOE852033 LYA852033 MHW852033 MRS852033 NBO852033 NLK852033 NVG852033 OFC852033 OOY852033 OYU852033 PIQ852033 PSM852033 QCI852033 QME852033 QWA852033 RFW852033 RPS852033 RZO852033 SJK852033 STG852033 TDC852033 TMY852033 TWU852033 UGQ852033 UQM852033 VAI852033 VKE852033 VUA852033 WDW852033 WNS852033 WXO852033 BG917569 LC917569 UY917569 AEU917569 AOQ917569 AYM917569 BII917569 BSE917569 CCA917569 CLW917569 CVS917569 DFO917569 DPK917569 DZG917569 EJC917569 ESY917569 FCU917569 FMQ917569 FWM917569 GGI917569 GQE917569 HAA917569 HJW917569 HTS917569 IDO917569 INK917569 IXG917569 JHC917569 JQY917569 KAU917569 KKQ917569 KUM917569 LEI917569 LOE917569 LYA917569 MHW917569 MRS917569 NBO917569 NLK917569 NVG917569 OFC917569 OOY917569 OYU917569 PIQ917569 PSM917569 QCI917569 QME917569 QWA917569 RFW917569 RPS917569 RZO917569 SJK917569 STG917569 TDC917569 TMY917569 TWU917569 UGQ917569 UQM917569 VAI917569 VKE917569 VUA917569 WDW917569 WNS917569 WXO917569 BG983105 LC983105 UY983105 AEU983105 AOQ983105 AYM983105 BII983105 BSE983105 CCA983105 CLW983105 CVS983105 DFO983105 DPK983105 DZG983105 EJC983105 ESY983105 FCU983105 FMQ983105 FWM983105 GGI983105 GQE983105 HAA983105 HJW983105 HTS983105 IDO983105 INK983105 IXG983105 JHC983105 JQY983105 KAU983105 KKQ983105 KUM983105 LEI983105 LOE983105 LYA983105 MHW983105 MRS983105 NBO983105 NLK983105 NVG983105 OFC983105 OOY983105 OYU983105 PIQ983105 PSM983105 QCI983105 QME983105 QWA983105 RFW983105 RPS983105 RZO983105 SJK983105 STG983105 TDC983105 TMY983105 TWU983105 UGQ983105 UQM983105 VAI983105 VKE983105 VUA983105 WDW983105 WNS983105 WXO983105" xr:uid="{9EA6BC8A-EDAC-4246-AAF7-92515EDD0C80}">
      <formula1>$X$6:$X$9</formula1>
    </dataValidation>
    <dataValidation type="list" allowBlank="1" showInputMessage="1" showErrorMessage="1" sqref="BG59 LC59 UY59 AEU59 AOQ59 AYM59 BII59 BSE59 CCA59 CLW59 CVS59 DFO59 DPK59 DZG59 EJC59 ESY59 FCU59 FMQ59 FWM59 GGI59 GQE59 HAA59 HJW59 HTS59 IDO59 INK59 IXG59 JHC59 JQY59 KAU59 KKQ59 KUM59 LEI59 LOE59 LYA59 MHW59 MRS59 NBO59 NLK59 NVG59 OFC59 OOY59 OYU59 PIQ59 PSM59 QCI59 QME59 QWA59 RFW59 RPS59 RZO59 SJK59 STG59 TDC59 TMY59 TWU59 UGQ59 UQM59 VAI59 VKE59 VUA59 WDW59 WNS59 WXO59 BG65595 LC65595 UY65595 AEU65595 AOQ65595 AYM65595 BII65595 BSE65595 CCA65595 CLW65595 CVS65595 DFO65595 DPK65595 DZG65595 EJC65595 ESY65595 FCU65595 FMQ65595 FWM65595 GGI65595 GQE65595 HAA65595 HJW65595 HTS65595 IDO65595 INK65595 IXG65595 JHC65595 JQY65595 KAU65595 KKQ65595 KUM65595 LEI65595 LOE65595 LYA65595 MHW65595 MRS65595 NBO65595 NLK65595 NVG65595 OFC65595 OOY65595 OYU65595 PIQ65595 PSM65595 QCI65595 QME65595 QWA65595 RFW65595 RPS65595 RZO65595 SJK65595 STG65595 TDC65595 TMY65595 TWU65595 UGQ65595 UQM65595 VAI65595 VKE65595 VUA65595 WDW65595 WNS65595 WXO65595 BG131131 LC131131 UY131131 AEU131131 AOQ131131 AYM131131 BII131131 BSE131131 CCA131131 CLW131131 CVS131131 DFO131131 DPK131131 DZG131131 EJC131131 ESY131131 FCU131131 FMQ131131 FWM131131 GGI131131 GQE131131 HAA131131 HJW131131 HTS131131 IDO131131 INK131131 IXG131131 JHC131131 JQY131131 KAU131131 KKQ131131 KUM131131 LEI131131 LOE131131 LYA131131 MHW131131 MRS131131 NBO131131 NLK131131 NVG131131 OFC131131 OOY131131 OYU131131 PIQ131131 PSM131131 QCI131131 QME131131 QWA131131 RFW131131 RPS131131 RZO131131 SJK131131 STG131131 TDC131131 TMY131131 TWU131131 UGQ131131 UQM131131 VAI131131 VKE131131 VUA131131 WDW131131 WNS131131 WXO131131 BG196667 LC196667 UY196667 AEU196667 AOQ196667 AYM196667 BII196667 BSE196667 CCA196667 CLW196667 CVS196667 DFO196667 DPK196667 DZG196667 EJC196667 ESY196667 FCU196667 FMQ196667 FWM196667 GGI196667 GQE196667 HAA196667 HJW196667 HTS196667 IDO196667 INK196667 IXG196667 JHC196667 JQY196667 KAU196667 KKQ196667 KUM196667 LEI196667 LOE196667 LYA196667 MHW196667 MRS196667 NBO196667 NLK196667 NVG196667 OFC196667 OOY196667 OYU196667 PIQ196667 PSM196667 QCI196667 QME196667 QWA196667 RFW196667 RPS196667 RZO196667 SJK196667 STG196667 TDC196667 TMY196667 TWU196667 UGQ196667 UQM196667 VAI196667 VKE196667 VUA196667 WDW196667 WNS196667 WXO196667 BG262203 LC262203 UY262203 AEU262203 AOQ262203 AYM262203 BII262203 BSE262203 CCA262203 CLW262203 CVS262203 DFO262203 DPK262203 DZG262203 EJC262203 ESY262203 FCU262203 FMQ262203 FWM262203 GGI262203 GQE262203 HAA262203 HJW262203 HTS262203 IDO262203 INK262203 IXG262203 JHC262203 JQY262203 KAU262203 KKQ262203 KUM262203 LEI262203 LOE262203 LYA262203 MHW262203 MRS262203 NBO262203 NLK262203 NVG262203 OFC262203 OOY262203 OYU262203 PIQ262203 PSM262203 QCI262203 QME262203 QWA262203 RFW262203 RPS262203 RZO262203 SJK262203 STG262203 TDC262203 TMY262203 TWU262203 UGQ262203 UQM262203 VAI262203 VKE262203 VUA262203 WDW262203 WNS262203 WXO262203 BG327739 LC327739 UY327739 AEU327739 AOQ327739 AYM327739 BII327739 BSE327739 CCA327739 CLW327739 CVS327739 DFO327739 DPK327739 DZG327739 EJC327739 ESY327739 FCU327739 FMQ327739 FWM327739 GGI327739 GQE327739 HAA327739 HJW327739 HTS327739 IDO327739 INK327739 IXG327739 JHC327739 JQY327739 KAU327739 KKQ327739 KUM327739 LEI327739 LOE327739 LYA327739 MHW327739 MRS327739 NBO327739 NLK327739 NVG327739 OFC327739 OOY327739 OYU327739 PIQ327739 PSM327739 QCI327739 QME327739 QWA327739 RFW327739 RPS327739 RZO327739 SJK327739 STG327739 TDC327739 TMY327739 TWU327739 UGQ327739 UQM327739 VAI327739 VKE327739 VUA327739 WDW327739 WNS327739 WXO327739 BG393275 LC393275 UY393275 AEU393275 AOQ393275 AYM393275 BII393275 BSE393275 CCA393275 CLW393275 CVS393275 DFO393275 DPK393275 DZG393275 EJC393275 ESY393275 FCU393275 FMQ393275 FWM393275 GGI393275 GQE393275 HAA393275 HJW393275 HTS393275 IDO393275 INK393275 IXG393275 JHC393275 JQY393275 KAU393275 KKQ393275 KUM393275 LEI393275 LOE393275 LYA393275 MHW393275 MRS393275 NBO393275 NLK393275 NVG393275 OFC393275 OOY393275 OYU393275 PIQ393275 PSM393275 QCI393275 QME393275 QWA393275 RFW393275 RPS393275 RZO393275 SJK393275 STG393275 TDC393275 TMY393275 TWU393275 UGQ393275 UQM393275 VAI393275 VKE393275 VUA393275 WDW393275 WNS393275 WXO393275 BG458811 LC458811 UY458811 AEU458811 AOQ458811 AYM458811 BII458811 BSE458811 CCA458811 CLW458811 CVS458811 DFO458811 DPK458811 DZG458811 EJC458811 ESY458811 FCU458811 FMQ458811 FWM458811 GGI458811 GQE458811 HAA458811 HJW458811 HTS458811 IDO458811 INK458811 IXG458811 JHC458811 JQY458811 KAU458811 KKQ458811 KUM458811 LEI458811 LOE458811 LYA458811 MHW458811 MRS458811 NBO458811 NLK458811 NVG458811 OFC458811 OOY458811 OYU458811 PIQ458811 PSM458811 QCI458811 QME458811 QWA458811 RFW458811 RPS458811 RZO458811 SJK458811 STG458811 TDC458811 TMY458811 TWU458811 UGQ458811 UQM458811 VAI458811 VKE458811 VUA458811 WDW458811 WNS458811 WXO458811 BG524347 LC524347 UY524347 AEU524347 AOQ524347 AYM524347 BII524347 BSE524347 CCA524347 CLW524347 CVS524347 DFO524347 DPK524347 DZG524347 EJC524347 ESY524347 FCU524347 FMQ524347 FWM524347 GGI524347 GQE524347 HAA524347 HJW524347 HTS524347 IDO524347 INK524347 IXG524347 JHC524347 JQY524347 KAU524347 KKQ524347 KUM524347 LEI524347 LOE524347 LYA524347 MHW524347 MRS524347 NBO524347 NLK524347 NVG524347 OFC524347 OOY524347 OYU524347 PIQ524347 PSM524347 QCI524347 QME524347 QWA524347 RFW524347 RPS524347 RZO524347 SJK524347 STG524347 TDC524347 TMY524347 TWU524347 UGQ524347 UQM524347 VAI524347 VKE524347 VUA524347 WDW524347 WNS524347 WXO524347 BG589883 LC589883 UY589883 AEU589883 AOQ589883 AYM589883 BII589883 BSE589883 CCA589883 CLW589883 CVS589883 DFO589883 DPK589883 DZG589883 EJC589883 ESY589883 FCU589883 FMQ589883 FWM589883 GGI589883 GQE589883 HAA589883 HJW589883 HTS589883 IDO589883 INK589883 IXG589883 JHC589883 JQY589883 KAU589883 KKQ589883 KUM589883 LEI589883 LOE589883 LYA589883 MHW589883 MRS589883 NBO589883 NLK589883 NVG589883 OFC589883 OOY589883 OYU589883 PIQ589883 PSM589883 QCI589883 QME589883 QWA589883 RFW589883 RPS589883 RZO589883 SJK589883 STG589883 TDC589883 TMY589883 TWU589883 UGQ589883 UQM589883 VAI589883 VKE589883 VUA589883 WDW589883 WNS589883 WXO589883 BG655419 LC655419 UY655419 AEU655419 AOQ655419 AYM655419 BII655419 BSE655419 CCA655419 CLW655419 CVS655419 DFO655419 DPK655419 DZG655419 EJC655419 ESY655419 FCU655419 FMQ655419 FWM655419 GGI655419 GQE655419 HAA655419 HJW655419 HTS655419 IDO655419 INK655419 IXG655419 JHC655419 JQY655419 KAU655419 KKQ655419 KUM655419 LEI655419 LOE655419 LYA655419 MHW655419 MRS655419 NBO655419 NLK655419 NVG655419 OFC655419 OOY655419 OYU655419 PIQ655419 PSM655419 QCI655419 QME655419 QWA655419 RFW655419 RPS655419 RZO655419 SJK655419 STG655419 TDC655419 TMY655419 TWU655419 UGQ655419 UQM655419 VAI655419 VKE655419 VUA655419 WDW655419 WNS655419 WXO655419 BG720955 LC720955 UY720955 AEU720955 AOQ720955 AYM720955 BII720955 BSE720955 CCA720955 CLW720955 CVS720955 DFO720955 DPK720955 DZG720955 EJC720955 ESY720955 FCU720955 FMQ720955 FWM720955 GGI720955 GQE720955 HAA720955 HJW720955 HTS720955 IDO720955 INK720955 IXG720955 JHC720955 JQY720955 KAU720955 KKQ720955 KUM720955 LEI720955 LOE720955 LYA720955 MHW720955 MRS720955 NBO720955 NLK720955 NVG720955 OFC720955 OOY720955 OYU720955 PIQ720955 PSM720955 QCI720955 QME720955 QWA720955 RFW720955 RPS720955 RZO720955 SJK720955 STG720955 TDC720955 TMY720955 TWU720955 UGQ720955 UQM720955 VAI720955 VKE720955 VUA720955 WDW720955 WNS720955 WXO720955 BG786491 LC786491 UY786491 AEU786491 AOQ786491 AYM786491 BII786491 BSE786491 CCA786491 CLW786491 CVS786491 DFO786491 DPK786491 DZG786491 EJC786491 ESY786491 FCU786491 FMQ786491 FWM786491 GGI786491 GQE786491 HAA786491 HJW786491 HTS786491 IDO786491 INK786491 IXG786491 JHC786491 JQY786491 KAU786491 KKQ786491 KUM786491 LEI786491 LOE786491 LYA786491 MHW786491 MRS786491 NBO786491 NLK786491 NVG786491 OFC786491 OOY786491 OYU786491 PIQ786491 PSM786491 QCI786491 QME786491 QWA786491 RFW786491 RPS786491 RZO786491 SJK786491 STG786491 TDC786491 TMY786491 TWU786491 UGQ786491 UQM786491 VAI786491 VKE786491 VUA786491 WDW786491 WNS786491 WXO786491 BG852027 LC852027 UY852027 AEU852027 AOQ852027 AYM852027 BII852027 BSE852027 CCA852027 CLW852027 CVS852027 DFO852027 DPK852027 DZG852027 EJC852027 ESY852027 FCU852027 FMQ852027 FWM852027 GGI852027 GQE852027 HAA852027 HJW852027 HTS852027 IDO852027 INK852027 IXG852027 JHC852027 JQY852027 KAU852027 KKQ852027 KUM852027 LEI852027 LOE852027 LYA852027 MHW852027 MRS852027 NBO852027 NLK852027 NVG852027 OFC852027 OOY852027 OYU852027 PIQ852027 PSM852027 QCI852027 QME852027 QWA852027 RFW852027 RPS852027 RZO852027 SJK852027 STG852027 TDC852027 TMY852027 TWU852027 UGQ852027 UQM852027 VAI852027 VKE852027 VUA852027 WDW852027 WNS852027 WXO852027 BG917563 LC917563 UY917563 AEU917563 AOQ917563 AYM917563 BII917563 BSE917563 CCA917563 CLW917563 CVS917563 DFO917563 DPK917563 DZG917563 EJC917563 ESY917563 FCU917563 FMQ917563 FWM917563 GGI917563 GQE917563 HAA917563 HJW917563 HTS917563 IDO917563 INK917563 IXG917563 JHC917563 JQY917563 KAU917563 KKQ917563 KUM917563 LEI917563 LOE917563 LYA917563 MHW917563 MRS917563 NBO917563 NLK917563 NVG917563 OFC917563 OOY917563 OYU917563 PIQ917563 PSM917563 QCI917563 QME917563 QWA917563 RFW917563 RPS917563 RZO917563 SJK917563 STG917563 TDC917563 TMY917563 TWU917563 UGQ917563 UQM917563 VAI917563 VKE917563 VUA917563 WDW917563 WNS917563 WXO917563 BG983099 LC983099 UY983099 AEU983099 AOQ983099 AYM983099 BII983099 BSE983099 CCA983099 CLW983099 CVS983099 DFO983099 DPK983099 DZG983099 EJC983099 ESY983099 FCU983099 FMQ983099 FWM983099 GGI983099 GQE983099 HAA983099 HJW983099 HTS983099 IDO983099 INK983099 IXG983099 JHC983099 JQY983099 KAU983099 KKQ983099 KUM983099 LEI983099 LOE983099 LYA983099 MHW983099 MRS983099 NBO983099 NLK983099 NVG983099 OFC983099 OOY983099 OYU983099 PIQ983099 PSM983099 QCI983099 QME983099 QWA983099 RFW983099 RPS983099 RZO983099 SJK983099 STG983099 TDC983099 TMY983099 TWU983099 UGQ983099 UQM983099 VAI983099 VKE983099 VUA983099 WDW983099 WNS983099 WXO983099" xr:uid="{0C0267C3-617D-4A4C-9C14-5C747EA088E3}">
      <formula1>$CB$12:$CD$12</formula1>
    </dataValidation>
    <dataValidation type="list" allowBlank="1" showInputMessage="1" showErrorMessage="1" sqref="BG60 LC60 UY60 AEU60 AOQ60 AYM60 BII60 BSE60 CCA60 CLW60 CVS60 DFO60 DPK60 DZG60 EJC60 ESY60 FCU60 FMQ60 FWM60 GGI60 GQE60 HAA60 HJW60 HTS60 IDO60 INK60 IXG60 JHC60 JQY60 KAU60 KKQ60 KUM60 LEI60 LOE60 LYA60 MHW60 MRS60 NBO60 NLK60 NVG60 OFC60 OOY60 OYU60 PIQ60 PSM60 QCI60 QME60 QWA60 RFW60 RPS60 RZO60 SJK60 STG60 TDC60 TMY60 TWU60 UGQ60 UQM60 VAI60 VKE60 VUA60 WDW60 WNS60 WXO60 BG65596 LC65596 UY65596 AEU65596 AOQ65596 AYM65596 BII65596 BSE65596 CCA65596 CLW65596 CVS65596 DFO65596 DPK65596 DZG65596 EJC65596 ESY65596 FCU65596 FMQ65596 FWM65596 GGI65596 GQE65596 HAA65596 HJW65596 HTS65596 IDO65596 INK65596 IXG65596 JHC65596 JQY65596 KAU65596 KKQ65596 KUM65596 LEI65596 LOE65596 LYA65596 MHW65596 MRS65596 NBO65596 NLK65596 NVG65596 OFC65596 OOY65596 OYU65596 PIQ65596 PSM65596 QCI65596 QME65596 QWA65596 RFW65596 RPS65596 RZO65596 SJK65596 STG65596 TDC65596 TMY65596 TWU65596 UGQ65596 UQM65596 VAI65596 VKE65596 VUA65596 WDW65596 WNS65596 WXO65596 BG131132 LC131132 UY131132 AEU131132 AOQ131132 AYM131132 BII131132 BSE131132 CCA131132 CLW131132 CVS131132 DFO131132 DPK131132 DZG131132 EJC131132 ESY131132 FCU131132 FMQ131132 FWM131132 GGI131132 GQE131132 HAA131132 HJW131132 HTS131132 IDO131132 INK131132 IXG131132 JHC131132 JQY131132 KAU131132 KKQ131132 KUM131132 LEI131132 LOE131132 LYA131132 MHW131132 MRS131132 NBO131132 NLK131132 NVG131132 OFC131132 OOY131132 OYU131132 PIQ131132 PSM131132 QCI131132 QME131132 QWA131132 RFW131132 RPS131132 RZO131132 SJK131132 STG131132 TDC131132 TMY131132 TWU131132 UGQ131132 UQM131132 VAI131132 VKE131132 VUA131132 WDW131132 WNS131132 WXO131132 BG196668 LC196668 UY196668 AEU196668 AOQ196668 AYM196668 BII196668 BSE196668 CCA196668 CLW196668 CVS196668 DFO196668 DPK196668 DZG196668 EJC196668 ESY196668 FCU196668 FMQ196668 FWM196668 GGI196668 GQE196668 HAA196668 HJW196668 HTS196668 IDO196668 INK196668 IXG196668 JHC196668 JQY196668 KAU196668 KKQ196668 KUM196668 LEI196668 LOE196668 LYA196668 MHW196668 MRS196668 NBO196668 NLK196668 NVG196668 OFC196668 OOY196668 OYU196668 PIQ196668 PSM196668 QCI196668 QME196668 QWA196668 RFW196668 RPS196668 RZO196668 SJK196668 STG196668 TDC196668 TMY196668 TWU196668 UGQ196668 UQM196668 VAI196668 VKE196668 VUA196668 WDW196668 WNS196668 WXO196668 BG262204 LC262204 UY262204 AEU262204 AOQ262204 AYM262204 BII262204 BSE262204 CCA262204 CLW262204 CVS262204 DFO262204 DPK262204 DZG262204 EJC262204 ESY262204 FCU262204 FMQ262204 FWM262204 GGI262204 GQE262204 HAA262204 HJW262204 HTS262204 IDO262204 INK262204 IXG262204 JHC262204 JQY262204 KAU262204 KKQ262204 KUM262204 LEI262204 LOE262204 LYA262204 MHW262204 MRS262204 NBO262204 NLK262204 NVG262204 OFC262204 OOY262204 OYU262204 PIQ262204 PSM262204 QCI262204 QME262204 QWA262204 RFW262204 RPS262204 RZO262204 SJK262204 STG262204 TDC262204 TMY262204 TWU262204 UGQ262204 UQM262204 VAI262204 VKE262204 VUA262204 WDW262204 WNS262204 WXO262204 BG327740 LC327740 UY327740 AEU327740 AOQ327740 AYM327740 BII327740 BSE327740 CCA327740 CLW327740 CVS327740 DFO327740 DPK327740 DZG327740 EJC327740 ESY327740 FCU327740 FMQ327740 FWM327740 GGI327740 GQE327740 HAA327740 HJW327740 HTS327740 IDO327740 INK327740 IXG327740 JHC327740 JQY327740 KAU327740 KKQ327740 KUM327740 LEI327740 LOE327740 LYA327740 MHW327740 MRS327740 NBO327740 NLK327740 NVG327740 OFC327740 OOY327740 OYU327740 PIQ327740 PSM327740 QCI327740 QME327740 QWA327740 RFW327740 RPS327740 RZO327740 SJK327740 STG327740 TDC327740 TMY327740 TWU327740 UGQ327740 UQM327740 VAI327740 VKE327740 VUA327740 WDW327740 WNS327740 WXO327740 BG393276 LC393276 UY393276 AEU393276 AOQ393276 AYM393276 BII393276 BSE393276 CCA393276 CLW393276 CVS393276 DFO393276 DPK393276 DZG393276 EJC393276 ESY393276 FCU393276 FMQ393276 FWM393276 GGI393276 GQE393276 HAA393276 HJW393276 HTS393276 IDO393276 INK393276 IXG393276 JHC393276 JQY393276 KAU393276 KKQ393276 KUM393276 LEI393276 LOE393276 LYA393276 MHW393276 MRS393276 NBO393276 NLK393276 NVG393276 OFC393276 OOY393276 OYU393276 PIQ393276 PSM393276 QCI393276 QME393276 QWA393276 RFW393276 RPS393276 RZO393276 SJK393276 STG393276 TDC393276 TMY393276 TWU393276 UGQ393276 UQM393276 VAI393276 VKE393276 VUA393276 WDW393276 WNS393276 WXO393276 BG458812 LC458812 UY458812 AEU458812 AOQ458812 AYM458812 BII458812 BSE458812 CCA458812 CLW458812 CVS458812 DFO458812 DPK458812 DZG458812 EJC458812 ESY458812 FCU458812 FMQ458812 FWM458812 GGI458812 GQE458812 HAA458812 HJW458812 HTS458812 IDO458812 INK458812 IXG458812 JHC458812 JQY458812 KAU458812 KKQ458812 KUM458812 LEI458812 LOE458812 LYA458812 MHW458812 MRS458812 NBO458812 NLK458812 NVG458812 OFC458812 OOY458812 OYU458812 PIQ458812 PSM458812 QCI458812 QME458812 QWA458812 RFW458812 RPS458812 RZO458812 SJK458812 STG458812 TDC458812 TMY458812 TWU458812 UGQ458812 UQM458812 VAI458812 VKE458812 VUA458812 WDW458812 WNS458812 WXO458812 BG524348 LC524348 UY524348 AEU524348 AOQ524348 AYM524348 BII524348 BSE524348 CCA524348 CLW524348 CVS524348 DFO524348 DPK524348 DZG524348 EJC524348 ESY524348 FCU524348 FMQ524348 FWM524348 GGI524348 GQE524348 HAA524348 HJW524348 HTS524348 IDO524348 INK524348 IXG524348 JHC524348 JQY524348 KAU524348 KKQ524348 KUM524348 LEI524348 LOE524348 LYA524348 MHW524348 MRS524348 NBO524348 NLK524348 NVG524348 OFC524348 OOY524348 OYU524348 PIQ524348 PSM524348 QCI524348 QME524348 QWA524348 RFW524348 RPS524348 RZO524348 SJK524348 STG524348 TDC524348 TMY524348 TWU524348 UGQ524348 UQM524348 VAI524348 VKE524348 VUA524348 WDW524348 WNS524348 WXO524348 BG589884 LC589884 UY589884 AEU589884 AOQ589884 AYM589884 BII589884 BSE589884 CCA589884 CLW589884 CVS589884 DFO589884 DPK589884 DZG589884 EJC589884 ESY589884 FCU589884 FMQ589884 FWM589884 GGI589884 GQE589884 HAA589884 HJW589884 HTS589884 IDO589884 INK589884 IXG589884 JHC589884 JQY589884 KAU589884 KKQ589884 KUM589884 LEI589884 LOE589884 LYA589884 MHW589884 MRS589884 NBO589884 NLK589884 NVG589884 OFC589884 OOY589884 OYU589884 PIQ589884 PSM589884 QCI589884 QME589884 QWA589884 RFW589884 RPS589884 RZO589884 SJK589884 STG589884 TDC589884 TMY589884 TWU589884 UGQ589884 UQM589884 VAI589884 VKE589884 VUA589884 WDW589884 WNS589884 WXO589884 BG655420 LC655420 UY655420 AEU655420 AOQ655420 AYM655420 BII655420 BSE655420 CCA655420 CLW655420 CVS655420 DFO655420 DPK655420 DZG655420 EJC655420 ESY655420 FCU655420 FMQ655420 FWM655420 GGI655420 GQE655420 HAA655420 HJW655420 HTS655420 IDO655420 INK655420 IXG655420 JHC655420 JQY655420 KAU655420 KKQ655420 KUM655420 LEI655420 LOE655420 LYA655420 MHW655420 MRS655420 NBO655420 NLK655420 NVG655420 OFC655420 OOY655420 OYU655420 PIQ655420 PSM655420 QCI655420 QME655420 QWA655420 RFW655420 RPS655420 RZO655420 SJK655420 STG655420 TDC655420 TMY655420 TWU655420 UGQ655420 UQM655420 VAI655420 VKE655420 VUA655420 WDW655420 WNS655420 WXO655420 BG720956 LC720956 UY720956 AEU720956 AOQ720956 AYM720956 BII720956 BSE720956 CCA720956 CLW720956 CVS720956 DFO720956 DPK720956 DZG720956 EJC720956 ESY720956 FCU720956 FMQ720956 FWM720956 GGI720956 GQE720956 HAA720956 HJW720956 HTS720956 IDO720956 INK720956 IXG720956 JHC720956 JQY720956 KAU720956 KKQ720956 KUM720956 LEI720956 LOE720956 LYA720956 MHW720956 MRS720956 NBO720956 NLK720956 NVG720956 OFC720956 OOY720956 OYU720956 PIQ720956 PSM720956 QCI720956 QME720956 QWA720956 RFW720956 RPS720956 RZO720956 SJK720956 STG720956 TDC720956 TMY720956 TWU720956 UGQ720956 UQM720956 VAI720956 VKE720956 VUA720956 WDW720956 WNS720956 WXO720956 BG786492 LC786492 UY786492 AEU786492 AOQ786492 AYM786492 BII786492 BSE786492 CCA786492 CLW786492 CVS786492 DFO786492 DPK786492 DZG786492 EJC786492 ESY786492 FCU786492 FMQ786492 FWM786492 GGI786492 GQE786492 HAA786492 HJW786492 HTS786492 IDO786492 INK786492 IXG786492 JHC786492 JQY786492 KAU786492 KKQ786492 KUM786492 LEI786492 LOE786492 LYA786492 MHW786492 MRS786492 NBO786492 NLK786492 NVG786492 OFC786492 OOY786492 OYU786492 PIQ786492 PSM786492 QCI786492 QME786492 QWA786492 RFW786492 RPS786492 RZO786492 SJK786492 STG786492 TDC786492 TMY786492 TWU786492 UGQ786492 UQM786492 VAI786492 VKE786492 VUA786492 WDW786492 WNS786492 WXO786492 BG852028 LC852028 UY852028 AEU852028 AOQ852028 AYM852028 BII852028 BSE852028 CCA852028 CLW852028 CVS852028 DFO852028 DPK852028 DZG852028 EJC852028 ESY852028 FCU852028 FMQ852028 FWM852028 GGI852028 GQE852028 HAA852028 HJW852028 HTS852028 IDO852028 INK852028 IXG852028 JHC852028 JQY852028 KAU852028 KKQ852028 KUM852028 LEI852028 LOE852028 LYA852028 MHW852028 MRS852028 NBO852028 NLK852028 NVG852028 OFC852028 OOY852028 OYU852028 PIQ852028 PSM852028 QCI852028 QME852028 QWA852028 RFW852028 RPS852028 RZO852028 SJK852028 STG852028 TDC852028 TMY852028 TWU852028 UGQ852028 UQM852028 VAI852028 VKE852028 VUA852028 WDW852028 WNS852028 WXO852028 BG917564 LC917564 UY917564 AEU917564 AOQ917564 AYM917564 BII917564 BSE917564 CCA917564 CLW917564 CVS917564 DFO917564 DPK917564 DZG917564 EJC917564 ESY917564 FCU917564 FMQ917564 FWM917564 GGI917564 GQE917564 HAA917564 HJW917564 HTS917564 IDO917564 INK917564 IXG917564 JHC917564 JQY917564 KAU917564 KKQ917564 KUM917564 LEI917564 LOE917564 LYA917564 MHW917564 MRS917564 NBO917564 NLK917564 NVG917564 OFC917564 OOY917564 OYU917564 PIQ917564 PSM917564 QCI917564 QME917564 QWA917564 RFW917564 RPS917564 RZO917564 SJK917564 STG917564 TDC917564 TMY917564 TWU917564 UGQ917564 UQM917564 VAI917564 VKE917564 VUA917564 WDW917564 WNS917564 WXO917564 BG983100 LC983100 UY983100 AEU983100 AOQ983100 AYM983100 BII983100 BSE983100 CCA983100 CLW983100 CVS983100 DFO983100 DPK983100 DZG983100 EJC983100 ESY983100 FCU983100 FMQ983100 FWM983100 GGI983100 GQE983100 HAA983100 HJW983100 HTS983100 IDO983100 INK983100 IXG983100 JHC983100 JQY983100 KAU983100 KKQ983100 KUM983100 LEI983100 LOE983100 LYA983100 MHW983100 MRS983100 NBO983100 NLK983100 NVG983100 OFC983100 OOY983100 OYU983100 PIQ983100 PSM983100 QCI983100 QME983100 QWA983100 RFW983100 RPS983100 RZO983100 SJK983100 STG983100 TDC983100 TMY983100 TWU983100 UGQ983100 UQM983100 VAI983100 VKE983100 VUA983100 WDW983100 WNS983100 WXO983100 D162:E162 IZ162:JA162 SV162:SW162 ACR162:ACS162 AMN162:AMO162 AWJ162:AWK162 BGF162:BGG162 BQB162:BQC162 BZX162:BZY162 CJT162:CJU162 CTP162:CTQ162 DDL162:DDM162 DNH162:DNI162 DXD162:DXE162 EGZ162:EHA162 EQV162:EQW162 FAR162:FAS162 FKN162:FKO162 FUJ162:FUK162 GEF162:GEG162 GOB162:GOC162 GXX162:GXY162 HHT162:HHU162 HRP162:HRQ162 IBL162:IBM162 ILH162:ILI162 IVD162:IVE162 JEZ162:JFA162 JOV162:JOW162 JYR162:JYS162 KIN162:KIO162 KSJ162:KSK162 LCF162:LCG162 LMB162:LMC162 LVX162:LVY162 MFT162:MFU162 MPP162:MPQ162 MZL162:MZM162 NJH162:NJI162 NTD162:NTE162 OCZ162:ODA162 OMV162:OMW162 OWR162:OWS162 PGN162:PGO162 PQJ162:PQK162 QAF162:QAG162 QKB162:QKC162 QTX162:QTY162 RDT162:RDU162 RNP162:RNQ162 RXL162:RXM162 SHH162:SHI162 SRD162:SRE162 TAZ162:TBA162 TKV162:TKW162 TUR162:TUS162 UEN162:UEO162 UOJ162:UOK162 UYF162:UYG162 VIB162:VIC162 VRX162:VRY162 WBT162:WBU162 WLP162:WLQ162 WVL162:WVM162 D65698:E65698 IZ65698:JA65698 SV65698:SW65698 ACR65698:ACS65698 AMN65698:AMO65698 AWJ65698:AWK65698 BGF65698:BGG65698 BQB65698:BQC65698 BZX65698:BZY65698 CJT65698:CJU65698 CTP65698:CTQ65698 DDL65698:DDM65698 DNH65698:DNI65698 DXD65698:DXE65698 EGZ65698:EHA65698 EQV65698:EQW65698 FAR65698:FAS65698 FKN65698:FKO65698 FUJ65698:FUK65698 GEF65698:GEG65698 GOB65698:GOC65698 GXX65698:GXY65698 HHT65698:HHU65698 HRP65698:HRQ65698 IBL65698:IBM65698 ILH65698:ILI65698 IVD65698:IVE65698 JEZ65698:JFA65698 JOV65698:JOW65698 JYR65698:JYS65698 KIN65698:KIO65698 KSJ65698:KSK65698 LCF65698:LCG65698 LMB65698:LMC65698 LVX65698:LVY65698 MFT65698:MFU65698 MPP65698:MPQ65698 MZL65698:MZM65698 NJH65698:NJI65698 NTD65698:NTE65698 OCZ65698:ODA65698 OMV65698:OMW65698 OWR65698:OWS65698 PGN65698:PGO65698 PQJ65698:PQK65698 QAF65698:QAG65698 QKB65698:QKC65698 QTX65698:QTY65698 RDT65698:RDU65698 RNP65698:RNQ65698 RXL65698:RXM65698 SHH65698:SHI65698 SRD65698:SRE65698 TAZ65698:TBA65698 TKV65698:TKW65698 TUR65698:TUS65698 UEN65698:UEO65698 UOJ65698:UOK65698 UYF65698:UYG65698 VIB65698:VIC65698 VRX65698:VRY65698 WBT65698:WBU65698 WLP65698:WLQ65698 WVL65698:WVM65698 D131234:E131234 IZ131234:JA131234 SV131234:SW131234 ACR131234:ACS131234 AMN131234:AMO131234 AWJ131234:AWK131234 BGF131234:BGG131234 BQB131234:BQC131234 BZX131234:BZY131234 CJT131234:CJU131234 CTP131234:CTQ131234 DDL131234:DDM131234 DNH131234:DNI131234 DXD131234:DXE131234 EGZ131234:EHA131234 EQV131234:EQW131234 FAR131234:FAS131234 FKN131234:FKO131234 FUJ131234:FUK131234 GEF131234:GEG131234 GOB131234:GOC131234 GXX131234:GXY131234 HHT131234:HHU131234 HRP131234:HRQ131234 IBL131234:IBM131234 ILH131234:ILI131234 IVD131234:IVE131234 JEZ131234:JFA131234 JOV131234:JOW131234 JYR131234:JYS131234 KIN131234:KIO131234 KSJ131234:KSK131234 LCF131234:LCG131234 LMB131234:LMC131234 LVX131234:LVY131234 MFT131234:MFU131234 MPP131234:MPQ131234 MZL131234:MZM131234 NJH131234:NJI131234 NTD131234:NTE131234 OCZ131234:ODA131234 OMV131234:OMW131234 OWR131234:OWS131234 PGN131234:PGO131234 PQJ131234:PQK131234 QAF131234:QAG131234 QKB131234:QKC131234 QTX131234:QTY131234 RDT131234:RDU131234 RNP131234:RNQ131234 RXL131234:RXM131234 SHH131234:SHI131234 SRD131234:SRE131234 TAZ131234:TBA131234 TKV131234:TKW131234 TUR131234:TUS131234 UEN131234:UEO131234 UOJ131234:UOK131234 UYF131234:UYG131234 VIB131234:VIC131234 VRX131234:VRY131234 WBT131234:WBU131234 WLP131234:WLQ131234 WVL131234:WVM131234 D196770:E196770 IZ196770:JA196770 SV196770:SW196770 ACR196770:ACS196770 AMN196770:AMO196770 AWJ196770:AWK196770 BGF196770:BGG196770 BQB196770:BQC196770 BZX196770:BZY196770 CJT196770:CJU196770 CTP196770:CTQ196770 DDL196770:DDM196770 DNH196770:DNI196770 DXD196770:DXE196770 EGZ196770:EHA196770 EQV196770:EQW196770 FAR196770:FAS196770 FKN196770:FKO196770 FUJ196770:FUK196770 GEF196770:GEG196770 GOB196770:GOC196770 GXX196770:GXY196770 HHT196770:HHU196770 HRP196770:HRQ196770 IBL196770:IBM196770 ILH196770:ILI196770 IVD196770:IVE196770 JEZ196770:JFA196770 JOV196770:JOW196770 JYR196770:JYS196770 KIN196770:KIO196770 KSJ196770:KSK196770 LCF196770:LCG196770 LMB196770:LMC196770 LVX196770:LVY196770 MFT196770:MFU196770 MPP196770:MPQ196770 MZL196770:MZM196770 NJH196770:NJI196770 NTD196770:NTE196770 OCZ196770:ODA196770 OMV196770:OMW196770 OWR196770:OWS196770 PGN196770:PGO196770 PQJ196770:PQK196770 QAF196770:QAG196770 QKB196770:QKC196770 QTX196770:QTY196770 RDT196770:RDU196770 RNP196770:RNQ196770 RXL196770:RXM196770 SHH196770:SHI196770 SRD196770:SRE196770 TAZ196770:TBA196770 TKV196770:TKW196770 TUR196770:TUS196770 UEN196770:UEO196770 UOJ196770:UOK196770 UYF196770:UYG196770 VIB196770:VIC196770 VRX196770:VRY196770 WBT196770:WBU196770 WLP196770:WLQ196770 WVL196770:WVM196770 D262306:E262306 IZ262306:JA262306 SV262306:SW262306 ACR262306:ACS262306 AMN262306:AMO262306 AWJ262306:AWK262306 BGF262306:BGG262306 BQB262306:BQC262306 BZX262306:BZY262306 CJT262306:CJU262306 CTP262306:CTQ262306 DDL262306:DDM262306 DNH262306:DNI262306 DXD262306:DXE262306 EGZ262306:EHA262306 EQV262306:EQW262306 FAR262306:FAS262306 FKN262306:FKO262306 FUJ262306:FUK262306 GEF262306:GEG262306 GOB262306:GOC262306 GXX262306:GXY262306 HHT262306:HHU262306 HRP262306:HRQ262306 IBL262306:IBM262306 ILH262306:ILI262306 IVD262306:IVE262306 JEZ262306:JFA262306 JOV262306:JOW262306 JYR262306:JYS262306 KIN262306:KIO262306 KSJ262306:KSK262306 LCF262306:LCG262306 LMB262306:LMC262306 LVX262306:LVY262306 MFT262306:MFU262306 MPP262306:MPQ262306 MZL262306:MZM262306 NJH262306:NJI262306 NTD262306:NTE262306 OCZ262306:ODA262306 OMV262306:OMW262306 OWR262306:OWS262306 PGN262306:PGO262306 PQJ262306:PQK262306 QAF262306:QAG262306 QKB262306:QKC262306 QTX262306:QTY262306 RDT262306:RDU262306 RNP262306:RNQ262306 RXL262306:RXM262306 SHH262306:SHI262306 SRD262306:SRE262306 TAZ262306:TBA262306 TKV262306:TKW262306 TUR262306:TUS262306 UEN262306:UEO262306 UOJ262306:UOK262306 UYF262306:UYG262306 VIB262306:VIC262306 VRX262306:VRY262306 WBT262306:WBU262306 WLP262306:WLQ262306 WVL262306:WVM262306 D327842:E327842 IZ327842:JA327842 SV327842:SW327842 ACR327842:ACS327842 AMN327842:AMO327842 AWJ327842:AWK327842 BGF327842:BGG327842 BQB327842:BQC327842 BZX327842:BZY327842 CJT327842:CJU327842 CTP327842:CTQ327842 DDL327842:DDM327842 DNH327842:DNI327842 DXD327842:DXE327842 EGZ327842:EHA327842 EQV327842:EQW327842 FAR327842:FAS327842 FKN327842:FKO327842 FUJ327842:FUK327842 GEF327842:GEG327842 GOB327842:GOC327842 GXX327842:GXY327842 HHT327842:HHU327842 HRP327842:HRQ327842 IBL327842:IBM327842 ILH327842:ILI327842 IVD327842:IVE327842 JEZ327842:JFA327842 JOV327842:JOW327842 JYR327842:JYS327842 KIN327842:KIO327842 KSJ327842:KSK327842 LCF327842:LCG327842 LMB327842:LMC327842 LVX327842:LVY327842 MFT327842:MFU327842 MPP327842:MPQ327842 MZL327842:MZM327842 NJH327842:NJI327842 NTD327842:NTE327842 OCZ327842:ODA327842 OMV327842:OMW327842 OWR327842:OWS327842 PGN327842:PGO327842 PQJ327842:PQK327842 QAF327842:QAG327842 QKB327842:QKC327842 QTX327842:QTY327842 RDT327842:RDU327842 RNP327842:RNQ327842 RXL327842:RXM327842 SHH327842:SHI327842 SRD327842:SRE327842 TAZ327842:TBA327842 TKV327842:TKW327842 TUR327842:TUS327842 UEN327842:UEO327842 UOJ327842:UOK327842 UYF327842:UYG327842 VIB327842:VIC327842 VRX327842:VRY327842 WBT327842:WBU327842 WLP327842:WLQ327842 WVL327842:WVM327842 D393378:E393378 IZ393378:JA393378 SV393378:SW393378 ACR393378:ACS393378 AMN393378:AMO393378 AWJ393378:AWK393378 BGF393378:BGG393378 BQB393378:BQC393378 BZX393378:BZY393378 CJT393378:CJU393378 CTP393378:CTQ393378 DDL393378:DDM393378 DNH393378:DNI393378 DXD393378:DXE393378 EGZ393378:EHA393378 EQV393378:EQW393378 FAR393378:FAS393378 FKN393378:FKO393378 FUJ393378:FUK393378 GEF393378:GEG393378 GOB393378:GOC393378 GXX393378:GXY393378 HHT393378:HHU393378 HRP393378:HRQ393378 IBL393378:IBM393378 ILH393378:ILI393378 IVD393378:IVE393378 JEZ393378:JFA393378 JOV393378:JOW393378 JYR393378:JYS393378 KIN393378:KIO393378 KSJ393378:KSK393378 LCF393378:LCG393378 LMB393378:LMC393378 LVX393378:LVY393378 MFT393378:MFU393378 MPP393378:MPQ393378 MZL393378:MZM393378 NJH393378:NJI393378 NTD393378:NTE393378 OCZ393378:ODA393378 OMV393378:OMW393378 OWR393378:OWS393378 PGN393378:PGO393378 PQJ393378:PQK393378 QAF393378:QAG393378 QKB393378:QKC393378 QTX393378:QTY393378 RDT393378:RDU393378 RNP393378:RNQ393378 RXL393378:RXM393378 SHH393378:SHI393378 SRD393378:SRE393378 TAZ393378:TBA393378 TKV393378:TKW393378 TUR393378:TUS393378 UEN393378:UEO393378 UOJ393378:UOK393378 UYF393378:UYG393378 VIB393378:VIC393378 VRX393378:VRY393378 WBT393378:WBU393378 WLP393378:WLQ393378 WVL393378:WVM393378 D458914:E458914 IZ458914:JA458914 SV458914:SW458914 ACR458914:ACS458914 AMN458914:AMO458914 AWJ458914:AWK458914 BGF458914:BGG458914 BQB458914:BQC458914 BZX458914:BZY458914 CJT458914:CJU458914 CTP458914:CTQ458914 DDL458914:DDM458914 DNH458914:DNI458914 DXD458914:DXE458914 EGZ458914:EHA458914 EQV458914:EQW458914 FAR458914:FAS458914 FKN458914:FKO458914 FUJ458914:FUK458914 GEF458914:GEG458914 GOB458914:GOC458914 GXX458914:GXY458914 HHT458914:HHU458914 HRP458914:HRQ458914 IBL458914:IBM458914 ILH458914:ILI458914 IVD458914:IVE458914 JEZ458914:JFA458914 JOV458914:JOW458914 JYR458914:JYS458914 KIN458914:KIO458914 KSJ458914:KSK458914 LCF458914:LCG458914 LMB458914:LMC458914 LVX458914:LVY458914 MFT458914:MFU458914 MPP458914:MPQ458914 MZL458914:MZM458914 NJH458914:NJI458914 NTD458914:NTE458914 OCZ458914:ODA458914 OMV458914:OMW458914 OWR458914:OWS458914 PGN458914:PGO458914 PQJ458914:PQK458914 QAF458914:QAG458914 QKB458914:QKC458914 QTX458914:QTY458914 RDT458914:RDU458914 RNP458914:RNQ458914 RXL458914:RXM458914 SHH458914:SHI458914 SRD458914:SRE458914 TAZ458914:TBA458914 TKV458914:TKW458914 TUR458914:TUS458914 UEN458914:UEO458914 UOJ458914:UOK458914 UYF458914:UYG458914 VIB458914:VIC458914 VRX458914:VRY458914 WBT458914:WBU458914 WLP458914:WLQ458914 WVL458914:WVM458914 D524450:E524450 IZ524450:JA524450 SV524450:SW524450 ACR524450:ACS524450 AMN524450:AMO524450 AWJ524450:AWK524450 BGF524450:BGG524450 BQB524450:BQC524450 BZX524450:BZY524450 CJT524450:CJU524450 CTP524450:CTQ524450 DDL524450:DDM524450 DNH524450:DNI524450 DXD524450:DXE524450 EGZ524450:EHA524450 EQV524450:EQW524450 FAR524450:FAS524450 FKN524450:FKO524450 FUJ524450:FUK524450 GEF524450:GEG524450 GOB524450:GOC524450 GXX524450:GXY524450 HHT524450:HHU524450 HRP524450:HRQ524450 IBL524450:IBM524450 ILH524450:ILI524450 IVD524450:IVE524450 JEZ524450:JFA524450 JOV524450:JOW524450 JYR524450:JYS524450 KIN524450:KIO524450 KSJ524450:KSK524450 LCF524450:LCG524450 LMB524450:LMC524450 LVX524450:LVY524450 MFT524450:MFU524450 MPP524450:MPQ524450 MZL524450:MZM524450 NJH524450:NJI524450 NTD524450:NTE524450 OCZ524450:ODA524450 OMV524450:OMW524450 OWR524450:OWS524450 PGN524450:PGO524450 PQJ524450:PQK524450 QAF524450:QAG524450 QKB524450:QKC524450 QTX524450:QTY524450 RDT524450:RDU524450 RNP524450:RNQ524450 RXL524450:RXM524450 SHH524450:SHI524450 SRD524450:SRE524450 TAZ524450:TBA524450 TKV524450:TKW524450 TUR524450:TUS524450 UEN524450:UEO524450 UOJ524450:UOK524450 UYF524450:UYG524450 VIB524450:VIC524450 VRX524450:VRY524450 WBT524450:WBU524450 WLP524450:WLQ524450 WVL524450:WVM524450 D589986:E589986 IZ589986:JA589986 SV589986:SW589986 ACR589986:ACS589986 AMN589986:AMO589986 AWJ589986:AWK589986 BGF589986:BGG589986 BQB589986:BQC589986 BZX589986:BZY589986 CJT589986:CJU589986 CTP589986:CTQ589986 DDL589986:DDM589986 DNH589986:DNI589986 DXD589986:DXE589986 EGZ589986:EHA589986 EQV589986:EQW589986 FAR589986:FAS589986 FKN589986:FKO589986 FUJ589986:FUK589986 GEF589986:GEG589986 GOB589986:GOC589986 GXX589986:GXY589986 HHT589986:HHU589986 HRP589986:HRQ589986 IBL589986:IBM589986 ILH589986:ILI589986 IVD589986:IVE589986 JEZ589986:JFA589986 JOV589986:JOW589986 JYR589986:JYS589986 KIN589986:KIO589986 KSJ589986:KSK589986 LCF589986:LCG589986 LMB589986:LMC589986 LVX589986:LVY589986 MFT589986:MFU589986 MPP589986:MPQ589986 MZL589986:MZM589986 NJH589986:NJI589986 NTD589986:NTE589986 OCZ589986:ODA589986 OMV589986:OMW589986 OWR589986:OWS589986 PGN589986:PGO589986 PQJ589986:PQK589986 QAF589986:QAG589986 QKB589986:QKC589986 QTX589986:QTY589986 RDT589986:RDU589986 RNP589986:RNQ589986 RXL589986:RXM589986 SHH589986:SHI589986 SRD589986:SRE589986 TAZ589986:TBA589986 TKV589986:TKW589986 TUR589986:TUS589986 UEN589986:UEO589986 UOJ589986:UOK589986 UYF589986:UYG589986 VIB589986:VIC589986 VRX589986:VRY589986 WBT589986:WBU589986 WLP589986:WLQ589986 WVL589986:WVM589986 D655522:E655522 IZ655522:JA655522 SV655522:SW655522 ACR655522:ACS655522 AMN655522:AMO655522 AWJ655522:AWK655522 BGF655522:BGG655522 BQB655522:BQC655522 BZX655522:BZY655522 CJT655522:CJU655522 CTP655522:CTQ655522 DDL655522:DDM655522 DNH655522:DNI655522 DXD655522:DXE655522 EGZ655522:EHA655522 EQV655522:EQW655522 FAR655522:FAS655522 FKN655522:FKO655522 FUJ655522:FUK655522 GEF655522:GEG655522 GOB655522:GOC655522 GXX655522:GXY655522 HHT655522:HHU655522 HRP655522:HRQ655522 IBL655522:IBM655522 ILH655522:ILI655522 IVD655522:IVE655522 JEZ655522:JFA655522 JOV655522:JOW655522 JYR655522:JYS655522 KIN655522:KIO655522 KSJ655522:KSK655522 LCF655522:LCG655522 LMB655522:LMC655522 LVX655522:LVY655522 MFT655522:MFU655522 MPP655522:MPQ655522 MZL655522:MZM655522 NJH655522:NJI655522 NTD655522:NTE655522 OCZ655522:ODA655522 OMV655522:OMW655522 OWR655522:OWS655522 PGN655522:PGO655522 PQJ655522:PQK655522 QAF655522:QAG655522 QKB655522:QKC655522 QTX655522:QTY655522 RDT655522:RDU655522 RNP655522:RNQ655522 RXL655522:RXM655522 SHH655522:SHI655522 SRD655522:SRE655522 TAZ655522:TBA655522 TKV655522:TKW655522 TUR655522:TUS655522 UEN655522:UEO655522 UOJ655522:UOK655522 UYF655522:UYG655522 VIB655522:VIC655522 VRX655522:VRY655522 WBT655522:WBU655522 WLP655522:WLQ655522 WVL655522:WVM655522 D721058:E721058 IZ721058:JA721058 SV721058:SW721058 ACR721058:ACS721058 AMN721058:AMO721058 AWJ721058:AWK721058 BGF721058:BGG721058 BQB721058:BQC721058 BZX721058:BZY721058 CJT721058:CJU721058 CTP721058:CTQ721058 DDL721058:DDM721058 DNH721058:DNI721058 DXD721058:DXE721058 EGZ721058:EHA721058 EQV721058:EQW721058 FAR721058:FAS721058 FKN721058:FKO721058 FUJ721058:FUK721058 GEF721058:GEG721058 GOB721058:GOC721058 GXX721058:GXY721058 HHT721058:HHU721058 HRP721058:HRQ721058 IBL721058:IBM721058 ILH721058:ILI721058 IVD721058:IVE721058 JEZ721058:JFA721058 JOV721058:JOW721058 JYR721058:JYS721058 KIN721058:KIO721058 KSJ721058:KSK721058 LCF721058:LCG721058 LMB721058:LMC721058 LVX721058:LVY721058 MFT721058:MFU721058 MPP721058:MPQ721058 MZL721058:MZM721058 NJH721058:NJI721058 NTD721058:NTE721058 OCZ721058:ODA721058 OMV721058:OMW721058 OWR721058:OWS721058 PGN721058:PGO721058 PQJ721058:PQK721058 QAF721058:QAG721058 QKB721058:QKC721058 QTX721058:QTY721058 RDT721058:RDU721058 RNP721058:RNQ721058 RXL721058:RXM721058 SHH721058:SHI721058 SRD721058:SRE721058 TAZ721058:TBA721058 TKV721058:TKW721058 TUR721058:TUS721058 UEN721058:UEO721058 UOJ721058:UOK721058 UYF721058:UYG721058 VIB721058:VIC721058 VRX721058:VRY721058 WBT721058:WBU721058 WLP721058:WLQ721058 WVL721058:WVM721058 D786594:E786594 IZ786594:JA786594 SV786594:SW786594 ACR786594:ACS786594 AMN786594:AMO786594 AWJ786594:AWK786594 BGF786594:BGG786594 BQB786594:BQC786594 BZX786594:BZY786594 CJT786594:CJU786594 CTP786594:CTQ786594 DDL786594:DDM786594 DNH786594:DNI786594 DXD786594:DXE786594 EGZ786594:EHA786594 EQV786594:EQW786594 FAR786594:FAS786594 FKN786594:FKO786594 FUJ786594:FUK786594 GEF786594:GEG786594 GOB786594:GOC786594 GXX786594:GXY786594 HHT786594:HHU786594 HRP786594:HRQ786594 IBL786594:IBM786594 ILH786594:ILI786594 IVD786594:IVE786594 JEZ786594:JFA786594 JOV786594:JOW786594 JYR786594:JYS786594 KIN786594:KIO786594 KSJ786594:KSK786594 LCF786594:LCG786594 LMB786594:LMC786594 LVX786594:LVY786594 MFT786594:MFU786594 MPP786594:MPQ786594 MZL786594:MZM786594 NJH786594:NJI786594 NTD786594:NTE786594 OCZ786594:ODA786594 OMV786594:OMW786594 OWR786594:OWS786594 PGN786594:PGO786594 PQJ786594:PQK786594 QAF786594:QAG786594 QKB786594:QKC786594 QTX786594:QTY786594 RDT786594:RDU786594 RNP786594:RNQ786594 RXL786594:RXM786594 SHH786594:SHI786594 SRD786594:SRE786594 TAZ786594:TBA786594 TKV786594:TKW786594 TUR786594:TUS786594 UEN786594:UEO786594 UOJ786594:UOK786594 UYF786594:UYG786594 VIB786594:VIC786594 VRX786594:VRY786594 WBT786594:WBU786594 WLP786594:WLQ786594 WVL786594:WVM786594 D852130:E852130 IZ852130:JA852130 SV852130:SW852130 ACR852130:ACS852130 AMN852130:AMO852130 AWJ852130:AWK852130 BGF852130:BGG852130 BQB852130:BQC852130 BZX852130:BZY852130 CJT852130:CJU852130 CTP852130:CTQ852130 DDL852130:DDM852130 DNH852130:DNI852130 DXD852130:DXE852130 EGZ852130:EHA852130 EQV852130:EQW852130 FAR852130:FAS852130 FKN852130:FKO852130 FUJ852130:FUK852130 GEF852130:GEG852130 GOB852130:GOC852130 GXX852130:GXY852130 HHT852130:HHU852130 HRP852130:HRQ852130 IBL852130:IBM852130 ILH852130:ILI852130 IVD852130:IVE852130 JEZ852130:JFA852130 JOV852130:JOW852130 JYR852130:JYS852130 KIN852130:KIO852130 KSJ852130:KSK852130 LCF852130:LCG852130 LMB852130:LMC852130 LVX852130:LVY852130 MFT852130:MFU852130 MPP852130:MPQ852130 MZL852130:MZM852130 NJH852130:NJI852130 NTD852130:NTE852130 OCZ852130:ODA852130 OMV852130:OMW852130 OWR852130:OWS852130 PGN852130:PGO852130 PQJ852130:PQK852130 QAF852130:QAG852130 QKB852130:QKC852130 QTX852130:QTY852130 RDT852130:RDU852130 RNP852130:RNQ852130 RXL852130:RXM852130 SHH852130:SHI852130 SRD852130:SRE852130 TAZ852130:TBA852130 TKV852130:TKW852130 TUR852130:TUS852130 UEN852130:UEO852130 UOJ852130:UOK852130 UYF852130:UYG852130 VIB852130:VIC852130 VRX852130:VRY852130 WBT852130:WBU852130 WLP852130:WLQ852130 WVL852130:WVM852130 D917666:E917666 IZ917666:JA917666 SV917666:SW917666 ACR917666:ACS917666 AMN917666:AMO917666 AWJ917666:AWK917666 BGF917666:BGG917666 BQB917666:BQC917666 BZX917666:BZY917666 CJT917666:CJU917666 CTP917666:CTQ917666 DDL917666:DDM917666 DNH917666:DNI917666 DXD917666:DXE917666 EGZ917666:EHA917666 EQV917666:EQW917666 FAR917666:FAS917666 FKN917666:FKO917666 FUJ917666:FUK917666 GEF917666:GEG917666 GOB917666:GOC917666 GXX917666:GXY917666 HHT917666:HHU917666 HRP917666:HRQ917666 IBL917666:IBM917666 ILH917666:ILI917666 IVD917666:IVE917666 JEZ917666:JFA917666 JOV917666:JOW917666 JYR917666:JYS917666 KIN917666:KIO917666 KSJ917666:KSK917666 LCF917666:LCG917666 LMB917666:LMC917666 LVX917666:LVY917666 MFT917666:MFU917666 MPP917666:MPQ917666 MZL917666:MZM917666 NJH917666:NJI917666 NTD917666:NTE917666 OCZ917666:ODA917666 OMV917666:OMW917666 OWR917666:OWS917666 PGN917666:PGO917666 PQJ917666:PQK917666 QAF917666:QAG917666 QKB917666:QKC917666 QTX917666:QTY917666 RDT917666:RDU917666 RNP917666:RNQ917666 RXL917666:RXM917666 SHH917666:SHI917666 SRD917666:SRE917666 TAZ917666:TBA917666 TKV917666:TKW917666 TUR917666:TUS917666 UEN917666:UEO917666 UOJ917666:UOK917666 UYF917666:UYG917666 VIB917666:VIC917666 VRX917666:VRY917666 WBT917666:WBU917666 WLP917666:WLQ917666 WVL917666:WVM917666 D983202:E983202 IZ983202:JA983202 SV983202:SW983202 ACR983202:ACS983202 AMN983202:AMO983202 AWJ983202:AWK983202 BGF983202:BGG983202 BQB983202:BQC983202 BZX983202:BZY983202 CJT983202:CJU983202 CTP983202:CTQ983202 DDL983202:DDM983202 DNH983202:DNI983202 DXD983202:DXE983202 EGZ983202:EHA983202 EQV983202:EQW983202 FAR983202:FAS983202 FKN983202:FKO983202 FUJ983202:FUK983202 GEF983202:GEG983202 GOB983202:GOC983202 GXX983202:GXY983202 HHT983202:HHU983202 HRP983202:HRQ983202 IBL983202:IBM983202 ILH983202:ILI983202 IVD983202:IVE983202 JEZ983202:JFA983202 JOV983202:JOW983202 JYR983202:JYS983202 KIN983202:KIO983202 KSJ983202:KSK983202 LCF983202:LCG983202 LMB983202:LMC983202 LVX983202:LVY983202 MFT983202:MFU983202 MPP983202:MPQ983202 MZL983202:MZM983202 NJH983202:NJI983202 NTD983202:NTE983202 OCZ983202:ODA983202 OMV983202:OMW983202 OWR983202:OWS983202 PGN983202:PGO983202 PQJ983202:PQK983202 QAF983202:QAG983202 QKB983202:QKC983202 QTX983202:QTY983202 RDT983202:RDU983202 RNP983202:RNQ983202 RXL983202:RXM983202 SHH983202:SHI983202 SRD983202:SRE983202 TAZ983202:TBA983202 TKV983202:TKW983202 TUR983202:TUS983202 UEN983202:UEO983202 UOJ983202:UOK983202 UYF983202:UYG983202 VIB983202:VIC983202 VRX983202:VRY983202 WBT983202:WBU983202 WLP983202:WLQ983202 WVL983202:WVM983202" xr:uid="{7221950B-49D3-4AA5-8E2D-57D508FFBD29}">
      <formula1>$AN$3:$AN$19</formula1>
    </dataValidation>
    <dataValidation type="list" allowBlank="1" showInputMessage="1" showErrorMessage="1" sqref="C5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C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C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C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C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C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C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C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C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C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C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C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C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C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C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C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xr:uid="{FAD235A8-ED01-49E2-97E9-586E7291AC87}">
      <formula1>$CB$16:$CO$16</formula1>
    </dataValidation>
    <dataValidation type="list" allowBlank="1" showInputMessage="1" showErrorMessage="1" sqref="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173 JB173 SX173 ACT173 AMP173 AWL173 BGH173 BQD173 BZZ173 CJV173 CTR173 DDN173 DNJ173 DXF173 EHB173 EQX173 FAT173 FKP173 FUL173 GEH173 GOD173 GXZ173 HHV173 HRR173 IBN173 ILJ173 IVF173 JFB173 JOX173 JYT173 KIP173 KSL173 LCH173 LMD173 LVZ173 MFV173 MPR173 MZN173 NJJ173 NTF173 ODB173 OMX173 OWT173 PGP173 PQL173 QAH173 QKD173 QTZ173 RDV173 RNR173 RXN173 SHJ173 SRF173 TBB173 TKX173 TUT173 UEP173 UOL173 UYH173 VID173 VRZ173 WBV173 WLR173 WVN173 F65709 JB65709 SX65709 ACT65709 AMP65709 AWL65709 BGH65709 BQD65709 BZZ65709 CJV65709 CTR65709 DDN65709 DNJ65709 DXF65709 EHB65709 EQX65709 FAT65709 FKP65709 FUL65709 GEH65709 GOD65709 GXZ65709 HHV65709 HRR65709 IBN65709 ILJ65709 IVF65709 JFB65709 JOX65709 JYT65709 KIP65709 KSL65709 LCH65709 LMD65709 LVZ65709 MFV65709 MPR65709 MZN65709 NJJ65709 NTF65709 ODB65709 OMX65709 OWT65709 PGP65709 PQL65709 QAH65709 QKD65709 QTZ65709 RDV65709 RNR65709 RXN65709 SHJ65709 SRF65709 TBB65709 TKX65709 TUT65709 UEP65709 UOL65709 UYH65709 VID65709 VRZ65709 WBV65709 WLR65709 WVN65709 F131245 JB131245 SX131245 ACT131245 AMP131245 AWL131245 BGH131245 BQD131245 BZZ131245 CJV131245 CTR131245 DDN131245 DNJ131245 DXF131245 EHB131245 EQX131245 FAT131245 FKP131245 FUL131245 GEH131245 GOD131245 GXZ131245 HHV131245 HRR131245 IBN131245 ILJ131245 IVF131245 JFB131245 JOX131245 JYT131245 KIP131245 KSL131245 LCH131245 LMD131245 LVZ131245 MFV131245 MPR131245 MZN131245 NJJ131245 NTF131245 ODB131245 OMX131245 OWT131245 PGP131245 PQL131245 QAH131245 QKD131245 QTZ131245 RDV131245 RNR131245 RXN131245 SHJ131245 SRF131245 TBB131245 TKX131245 TUT131245 UEP131245 UOL131245 UYH131245 VID131245 VRZ131245 WBV131245 WLR131245 WVN131245 F196781 JB196781 SX196781 ACT196781 AMP196781 AWL196781 BGH196781 BQD196781 BZZ196781 CJV196781 CTR196781 DDN196781 DNJ196781 DXF196781 EHB196781 EQX196781 FAT196781 FKP196781 FUL196781 GEH196781 GOD196781 GXZ196781 HHV196781 HRR196781 IBN196781 ILJ196781 IVF196781 JFB196781 JOX196781 JYT196781 KIP196781 KSL196781 LCH196781 LMD196781 LVZ196781 MFV196781 MPR196781 MZN196781 NJJ196781 NTF196781 ODB196781 OMX196781 OWT196781 PGP196781 PQL196781 QAH196781 QKD196781 QTZ196781 RDV196781 RNR196781 RXN196781 SHJ196781 SRF196781 TBB196781 TKX196781 TUT196781 UEP196781 UOL196781 UYH196781 VID196781 VRZ196781 WBV196781 WLR196781 WVN196781 F262317 JB262317 SX262317 ACT262317 AMP262317 AWL262317 BGH262317 BQD262317 BZZ262317 CJV262317 CTR262317 DDN262317 DNJ262317 DXF262317 EHB262317 EQX262317 FAT262317 FKP262317 FUL262317 GEH262317 GOD262317 GXZ262317 HHV262317 HRR262317 IBN262317 ILJ262317 IVF262317 JFB262317 JOX262317 JYT262317 KIP262317 KSL262317 LCH262317 LMD262317 LVZ262317 MFV262317 MPR262317 MZN262317 NJJ262317 NTF262317 ODB262317 OMX262317 OWT262317 PGP262317 PQL262317 QAH262317 QKD262317 QTZ262317 RDV262317 RNR262317 RXN262317 SHJ262317 SRF262317 TBB262317 TKX262317 TUT262317 UEP262317 UOL262317 UYH262317 VID262317 VRZ262317 WBV262317 WLR262317 WVN262317 F327853 JB327853 SX327853 ACT327853 AMP327853 AWL327853 BGH327853 BQD327853 BZZ327853 CJV327853 CTR327853 DDN327853 DNJ327853 DXF327853 EHB327853 EQX327853 FAT327853 FKP327853 FUL327853 GEH327853 GOD327853 GXZ327853 HHV327853 HRR327853 IBN327853 ILJ327853 IVF327853 JFB327853 JOX327853 JYT327853 KIP327853 KSL327853 LCH327853 LMD327853 LVZ327853 MFV327853 MPR327853 MZN327853 NJJ327853 NTF327853 ODB327853 OMX327853 OWT327853 PGP327853 PQL327853 QAH327853 QKD327853 QTZ327853 RDV327853 RNR327853 RXN327853 SHJ327853 SRF327853 TBB327853 TKX327853 TUT327853 UEP327853 UOL327853 UYH327853 VID327853 VRZ327853 WBV327853 WLR327853 WVN327853 F393389 JB393389 SX393389 ACT393389 AMP393389 AWL393389 BGH393389 BQD393389 BZZ393389 CJV393389 CTR393389 DDN393389 DNJ393389 DXF393389 EHB393389 EQX393389 FAT393389 FKP393389 FUL393389 GEH393389 GOD393389 GXZ393389 HHV393389 HRR393389 IBN393389 ILJ393389 IVF393389 JFB393389 JOX393389 JYT393389 KIP393389 KSL393389 LCH393389 LMD393389 LVZ393389 MFV393389 MPR393389 MZN393389 NJJ393389 NTF393389 ODB393389 OMX393389 OWT393389 PGP393389 PQL393389 QAH393389 QKD393389 QTZ393389 RDV393389 RNR393389 RXN393389 SHJ393389 SRF393389 TBB393389 TKX393389 TUT393389 UEP393389 UOL393389 UYH393389 VID393389 VRZ393389 WBV393389 WLR393389 WVN393389 F458925 JB458925 SX458925 ACT458925 AMP458925 AWL458925 BGH458925 BQD458925 BZZ458925 CJV458925 CTR458925 DDN458925 DNJ458925 DXF458925 EHB458925 EQX458925 FAT458925 FKP458925 FUL458925 GEH458925 GOD458925 GXZ458925 HHV458925 HRR458925 IBN458925 ILJ458925 IVF458925 JFB458925 JOX458925 JYT458925 KIP458925 KSL458925 LCH458925 LMD458925 LVZ458925 MFV458925 MPR458925 MZN458925 NJJ458925 NTF458925 ODB458925 OMX458925 OWT458925 PGP458925 PQL458925 QAH458925 QKD458925 QTZ458925 RDV458925 RNR458925 RXN458925 SHJ458925 SRF458925 TBB458925 TKX458925 TUT458925 UEP458925 UOL458925 UYH458925 VID458925 VRZ458925 WBV458925 WLR458925 WVN458925 F524461 JB524461 SX524461 ACT524461 AMP524461 AWL524461 BGH524461 BQD524461 BZZ524461 CJV524461 CTR524461 DDN524461 DNJ524461 DXF524461 EHB524461 EQX524461 FAT524461 FKP524461 FUL524461 GEH524461 GOD524461 GXZ524461 HHV524461 HRR524461 IBN524461 ILJ524461 IVF524461 JFB524461 JOX524461 JYT524461 KIP524461 KSL524461 LCH524461 LMD524461 LVZ524461 MFV524461 MPR524461 MZN524461 NJJ524461 NTF524461 ODB524461 OMX524461 OWT524461 PGP524461 PQL524461 QAH524461 QKD524461 QTZ524461 RDV524461 RNR524461 RXN524461 SHJ524461 SRF524461 TBB524461 TKX524461 TUT524461 UEP524461 UOL524461 UYH524461 VID524461 VRZ524461 WBV524461 WLR524461 WVN524461 F589997 JB589997 SX589997 ACT589997 AMP589997 AWL589997 BGH589997 BQD589997 BZZ589997 CJV589997 CTR589997 DDN589997 DNJ589997 DXF589997 EHB589997 EQX589997 FAT589997 FKP589997 FUL589997 GEH589997 GOD589997 GXZ589997 HHV589997 HRR589997 IBN589997 ILJ589997 IVF589997 JFB589997 JOX589997 JYT589997 KIP589997 KSL589997 LCH589997 LMD589997 LVZ589997 MFV589997 MPR589997 MZN589997 NJJ589997 NTF589997 ODB589997 OMX589997 OWT589997 PGP589997 PQL589997 QAH589997 QKD589997 QTZ589997 RDV589997 RNR589997 RXN589997 SHJ589997 SRF589997 TBB589997 TKX589997 TUT589997 UEP589997 UOL589997 UYH589997 VID589997 VRZ589997 WBV589997 WLR589997 WVN589997 F655533 JB655533 SX655533 ACT655533 AMP655533 AWL655533 BGH655533 BQD655533 BZZ655533 CJV655533 CTR655533 DDN655533 DNJ655533 DXF655533 EHB655533 EQX655533 FAT655533 FKP655533 FUL655533 GEH655533 GOD655533 GXZ655533 HHV655533 HRR655533 IBN655533 ILJ655533 IVF655533 JFB655533 JOX655533 JYT655533 KIP655533 KSL655533 LCH655533 LMD655533 LVZ655533 MFV655533 MPR655533 MZN655533 NJJ655533 NTF655533 ODB655533 OMX655533 OWT655533 PGP655533 PQL655533 QAH655533 QKD655533 QTZ655533 RDV655533 RNR655533 RXN655533 SHJ655533 SRF655533 TBB655533 TKX655533 TUT655533 UEP655533 UOL655533 UYH655533 VID655533 VRZ655533 WBV655533 WLR655533 WVN655533 F721069 JB721069 SX721069 ACT721069 AMP721069 AWL721069 BGH721069 BQD721069 BZZ721069 CJV721069 CTR721069 DDN721069 DNJ721069 DXF721069 EHB721069 EQX721069 FAT721069 FKP721069 FUL721069 GEH721069 GOD721069 GXZ721069 HHV721069 HRR721069 IBN721069 ILJ721069 IVF721069 JFB721069 JOX721069 JYT721069 KIP721069 KSL721069 LCH721069 LMD721069 LVZ721069 MFV721069 MPR721069 MZN721069 NJJ721069 NTF721069 ODB721069 OMX721069 OWT721069 PGP721069 PQL721069 QAH721069 QKD721069 QTZ721069 RDV721069 RNR721069 RXN721069 SHJ721069 SRF721069 TBB721069 TKX721069 TUT721069 UEP721069 UOL721069 UYH721069 VID721069 VRZ721069 WBV721069 WLR721069 WVN721069 F786605 JB786605 SX786605 ACT786605 AMP786605 AWL786605 BGH786605 BQD786605 BZZ786605 CJV786605 CTR786605 DDN786605 DNJ786605 DXF786605 EHB786605 EQX786605 FAT786605 FKP786605 FUL786605 GEH786605 GOD786605 GXZ786605 HHV786605 HRR786605 IBN786605 ILJ786605 IVF786605 JFB786605 JOX786605 JYT786605 KIP786605 KSL786605 LCH786605 LMD786605 LVZ786605 MFV786605 MPR786605 MZN786605 NJJ786605 NTF786605 ODB786605 OMX786605 OWT786605 PGP786605 PQL786605 QAH786605 QKD786605 QTZ786605 RDV786605 RNR786605 RXN786605 SHJ786605 SRF786605 TBB786605 TKX786605 TUT786605 UEP786605 UOL786605 UYH786605 VID786605 VRZ786605 WBV786605 WLR786605 WVN786605 F852141 JB852141 SX852141 ACT852141 AMP852141 AWL852141 BGH852141 BQD852141 BZZ852141 CJV852141 CTR852141 DDN852141 DNJ852141 DXF852141 EHB852141 EQX852141 FAT852141 FKP852141 FUL852141 GEH852141 GOD852141 GXZ852141 HHV852141 HRR852141 IBN852141 ILJ852141 IVF852141 JFB852141 JOX852141 JYT852141 KIP852141 KSL852141 LCH852141 LMD852141 LVZ852141 MFV852141 MPR852141 MZN852141 NJJ852141 NTF852141 ODB852141 OMX852141 OWT852141 PGP852141 PQL852141 QAH852141 QKD852141 QTZ852141 RDV852141 RNR852141 RXN852141 SHJ852141 SRF852141 TBB852141 TKX852141 TUT852141 UEP852141 UOL852141 UYH852141 VID852141 VRZ852141 WBV852141 WLR852141 WVN852141 F917677 JB917677 SX917677 ACT917677 AMP917677 AWL917677 BGH917677 BQD917677 BZZ917677 CJV917677 CTR917677 DDN917677 DNJ917677 DXF917677 EHB917677 EQX917677 FAT917677 FKP917677 FUL917677 GEH917677 GOD917677 GXZ917677 HHV917677 HRR917677 IBN917677 ILJ917677 IVF917677 JFB917677 JOX917677 JYT917677 KIP917677 KSL917677 LCH917677 LMD917677 LVZ917677 MFV917677 MPR917677 MZN917677 NJJ917677 NTF917677 ODB917677 OMX917677 OWT917677 PGP917677 PQL917677 QAH917677 QKD917677 QTZ917677 RDV917677 RNR917677 RXN917677 SHJ917677 SRF917677 TBB917677 TKX917677 TUT917677 UEP917677 UOL917677 UYH917677 VID917677 VRZ917677 WBV917677 WLR917677 WVN917677 F983213 JB983213 SX983213 ACT983213 AMP983213 AWL983213 BGH983213 BQD983213 BZZ983213 CJV983213 CTR983213 DDN983213 DNJ983213 DXF983213 EHB983213 EQX983213 FAT983213 FKP983213 FUL983213 GEH983213 GOD983213 GXZ983213 HHV983213 HRR983213 IBN983213 ILJ983213 IVF983213 JFB983213 JOX983213 JYT983213 KIP983213 KSL983213 LCH983213 LMD983213 LVZ983213 MFV983213 MPR983213 MZN983213 NJJ983213 NTF983213 ODB983213 OMX983213 OWT983213 PGP983213 PQL983213 QAH983213 QKD983213 QTZ983213 RDV983213 RNR983213 RXN983213 SHJ983213 SRF983213 TBB983213 TKX983213 TUT983213 UEP983213 UOL983213 UYH983213 VID983213 VRZ983213 WBV983213 WLR983213 WVN983213 AB17 JX17 TT17 ADP17 ANL17 AXH17 BHD17 BQZ17 CAV17 CKR17 CUN17 DEJ17 DOF17 DYB17 EHX17 ERT17 FBP17 FLL17 FVH17 GFD17 GOZ17 GYV17 HIR17 HSN17 ICJ17 IMF17 IWB17 JFX17 JPT17 JZP17 KJL17 KTH17 LDD17 LMZ17 LWV17 MGR17 MQN17 NAJ17 NKF17 NUB17 ODX17 ONT17 OXP17 PHL17 PRH17 QBD17 QKZ17 QUV17 RER17 RON17 RYJ17 SIF17 SSB17 TBX17 TLT17 TVP17 UFL17 UPH17 UZD17 VIZ17 VSV17 WCR17 WMN17 WWJ17 AB65553 JX65553 TT65553 ADP65553 ANL65553 AXH65553 BHD65553 BQZ65553 CAV65553 CKR65553 CUN65553 DEJ65553 DOF65553 DYB65553 EHX65553 ERT65553 FBP65553 FLL65553 FVH65553 GFD65553 GOZ65553 GYV65553 HIR65553 HSN65553 ICJ65553 IMF65553 IWB65553 JFX65553 JPT65553 JZP65553 KJL65553 KTH65553 LDD65553 LMZ65553 LWV65553 MGR65553 MQN65553 NAJ65553 NKF65553 NUB65553 ODX65553 ONT65553 OXP65553 PHL65553 PRH65553 QBD65553 QKZ65553 QUV65553 RER65553 RON65553 RYJ65553 SIF65553 SSB65553 TBX65553 TLT65553 TVP65553 UFL65553 UPH65553 UZD65553 VIZ65553 VSV65553 WCR65553 WMN65553 WWJ65553 AB131089 JX131089 TT131089 ADP131089 ANL131089 AXH131089 BHD131089 BQZ131089 CAV131089 CKR131089 CUN131089 DEJ131089 DOF131089 DYB131089 EHX131089 ERT131089 FBP131089 FLL131089 FVH131089 GFD131089 GOZ131089 GYV131089 HIR131089 HSN131089 ICJ131089 IMF131089 IWB131089 JFX131089 JPT131089 JZP131089 KJL131089 KTH131089 LDD131089 LMZ131089 LWV131089 MGR131089 MQN131089 NAJ131089 NKF131089 NUB131089 ODX131089 ONT131089 OXP131089 PHL131089 PRH131089 QBD131089 QKZ131089 QUV131089 RER131089 RON131089 RYJ131089 SIF131089 SSB131089 TBX131089 TLT131089 TVP131089 UFL131089 UPH131089 UZD131089 VIZ131089 VSV131089 WCR131089 WMN131089 WWJ131089 AB196625 JX196625 TT196625 ADP196625 ANL196625 AXH196625 BHD196625 BQZ196625 CAV196625 CKR196625 CUN196625 DEJ196625 DOF196625 DYB196625 EHX196625 ERT196625 FBP196625 FLL196625 FVH196625 GFD196625 GOZ196625 GYV196625 HIR196625 HSN196625 ICJ196625 IMF196625 IWB196625 JFX196625 JPT196625 JZP196625 KJL196625 KTH196625 LDD196625 LMZ196625 LWV196625 MGR196625 MQN196625 NAJ196625 NKF196625 NUB196625 ODX196625 ONT196625 OXP196625 PHL196625 PRH196625 QBD196625 QKZ196625 QUV196625 RER196625 RON196625 RYJ196625 SIF196625 SSB196625 TBX196625 TLT196625 TVP196625 UFL196625 UPH196625 UZD196625 VIZ196625 VSV196625 WCR196625 WMN196625 WWJ196625 AB262161 JX262161 TT262161 ADP262161 ANL262161 AXH262161 BHD262161 BQZ262161 CAV262161 CKR262161 CUN262161 DEJ262161 DOF262161 DYB262161 EHX262161 ERT262161 FBP262161 FLL262161 FVH262161 GFD262161 GOZ262161 GYV262161 HIR262161 HSN262161 ICJ262161 IMF262161 IWB262161 JFX262161 JPT262161 JZP262161 KJL262161 KTH262161 LDD262161 LMZ262161 LWV262161 MGR262161 MQN262161 NAJ262161 NKF262161 NUB262161 ODX262161 ONT262161 OXP262161 PHL262161 PRH262161 QBD262161 QKZ262161 QUV262161 RER262161 RON262161 RYJ262161 SIF262161 SSB262161 TBX262161 TLT262161 TVP262161 UFL262161 UPH262161 UZD262161 VIZ262161 VSV262161 WCR262161 WMN262161 WWJ262161 AB327697 JX327697 TT327697 ADP327697 ANL327697 AXH327697 BHD327697 BQZ327697 CAV327697 CKR327697 CUN327697 DEJ327697 DOF327697 DYB327697 EHX327697 ERT327697 FBP327697 FLL327697 FVH327697 GFD327697 GOZ327697 GYV327697 HIR327697 HSN327697 ICJ327697 IMF327697 IWB327697 JFX327697 JPT327697 JZP327697 KJL327697 KTH327697 LDD327697 LMZ327697 LWV327697 MGR327697 MQN327697 NAJ327697 NKF327697 NUB327697 ODX327697 ONT327697 OXP327697 PHL327697 PRH327697 QBD327697 QKZ327697 QUV327697 RER327697 RON327697 RYJ327697 SIF327697 SSB327697 TBX327697 TLT327697 TVP327697 UFL327697 UPH327697 UZD327697 VIZ327697 VSV327697 WCR327697 WMN327697 WWJ327697 AB393233 JX393233 TT393233 ADP393233 ANL393233 AXH393233 BHD393233 BQZ393233 CAV393233 CKR393233 CUN393233 DEJ393233 DOF393233 DYB393233 EHX393233 ERT393233 FBP393233 FLL393233 FVH393233 GFD393233 GOZ393233 GYV393233 HIR393233 HSN393233 ICJ393233 IMF393233 IWB393233 JFX393233 JPT393233 JZP393233 KJL393233 KTH393233 LDD393233 LMZ393233 LWV393233 MGR393233 MQN393233 NAJ393233 NKF393233 NUB393233 ODX393233 ONT393233 OXP393233 PHL393233 PRH393233 QBD393233 QKZ393233 QUV393233 RER393233 RON393233 RYJ393233 SIF393233 SSB393233 TBX393233 TLT393233 TVP393233 UFL393233 UPH393233 UZD393233 VIZ393233 VSV393233 WCR393233 WMN393233 WWJ393233 AB458769 JX458769 TT458769 ADP458769 ANL458769 AXH458769 BHD458769 BQZ458769 CAV458769 CKR458769 CUN458769 DEJ458769 DOF458769 DYB458769 EHX458769 ERT458769 FBP458769 FLL458769 FVH458769 GFD458769 GOZ458769 GYV458769 HIR458769 HSN458769 ICJ458769 IMF458769 IWB458769 JFX458769 JPT458769 JZP458769 KJL458769 KTH458769 LDD458769 LMZ458769 LWV458769 MGR458769 MQN458769 NAJ458769 NKF458769 NUB458769 ODX458769 ONT458769 OXP458769 PHL458769 PRH458769 QBD458769 QKZ458769 QUV458769 RER458769 RON458769 RYJ458769 SIF458769 SSB458769 TBX458769 TLT458769 TVP458769 UFL458769 UPH458769 UZD458769 VIZ458769 VSV458769 WCR458769 WMN458769 WWJ458769 AB524305 JX524305 TT524305 ADP524305 ANL524305 AXH524305 BHD524305 BQZ524305 CAV524305 CKR524305 CUN524305 DEJ524305 DOF524305 DYB524305 EHX524305 ERT524305 FBP524305 FLL524305 FVH524305 GFD524305 GOZ524305 GYV524305 HIR524305 HSN524305 ICJ524305 IMF524305 IWB524305 JFX524305 JPT524305 JZP524305 KJL524305 KTH524305 LDD524305 LMZ524305 LWV524305 MGR524305 MQN524305 NAJ524305 NKF524305 NUB524305 ODX524305 ONT524305 OXP524305 PHL524305 PRH524305 QBD524305 QKZ524305 QUV524305 RER524305 RON524305 RYJ524305 SIF524305 SSB524305 TBX524305 TLT524305 TVP524305 UFL524305 UPH524305 UZD524305 VIZ524305 VSV524305 WCR524305 WMN524305 WWJ524305 AB589841 JX589841 TT589841 ADP589841 ANL589841 AXH589841 BHD589841 BQZ589841 CAV589841 CKR589841 CUN589841 DEJ589841 DOF589841 DYB589841 EHX589841 ERT589841 FBP589841 FLL589841 FVH589841 GFD589841 GOZ589841 GYV589841 HIR589841 HSN589841 ICJ589841 IMF589841 IWB589841 JFX589841 JPT589841 JZP589841 KJL589841 KTH589841 LDD589841 LMZ589841 LWV589841 MGR589841 MQN589841 NAJ589841 NKF589841 NUB589841 ODX589841 ONT589841 OXP589841 PHL589841 PRH589841 QBD589841 QKZ589841 QUV589841 RER589841 RON589841 RYJ589841 SIF589841 SSB589841 TBX589841 TLT589841 TVP589841 UFL589841 UPH589841 UZD589841 VIZ589841 VSV589841 WCR589841 WMN589841 WWJ589841 AB655377 JX655377 TT655377 ADP655377 ANL655377 AXH655377 BHD655377 BQZ655377 CAV655377 CKR655377 CUN655377 DEJ655377 DOF655377 DYB655377 EHX655377 ERT655377 FBP655377 FLL655377 FVH655377 GFD655377 GOZ655377 GYV655377 HIR655377 HSN655377 ICJ655377 IMF655377 IWB655377 JFX655377 JPT655377 JZP655377 KJL655377 KTH655377 LDD655377 LMZ655377 LWV655377 MGR655377 MQN655377 NAJ655377 NKF655377 NUB655377 ODX655377 ONT655377 OXP655377 PHL655377 PRH655377 QBD655377 QKZ655377 QUV655377 RER655377 RON655377 RYJ655377 SIF655377 SSB655377 TBX655377 TLT655377 TVP655377 UFL655377 UPH655377 UZD655377 VIZ655377 VSV655377 WCR655377 WMN655377 WWJ655377 AB720913 JX720913 TT720913 ADP720913 ANL720913 AXH720913 BHD720913 BQZ720913 CAV720913 CKR720913 CUN720913 DEJ720913 DOF720913 DYB720913 EHX720913 ERT720913 FBP720913 FLL720913 FVH720913 GFD720913 GOZ720913 GYV720913 HIR720913 HSN720913 ICJ720913 IMF720913 IWB720913 JFX720913 JPT720913 JZP720913 KJL720913 KTH720913 LDD720913 LMZ720913 LWV720913 MGR720913 MQN720913 NAJ720913 NKF720913 NUB720913 ODX720913 ONT720913 OXP720913 PHL720913 PRH720913 QBD720913 QKZ720913 QUV720913 RER720913 RON720913 RYJ720913 SIF720913 SSB720913 TBX720913 TLT720913 TVP720913 UFL720913 UPH720913 UZD720913 VIZ720913 VSV720913 WCR720913 WMN720913 WWJ720913 AB786449 JX786449 TT786449 ADP786449 ANL786449 AXH786449 BHD786449 BQZ786449 CAV786449 CKR786449 CUN786449 DEJ786449 DOF786449 DYB786449 EHX786449 ERT786449 FBP786449 FLL786449 FVH786449 GFD786449 GOZ786449 GYV786449 HIR786449 HSN786449 ICJ786449 IMF786449 IWB786449 JFX786449 JPT786449 JZP786449 KJL786449 KTH786449 LDD786449 LMZ786449 LWV786449 MGR786449 MQN786449 NAJ786449 NKF786449 NUB786449 ODX786449 ONT786449 OXP786449 PHL786449 PRH786449 QBD786449 QKZ786449 QUV786449 RER786449 RON786449 RYJ786449 SIF786449 SSB786449 TBX786449 TLT786449 TVP786449 UFL786449 UPH786449 UZD786449 VIZ786449 VSV786449 WCR786449 WMN786449 WWJ786449 AB851985 JX851985 TT851985 ADP851985 ANL851985 AXH851985 BHD851985 BQZ851985 CAV851985 CKR851985 CUN851985 DEJ851985 DOF851985 DYB851985 EHX851985 ERT851985 FBP851985 FLL851985 FVH851985 GFD851985 GOZ851985 GYV851985 HIR851985 HSN851985 ICJ851985 IMF851985 IWB851985 JFX851985 JPT851985 JZP851985 KJL851985 KTH851985 LDD851985 LMZ851985 LWV851985 MGR851985 MQN851985 NAJ851985 NKF851985 NUB851985 ODX851985 ONT851985 OXP851985 PHL851985 PRH851985 QBD851985 QKZ851985 QUV851985 RER851985 RON851985 RYJ851985 SIF851985 SSB851985 TBX851985 TLT851985 TVP851985 UFL851985 UPH851985 UZD851985 VIZ851985 VSV851985 WCR851985 WMN851985 WWJ851985 AB917521 JX917521 TT917521 ADP917521 ANL917521 AXH917521 BHD917521 BQZ917521 CAV917521 CKR917521 CUN917521 DEJ917521 DOF917521 DYB917521 EHX917521 ERT917521 FBP917521 FLL917521 FVH917521 GFD917521 GOZ917521 GYV917521 HIR917521 HSN917521 ICJ917521 IMF917521 IWB917521 JFX917521 JPT917521 JZP917521 KJL917521 KTH917521 LDD917521 LMZ917521 LWV917521 MGR917521 MQN917521 NAJ917521 NKF917521 NUB917521 ODX917521 ONT917521 OXP917521 PHL917521 PRH917521 QBD917521 QKZ917521 QUV917521 RER917521 RON917521 RYJ917521 SIF917521 SSB917521 TBX917521 TLT917521 TVP917521 UFL917521 UPH917521 UZD917521 VIZ917521 VSV917521 WCR917521 WMN917521 WWJ917521 AB983057 JX983057 TT983057 ADP983057 ANL983057 AXH983057 BHD983057 BQZ983057 CAV983057 CKR983057 CUN983057 DEJ983057 DOF983057 DYB983057 EHX983057 ERT983057 FBP983057 FLL983057 FVH983057 GFD983057 GOZ983057 GYV983057 HIR983057 HSN983057 ICJ983057 IMF983057 IWB983057 JFX983057 JPT983057 JZP983057 KJL983057 KTH983057 LDD983057 LMZ983057 LWV983057 MGR983057 MQN983057 NAJ983057 NKF983057 NUB983057 ODX983057 ONT983057 OXP983057 PHL983057 PRH983057 QBD983057 QKZ983057 QUV983057 RER983057 RON983057 RYJ983057 SIF983057 SSB983057 TBX983057 TLT983057 TVP983057 UFL983057 UPH983057 UZD983057 VIZ983057 VSV983057 WCR983057 WMN983057 WWJ983057 AB20 JX20 TT20 ADP20 ANL20 AXH20 BHD20 BQZ20 CAV20 CKR20 CUN20 DEJ20 DOF20 DYB20 EHX20 ERT20 FBP20 FLL20 FVH20 GFD20 GOZ20 GYV20 HIR20 HSN20 ICJ20 IMF20 IWB20 JFX20 JPT20 JZP20 KJL20 KTH20 LDD20 LMZ20 LWV20 MGR20 MQN20 NAJ20 NKF20 NUB20 ODX20 ONT20 OXP20 PHL20 PRH20 QBD20 QKZ20 QUV20 RER20 RON20 RYJ20 SIF20 SSB20 TBX20 TLT20 TVP20 UFL20 UPH20 UZD20 VIZ20 VSV20 WCR20 WMN20 WWJ20 AB65556 JX65556 TT65556 ADP65556 ANL65556 AXH65556 BHD65556 BQZ65556 CAV65556 CKR65556 CUN65556 DEJ65556 DOF65556 DYB65556 EHX65556 ERT65556 FBP65556 FLL65556 FVH65556 GFD65556 GOZ65556 GYV65556 HIR65556 HSN65556 ICJ65556 IMF65556 IWB65556 JFX65556 JPT65556 JZP65556 KJL65556 KTH65556 LDD65556 LMZ65556 LWV65556 MGR65556 MQN65556 NAJ65556 NKF65556 NUB65556 ODX65556 ONT65556 OXP65556 PHL65556 PRH65556 QBD65556 QKZ65556 QUV65556 RER65556 RON65556 RYJ65556 SIF65556 SSB65556 TBX65556 TLT65556 TVP65556 UFL65556 UPH65556 UZD65556 VIZ65556 VSV65556 WCR65556 WMN65556 WWJ65556 AB131092 JX131092 TT131092 ADP131092 ANL131092 AXH131092 BHD131092 BQZ131092 CAV131092 CKR131092 CUN131092 DEJ131092 DOF131092 DYB131092 EHX131092 ERT131092 FBP131092 FLL131092 FVH131092 GFD131092 GOZ131092 GYV131092 HIR131092 HSN131092 ICJ131092 IMF131092 IWB131092 JFX131092 JPT131092 JZP131092 KJL131092 KTH131092 LDD131092 LMZ131092 LWV131092 MGR131092 MQN131092 NAJ131092 NKF131092 NUB131092 ODX131092 ONT131092 OXP131092 PHL131092 PRH131092 QBD131092 QKZ131092 QUV131092 RER131092 RON131092 RYJ131092 SIF131092 SSB131092 TBX131092 TLT131092 TVP131092 UFL131092 UPH131092 UZD131092 VIZ131092 VSV131092 WCR131092 WMN131092 WWJ131092 AB196628 JX196628 TT196628 ADP196628 ANL196628 AXH196628 BHD196628 BQZ196628 CAV196628 CKR196628 CUN196628 DEJ196628 DOF196628 DYB196628 EHX196628 ERT196628 FBP196628 FLL196628 FVH196628 GFD196628 GOZ196628 GYV196628 HIR196628 HSN196628 ICJ196628 IMF196628 IWB196628 JFX196628 JPT196628 JZP196628 KJL196628 KTH196628 LDD196628 LMZ196628 LWV196628 MGR196628 MQN196628 NAJ196628 NKF196628 NUB196628 ODX196628 ONT196628 OXP196628 PHL196628 PRH196628 QBD196628 QKZ196628 QUV196628 RER196628 RON196628 RYJ196628 SIF196628 SSB196628 TBX196628 TLT196628 TVP196628 UFL196628 UPH196628 UZD196628 VIZ196628 VSV196628 WCR196628 WMN196628 WWJ196628 AB262164 JX262164 TT262164 ADP262164 ANL262164 AXH262164 BHD262164 BQZ262164 CAV262164 CKR262164 CUN262164 DEJ262164 DOF262164 DYB262164 EHX262164 ERT262164 FBP262164 FLL262164 FVH262164 GFD262164 GOZ262164 GYV262164 HIR262164 HSN262164 ICJ262164 IMF262164 IWB262164 JFX262164 JPT262164 JZP262164 KJL262164 KTH262164 LDD262164 LMZ262164 LWV262164 MGR262164 MQN262164 NAJ262164 NKF262164 NUB262164 ODX262164 ONT262164 OXP262164 PHL262164 PRH262164 QBD262164 QKZ262164 QUV262164 RER262164 RON262164 RYJ262164 SIF262164 SSB262164 TBX262164 TLT262164 TVP262164 UFL262164 UPH262164 UZD262164 VIZ262164 VSV262164 WCR262164 WMN262164 WWJ262164 AB327700 JX327700 TT327700 ADP327700 ANL327700 AXH327700 BHD327700 BQZ327700 CAV327700 CKR327700 CUN327700 DEJ327700 DOF327700 DYB327700 EHX327700 ERT327700 FBP327700 FLL327700 FVH327700 GFD327700 GOZ327700 GYV327700 HIR327700 HSN327700 ICJ327700 IMF327700 IWB327700 JFX327700 JPT327700 JZP327700 KJL327700 KTH327700 LDD327700 LMZ327700 LWV327700 MGR327700 MQN327700 NAJ327700 NKF327700 NUB327700 ODX327700 ONT327700 OXP327700 PHL327700 PRH327700 QBD327700 QKZ327700 QUV327700 RER327700 RON327700 RYJ327700 SIF327700 SSB327700 TBX327700 TLT327700 TVP327700 UFL327700 UPH327700 UZD327700 VIZ327700 VSV327700 WCR327700 WMN327700 WWJ327700 AB393236 JX393236 TT393236 ADP393236 ANL393236 AXH393236 BHD393236 BQZ393236 CAV393236 CKR393236 CUN393236 DEJ393236 DOF393236 DYB393236 EHX393236 ERT393236 FBP393236 FLL393236 FVH393236 GFD393236 GOZ393236 GYV393236 HIR393236 HSN393236 ICJ393236 IMF393236 IWB393236 JFX393236 JPT393236 JZP393236 KJL393236 KTH393236 LDD393236 LMZ393236 LWV393236 MGR393236 MQN393236 NAJ393236 NKF393236 NUB393236 ODX393236 ONT393236 OXP393236 PHL393236 PRH393236 QBD393236 QKZ393236 QUV393236 RER393236 RON393236 RYJ393236 SIF393236 SSB393236 TBX393236 TLT393236 TVP393236 UFL393236 UPH393236 UZD393236 VIZ393236 VSV393236 WCR393236 WMN393236 WWJ393236 AB458772 JX458772 TT458772 ADP458772 ANL458772 AXH458772 BHD458772 BQZ458772 CAV458772 CKR458772 CUN458772 DEJ458772 DOF458772 DYB458772 EHX458772 ERT458772 FBP458772 FLL458772 FVH458772 GFD458772 GOZ458772 GYV458772 HIR458772 HSN458772 ICJ458772 IMF458772 IWB458772 JFX458772 JPT458772 JZP458772 KJL458772 KTH458772 LDD458772 LMZ458772 LWV458772 MGR458772 MQN458772 NAJ458772 NKF458772 NUB458772 ODX458772 ONT458772 OXP458772 PHL458772 PRH458772 QBD458772 QKZ458772 QUV458772 RER458772 RON458772 RYJ458772 SIF458772 SSB458772 TBX458772 TLT458772 TVP458772 UFL458772 UPH458772 UZD458772 VIZ458772 VSV458772 WCR458772 WMN458772 WWJ458772 AB524308 JX524308 TT524308 ADP524308 ANL524308 AXH524308 BHD524308 BQZ524308 CAV524308 CKR524308 CUN524308 DEJ524308 DOF524308 DYB524308 EHX524308 ERT524308 FBP524308 FLL524308 FVH524308 GFD524308 GOZ524308 GYV524308 HIR524308 HSN524308 ICJ524308 IMF524308 IWB524308 JFX524308 JPT524308 JZP524308 KJL524308 KTH524308 LDD524308 LMZ524308 LWV524308 MGR524308 MQN524308 NAJ524308 NKF524308 NUB524308 ODX524308 ONT524308 OXP524308 PHL524308 PRH524308 QBD524308 QKZ524308 QUV524308 RER524308 RON524308 RYJ524308 SIF524308 SSB524308 TBX524308 TLT524308 TVP524308 UFL524308 UPH524308 UZD524308 VIZ524308 VSV524308 WCR524308 WMN524308 WWJ524308 AB589844 JX589844 TT589844 ADP589844 ANL589844 AXH589844 BHD589844 BQZ589844 CAV589844 CKR589844 CUN589844 DEJ589844 DOF589844 DYB589844 EHX589844 ERT589844 FBP589844 FLL589844 FVH589844 GFD589844 GOZ589844 GYV589844 HIR589844 HSN589844 ICJ589844 IMF589844 IWB589844 JFX589844 JPT589844 JZP589844 KJL589844 KTH589844 LDD589844 LMZ589844 LWV589844 MGR589844 MQN589844 NAJ589844 NKF589844 NUB589844 ODX589844 ONT589844 OXP589844 PHL589844 PRH589844 QBD589844 QKZ589844 QUV589844 RER589844 RON589844 RYJ589844 SIF589844 SSB589844 TBX589844 TLT589844 TVP589844 UFL589844 UPH589844 UZD589844 VIZ589844 VSV589844 WCR589844 WMN589844 WWJ589844 AB655380 JX655380 TT655380 ADP655380 ANL655380 AXH655380 BHD655380 BQZ655380 CAV655380 CKR655380 CUN655380 DEJ655380 DOF655380 DYB655380 EHX655380 ERT655380 FBP655380 FLL655380 FVH655380 GFD655380 GOZ655380 GYV655380 HIR655380 HSN655380 ICJ655380 IMF655380 IWB655380 JFX655380 JPT655380 JZP655380 KJL655380 KTH655380 LDD655380 LMZ655380 LWV655380 MGR655380 MQN655380 NAJ655380 NKF655380 NUB655380 ODX655380 ONT655380 OXP655380 PHL655380 PRH655380 QBD655380 QKZ655380 QUV655380 RER655380 RON655380 RYJ655380 SIF655380 SSB655380 TBX655380 TLT655380 TVP655380 UFL655380 UPH655380 UZD655380 VIZ655380 VSV655380 WCR655380 WMN655380 WWJ655380 AB720916 JX720916 TT720916 ADP720916 ANL720916 AXH720916 BHD720916 BQZ720916 CAV720916 CKR720916 CUN720916 DEJ720916 DOF720916 DYB720916 EHX720916 ERT720916 FBP720916 FLL720916 FVH720916 GFD720916 GOZ720916 GYV720916 HIR720916 HSN720916 ICJ720916 IMF720916 IWB720916 JFX720916 JPT720916 JZP720916 KJL720916 KTH720916 LDD720916 LMZ720916 LWV720916 MGR720916 MQN720916 NAJ720916 NKF720916 NUB720916 ODX720916 ONT720916 OXP720916 PHL720916 PRH720916 QBD720916 QKZ720916 QUV720916 RER720916 RON720916 RYJ720916 SIF720916 SSB720916 TBX720916 TLT720916 TVP720916 UFL720916 UPH720916 UZD720916 VIZ720916 VSV720916 WCR720916 WMN720916 WWJ720916 AB786452 JX786452 TT786452 ADP786452 ANL786452 AXH786452 BHD786452 BQZ786452 CAV786452 CKR786452 CUN786452 DEJ786452 DOF786452 DYB786452 EHX786452 ERT786452 FBP786452 FLL786452 FVH786452 GFD786452 GOZ786452 GYV786452 HIR786452 HSN786452 ICJ786452 IMF786452 IWB786452 JFX786452 JPT786452 JZP786452 KJL786452 KTH786452 LDD786452 LMZ786452 LWV786452 MGR786452 MQN786452 NAJ786452 NKF786452 NUB786452 ODX786452 ONT786452 OXP786452 PHL786452 PRH786452 QBD786452 QKZ786452 QUV786452 RER786452 RON786452 RYJ786452 SIF786452 SSB786452 TBX786452 TLT786452 TVP786452 UFL786452 UPH786452 UZD786452 VIZ786452 VSV786452 WCR786452 WMN786452 WWJ786452 AB851988 JX851988 TT851988 ADP851988 ANL851988 AXH851988 BHD851988 BQZ851988 CAV851988 CKR851988 CUN851988 DEJ851988 DOF851988 DYB851988 EHX851988 ERT851988 FBP851988 FLL851988 FVH851988 GFD851988 GOZ851988 GYV851988 HIR851988 HSN851988 ICJ851988 IMF851988 IWB851988 JFX851988 JPT851988 JZP851988 KJL851988 KTH851988 LDD851988 LMZ851988 LWV851988 MGR851988 MQN851988 NAJ851988 NKF851988 NUB851988 ODX851988 ONT851988 OXP851988 PHL851988 PRH851988 QBD851988 QKZ851988 QUV851988 RER851988 RON851988 RYJ851988 SIF851988 SSB851988 TBX851988 TLT851988 TVP851988 UFL851988 UPH851988 UZD851988 VIZ851988 VSV851988 WCR851988 WMN851988 WWJ851988 AB917524 JX917524 TT917524 ADP917524 ANL917524 AXH917524 BHD917524 BQZ917524 CAV917524 CKR917524 CUN917524 DEJ917524 DOF917524 DYB917524 EHX917524 ERT917524 FBP917524 FLL917524 FVH917524 GFD917524 GOZ917524 GYV917524 HIR917524 HSN917524 ICJ917524 IMF917524 IWB917524 JFX917524 JPT917524 JZP917524 KJL917524 KTH917524 LDD917524 LMZ917524 LWV917524 MGR917524 MQN917524 NAJ917524 NKF917524 NUB917524 ODX917524 ONT917524 OXP917524 PHL917524 PRH917524 QBD917524 QKZ917524 QUV917524 RER917524 RON917524 RYJ917524 SIF917524 SSB917524 TBX917524 TLT917524 TVP917524 UFL917524 UPH917524 UZD917524 VIZ917524 VSV917524 WCR917524 WMN917524 WWJ917524 AB983060 JX983060 TT983060 ADP983060 ANL983060 AXH983060 BHD983060 BQZ983060 CAV983060 CKR983060 CUN983060 DEJ983060 DOF983060 DYB983060 EHX983060 ERT983060 FBP983060 FLL983060 FVH983060 GFD983060 GOZ983060 GYV983060 HIR983060 HSN983060 ICJ983060 IMF983060 IWB983060 JFX983060 JPT983060 JZP983060 KJL983060 KTH983060 LDD983060 LMZ983060 LWV983060 MGR983060 MQN983060 NAJ983060 NKF983060 NUB983060 ODX983060 ONT983060 OXP983060 PHL983060 PRH983060 QBD983060 QKZ983060 QUV983060 RER983060 RON983060 RYJ983060 SIF983060 SSB983060 TBX983060 TLT983060 TVP983060 UFL983060 UPH983060 UZD983060 VIZ983060 VSV983060 WCR983060 WMN983060 WWJ983060 B169 IX169 ST169 ACP169 AML169 AWH169 BGD169 BPZ169 BZV169 CJR169 CTN169 DDJ169 DNF169 DXB169 EGX169 EQT169 FAP169 FKL169 FUH169 GED169 GNZ169 GXV169 HHR169 HRN169 IBJ169 ILF169 IVB169 JEX169 JOT169 JYP169 KIL169 KSH169 LCD169 LLZ169 LVV169 MFR169 MPN169 MZJ169 NJF169 NTB169 OCX169 OMT169 OWP169 PGL169 PQH169 QAD169 QJZ169 QTV169 RDR169 RNN169 RXJ169 SHF169 SRB169 TAX169 TKT169 TUP169 UEL169 UOH169 UYD169 VHZ169 VRV169 WBR169 WLN169 WVJ169 B65705 IX65705 ST65705 ACP65705 AML65705 AWH65705 BGD65705 BPZ65705 BZV65705 CJR65705 CTN65705 DDJ65705 DNF65705 DXB65705 EGX65705 EQT65705 FAP65705 FKL65705 FUH65705 GED65705 GNZ65705 GXV65705 HHR65705 HRN65705 IBJ65705 ILF65705 IVB65705 JEX65705 JOT65705 JYP65705 KIL65705 KSH65705 LCD65705 LLZ65705 LVV65705 MFR65705 MPN65705 MZJ65705 NJF65705 NTB65705 OCX65705 OMT65705 OWP65705 PGL65705 PQH65705 QAD65705 QJZ65705 QTV65705 RDR65705 RNN65705 RXJ65705 SHF65705 SRB65705 TAX65705 TKT65705 TUP65705 UEL65705 UOH65705 UYD65705 VHZ65705 VRV65705 WBR65705 WLN65705 WVJ65705 B131241 IX131241 ST131241 ACP131241 AML131241 AWH131241 BGD131241 BPZ131241 BZV131241 CJR131241 CTN131241 DDJ131241 DNF131241 DXB131241 EGX131241 EQT131241 FAP131241 FKL131241 FUH131241 GED131241 GNZ131241 GXV131241 HHR131241 HRN131241 IBJ131241 ILF131241 IVB131241 JEX131241 JOT131241 JYP131241 KIL131241 KSH131241 LCD131241 LLZ131241 LVV131241 MFR131241 MPN131241 MZJ131241 NJF131241 NTB131241 OCX131241 OMT131241 OWP131241 PGL131241 PQH131241 QAD131241 QJZ131241 QTV131241 RDR131241 RNN131241 RXJ131241 SHF131241 SRB131241 TAX131241 TKT131241 TUP131241 UEL131241 UOH131241 UYD131241 VHZ131241 VRV131241 WBR131241 WLN131241 WVJ131241 B196777 IX196777 ST196777 ACP196777 AML196777 AWH196777 BGD196777 BPZ196777 BZV196777 CJR196777 CTN196777 DDJ196777 DNF196777 DXB196777 EGX196777 EQT196777 FAP196777 FKL196777 FUH196777 GED196777 GNZ196777 GXV196777 HHR196777 HRN196777 IBJ196777 ILF196777 IVB196777 JEX196777 JOT196777 JYP196777 KIL196777 KSH196777 LCD196777 LLZ196777 LVV196777 MFR196777 MPN196777 MZJ196777 NJF196777 NTB196777 OCX196777 OMT196777 OWP196777 PGL196777 PQH196777 QAD196777 QJZ196777 QTV196777 RDR196777 RNN196777 RXJ196777 SHF196777 SRB196777 TAX196777 TKT196777 TUP196777 UEL196777 UOH196777 UYD196777 VHZ196777 VRV196777 WBR196777 WLN196777 WVJ196777 B262313 IX262313 ST262313 ACP262313 AML262313 AWH262313 BGD262313 BPZ262313 BZV262313 CJR262313 CTN262313 DDJ262313 DNF262313 DXB262313 EGX262313 EQT262313 FAP262313 FKL262313 FUH262313 GED262313 GNZ262313 GXV262313 HHR262313 HRN262313 IBJ262313 ILF262313 IVB262313 JEX262313 JOT262313 JYP262313 KIL262313 KSH262313 LCD262313 LLZ262313 LVV262313 MFR262313 MPN262313 MZJ262313 NJF262313 NTB262313 OCX262313 OMT262313 OWP262313 PGL262313 PQH262313 QAD262313 QJZ262313 QTV262313 RDR262313 RNN262313 RXJ262313 SHF262313 SRB262313 TAX262313 TKT262313 TUP262313 UEL262313 UOH262313 UYD262313 VHZ262313 VRV262313 WBR262313 WLN262313 WVJ262313 B327849 IX327849 ST327849 ACP327849 AML327849 AWH327849 BGD327849 BPZ327849 BZV327849 CJR327849 CTN327849 DDJ327849 DNF327849 DXB327849 EGX327849 EQT327849 FAP327849 FKL327849 FUH327849 GED327849 GNZ327849 GXV327849 HHR327849 HRN327849 IBJ327849 ILF327849 IVB327849 JEX327849 JOT327849 JYP327849 KIL327849 KSH327849 LCD327849 LLZ327849 LVV327849 MFR327849 MPN327849 MZJ327849 NJF327849 NTB327849 OCX327849 OMT327849 OWP327849 PGL327849 PQH327849 QAD327849 QJZ327849 QTV327849 RDR327849 RNN327849 RXJ327849 SHF327849 SRB327849 TAX327849 TKT327849 TUP327849 UEL327849 UOH327849 UYD327849 VHZ327849 VRV327849 WBR327849 WLN327849 WVJ327849 B393385 IX393385 ST393385 ACP393385 AML393385 AWH393385 BGD393385 BPZ393385 BZV393385 CJR393385 CTN393385 DDJ393385 DNF393385 DXB393385 EGX393385 EQT393385 FAP393385 FKL393385 FUH393385 GED393385 GNZ393385 GXV393385 HHR393385 HRN393385 IBJ393385 ILF393385 IVB393385 JEX393385 JOT393385 JYP393385 KIL393385 KSH393385 LCD393385 LLZ393385 LVV393385 MFR393385 MPN393385 MZJ393385 NJF393385 NTB393385 OCX393385 OMT393385 OWP393385 PGL393385 PQH393385 QAD393385 QJZ393385 QTV393385 RDR393385 RNN393385 RXJ393385 SHF393385 SRB393385 TAX393385 TKT393385 TUP393385 UEL393385 UOH393385 UYD393385 VHZ393385 VRV393385 WBR393385 WLN393385 WVJ393385 B458921 IX458921 ST458921 ACP458921 AML458921 AWH458921 BGD458921 BPZ458921 BZV458921 CJR458921 CTN458921 DDJ458921 DNF458921 DXB458921 EGX458921 EQT458921 FAP458921 FKL458921 FUH458921 GED458921 GNZ458921 GXV458921 HHR458921 HRN458921 IBJ458921 ILF458921 IVB458921 JEX458921 JOT458921 JYP458921 KIL458921 KSH458921 LCD458921 LLZ458921 LVV458921 MFR458921 MPN458921 MZJ458921 NJF458921 NTB458921 OCX458921 OMT458921 OWP458921 PGL458921 PQH458921 QAD458921 QJZ458921 QTV458921 RDR458921 RNN458921 RXJ458921 SHF458921 SRB458921 TAX458921 TKT458921 TUP458921 UEL458921 UOH458921 UYD458921 VHZ458921 VRV458921 WBR458921 WLN458921 WVJ458921 B524457 IX524457 ST524457 ACP524457 AML524457 AWH524457 BGD524457 BPZ524457 BZV524457 CJR524457 CTN524457 DDJ524457 DNF524457 DXB524457 EGX524457 EQT524457 FAP524457 FKL524457 FUH524457 GED524457 GNZ524457 GXV524457 HHR524457 HRN524457 IBJ524457 ILF524457 IVB524457 JEX524457 JOT524457 JYP524457 KIL524457 KSH524457 LCD524457 LLZ524457 LVV524457 MFR524457 MPN524457 MZJ524457 NJF524457 NTB524457 OCX524457 OMT524457 OWP524457 PGL524457 PQH524457 QAD524457 QJZ524457 QTV524457 RDR524457 RNN524457 RXJ524457 SHF524457 SRB524457 TAX524457 TKT524457 TUP524457 UEL524457 UOH524457 UYD524457 VHZ524457 VRV524457 WBR524457 WLN524457 WVJ524457 B589993 IX589993 ST589993 ACP589993 AML589993 AWH589993 BGD589993 BPZ589993 BZV589993 CJR589993 CTN589993 DDJ589993 DNF589993 DXB589993 EGX589993 EQT589993 FAP589993 FKL589993 FUH589993 GED589993 GNZ589993 GXV589993 HHR589993 HRN589993 IBJ589993 ILF589993 IVB589993 JEX589993 JOT589993 JYP589993 KIL589993 KSH589993 LCD589993 LLZ589993 LVV589993 MFR589993 MPN589993 MZJ589993 NJF589993 NTB589993 OCX589993 OMT589993 OWP589993 PGL589993 PQH589993 QAD589993 QJZ589993 QTV589993 RDR589993 RNN589993 RXJ589993 SHF589993 SRB589993 TAX589993 TKT589993 TUP589993 UEL589993 UOH589993 UYD589993 VHZ589993 VRV589993 WBR589993 WLN589993 WVJ589993 B655529 IX655529 ST655529 ACP655529 AML655529 AWH655529 BGD655529 BPZ655529 BZV655529 CJR655529 CTN655529 DDJ655529 DNF655529 DXB655529 EGX655529 EQT655529 FAP655529 FKL655529 FUH655529 GED655529 GNZ655529 GXV655529 HHR655529 HRN655529 IBJ655529 ILF655529 IVB655529 JEX655529 JOT655529 JYP655529 KIL655529 KSH655529 LCD655529 LLZ655529 LVV655529 MFR655529 MPN655529 MZJ655529 NJF655529 NTB655529 OCX655529 OMT655529 OWP655529 PGL655529 PQH655529 QAD655529 QJZ655529 QTV655529 RDR655529 RNN655529 RXJ655529 SHF655529 SRB655529 TAX655529 TKT655529 TUP655529 UEL655529 UOH655529 UYD655529 VHZ655529 VRV655529 WBR655529 WLN655529 WVJ655529 B721065 IX721065 ST721065 ACP721065 AML721065 AWH721065 BGD721065 BPZ721065 BZV721065 CJR721065 CTN721065 DDJ721065 DNF721065 DXB721065 EGX721065 EQT721065 FAP721065 FKL721065 FUH721065 GED721065 GNZ721065 GXV721065 HHR721065 HRN721065 IBJ721065 ILF721065 IVB721065 JEX721065 JOT721065 JYP721065 KIL721065 KSH721065 LCD721065 LLZ721065 LVV721065 MFR721065 MPN721065 MZJ721065 NJF721065 NTB721065 OCX721065 OMT721065 OWP721065 PGL721065 PQH721065 QAD721065 QJZ721065 QTV721065 RDR721065 RNN721065 RXJ721065 SHF721065 SRB721065 TAX721065 TKT721065 TUP721065 UEL721065 UOH721065 UYD721065 VHZ721065 VRV721065 WBR721065 WLN721065 WVJ721065 B786601 IX786601 ST786601 ACP786601 AML786601 AWH786601 BGD786601 BPZ786601 BZV786601 CJR786601 CTN786601 DDJ786601 DNF786601 DXB786601 EGX786601 EQT786601 FAP786601 FKL786601 FUH786601 GED786601 GNZ786601 GXV786601 HHR786601 HRN786601 IBJ786601 ILF786601 IVB786601 JEX786601 JOT786601 JYP786601 KIL786601 KSH786601 LCD786601 LLZ786601 LVV786601 MFR786601 MPN786601 MZJ786601 NJF786601 NTB786601 OCX786601 OMT786601 OWP786601 PGL786601 PQH786601 QAD786601 QJZ786601 QTV786601 RDR786601 RNN786601 RXJ786601 SHF786601 SRB786601 TAX786601 TKT786601 TUP786601 UEL786601 UOH786601 UYD786601 VHZ786601 VRV786601 WBR786601 WLN786601 WVJ786601 B852137 IX852137 ST852137 ACP852137 AML852137 AWH852137 BGD852137 BPZ852137 BZV852137 CJR852137 CTN852137 DDJ852137 DNF852137 DXB852137 EGX852137 EQT852137 FAP852137 FKL852137 FUH852137 GED852137 GNZ852137 GXV852137 HHR852137 HRN852137 IBJ852137 ILF852137 IVB852137 JEX852137 JOT852137 JYP852137 KIL852137 KSH852137 LCD852137 LLZ852137 LVV852137 MFR852137 MPN852137 MZJ852137 NJF852137 NTB852137 OCX852137 OMT852137 OWP852137 PGL852137 PQH852137 QAD852137 QJZ852137 QTV852137 RDR852137 RNN852137 RXJ852137 SHF852137 SRB852137 TAX852137 TKT852137 TUP852137 UEL852137 UOH852137 UYD852137 VHZ852137 VRV852137 WBR852137 WLN852137 WVJ852137 B917673 IX917673 ST917673 ACP917673 AML917673 AWH917673 BGD917673 BPZ917673 BZV917673 CJR917673 CTN917673 DDJ917673 DNF917673 DXB917673 EGX917673 EQT917673 FAP917673 FKL917673 FUH917673 GED917673 GNZ917673 GXV917673 HHR917673 HRN917673 IBJ917673 ILF917673 IVB917673 JEX917673 JOT917673 JYP917673 KIL917673 KSH917673 LCD917673 LLZ917673 LVV917673 MFR917673 MPN917673 MZJ917673 NJF917673 NTB917673 OCX917673 OMT917673 OWP917673 PGL917673 PQH917673 QAD917673 QJZ917673 QTV917673 RDR917673 RNN917673 RXJ917673 SHF917673 SRB917673 TAX917673 TKT917673 TUP917673 UEL917673 UOH917673 UYD917673 VHZ917673 VRV917673 WBR917673 WLN917673 WVJ917673 B983209 IX983209 ST983209 ACP983209 AML983209 AWH983209 BGD983209 BPZ983209 BZV983209 CJR983209 CTN983209 DDJ983209 DNF983209 DXB983209 EGX983209 EQT983209 FAP983209 FKL983209 FUH983209 GED983209 GNZ983209 GXV983209 HHR983209 HRN983209 IBJ983209 ILF983209 IVB983209 JEX983209 JOT983209 JYP983209 KIL983209 KSH983209 LCD983209 LLZ983209 LVV983209 MFR983209 MPN983209 MZJ983209 NJF983209 NTB983209 OCX983209 OMT983209 OWP983209 PGL983209 PQH983209 QAD983209 QJZ983209 QTV983209 RDR983209 RNN983209 RXJ983209 SHF983209 SRB983209 TAX983209 TKT983209 TUP983209 UEL983209 UOH983209 UYD983209 VHZ983209 VRV983209 WBR983209 WLN983209 WVJ983209 C155 IY155 SU155 ACQ155 AMM155 AWI155 BGE155 BQA155 BZW155 CJS155 CTO155 DDK155 DNG155 DXC155 EGY155 EQU155 FAQ155 FKM155 FUI155 GEE155 GOA155 GXW155 HHS155 HRO155 IBK155 ILG155 IVC155 JEY155 JOU155 JYQ155 KIM155 KSI155 LCE155 LMA155 LVW155 MFS155 MPO155 MZK155 NJG155 NTC155 OCY155 OMU155 OWQ155 PGM155 PQI155 QAE155 QKA155 QTW155 RDS155 RNO155 RXK155 SHG155 SRC155 TAY155 TKU155 TUQ155 UEM155 UOI155 UYE155 VIA155 VRW155 WBS155 WLO155 WVK155 C65691 IY65691 SU65691 ACQ65691 AMM65691 AWI65691 BGE65691 BQA65691 BZW65691 CJS65691 CTO65691 DDK65691 DNG65691 DXC65691 EGY65691 EQU65691 FAQ65691 FKM65691 FUI65691 GEE65691 GOA65691 GXW65691 HHS65691 HRO65691 IBK65691 ILG65691 IVC65691 JEY65691 JOU65691 JYQ65691 KIM65691 KSI65691 LCE65691 LMA65691 LVW65691 MFS65691 MPO65691 MZK65691 NJG65691 NTC65691 OCY65691 OMU65691 OWQ65691 PGM65691 PQI65691 QAE65691 QKA65691 QTW65691 RDS65691 RNO65691 RXK65691 SHG65691 SRC65691 TAY65691 TKU65691 TUQ65691 UEM65691 UOI65691 UYE65691 VIA65691 VRW65691 WBS65691 WLO65691 WVK65691 C131227 IY131227 SU131227 ACQ131227 AMM131227 AWI131227 BGE131227 BQA131227 BZW131227 CJS131227 CTO131227 DDK131227 DNG131227 DXC131227 EGY131227 EQU131227 FAQ131227 FKM131227 FUI131227 GEE131227 GOA131227 GXW131227 HHS131227 HRO131227 IBK131227 ILG131227 IVC131227 JEY131227 JOU131227 JYQ131227 KIM131227 KSI131227 LCE131227 LMA131227 LVW131227 MFS131227 MPO131227 MZK131227 NJG131227 NTC131227 OCY131227 OMU131227 OWQ131227 PGM131227 PQI131227 QAE131227 QKA131227 QTW131227 RDS131227 RNO131227 RXK131227 SHG131227 SRC131227 TAY131227 TKU131227 TUQ131227 UEM131227 UOI131227 UYE131227 VIA131227 VRW131227 WBS131227 WLO131227 WVK131227 C196763 IY196763 SU196763 ACQ196763 AMM196763 AWI196763 BGE196763 BQA196763 BZW196763 CJS196763 CTO196763 DDK196763 DNG196763 DXC196763 EGY196763 EQU196763 FAQ196763 FKM196763 FUI196763 GEE196763 GOA196763 GXW196763 HHS196763 HRO196763 IBK196763 ILG196763 IVC196763 JEY196763 JOU196763 JYQ196763 KIM196763 KSI196763 LCE196763 LMA196763 LVW196763 MFS196763 MPO196763 MZK196763 NJG196763 NTC196763 OCY196763 OMU196763 OWQ196763 PGM196763 PQI196763 QAE196763 QKA196763 QTW196763 RDS196763 RNO196763 RXK196763 SHG196763 SRC196763 TAY196763 TKU196763 TUQ196763 UEM196763 UOI196763 UYE196763 VIA196763 VRW196763 WBS196763 WLO196763 WVK196763 C262299 IY262299 SU262299 ACQ262299 AMM262299 AWI262299 BGE262299 BQA262299 BZW262299 CJS262299 CTO262299 DDK262299 DNG262299 DXC262299 EGY262299 EQU262299 FAQ262299 FKM262299 FUI262299 GEE262299 GOA262299 GXW262299 HHS262299 HRO262299 IBK262299 ILG262299 IVC262299 JEY262299 JOU262299 JYQ262299 KIM262299 KSI262299 LCE262299 LMA262299 LVW262299 MFS262299 MPO262299 MZK262299 NJG262299 NTC262299 OCY262299 OMU262299 OWQ262299 PGM262299 PQI262299 QAE262299 QKA262299 QTW262299 RDS262299 RNO262299 RXK262299 SHG262299 SRC262299 TAY262299 TKU262299 TUQ262299 UEM262299 UOI262299 UYE262299 VIA262299 VRW262299 WBS262299 WLO262299 WVK262299 C327835 IY327835 SU327835 ACQ327835 AMM327835 AWI327835 BGE327835 BQA327835 BZW327835 CJS327835 CTO327835 DDK327835 DNG327835 DXC327835 EGY327835 EQU327835 FAQ327835 FKM327835 FUI327835 GEE327835 GOA327835 GXW327835 HHS327835 HRO327835 IBK327835 ILG327835 IVC327835 JEY327835 JOU327835 JYQ327835 KIM327835 KSI327835 LCE327835 LMA327835 LVW327835 MFS327835 MPO327835 MZK327835 NJG327835 NTC327835 OCY327835 OMU327835 OWQ327835 PGM327835 PQI327835 QAE327835 QKA327835 QTW327835 RDS327835 RNO327835 RXK327835 SHG327835 SRC327835 TAY327835 TKU327835 TUQ327835 UEM327835 UOI327835 UYE327835 VIA327835 VRW327835 WBS327835 WLO327835 WVK327835 C393371 IY393371 SU393371 ACQ393371 AMM393371 AWI393371 BGE393371 BQA393371 BZW393371 CJS393371 CTO393371 DDK393371 DNG393371 DXC393371 EGY393371 EQU393371 FAQ393371 FKM393371 FUI393371 GEE393371 GOA393371 GXW393371 HHS393371 HRO393371 IBK393371 ILG393371 IVC393371 JEY393371 JOU393371 JYQ393371 KIM393371 KSI393371 LCE393371 LMA393371 LVW393371 MFS393371 MPO393371 MZK393371 NJG393371 NTC393371 OCY393371 OMU393371 OWQ393371 PGM393371 PQI393371 QAE393371 QKA393371 QTW393371 RDS393371 RNO393371 RXK393371 SHG393371 SRC393371 TAY393371 TKU393371 TUQ393371 UEM393371 UOI393371 UYE393371 VIA393371 VRW393371 WBS393371 WLO393371 WVK393371 C458907 IY458907 SU458907 ACQ458907 AMM458907 AWI458907 BGE458907 BQA458907 BZW458907 CJS458907 CTO458907 DDK458907 DNG458907 DXC458907 EGY458907 EQU458907 FAQ458907 FKM458907 FUI458907 GEE458907 GOA458907 GXW458907 HHS458907 HRO458907 IBK458907 ILG458907 IVC458907 JEY458907 JOU458907 JYQ458907 KIM458907 KSI458907 LCE458907 LMA458907 LVW458907 MFS458907 MPO458907 MZK458907 NJG458907 NTC458907 OCY458907 OMU458907 OWQ458907 PGM458907 PQI458907 QAE458907 QKA458907 QTW458907 RDS458907 RNO458907 RXK458907 SHG458907 SRC458907 TAY458907 TKU458907 TUQ458907 UEM458907 UOI458907 UYE458907 VIA458907 VRW458907 WBS458907 WLO458907 WVK458907 C524443 IY524443 SU524443 ACQ524443 AMM524443 AWI524443 BGE524443 BQA524443 BZW524443 CJS524443 CTO524443 DDK524443 DNG524443 DXC524443 EGY524443 EQU524443 FAQ524443 FKM524443 FUI524443 GEE524443 GOA524443 GXW524443 HHS524443 HRO524443 IBK524443 ILG524443 IVC524443 JEY524443 JOU524443 JYQ524443 KIM524443 KSI524443 LCE524443 LMA524443 LVW524443 MFS524443 MPO524443 MZK524443 NJG524443 NTC524443 OCY524443 OMU524443 OWQ524443 PGM524443 PQI524443 QAE524443 QKA524443 QTW524443 RDS524443 RNO524443 RXK524443 SHG524443 SRC524443 TAY524443 TKU524443 TUQ524443 UEM524443 UOI524443 UYE524443 VIA524443 VRW524443 WBS524443 WLO524443 WVK524443 C589979 IY589979 SU589979 ACQ589979 AMM589979 AWI589979 BGE589979 BQA589979 BZW589979 CJS589979 CTO589979 DDK589979 DNG589979 DXC589979 EGY589979 EQU589979 FAQ589979 FKM589979 FUI589979 GEE589979 GOA589979 GXW589979 HHS589979 HRO589979 IBK589979 ILG589979 IVC589979 JEY589979 JOU589979 JYQ589979 KIM589979 KSI589979 LCE589979 LMA589979 LVW589979 MFS589979 MPO589979 MZK589979 NJG589979 NTC589979 OCY589979 OMU589979 OWQ589979 PGM589979 PQI589979 QAE589979 QKA589979 QTW589979 RDS589979 RNO589979 RXK589979 SHG589979 SRC589979 TAY589979 TKU589979 TUQ589979 UEM589979 UOI589979 UYE589979 VIA589979 VRW589979 WBS589979 WLO589979 WVK589979 C655515 IY655515 SU655515 ACQ655515 AMM655515 AWI655515 BGE655515 BQA655515 BZW655515 CJS655515 CTO655515 DDK655515 DNG655515 DXC655515 EGY655515 EQU655515 FAQ655515 FKM655515 FUI655515 GEE655515 GOA655515 GXW655515 HHS655515 HRO655515 IBK655515 ILG655515 IVC655515 JEY655515 JOU655515 JYQ655515 KIM655515 KSI655515 LCE655515 LMA655515 LVW655515 MFS655515 MPO655515 MZK655515 NJG655515 NTC655515 OCY655515 OMU655515 OWQ655515 PGM655515 PQI655515 QAE655515 QKA655515 QTW655515 RDS655515 RNO655515 RXK655515 SHG655515 SRC655515 TAY655515 TKU655515 TUQ655515 UEM655515 UOI655515 UYE655515 VIA655515 VRW655515 WBS655515 WLO655515 WVK655515 C721051 IY721051 SU721051 ACQ721051 AMM721051 AWI721051 BGE721051 BQA721051 BZW721051 CJS721051 CTO721051 DDK721051 DNG721051 DXC721051 EGY721051 EQU721051 FAQ721051 FKM721051 FUI721051 GEE721051 GOA721051 GXW721051 HHS721051 HRO721051 IBK721051 ILG721051 IVC721051 JEY721051 JOU721051 JYQ721051 KIM721051 KSI721051 LCE721051 LMA721051 LVW721051 MFS721051 MPO721051 MZK721051 NJG721051 NTC721051 OCY721051 OMU721051 OWQ721051 PGM721051 PQI721051 QAE721051 QKA721051 QTW721051 RDS721051 RNO721051 RXK721051 SHG721051 SRC721051 TAY721051 TKU721051 TUQ721051 UEM721051 UOI721051 UYE721051 VIA721051 VRW721051 WBS721051 WLO721051 WVK721051 C786587 IY786587 SU786587 ACQ786587 AMM786587 AWI786587 BGE786587 BQA786587 BZW786587 CJS786587 CTO786587 DDK786587 DNG786587 DXC786587 EGY786587 EQU786587 FAQ786587 FKM786587 FUI786587 GEE786587 GOA786587 GXW786587 HHS786587 HRO786587 IBK786587 ILG786587 IVC786587 JEY786587 JOU786587 JYQ786587 KIM786587 KSI786587 LCE786587 LMA786587 LVW786587 MFS786587 MPO786587 MZK786587 NJG786587 NTC786587 OCY786587 OMU786587 OWQ786587 PGM786587 PQI786587 QAE786587 QKA786587 QTW786587 RDS786587 RNO786587 RXK786587 SHG786587 SRC786587 TAY786587 TKU786587 TUQ786587 UEM786587 UOI786587 UYE786587 VIA786587 VRW786587 WBS786587 WLO786587 WVK786587 C852123 IY852123 SU852123 ACQ852123 AMM852123 AWI852123 BGE852123 BQA852123 BZW852123 CJS852123 CTO852123 DDK852123 DNG852123 DXC852123 EGY852123 EQU852123 FAQ852123 FKM852123 FUI852123 GEE852123 GOA852123 GXW852123 HHS852123 HRO852123 IBK852123 ILG852123 IVC852123 JEY852123 JOU852123 JYQ852123 KIM852123 KSI852123 LCE852123 LMA852123 LVW852123 MFS852123 MPO852123 MZK852123 NJG852123 NTC852123 OCY852123 OMU852123 OWQ852123 PGM852123 PQI852123 QAE852123 QKA852123 QTW852123 RDS852123 RNO852123 RXK852123 SHG852123 SRC852123 TAY852123 TKU852123 TUQ852123 UEM852123 UOI852123 UYE852123 VIA852123 VRW852123 WBS852123 WLO852123 WVK852123 C917659 IY917659 SU917659 ACQ917659 AMM917659 AWI917659 BGE917659 BQA917659 BZW917659 CJS917659 CTO917659 DDK917659 DNG917659 DXC917659 EGY917659 EQU917659 FAQ917659 FKM917659 FUI917659 GEE917659 GOA917659 GXW917659 HHS917659 HRO917659 IBK917659 ILG917659 IVC917659 JEY917659 JOU917659 JYQ917659 KIM917659 KSI917659 LCE917659 LMA917659 LVW917659 MFS917659 MPO917659 MZK917659 NJG917659 NTC917659 OCY917659 OMU917659 OWQ917659 PGM917659 PQI917659 QAE917659 QKA917659 QTW917659 RDS917659 RNO917659 RXK917659 SHG917659 SRC917659 TAY917659 TKU917659 TUQ917659 UEM917659 UOI917659 UYE917659 VIA917659 VRW917659 WBS917659 WLO917659 WVK917659 C983195 IY983195 SU983195 ACQ983195 AMM983195 AWI983195 BGE983195 BQA983195 BZW983195 CJS983195 CTO983195 DDK983195 DNG983195 DXC983195 EGY983195 EQU983195 FAQ983195 FKM983195 FUI983195 GEE983195 GOA983195 GXW983195 HHS983195 HRO983195 IBK983195 ILG983195 IVC983195 JEY983195 JOU983195 JYQ983195 KIM983195 KSI983195 LCE983195 LMA983195 LVW983195 MFS983195 MPO983195 MZK983195 NJG983195 NTC983195 OCY983195 OMU983195 OWQ983195 PGM983195 PQI983195 QAE983195 QKA983195 QTW983195 RDS983195 RNO983195 RXK983195 SHG983195 SRC983195 TAY983195 TKU983195 TUQ983195 UEM983195 UOI983195 UYE983195 VIA983195 VRW983195 WBS983195 WLO983195 WVK983195" xr:uid="{583DC321-107F-4287-935E-D1BA921FB539}">
      <formula1>$AH$44:$AH$45</formula1>
    </dataValidation>
    <dataValidation type="list" allowBlank="1" showInputMessage="1" showErrorMessage="1" sqref="C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xr:uid="{571EDC89-EA86-447B-8CAC-5987BE2AD086}">
      <formula1>$G$19:$G$20</formula1>
    </dataValidation>
    <dataValidation allowBlank="1" showErrorMessage="1" sqref="AF735 KB735 TX735 ADT735 ANP735 AXL735 BHH735 BRD735 CAZ735 CKV735 CUR735 DEN735 DOJ735 DYF735 EIB735 ERX735 FBT735 FLP735 FVL735 GFH735 GPD735 GYZ735 HIV735 HSR735 ICN735 IMJ735 IWF735 JGB735 JPX735 JZT735 KJP735 KTL735 LDH735 LND735 LWZ735 MGV735 MQR735 NAN735 NKJ735 NUF735 OEB735 ONX735 OXT735 PHP735 PRL735 QBH735 QLD735 QUZ735 REV735 ROR735 RYN735 SIJ735 SSF735 TCB735 TLX735 TVT735 UFP735 UPL735 UZH735 VJD735 VSZ735 WCV735 WMR735 WWN735 AF66271 KB66271 TX66271 ADT66271 ANP66271 AXL66271 BHH66271 BRD66271 CAZ66271 CKV66271 CUR66271 DEN66271 DOJ66271 DYF66271 EIB66271 ERX66271 FBT66271 FLP66271 FVL66271 GFH66271 GPD66271 GYZ66271 HIV66271 HSR66271 ICN66271 IMJ66271 IWF66271 JGB66271 JPX66271 JZT66271 KJP66271 KTL66271 LDH66271 LND66271 LWZ66271 MGV66271 MQR66271 NAN66271 NKJ66271 NUF66271 OEB66271 ONX66271 OXT66271 PHP66271 PRL66271 QBH66271 QLD66271 QUZ66271 REV66271 ROR66271 RYN66271 SIJ66271 SSF66271 TCB66271 TLX66271 TVT66271 UFP66271 UPL66271 UZH66271 VJD66271 VSZ66271 WCV66271 WMR66271 WWN66271 AF131807 KB131807 TX131807 ADT131807 ANP131807 AXL131807 BHH131807 BRD131807 CAZ131807 CKV131807 CUR131807 DEN131807 DOJ131807 DYF131807 EIB131807 ERX131807 FBT131807 FLP131807 FVL131807 GFH131807 GPD131807 GYZ131807 HIV131807 HSR131807 ICN131807 IMJ131807 IWF131807 JGB131807 JPX131807 JZT131807 KJP131807 KTL131807 LDH131807 LND131807 LWZ131807 MGV131807 MQR131807 NAN131807 NKJ131807 NUF131807 OEB131807 ONX131807 OXT131807 PHP131807 PRL131807 QBH131807 QLD131807 QUZ131807 REV131807 ROR131807 RYN131807 SIJ131807 SSF131807 TCB131807 TLX131807 TVT131807 UFP131807 UPL131807 UZH131807 VJD131807 VSZ131807 WCV131807 WMR131807 WWN131807 AF197343 KB197343 TX197343 ADT197343 ANP197343 AXL197343 BHH197343 BRD197343 CAZ197343 CKV197343 CUR197343 DEN197343 DOJ197343 DYF197343 EIB197343 ERX197343 FBT197343 FLP197343 FVL197343 GFH197343 GPD197343 GYZ197343 HIV197343 HSR197343 ICN197343 IMJ197343 IWF197343 JGB197343 JPX197343 JZT197343 KJP197343 KTL197343 LDH197343 LND197343 LWZ197343 MGV197343 MQR197343 NAN197343 NKJ197343 NUF197343 OEB197343 ONX197343 OXT197343 PHP197343 PRL197343 QBH197343 QLD197343 QUZ197343 REV197343 ROR197343 RYN197343 SIJ197343 SSF197343 TCB197343 TLX197343 TVT197343 UFP197343 UPL197343 UZH197343 VJD197343 VSZ197343 WCV197343 WMR197343 WWN197343 AF262879 KB262879 TX262879 ADT262879 ANP262879 AXL262879 BHH262879 BRD262879 CAZ262879 CKV262879 CUR262879 DEN262879 DOJ262879 DYF262879 EIB262879 ERX262879 FBT262879 FLP262879 FVL262879 GFH262879 GPD262879 GYZ262879 HIV262879 HSR262879 ICN262879 IMJ262879 IWF262879 JGB262879 JPX262879 JZT262879 KJP262879 KTL262879 LDH262879 LND262879 LWZ262879 MGV262879 MQR262879 NAN262879 NKJ262879 NUF262879 OEB262879 ONX262879 OXT262879 PHP262879 PRL262879 QBH262879 QLD262879 QUZ262879 REV262879 ROR262879 RYN262879 SIJ262879 SSF262879 TCB262879 TLX262879 TVT262879 UFP262879 UPL262879 UZH262879 VJD262879 VSZ262879 WCV262879 WMR262879 WWN262879 AF328415 KB328415 TX328415 ADT328415 ANP328415 AXL328415 BHH328415 BRD328415 CAZ328415 CKV328415 CUR328415 DEN328415 DOJ328415 DYF328415 EIB328415 ERX328415 FBT328415 FLP328415 FVL328415 GFH328415 GPD328415 GYZ328415 HIV328415 HSR328415 ICN328415 IMJ328415 IWF328415 JGB328415 JPX328415 JZT328415 KJP328415 KTL328415 LDH328415 LND328415 LWZ328415 MGV328415 MQR328415 NAN328415 NKJ328415 NUF328415 OEB328415 ONX328415 OXT328415 PHP328415 PRL328415 QBH328415 QLD328415 QUZ328415 REV328415 ROR328415 RYN328415 SIJ328415 SSF328415 TCB328415 TLX328415 TVT328415 UFP328415 UPL328415 UZH328415 VJD328415 VSZ328415 WCV328415 WMR328415 WWN328415 AF393951 KB393951 TX393951 ADT393951 ANP393951 AXL393951 BHH393951 BRD393951 CAZ393951 CKV393951 CUR393951 DEN393951 DOJ393951 DYF393951 EIB393951 ERX393951 FBT393951 FLP393951 FVL393951 GFH393951 GPD393951 GYZ393951 HIV393951 HSR393951 ICN393951 IMJ393951 IWF393951 JGB393951 JPX393951 JZT393951 KJP393951 KTL393951 LDH393951 LND393951 LWZ393951 MGV393951 MQR393951 NAN393951 NKJ393951 NUF393951 OEB393951 ONX393951 OXT393951 PHP393951 PRL393951 QBH393951 QLD393951 QUZ393951 REV393951 ROR393951 RYN393951 SIJ393951 SSF393951 TCB393951 TLX393951 TVT393951 UFP393951 UPL393951 UZH393951 VJD393951 VSZ393951 WCV393951 WMR393951 WWN393951 AF459487 KB459487 TX459487 ADT459487 ANP459487 AXL459487 BHH459487 BRD459487 CAZ459487 CKV459487 CUR459487 DEN459487 DOJ459487 DYF459487 EIB459487 ERX459487 FBT459487 FLP459487 FVL459487 GFH459487 GPD459487 GYZ459487 HIV459487 HSR459487 ICN459487 IMJ459487 IWF459487 JGB459487 JPX459487 JZT459487 KJP459487 KTL459487 LDH459487 LND459487 LWZ459487 MGV459487 MQR459487 NAN459487 NKJ459487 NUF459487 OEB459487 ONX459487 OXT459487 PHP459487 PRL459487 QBH459487 QLD459487 QUZ459487 REV459487 ROR459487 RYN459487 SIJ459487 SSF459487 TCB459487 TLX459487 TVT459487 UFP459487 UPL459487 UZH459487 VJD459487 VSZ459487 WCV459487 WMR459487 WWN459487 AF525023 KB525023 TX525023 ADT525023 ANP525023 AXL525023 BHH525023 BRD525023 CAZ525023 CKV525023 CUR525023 DEN525023 DOJ525023 DYF525023 EIB525023 ERX525023 FBT525023 FLP525023 FVL525023 GFH525023 GPD525023 GYZ525023 HIV525023 HSR525023 ICN525023 IMJ525023 IWF525023 JGB525023 JPX525023 JZT525023 KJP525023 KTL525023 LDH525023 LND525023 LWZ525023 MGV525023 MQR525023 NAN525023 NKJ525023 NUF525023 OEB525023 ONX525023 OXT525023 PHP525023 PRL525023 QBH525023 QLD525023 QUZ525023 REV525023 ROR525023 RYN525023 SIJ525023 SSF525023 TCB525023 TLX525023 TVT525023 UFP525023 UPL525023 UZH525023 VJD525023 VSZ525023 WCV525023 WMR525023 WWN525023 AF590559 KB590559 TX590559 ADT590559 ANP590559 AXL590559 BHH590559 BRD590559 CAZ590559 CKV590559 CUR590559 DEN590559 DOJ590559 DYF590559 EIB590559 ERX590559 FBT590559 FLP590559 FVL590559 GFH590559 GPD590559 GYZ590559 HIV590559 HSR590559 ICN590559 IMJ590559 IWF590559 JGB590559 JPX590559 JZT590559 KJP590559 KTL590559 LDH590559 LND590559 LWZ590559 MGV590559 MQR590559 NAN590559 NKJ590559 NUF590559 OEB590559 ONX590559 OXT590559 PHP590559 PRL590559 QBH590559 QLD590559 QUZ590559 REV590559 ROR590559 RYN590559 SIJ590559 SSF590559 TCB590559 TLX590559 TVT590559 UFP590559 UPL590559 UZH590559 VJD590559 VSZ590559 WCV590559 WMR590559 WWN590559 AF656095 KB656095 TX656095 ADT656095 ANP656095 AXL656095 BHH656095 BRD656095 CAZ656095 CKV656095 CUR656095 DEN656095 DOJ656095 DYF656095 EIB656095 ERX656095 FBT656095 FLP656095 FVL656095 GFH656095 GPD656095 GYZ656095 HIV656095 HSR656095 ICN656095 IMJ656095 IWF656095 JGB656095 JPX656095 JZT656095 KJP656095 KTL656095 LDH656095 LND656095 LWZ656095 MGV656095 MQR656095 NAN656095 NKJ656095 NUF656095 OEB656095 ONX656095 OXT656095 PHP656095 PRL656095 QBH656095 QLD656095 QUZ656095 REV656095 ROR656095 RYN656095 SIJ656095 SSF656095 TCB656095 TLX656095 TVT656095 UFP656095 UPL656095 UZH656095 VJD656095 VSZ656095 WCV656095 WMR656095 WWN656095 AF721631 KB721631 TX721631 ADT721631 ANP721631 AXL721631 BHH721631 BRD721631 CAZ721631 CKV721631 CUR721631 DEN721631 DOJ721631 DYF721631 EIB721631 ERX721631 FBT721631 FLP721631 FVL721631 GFH721631 GPD721631 GYZ721631 HIV721631 HSR721631 ICN721631 IMJ721631 IWF721631 JGB721631 JPX721631 JZT721631 KJP721631 KTL721631 LDH721631 LND721631 LWZ721631 MGV721631 MQR721631 NAN721631 NKJ721631 NUF721631 OEB721631 ONX721631 OXT721631 PHP721631 PRL721631 QBH721631 QLD721631 QUZ721631 REV721631 ROR721631 RYN721631 SIJ721631 SSF721631 TCB721631 TLX721631 TVT721631 UFP721631 UPL721631 UZH721631 VJD721631 VSZ721631 WCV721631 WMR721631 WWN721631 AF787167 KB787167 TX787167 ADT787167 ANP787167 AXL787167 BHH787167 BRD787167 CAZ787167 CKV787167 CUR787167 DEN787167 DOJ787167 DYF787167 EIB787167 ERX787167 FBT787167 FLP787167 FVL787167 GFH787167 GPD787167 GYZ787167 HIV787167 HSR787167 ICN787167 IMJ787167 IWF787167 JGB787167 JPX787167 JZT787167 KJP787167 KTL787167 LDH787167 LND787167 LWZ787167 MGV787167 MQR787167 NAN787167 NKJ787167 NUF787167 OEB787167 ONX787167 OXT787167 PHP787167 PRL787167 QBH787167 QLD787167 QUZ787167 REV787167 ROR787167 RYN787167 SIJ787167 SSF787167 TCB787167 TLX787167 TVT787167 UFP787167 UPL787167 UZH787167 VJD787167 VSZ787167 WCV787167 WMR787167 WWN787167 AF852703 KB852703 TX852703 ADT852703 ANP852703 AXL852703 BHH852703 BRD852703 CAZ852703 CKV852703 CUR852703 DEN852703 DOJ852703 DYF852703 EIB852703 ERX852703 FBT852703 FLP852703 FVL852703 GFH852703 GPD852703 GYZ852703 HIV852703 HSR852703 ICN852703 IMJ852703 IWF852703 JGB852703 JPX852703 JZT852703 KJP852703 KTL852703 LDH852703 LND852703 LWZ852703 MGV852703 MQR852703 NAN852703 NKJ852703 NUF852703 OEB852703 ONX852703 OXT852703 PHP852703 PRL852703 QBH852703 QLD852703 QUZ852703 REV852703 ROR852703 RYN852703 SIJ852703 SSF852703 TCB852703 TLX852703 TVT852703 UFP852703 UPL852703 UZH852703 VJD852703 VSZ852703 WCV852703 WMR852703 WWN852703 AF918239 KB918239 TX918239 ADT918239 ANP918239 AXL918239 BHH918239 BRD918239 CAZ918239 CKV918239 CUR918239 DEN918239 DOJ918239 DYF918239 EIB918239 ERX918239 FBT918239 FLP918239 FVL918239 GFH918239 GPD918239 GYZ918239 HIV918239 HSR918239 ICN918239 IMJ918239 IWF918239 JGB918239 JPX918239 JZT918239 KJP918239 KTL918239 LDH918239 LND918239 LWZ918239 MGV918239 MQR918239 NAN918239 NKJ918239 NUF918239 OEB918239 ONX918239 OXT918239 PHP918239 PRL918239 QBH918239 QLD918239 QUZ918239 REV918239 ROR918239 RYN918239 SIJ918239 SSF918239 TCB918239 TLX918239 TVT918239 UFP918239 UPL918239 UZH918239 VJD918239 VSZ918239 WCV918239 WMR918239 WWN918239 AF983775 KB983775 TX983775 ADT983775 ANP983775 AXL983775 BHH983775 BRD983775 CAZ983775 CKV983775 CUR983775 DEN983775 DOJ983775 DYF983775 EIB983775 ERX983775 FBT983775 FLP983775 FVL983775 GFH983775 GPD983775 GYZ983775 HIV983775 HSR983775 ICN983775 IMJ983775 IWF983775 JGB983775 JPX983775 JZT983775 KJP983775 KTL983775 LDH983775 LND983775 LWZ983775 MGV983775 MQR983775 NAN983775 NKJ983775 NUF983775 OEB983775 ONX983775 OXT983775 PHP983775 PRL983775 QBH983775 QLD983775 QUZ983775 REV983775 ROR983775 RYN983775 SIJ983775 SSF983775 TCB983775 TLX983775 TVT983775 UFP983775 UPL983775 UZH983775 VJD983775 VSZ983775 WCV983775 WMR983775 WWN983775 AK25 KG25 UC25 ADY25 ANU25 AXQ25 BHM25 BRI25 CBE25 CLA25 CUW25 DES25 DOO25 DYK25 EIG25 ESC25 FBY25 FLU25 FVQ25 GFM25 GPI25 GZE25 HJA25 HSW25 ICS25 IMO25 IWK25 JGG25 JQC25 JZY25 KJU25 KTQ25 LDM25 LNI25 LXE25 MHA25 MQW25 NAS25 NKO25 NUK25 OEG25 OOC25 OXY25 PHU25 PRQ25 QBM25 QLI25 QVE25 RFA25 ROW25 RYS25 SIO25 SSK25 TCG25 TMC25 TVY25 UFU25 UPQ25 UZM25 VJI25 VTE25 WDA25 WMW25 WWS25 AK65561 KG65561 UC65561 ADY65561 ANU65561 AXQ65561 BHM65561 BRI65561 CBE65561 CLA65561 CUW65561 DES65561 DOO65561 DYK65561 EIG65561 ESC65561 FBY65561 FLU65561 FVQ65561 GFM65561 GPI65561 GZE65561 HJA65561 HSW65561 ICS65561 IMO65561 IWK65561 JGG65561 JQC65561 JZY65561 KJU65561 KTQ65561 LDM65561 LNI65561 LXE65561 MHA65561 MQW65561 NAS65561 NKO65561 NUK65561 OEG65561 OOC65561 OXY65561 PHU65561 PRQ65561 QBM65561 QLI65561 QVE65561 RFA65561 ROW65561 RYS65561 SIO65561 SSK65561 TCG65561 TMC65561 TVY65561 UFU65561 UPQ65561 UZM65561 VJI65561 VTE65561 WDA65561 WMW65561 WWS65561 AK131097 KG131097 UC131097 ADY131097 ANU131097 AXQ131097 BHM131097 BRI131097 CBE131097 CLA131097 CUW131097 DES131097 DOO131097 DYK131097 EIG131097 ESC131097 FBY131097 FLU131097 FVQ131097 GFM131097 GPI131097 GZE131097 HJA131097 HSW131097 ICS131097 IMO131097 IWK131097 JGG131097 JQC131097 JZY131097 KJU131097 KTQ131097 LDM131097 LNI131097 LXE131097 MHA131097 MQW131097 NAS131097 NKO131097 NUK131097 OEG131097 OOC131097 OXY131097 PHU131097 PRQ131097 QBM131097 QLI131097 QVE131097 RFA131097 ROW131097 RYS131097 SIO131097 SSK131097 TCG131097 TMC131097 TVY131097 UFU131097 UPQ131097 UZM131097 VJI131097 VTE131097 WDA131097 WMW131097 WWS131097 AK196633 KG196633 UC196633 ADY196633 ANU196633 AXQ196633 BHM196633 BRI196633 CBE196633 CLA196633 CUW196633 DES196633 DOO196633 DYK196633 EIG196633 ESC196633 FBY196633 FLU196633 FVQ196633 GFM196633 GPI196633 GZE196633 HJA196633 HSW196633 ICS196633 IMO196633 IWK196633 JGG196633 JQC196633 JZY196633 KJU196633 KTQ196633 LDM196633 LNI196633 LXE196633 MHA196633 MQW196633 NAS196633 NKO196633 NUK196633 OEG196633 OOC196633 OXY196633 PHU196633 PRQ196633 QBM196633 QLI196633 QVE196633 RFA196633 ROW196633 RYS196633 SIO196633 SSK196633 TCG196633 TMC196633 TVY196633 UFU196633 UPQ196633 UZM196633 VJI196633 VTE196633 WDA196633 WMW196633 WWS196633 AK262169 KG262169 UC262169 ADY262169 ANU262169 AXQ262169 BHM262169 BRI262169 CBE262169 CLA262169 CUW262169 DES262169 DOO262169 DYK262169 EIG262169 ESC262169 FBY262169 FLU262169 FVQ262169 GFM262169 GPI262169 GZE262169 HJA262169 HSW262169 ICS262169 IMO262169 IWK262169 JGG262169 JQC262169 JZY262169 KJU262169 KTQ262169 LDM262169 LNI262169 LXE262169 MHA262169 MQW262169 NAS262169 NKO262169 NUK262169 OEG262169 OOC262169 OXY262169 PHU262169 PRQ262169 QBM262169 QLI262169 QVE262169 RFA262169 ROW262169 RYS262169 SIO262169 SSK262169 TCG262169 TMC262169 TVY262169 UFU262169 UPQ262169 UZM262169 VJI262169 VTE262169 WDA262169 WMW262169 WWS262169 AK327705 KG327705 UC327705 ADY327705 ANU327705 AXQ327705 BHM327705 BRI327705 CBE327705 CLA327705 CUW327705 DES327705 DOO327705 DYK327705 EIG327705 ESC327705 FBY327705 FLU327705 FVQ327705 GFM327705 GPI327705 GZE327705 HJA327705 HSW327705 ICS327705 IMO327705 IWK327705 JGG327705 JQC327705 JZY327705 KJU327705 KTQ327705 LDM327705 LNI327705 LXE327705 MHA327705 MQW327705 NAS327705 NKO327705 NUK327705 OEG327705 OOC327705 OXY327705 PHU327705 PRQ327705 QBM327705 QLI327705 QVE327705 RFA327705 ROW327705 RYS327705 SIO327705 SSK327705 TCG327705 TMC327705 TVY327705 UFU327705 UPQ327705 UZM327705 VJI327705 VTE327705 WDA327705 WMW327705 WWS327705 AK393241 KG393241 UC393241 ADY393241 ANU393241 AXQ393241 BHM393241 BRI393241 CBE393241 CLA393241 CUW393241 DES393241 DOO393241 DYK393241 EIG393241 ESC393241 FBY393241 FLU393241 FVQ393241 GFM393241 GPI393241 GZE393241 HJA393241 HSW393241 ICS393241 IMO393241 IWK393241 JGG393241 JQC393241 JZY393241 KJU393241 KTQ393241 LDM393241 LNI393241 LXE393241 MHA393241 MQW393241 NAS393241 NKO393241 NUK393241 OEG393241 OOC393241 OXY393241 PHU393241 PRQ393241 QBM393241 QLI393241 QVE393241 RFA393241 ROW393241 RYS393241 SIO393241 SSK393241 TCG393241 TMC393241 TVY393241 UFU393241 UPQ393241 UZM393241 VJI393241 VTE393241 WDA393241 WMW393241 WWS393241 AK458777 KG458777 UC458777 ADY458777 ANU458777 AXQ458777 BHM458777 BRI458777 CBE458777 CLA458777 CUW458777 DES458777 DOO458777 DYK458777 EIG458777 ESC458777 FBY458777 FLU458777 FVQ458777 GFM458777 GPI458777 GZE458777 HJA458777 HSW458777 ICS458777 IMO458777 IWK458777 JGG458777 JQC458777 JZY458777 KJU458777 KTQ458777 LDM458777 LNI458777 LXE458777 MHA458777 MQW458777 NAS458777 NKO458777 NUK458777 OEG458777 OOC458777 OXY458777 PHU458777 PRQ458777 QBM458777 QLI458777 QVE458777 RFA458777 ROW458777 RYS458777 SIO458777 SSK458777 TCG458777 TMC458777 TVY458777 UFU458777 UPQ458777 UZM458777 VJI458777 VTE458777 WDA458777 WMW458777 WWS458777 AK524313 KG524313 UC524313 ADY524313 ANU524313 AXQ524313 BHM524313 BRI524313 CBE524313 CLA524313 CUW524313 DES524313 DOO524313 DYK524313 EIG524313 ESC524313 FBY524313 FLU524313 FVQ524313 GFM524313 GPI524313 GZE524313 HJA524313 HSW524313 ICS524313 IMO524313 IWK524313 JGG524313 JQC524313 JZY524313 KJU524313 KTQ524313 LDM524313 LNI524313 LXE524313 MHA524313 MQW524313 NAS524313 NKO524313 NUK524313 OEG524313 OOC524313 OXY524313 PHU524313 PRQ524313 QBM524313 QLI524313 QVE524313 RFA524313 ROW524313 RYS524313 SIO524313 SSK524313 TCG524313 TMC524313 TVY524313 UFU524313 UPQ524313 UZM524313 VJI524313 VTE524313 WDA524313 WMW524313 WWS524313 AK589849 KG589849 UC589849 ADY589849 ANU589849 AXQ589849 BHM589849 BRI589849 CBE589849 CLA589849 CUW589849 DES589849 DOO589849 DYK589849 EIG589849 ESC589849 FBY589849 FLU589849 FVQ589849 GFM589849 GPI589849 GZE589849 HJA589849 HSW589849 ICS589849 IMO589849 IWK589849 JGG589849 JQC589849 JZY589849 KJU589849 KTQ589849 LDM589849 LNI589849 LXE589849 MHA589849 MQW589849 NAS589849 NKO589849 NUK589849 OEG589849 OOC589849 OXY589849 PHU589849 PRQ589849 QBM589849 QLI589849 QVE589849 RFA589849 ROW589849 RYS589849 SIO589849 SSK589849 TCG589849 TMC589849 TVY589849 UFU589849 UPQ589849 UZM589849 VJI589849 VTE589849 WDA589849 WMW589849 WWS589849 AK655385 KG655385 UC655385 ADY655385 ANU655385 AXQ655385 BHM655385 BRI655385 CBE655385 CLA655385 CUW655385 DES655385 DOO655385 DYK655385 EIG655385 ESC655385 FBY655385 FLU655385 FVQ655385 GFM655385 GPI655385 GZE655385 HJA655385 HSW655385 ICS655385 IMO655385 IWK655385 JGG655385 JQC655385 JZY655385 KJU655385 KTQ655385 LDM655385 LNI655385 LXE655385 MHA655385 MQW655385 NAS655385 NKO655385 NUK655385 OEG655385 OOC655385 OXY655385 PHU655385 PRQ655385 QBM655385 QLI655385 QVE655385 RFA655385 ROW655385 RYS655385 SIO655385 SSK655385 TCG655385 TMC655385 TVY655385 UFU655385 UPQ655385 UZM655385 VJI655385 VTE655385 WDA655385 WMW655385 WWS655385 AK720921 KG720921 UC720921 ADY720921 ANU720921 AXQ720921 BHM720921 BRI720921 CBE720921 CLA720921 CUW720921 DES720921 DOO720921 DYK720921 EIG720921 ESC720921 FBY720921 FLU720921 FVQ720921 GFM720921 GPI720921 GZE720921 HJA720921 HSW720921 ICS720921 IMO720921 IWK720921 JGG720921 JQC720921 JZY720921 KJU720921 KTQ720921 LDM720921 LNI720921 LXE720921 MHA720921 MQW720921 NAS720921 NKO720921 NUK720921 OEG720921 OOC720921 OXY720921 PHU720921 PRQ720921 QBM720921 QLI720921 QVE720921 RFA720921 ROW720921 RYS720921 SIO720921 SSK720921 TCG720921 TMC720921 TVY720921 UFU720921 UPQ720921 UZM720921 VJI720921 VTE720921 WDA720921 WMW720921 WWS720921 AK786457 KG786457 UC786457 ADY786457 ANU786457 AXQ786457 BHM786457 BRI786457 CBE786457 CLA786457 CUW786457 DES786457 DOO786457 DYK786457 EIG786457 ESC786457 FBY786457 FLU786457 FVQ786457 GFM786457 GPI786457 GZE786457 HJA786457 HSW786457 ICS786457 IMO786457 IWK786457 JGG786457 JQC786457 JZY786457 KJU786457 KTQ786457 LDM786457 LNI786457 LXE786457 MHA786457 MQW786457 NAS786457 NKO786457 NUK786457 OEG786457 OOC786457 OXY786457 PHU786457 PRQ786457 QBM786457 QLI786457 QVE786457 RFA786457 ROW786457 RYS786457 SIO786457 SSK786457 TCG786457 TMC786457 TVY786457 UFU786457 UPQ786457 UZM786457 VJI786457 VTE786457 WDA786457 WMW786457 WWS786457 AK851993 KG851993 UC851993 ADY851993 ANU851993 AXQ851993 BHM851993 BRI851993 CBE851993 CLA851993 CUW851993 DES851993 DOO851993 DYK851993 EIG851993 ESC851993 FBY851993 FLU851993 FVQ851993 GFM851993 GPI851993 GZE851993 HJA851993 HSW851993 ICS851993 IMO851993 IWK851993 JGG851993 JQC851993 JZY851993 KJU851993 KTQ851993 LDM851993 LNI851993 LXE851993 MHA851993 MQW851993 NAS851993 NKO851993 NUK851993 OEG851993 OOC851993 OXY851993 PHU851993 PRQ851993 QBM851993 QLI851993 QVE851993 RFA851993 ROW851993 RYS851993 SIO851993 SSK851993 TCG851993 TMC851993 TVY851993 UFU851993 UPQ851993 UZM851993 VJI851993 VTE851993 WDA851993 WMW851993 WWS851993 AK917529 KG917529 UC917529 ADY917529 ANU917529 AXQ917529 BHM917529 BRI917529 CBE917529 CLA917529 CUW917529 DES917529 DOO917529 DYK917529 EIG917529 ESC917529 FBY917529 FLU917529 FVQ917529 GFM917529 GPI917529 GZE917529 HJA917529 HSW917529 ICS917529 IMO917529 IWK917529 JGG917529 JQC917529 JZY917529 KJU917529 KTQ917529 LDM917529 LNI917529 LXE917529 MHA917529 MQW917529 NAS917529 NKO917529 NUK917529 OEG917529 OOC917529 OXY917529 PHU917529 PRQ917529 QBM917529 QLI917529 QVE917529 RFA917529 ROW917529 RYS917529 SIO917529 SSK917529 TCG917529 TMC917529 TVY917529 UFU917529 UPQ917529 UZM917529 VJI917529 VTE917529 WDA917529 WMW917529 WWS917529 AK983065 KG983065 UC983065 ADY983065 ANU983065 AXQ983065 BHM983065 BRI983065 CBE983065 CLA983065 CUW983065 DES983065 DOO983065 DYK983065 EIG983065 ESC983065 FBY983065 FLU983065 FVQ983065 GFM983065 GPI983065 GZE983065 HJA983065 HSW983065 ICS983065 IMO983065 IWK983065 JGG983065 JQC983065 JZY983065 KJU983065 KTQ983065 LDM983065 LNI983065 LXE983065 MHA983065 MQW983065 NAS983065 NKO983065 NUK983065 OEG983065 OOC983065 OXY983065 PHU983065 PRQ983065 QBM983065 QLI983065 QVE983065 RFA983065 ROW983065 RYS983065 SIO983065 SSK983065 TCG983065 TMC983065 TVY983065 UFU983065 UPQ983065 UZM983065 VJI983065 VTE983065 WDA983065 WMW983065 WWS983065" xr:uid="{C0B543F8-F942-4B39-ADD1-866532F25C3D}"/>
  </dataValidations>
  <hyperlinks>
    <hyperlink ref="W745" location="'עובדי הוראה'!H528" display="'עובדי הוראה'!H528" xr:uid="{28B9B022-41D4-46FC-8961-84192DE17AB1}"/>
    <hyperlink ref="V746" location="'עובדי הוראה'!I381" display="'עובדי הוראה'!I381" xr:uid="{3E09DE47-D314-4208-B2FD-C7CB01D9CE05}"/>
    <hyperlink ref="Y721" r:id="rId1" display="אתר לעדכון גרסה " xr:uid="{2E4361F5-20B6-41E1-9360-A6C1E18138A1}"/>
    <hyperlink ref="U757" location="'כלל המגזר צבורי'!B1" display="'כלל המגזר צבורי'!B1" xr:uid="{71F83E24-FBE7-4B57-A1BF-57B521FF69E2}"/>
    <hyperlink ref="R770" location="'רשות המיסים'!B56" display="'רשות המיסים'!B56" xr:uid="{158495BB-A976-4F78-85BB-8E867CF9F568}"/>
    <hyperlink ref="R770:S770" location="'מורים אופק חדש'!B65" display="'מורים אופק חדש'!B65" xr:uid="{121CE5E5-F6D2-40DC-BF29-006F33BB4012}"/>
    <hyperlink ref="R770:U770" location="'עובדי הוראה אופק חדש'!B65" display="'עובדי הוראה אופק חדש'!B65" xr:uid="{3E84BAAE-282F-4EA0-9C7F-D175A9A7822A}"/>
    <hyperlink ref="E899" location="'מורים אופק חדש'!B1" display="כל  תוצאה  המתקבלת בסימולטור ובטבלאות השונות הינה באחריות המשתמש בלבד !!!" xr:uid="{6DA62BA3-0C1F-41B4-81D5-ABF631A3546B}"/>
    <hyperlink ref="F920" location="'מורים אופק חדש'!B40" display="'מורים אופק חדש'!B40" xr:uid="{D8E8EAEC-8709-4E12-9FE9-6ACBAD31E40B}"/>
    <hyperlink ref="P707" location="'מורים אופק חדש'!B466" display="'מורים אופק חדש'!B466" xr:uid="{D3589262-ADF9-4922-95EF-8E8EDE666025}"/>
    <hyperlink ref="O707" location="'מורים אופק חדש'!H528" display="'מורים אופק חדש'!H528" xr:uid="{1EE5790B-3364-4009-AC86-9281E6FEC42C}"/>
    <hyperlink ref="B926" location="'מורים אופק חדש'!B40" display="'מורים אופק חדש'!B40" xr:uid="{FA073793-7706-4BD4-8C4E-ACC272E99937}"/>
    <hyperlink ref="G947" location="'מורים אופק חדש'!B40" display="'מורים אופק חדש'!B40" xr:uid="{E75FE354-D7A2-48A0-9D05-6F14C2E52B2C}"/>
    <hyperlink ref="E977" location="'מורים אופק חדש'!B40" display="'מורים אופק חדש'!B40" xr:uid="{6B5AD4BF-6181-49BC-8A0F-AF344DE1617D}"/>
    <hyperlink ref="C900" location="'מורים אופק חדש'!H331" display="'מורים אופק חדש'!H331" xr:uid="{955457DC-7F0F-44BD-92E9-E8C937FE325E}"/>
    <hyperlink ref="R770:T770" location="'מורים אופק חדש'!B65" display="'מורים אופק חדש'!B65" xr:uid="{1AADAB87-3B00-47EC-A35A-42864D06C53A}"/>
    <hyperlink ref="C915:F916" r:id="rId2" display="בעת מילוי טופס 161א בקש פטור מס מוגדל   למענק  החייב,  בסך  :" xr:uid="{26E29CD4-3F57-4E06-B6A7-BEC987F96630}"/>
    <hyperlink ref="C919:E919" r:id="rId3" display="אם ברצונך בפריסת מס עליך להגיש בקשה בטופס  116ג" xr:uid="{D48808EE-0B75-4C1B-BA79-F2F58F962ADB}"/>
    <hyperlink ref="B948" location="'מורים אופק חדש'!B40" display="'מורים אופק חדש'!B40" xr:uid="{83FE959F-7E9E-43D0-A230-C5F2EB218FBB}"/>
    <hyperlink ref="H776" r:id="rId4" display="האימייל שלי " xr:uid="{8BDE1E0E-5370-4AD6-AA17-115812508C0E}"/>
    <hyperlink ref="I776" r:id="rId5" xr:uid="{53B7DE9A-E0CF-4284-82F0-0B7C3D5B3CD7}"/>
    <hyperlink ref="AB35" location="'עובדי הוראה'!H528" display="'עובדי הוראה'!H528" xr:uid="{41F29D61-C112-4B06-91A9-B388326862B3}"/>
    <hyperlink ref="AA36" location="'עובדי הוראה'!I381" display="'עובדי הוראה'!I381" xr:uid="{B48D2569-A7BB-4293-A387-F66E4135A7C1}"/>
    <hyperlink ref="AD18" r:id="rId6" display="אתר לעדכון גרסה " xr:uid="{4CC2D63B-2B99-4478-9A51-C81D98B869FF}"/>
    <hyperlink ref="Z47" location="'כלל המגזר צבורי'!B1" display="'כלל המגזר צבורי'!B1" xr:uid="{6551E5BB-3993-4E04-83C3-F754FBB15F17}"/>
    <hyperlink ref="W60" location="'רשות המיסים'!B56" display="'רשות המיסים'!B56" xr:uid="{B3176453-D44A-409F-93BE-284C0A73A3EB}"/>
    <hyperlink ref="W60:X60" location="'מורים אופק חדש'!B65" display="'מורים אופק חדש'!B65" xr:uid="{E34B08D1-F278-4BF8-86D7-4BCD2C9985D7}"/>
    <hyperlink ref="W60:Z60" location="'עובדי הוראה אופק חדש'!B65" display="'עובדי הוראה אופק חדש'!B65" xr:uid="{E68EFC63-C72F-4B6E-9E28-0DF9A7AB9FDE}"/>
    <hyperlink ref="G195" location="'מורים אופק חדש'!B40" display="'מורים אופק חדש'!B40" xr:uid="{64E263FC-3799-4609-8CD0-85D731E8D26D}"/>
    <hyperlink ref="U4" location="'מורים אופק חדש'!B466" display="'מורים אופק חדש'!B466" xr:uid="{3C75E194-B327-4F81-924D-7A7AA581B9C5}"/>
    <hyperlink ref="T4" location="'מורים אופק חדש'!H528" display="'מורים אופק חדש'!H528" xr:uid="{E8F4C92E-CEFF-4A53-8DF8-DBCCDAAF75D9}"/>
    <hyperlink ref="B214" location="'מורים אופק חדש'!B40" display="'מורים אופק חדש'!B40" xr:uid="{9254E87E-4A35-4D4F-A3D7-6E8715F0AEB5}"/>
    <hyperlink ref="C184" location="'מורים אופק חדש'!H331" display="'מורים אופק חדש'!H331" xr:uid="{C75A08F3-041C-4EEC-9921-337DEABAB46B}"/>
    <hyperlink ref="W60:Y60" location="'מורים אופק חדש'!B65" display="'מורים אופק חדש'!B65" xr:uid="{D6CC45CD-AD9B-4883-86CF-D15D5C5D9F5F}"/>
    <hyperlink ref="C190:G191" r:id="rId7" display="בעת מילוי טופס 161א בקש פטור מס מוגדל   למענק  החייב,  בסך  :" xr:uid="{F07195F1-0DBA-4C72-8BB2-D3E9B208DD89}"/>
    <hyperlink ref="C195:F195" r:id="rId8" display="אם ברצונך בפריסת מס עליך להגיש בקשה בטופס  116ג" xr:uid="{88112AC0-ED11-4A65-8AC4-A9347F58197E}"/>
    <hyperlink ref="H849" location="'כלל המגזר צבורי'!H262" display="'כלל המגזר צבורי'!H262" xr:uid="{4296EAD6-2180-437C-BA31-97C85C9DEAFA}"/>
    <hyperlink ref="H851" location="'מה חדש'!A51" display="'מה חדש'!A51" xr:uid="{D488E1EC-39DD-4B8A-9D42-7284DB7AECE2}"/>
    <hyperlink ref="H850" location="'כלל המגזר צבורי'!I103" display="'כלל המגזר צבורי'!I103" xr:uid="{B111646D-CC20-45D0-82DA-DBBFA91A801B}"/>
  </hyperlinks>
  <pageMargins left="0.7" right="0.7" top="0.75" bottom="0.75" header="0.3" footer="0.3"/>
  <legacyDrawing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3</vt:i4>
      </vt:variant>
    </vt:vector>
  </HeadingPairs>
  <TitlesOfParts>
    <vt:vector size="3" baseType="lpstr">
      <vt:lpstr>מורים</vt:lpstr>
      <vt:lpstr>סגנים</vt:lpstr>
      <vt:lpstr>מנהלים</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אפרת בריינדל רוחמקין</cp:lastModifiedBy>
  <cp:lastPrinted>2023-09-05T13:48:47Z</cp:lastPrinted>
  <dcterms:created xsi:type="dcterms:W3CDTF">2023-09-05T11:53:22Z</dcterms:created>
  <dcterms:modified xsi:type="dcterms:W3CDTF">2024-01-19T09:33:11Z</dcterms:modified>
</cp:coreProperties>
</file>