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שושי\Downloads\"/>
    </mc:Choice>
  </mc:AlternateContent>
  <xr:revisionPtr revIDLastSave="0" documentId="13_ncr:1_{947EB9DF-6BFB-4202-903E-83F5C9F3FF8E}" xr6:coauthVersionLast="47" xr6:coauthVersionMax="47" xr10:uidLastSave="{00000000-0000-0000-0000-000000000000}"/>
  <bookViews>
    <workbookView xWindow="-110" yWindow="-110" windowWidth="19420" windowHeight="10420" xr2:uid="{1E1F4491-472E-4475-8EEC-A5202F289BAB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5" i="1" l="1"/>
  <c r="E34" i="1"/>
  <c r="L30" i="1" s="1"/>
  <c r="E33" i="1"/>
  <c r="L29" i="1" s="1"/>
  <c r="E32" i="1"/>
  <c r="L28" i="1" s="1"/>
  <c r="E31" i="1"/>
  <c r="L27" i="1" s="1"/>
  <c r="E30" i="1"/>
  <c r="E29" i="1"/>
  <c r="L25" i="1" s="1"/>
  <c r="E28" i="1"/>
  <c r="L24" i="1" s="1"/>
  <c r="N24" i="1" s="1"/>
  <c r="E27" i="1"/>
  <c r="L26" i="1"/>
  <c r="E26" i="1"/>
  <c r="L22" i="1" s="1"/>
  <c r="G25" i="1"/>
  <c r="E25" i="1"/>
  <c r="L21" i="1" s="1"/>
  <c r="G24" i="1"/>
  <c r="E24" i="1"/>
  <c r="L20" i="1" s="1"/>
  <c r="L23" i="1"/>
  <c r="E23" i="1"/>
  <c r="L19" i="1" s="1"/>
  <c r="E22" i="1"/>
  <c r="A20" i="1"/>
  <c r="E19" i="1"/>
  <c r="L18" i="1"/>
  <c r="N18" i="1" s="1"/>
  <c r="E18" i="1"/>
  <c r="E17" i="1"/>
  <c r="E16" i="1"/>
  <c r="E15" i="1"/>
  <c r="G22" i="1" s="1"/>
  <c r="E14" i="1"/>
  <c r="A12" i="1"/>
  <c r="O11" i="1"/>
  <c r="J7" i="1"/>
  <c r="I5" i="1"/>
  <c r="I7" i="1" s="1"/>
  <c r="I18" i="1" s="1"/>
  <c r="F5" i="1"/>
  <c r="J11" i="1" s="1"/>
  <c r="G21" i="1" l="1"/>
  <c r="I6" i="1"/>
  <c r="N11" i="1" s="1"/>
  <c r="D19" i="1"/>
  <c r="I11" i="1"/>
  <c r="J14" i="1"/>
  <c r="J15" i="1" s="1"/>
  <c r="I12" i="1"/>
  <c r="N7" i="1"/>
  <c r="J17" i="1"/>
  <c r="I13" i="1"/>
  <c r="I19" i="1"/>
  <c r="N5" i="1" l="1"/>
  <c r="N15" i="1"/>
  <c r="N16" i="1"/>
  <c r="N4" i="1"/>
  <c r="N6" i="1"/>
  <c r="J16" i="1"/>
  <c r="I22" i="1" s="1"/>
  <c r="I14" i="1"/>
  <c r="I15" i="1" s="1"/>
  <c r="I16" i="1" l="1"/>
  <c r="I20" i="1" s="1"/>
  <c r="J25" i="1"/>
  <c r="J21" i="1"/>
  <c r="J24" i="1"/>
  <c r="J20" i="1"/>
  <c r="I21" i="1" l="1"/>
  <c r="I25" i="1"/>
  <c r="I24" i="1"/>
  <c r="N12" i="1"/>
  <c r="O12" i="1" s="1"/>
  <c r="J22" i="1"/>
  <c r="J26" i="1" s="1"/>
  <c r="J27" i="1" s="1"/>
  <c r="I26" i="1" l="1"/>
  <c r="I27" i="1" s="1"/>
  <c r="N14" i="1"/>
  <c r="O14" i="1"/>
  <c r="O17" i="1" l="1"/>
  <c r="N19" i="1"/>
  <c r="N25" i="1"/>
  <c r="N30" i="1"/>
  <c r="N17" i="1"/>
  <c r="N21" i="1"/>
  <c r="N22" i="1"/>
  <c r="N23" i="1"/>
  <c r="N20" i="1"/>
  <c r="N27" i="1"/>
  <c r="N29" i="1"/>
  <c r="N28" i="1"/>
  <c r="N26" i="1"/>
  <c r="N31" i="1" l="1"/>
  <c r="N32" i="1" s="1"/>
</calcChain>
</file>

<file path=xl/sharedStrings.xml><?xml version="1.0" encoding="utf-8"?>
<sst xmlns="http://schemas.openxmlformats.org/spreadsheetml/2006/main" count="166" uniqueCount="98">
  <si>
    <t>בס"ד</t>
  </si>
  <si>
    <t>יש למלא נתונים רק בתאים הריקים (לבנים), התאים האחרים מילוי אוטומטי</t>
  </si>
  <si>
    <t>ט.ל.ח.</t>
  </si>
  <si>
    <t>נתונים אישיים</t>
  </si>
  <si>
    <t>שם</t>
  </si>
  <si>
    <t>עולם ישן</t>
  </si>
  <si>
    <t>ש"ש בפועל - פרונטלי</t>
  </si>
  <si>
    <t>עולם חדש</t>
  </si>
  <si>
    <t>דרגה</t>
  </si>
  <si>
    <t>תואר ראשון</t>
  </si>
  <si>
    <t>בכיר</t>
  </si>
  <si>
    <t>ש"ש עבור חינוך</t>
  </si>
  <si>
    <t>ש"ש פרטניות</t>
  </si>
  <si>
    <t>מוסמך</t>
  </si>
  <si>
    <t>א-ו</t>
  </si>
  <si>
    <t>כן</t>
  </si>
  <si>
    <t>וותק</t>
  </si>
  <si>
    <t>ש"ש מהסל בעולם הישן</t>
  </si>
  <si>
    <t>ש"ש שהיה</t>
  </si>
  <si>
    <t>ז-ח</t>
  </si>
  <si>
    <t>א-ו  / ז-ח</t>
  </si>
  <si>
    <t>אחוז משרה</t>
  </si>
  <si>
    <t>גיל</t>
  </si>
  <si>
    <t>תואר שני</t>
  </si>
  <si>
    <t>מחנך/ת</t>
  </si>
  <si>
    <t>שכר עולם ישן</t>
  </si>
  <si>
    <t>שכר לאחר המרה לאופק חדש</t>
  </si>
  <si>
    <t>תואר שלישי</t>
  </si>
  <si>
    <t>תוספת אם</t>
  </si>
  <si>
    <t>רכיב שכר</t>
  </si>
  <si>
    <t>ס"ה</t>
  </si>
  <si>
    <t>א</t>
  </si>
  <si>
    <t>שכר משולב</t>
  </si>
  <si>
    <t>מקדם המרה</t>
  </si>
  <si>
    <t>ב-ח</t>
  </si>
  <si>
    <t>עד 50</t>
  </si>
  <si>
    <t>גיל1</t>
  </si>
  <si>
    <t>50-54</t>
  </si>
  <si>
    <t>גיל2</t>
  </si>
  <si>
    <t>מעל 55</t>
  </si>
  <si>
    <t>גיל3</t>
  </si>
  <si>
    <t>ב.א.</t>
  </si>
  <si>
    <t>גמולים  - עולם ישן</t>
  </si>
  <si>
    <t>תוספת הסכם הוראה 94</t>
  </si>
  <si>
    <t>שכר להמרה</t>
  </si>
  <si>
    <t>הקף משרה באחוזים</t>
  </si>
  <si>
    <t>שעות פרונטליות</t>
  </si>
  <si>
    <t>שעות פרטניות</t>
  </si>
  <si>
    <t>שעות שהיה</t>
  </si>
  <si>
    <t>סה''כ שעות</t>
  </si>
  <si>
    <t>שנה</t>
  </si>
  <si>
    <t>כמות / אחוז</t>
  </si>
  <si>
    <t>הסכם מסגרת</t>
  </si>
  <si>
    <t>דרגת אופק</t>
  </si>
  <si>
    <t>גמול השתלמות</t>
  </si>
  <si>
    <t>הסכם 2001</t>
  </si>
  <si>
    <t>חינוך כיתה</t>
  </si>
  <si>
    <t>תוספת 2008</t>
  </si>
  <si>
    <t>תוספת אחידה 2016</t>
  </si>
  <si>
    <t>גמול פיצול</t>
  </si>
  <si>
    <t>תוספת 2011 (6.35%)</t>
  </si>
  <si>
    <t>תוספת 2022</t>
  </si>
  <si>
    <t>גמול ריכוז</t>
  </si>
  <si>
    <t>השלמה לשכר מינימום</t>
  </si>
  <si>
    <t>אחוז</t>
  </si>
  <si>
    <t>ס"ה מרכיבי שכר</t>
  </si>
  <si>
    <t>גמול בטחון / גמול חינוך וחברה</t>
  </si>
  <si>
    <t>גמול אחד</t>
  </si>
  <si>
    <t>סגן מנהל שני</t>
  </si>
  <si>
    <t>גמולים  - אופק חדש</t>
  </si>
  <si>
    <t>רכז מקצוע</t>
  </si>
  <si>
    <t>שני גמולים</t>
  </si>
  <si>
    <t>רכז זה"ב</t>
  </si>
  <si>
    <t>גמול חינוך</t>
  </si>
  <si>
    <t>רכז ביטחון</t>
  </si>
  <si>
    <t>גמול הכשרה ומקצוע</t>
  </si>
  <si>
    <t>חינוך חברתי</t>
  </si>
  <si>
    <t>מתמחה אחד</t>
  </si>
  <si>
    <t>גמול תואר שני אקויולנט - גברים  (5%)</t>
  </si>
  <si>
    <t>רכז שכבה</t>
  </si>
  <si>
    <t>שני מתמחים</t>
  </si>
  <si>
    <t>גמול תואר שלישי אקויולנט - גברים(10%)</t>
  </si>
  <si>
    <t>רכז מעבדה</t>
  </si>
  <si>
    <t>שלושה מתמחים</t>
  </si>
  <si>
    <t>ס"ה גמולים אחוזיים</t>
  </si>
  <si>
    <t>רכז מדידה והערכה</t>
  </si>
  <si>
    <t>ס"ה שכר ברוטו</t>
  </si>
  <si>
    <t>רכז טיולים</t>
  </si>
  <si>
    <t>רכז הכלה והשתלבות</t>
  </si>
  <si>
    <t>רכז פדגוגי</t>
  </si>
  <si>
    <t>חונך</t>
  </si>
  <si>
    <t>מ.א.</t>
  </si>
  <si>
    <t>אם עד 50</t>
  </si>
  <si>
    <t>גיל1אם</t>
  </si>
  <si>
    <t>אם 50-54</t>
  </si>
  <si>
    <t>גיל2אם</t>
  </si>
  <si>
    <t>אם מעל 55</t>
  </si>
  <si>
    <t>גיל3אם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</si>
</sst>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2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1"/>
      <name val="Arial"/>
      <family val="2"/>
      <charset val="177"/>
      <scheme val="minor"/>
    </font>
    <font>
      <b/>
      <sz val="11"/>
      <name val="Arial"/>
      <family val="2"/>
      <scheme val="minor"/>
    </font>
    <font>
      <b/>
      <sz val="14"/>
      <color theme="0"/>
      <name val="Arial"/>
      <family val="2"/>
      <scheme val="minor"/>
    </font>
    <font>
      <b/>
      <sz val="18"/>
      <color theme="0"/>
      <name val="Arial"/>
      <family val="2"/>
      <scheme val="minor"/>
    </font>
    <font>
      <b/>
      <sz val="16"/>
      <color theme="0"/>
      <name val="Arial"/>
      <family val="2"/>
      <scheme val="minor"/>
    </font>
    <font>
      <b/>
      <sz val="8"/>
      <name val="Arial"/>
      <family val="2"/>
      <scheme val="minor"/>
    </font>
    <font>
      <sz val="8"/>
      <name val="Arial"/>
      <family val="2"/>
      <scheme val="minor"/>
    </font>
    <font>
      <sz val="14"/>
      <name val="Arial"/>
      <family val="2"/>
      <scheme val="minor"/>
    </font>
    <font>
      <b/>
      <sz val="14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9"/>
      <color rgb="FFFF0000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2"/>
      <name val="Arial"/>
      <family val="2"/>
      <scheme val="minor"/>
    </font>
    <font>
      <sz val="11"/>
      <name val="David"/>
      <family val="2"/>
    </font>
    <font>
      <b/>
      <sz val="10"/>
      <color rgb="FFFF0000"/>
      <name val="Arial"/>
      <family val="2"/>
      <scheme val="minor"/>
    </font>
    <font>
      <b/>
      <sz val="10"/>
      <name val="David"/>
      <family val="2"/>
    </font>
    <font>
      <sz val="11"/>
      <color theme="0" tint="-4.9989318521683403E-2"/>
      <name val="Arial"/>
      <family val="2"/>
      <charset val="177"/>
      <scheme val="minor"/>
    </font>
    <font>
      <sz val="8"/>
      <color theme="0" tint="-4.9989318521683403E-2"/>
      <name val="Arial"/>
      <family val="2"/>
      <charset val="177"/>
      <scheme val="minor"/>
    </font>
    <font>
      <b/>
      <sz val="11"/>
      <color theme="0" tint="-4.9989318521683403E-2"/>
      <name val="Arial"/>
      <family val="2"/>
      <scheme val="minor"/>
    </font>
    <font>
      <sz val="8"/>
      <color theme="0" tint="-4.9989318521683403E-2"/>
      <name val="Arial"/>
      <family val="2"/>
      <scheme val="minor"/>
    </font>
    <font>
      <b/>
      <sz val="14"/>
      <color theme="0" tint="-4.9989318521683403E-2"/>
      <name val="Arial"/>
      <family val="2"/>
      <scheme val="minor"/>
    </font>
    <font>
      <sz val="10"/>
      <color theme="0" tint="-4.9989318521683403E-2"/>
      <name val="Arial"/>
      <family val="2"/>
      <scheme val="minor"/>
    </font>
    <font>
      <sz val="11"/>
      <color theme="0" tint="-4.9989318521683403E-2"/>
      <name val="David"/>
      <family val="2"/>
    </font>
    <font>
      <b/>
      <sz val="10"/>
      <color theme="0" tint="-4.9989318521683403E-2"/>
      <name val="Arial"/>
      <family val="2"/>
      <scheme val="minor"/>
    </font>
    <font>
      <sz val="11"/>
      <color theme="0" tint="-4.9989318521683403E-2"/>
      <name val="Arial"/>
      <family val="2"/>
      <scheme val="minor"/>
    </font>
    <font>
      <sz val="10"/>
      <color theme="0" tint="-4.9989318521683403E-2"/>
      <name val="David"/>
      <family val="2"/>
    </font>
    <font>
      <b/>
      <sz val="9"/>
      <color theme="0" tint="-4.9989318521683403E-2"/>
      <name val="Arial"/>
      <family val="2"/>
      <scheme val="minor"/>
    </font>
    <font>
      <b/>
      <sz val="9"/>
      <color theme="0" tint="-4.9989318521683403E-2"/>
      <name val="Arial"/>
      <family val="2"/>
    </font>
    <font>
      <sz val="8"/>
      <color theme="0" tint="-4.9989318521683403E-2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102">
    <xf numFmtId="0" fontId="0" fillId="0" borderId="0" xfId="0"/>
    <xf numFmtId="0" fontId="2" fillId="7" borderId="4" xfId="0" applyFont="1" applyFill="1" applyBorder="1" applyAlignment="1" applyProtection="1">
      <alignment horizontal="center"/>
      <protection locked="0"/>
    </xf>
    <xf numFmtId="9" fontId="2" fillId="7" borderId="4" xfId="1" applyFont="1" applyFill="1" applyBorder="1" applyAlignment="1" applyProtection="1">
      <alignment horizontal="center"/>
      <protection locked="0"/>
    </xf>
    <xf numFmtId="0" fontId="2" fillId="4" borderId="0" xfId="0" applyFont="1" applyFill="1" applyProtection="1">
      <protection hidden="1"/>
    </xf>
    <xf numFmtId="0" fontId="2" fillId="4" borderId="0" xfId="0" applyFont="1" applyFill="1" applyAlignment="1" applyProtection="1">
      <alignment horizontal="center"/>
      <protection hidden="1"/>
    </xf>
    <xf numFmtId="0" fontId="2" fillId="7" borderId="1" xfId="0" applyFont="1" applyFill="1" applyBorder="1" applyProtection="1">
      <protection hidden="1"/>
    </xf>
    <xf numFmtId="0" fontId="2" fillId="7" borderId="2" xfId="0" applyFont="1" applyFill="1" applyBorder="1" applyProtection="1">
      <protection hidden="1"/>
    </xf>
    <xf numFmtId="0" fontId="2" fillId="7" borderId="3" xfId="0" applyFont="1" applyFill="1" applyBorder="1" applyAlignment="1" applyProtection="1">
      <alignment horizontal="center"/>
      <protection hidden="1"/>
    </xf>
    <xf numFmtId="0" fontId="3" fillId="4" borderId="0" xfId="0" applyFont="1" applyFill="1" applyProtection="1">
      <protection hidden="1"/>
    </xf>
    <xf numFmtId="0" fontId="3" fillId="4" borderId="0" xfId="0" applyFont="1" applyFill="1" applyAlignment="1" applyProtection="1">
      <alignment horizontal="center"/>
      <protection hidden="1"/>
    </xf>
    <xf numFmtId="0" fontId="2" fillId="4" borderId="0" xfId="0" applyFont="1" applyFill="1" applyAlignment="1" applyProtection="1">
      <alignment vertical="top"/>
      <protection hidden="1"/>
    </xf>
    <xf numFmtId="0" fontId="4" fillId="5" borderId="0" xfId="0" applyFont="1" applyFill="1" applyAlignment="1" applyProtection="1">
      <alignment horizontal="center" vertical="center" wrapText="1"/>
      <protection hidden="1"/>
    </xf>
    <xf numFmtId="0" fontId="3" fillId="6" borderId="0" xfId="0" applyFont="1" applyFill="1" applyAlignment="1" applyProtection="1">
      <alignment wrapText="1"/>
      <protection hidden="1"/>
    </xf>
    <xf numFmtId="0" fontId="2" fillId="7" borderId="4" xfId="0" applyFont="1" applyFill="1" applyBorder="1" applyAlignment="1" applyProtection="1">
      <alignment horizontal="center"/>
      <protection hidden="1"/>
    </xf>
    <xf numFmtId="0" fontId="4" fillId="8" borderId="0" xfId="0" applyFont="1" applyFill="1" applyAlignment="1" applyProtection="1">
      <alignment horizontal="right" vertical="top" wrapText="1"/>
      <protection hidden="1"/>
    </xf>
    <xf numFmtId="0" fontId="3" fillId="9" borderId="0" xfId="0" applyFont="1" applyFill="1" applyAlignment="1" applyProtection="1">
      <alignment wrapText="1"/>
      <protection hidden="1"/>
    </xf>
    <xf numFmtId="0" fontId="4" fillId="10" borderId="0" xfId="0" applyFont="1" applyFill="1" applyAlignment="1" applyProtection="1">
      <alignment vertical="center"/>
      <protection hidden="1"/>
    </xf>
    <xf numFmtId="0" fontId="3" fillId="11" borderId="0" xfId="0" applyFont="1" applyFill="1" applyAlignment="1" applyProtection="1">
      <alignment wrapText="1"/>
      <protection hidden="1"/>
    </xf>
    <xf numFmtId="0" fontId="2" fillId="11" borderId="0" xfId="0" applyFont="1" applyFill="1" applyAlignment="1" applyProtection="1">
      <alignment horizontal="center"/>
      <protection hidden="1"/>
    </xf>
    <xf numFmtId="0" fontId="5" fillId="5" borderId="0" xfId="0" applyFont="1" applyFill="1" applyAlignment="1" applyProtection="1">
      <alignment vertical="top" wrapText="1"/>
      <protection hidden="1"/>
    </xf>
    <xf numFmtId="0" fontId="6" fillId="8" borderId="0" xfId="0" applyFont="1" applyFill="1" applyAlignment="1" applyProtection="1">
      <alignment vertical="center" wrapText="1"/>
      <protection hidden="1"/>
    </xf>
    <xf numFmtId="0" fontId="2" fillId="9" borderId="0" xfId="0" applyFont="1" applyFill="1" applyAlignment="1" applyProtection="1">
      <alignment horizontal="center"/>
      <protection hidden="1"/>
    </xf>
    <xf numFmtId="0" fontId="7" fillId="4" borderId="0" xfId="0" applyFont="1" applyFill="1" applyAlignment="1" applyProtection="1">
      <alignment horizontal="center" vertical="center"/>
      <protection hidden="1"/>
    </xf>
    <xf numFmtId="0" fontId="7" fillId="4" borderId="0" xfId="0" applyFont="1" applyFill="1" applyAlignment="1" applyProtection="1">
      <alignment horizontal="center" wrapText="1"/>
      <protection hidden="1"/>
    </xf>
    <xf numFmtId="0" fontId="3" fillId="4" borderId="0" xfId="0" applyFont="1" applyFill="1" applyAlignment="1" applyProtection="1">
      <alignment horizontal="center" vertical="center"/>
      <protection hidden="1"/>
    </xf>
    <xf numFmtId="0" fontId="8" fillId="4" borderId="0" xfId="0" applyFont="1" applyFill="1" applyAlignment="1" applyProtection="1">
      <alignment horizontal="center"/>
      <protection hidden="1"/>
    </xf>
    <xf numFmtId="0" fontId="9" fillId="12" borderId="0" xfId="0" applyFont="1" applyFill="1" applyProtection="1">
      <protection hidden="1"/>
    </xf>
    <xf numFmtId="0" fontId="10" fillId="12" borderId="0" xfId="0" applyFont="1" applyFill="1" applyAlignment="1" applyProtection="1">
      <alignment horizontal="center" vertical="center" wrapText="1"/>
      <protection hidden="1"/>
    </xf>
    <xf numFmtId="0" fontId="10" fillId="12" borderId="0" xfId="0" applyFont="1" applyFill="1" applyAlignment="1" applyProtection="1">
      <alignment horizontal="center" wrapText="1"/>
      <protection hidden="1"/>
    </xf>
    <xf numFmtId="0" fontId="2" fillId="13" borderId="0" xfId="0" applyFont="1" applyFill="1" applyProtection="1">
      <protection hidden="1"/>
    </xf>
    <xf numFmtId="0" fontId="10" fillId="13" borderId="0" xfId="0" applyFont="1" applyFill="1" applyAlignment="1" applyProtection="1">
      <alignment horizontal="center" vertical="center"/>
      <protection hidden="1"/>
    </xf>
    <xf numFmtId="0" fontId="10" fillId="13" borderId="0" xfId="0" applyFont="1" applyFill="1" applyAlignment="1" applyProtection="1">
      <alignment vertical="center"/>
      <protection hidden="1"/>
    </xf>
    <xf numFmtId="0" fontId="3" fillId="14" borderId="0" xfId="0" applyFont="1" applyFill="1" applyAlignment="1" applyProtection="1">
      <alignment horizontal="center"/>
      <protection hidden="1"/>
    </xf>
    <xf numFmtId="0" fontId="3" fillId="14" borderId="0" xfId="0" applyFont="1" applyFill="1" applyAlignment="1" applyProtection="1">
      <alignment horizontal="center" vertical="center" wrapText="1"/>
      <protection hidden="1"/>
    </xf>
    <xf numFmtId="0" fontId="3" fillId="14" borderId="0" xfId="0" applyFont="1" applyFill="1" applyAlignment="1" applyProtection="1">
      <alignment horizontal="center" vertical="center"/>
      <protection hidden="1"/>
    </xf>
    <xf numFmtId="0" fontId="3" fillId="15" borderId="0" xfId="0" applyFont="1" applyFill="1" applyAlignment="1" applyProtection="1">
      <alignment horizontal="center"/>
      <protection hidden="1"/>
    </xf>
    <xf numFmtId="0" fontId="3" fillId="15" borderId="0" xfId="0" applyFont="1" applyFill="1" applyAlignment="1" applyProtection="1">
      <alignment horizontal="center" vertical="center" wrapText="1"/>
      <protection hidden="1"/>
    </xf>
    <xf numFmtId="0" fontId="3" fillId="15" borderId="0" xfId="0" applyFont="1" applyFill="1" applyAlignment="1" applyProtection="1">
      <alignment horizontal="center" vertical="center"/>
      <protection hidden="1"/>
    </xf>
    <xf numFmtId="0" fontId="3" fillId="4" borderId="0" xfId="0" applyFont="1" applyFill="1" applyAlignment="1" applyProtection="1">
      <alignment wrapText="1"/>
      <protection hidden="1"/>
    </xf>
    <xf numFmtId="0" fontId="11" fillId="4" borderId="0" xfId="0" applyFont="1" applyFill="1" applyAlignment="1" applyProtection="1">
      <alignment horizontal="right"/>
      <protection hidden="1"/>
    </xf>
    <xf numFmtId="0" fontId="11" fillId="4" borderId="0" xfId="0" applyFont="1" applyFill="1" applyProtection="1">
      <protection hidden="1"/>
    </xf>
    <xf numFmtId="0" fontId="12" fillId="4" borderId="0" xfId="3" applyFont="1" applyFill="1" applyBorder="1" applyAlignment="1" applyProtection="1">
      <alignment horizontal="right"/>
      <protection hidden="1"/>
    </xf>
    <xf numFmtId="0" fontId="2" fillId="5" borderId="0" xfId="0" applyFont="1" applyFill="1" applyProtection="1">
      <protection hidden="1"/>
    </xf>
    <xf numFmtId="0" fontId="14" fillId="12" borderId="0" xfId="0" applyFont="1" applyFill="1" applyProtection="1">
      <protection hidden="1"/>
    </xf>
    <xf numFmtId="2" fontId="11" fillId="4" borderId="0" xfId="3" applyNumberFormat="1" applyFont="1" applyFill="1" applyBorder="1" applyProtection="1">
      <protection hidden="1"/>
    </xf>
    <xf numFmtId="0" fontId="2" fillId="5" borderId="0" xfId="0" applyFont="1" applyFill="1" applyAlignment="1" applyProtection="1">
      <alignment textRotation="135"/>
      <protection hidden="1"/>
    </xf>
    <xf numFmtId="0" fontId="3" fillId="9" borderId="0" xfId="0" applyFont="1" applyFill="1" applyAlignment="1" applyProtection="1">
      <alignment horizontal="right"/>
      <protection hidden="1"/>
    </xf>
    <xf numFmtId="0" fontId="3" fillId="9" borderId="0" xfId="0" applyFont="1" applyFill="1" applyAlignment="1" applyProtection="1">
      <alignment horizontal="center"/>
      <protection hidden="1"/>
    </xf>
    <xf numFmtId="2" fontId="15" fillId="4" borderId="0" xfId="3" applyNumberFormat="1" applyFont="1" applyFill="1" applyBorder="1" applyProtection="1">
      <protection hidden="1"/>
    </xf>
    <xf numFmtId="0" fontId="2" fillId="6" borderId="0" xfId="0" applyFont="1" applyFill="1" applyProtection="1">
      <protection hidden="1"/>
    </xf>
    <xf numFmtId="0" fontId="16" fillId="4" borderId="0" xfId="0" applyFont="1" applyFill="1" applyAlignment="1" applyProtection="1">
      <alignment horizontal="right"/>
      <protection hidden="1"/>
    </xf>
    <xf numFmtId="0" fontId="16" fillId="7" borderId="4" xfId="0" applyFont="1" applyFill="1" applyBorder="1" applyProtection="1">
      <protection hidden="1"/>
    </xf>
    <xf numFmtId="0" fontId="12" fillId="15" borderId="0" xfId="2" applyFont="1" applyFill="1" applyBorder="1" applyAlignment="1" applyProtection="1">
      <alignment horizontal="center"/>
      <protection hidden="1"/>
    </xf>
    <xf numFmtId="0" fontId="12" fillId="15" borderId="0" xfId="2" applyFont="1" applyFill="1" applyBorder="1" applyAlignment="1" applyProtection="1">
      <alignment horizontal="right"/>
      <protection hidden="1"/>
    </xf>
    <xf numFmtId="0" fontId="12" fillId="15" borderId="0" xfId="2" applyFont="1" applyFill="1" applyBorder="1" applyProtection="1">
      <protection hidden="1"/>
    </xf>
    <xf numFmtId="0" fontId="7" fillId="4" borderId="0" xfId="0" applyFont="1" applyFill="1" applyAlignment="1" applyProtection="1">
      <alignment horizontal="center"/>
      <protection hidden="1"/>
    </xf>
    <xf numFmtId="164" fontId="7" fillId="4" borderId="0" xfId="0" applyNumberFormat="1" applyFont="1" applyFill="1" applyAlignment="1" applyProtection="1">
      <alignment horizontal="center"/>
      <protection hidden="1"/>
    </xf>
    <xf numFmtId="0" fontId="14" fillId="13" borderId="0" xfId="0" applyFont="1" applyFill="1" applyProtection="1">
      <protection hidden="1"/>
    </xf>
    <xf numFmtId="0" fontId="12" fillId="14" borderId="0" xfId="2" applyFont="1" applyFill="1" applyBorder="1" applyAlignment="1" applyProtection="1">
      <alignment horizontal="center"/>
      <protection hidden="1"/>
    </xf>
    <xf numFmtId="0" fontId="12" fillId="14" borderId="0" xfId="2" applyFont="1" applyFill="1" applyBorder="1" applyAlignment="1" applyProtection="1">
      <alignment horizontal="right"/>
      <protection hidden="1"/>
    </xf>
    <xf numFmtId="0" fontId="12" fillId="14" borderId="0" xfId="2" applyFont="1" applyFill="1" applyBorder="1" applyProtection="1">
      <protection hidden="1"/>
    </xf>
    <xf numFmtId="0" fontId="3" fillId="15" borderId="0" xfId="0" applyFont="1" applyFill="1" applyAlignment="1" applyProtection="1">
      <alignment horizontal="right"/>
      <protection hidden="1"/>
    </xf>
    <xf numFmtId="0" fontId="18" fillId="4" borderId="0" xfId="0" applyFont="1" applyFill="1" applyAlignment="1" applyProtection="1">
      <alignment horizontal="center"/>
      <protection hidden="1"/>
    </xf>
    <xf numFmtId="0" fontId="8" fillId="4" borderId="0" xfId="0" applyFont="1" applyFill="1" applyAlignment="1" applyProtection="1">
      <alignment horizontal="right"/>
      <protection hidden="1"/>
    </xf>
    <xf numFmtId="0" fontId="2" fillId="14" borderId="0" xfId="0" applyFont="1" applyFill="1" applyProtection="1">
      <protection hidden="1"/>
    </xf>
    <xf numFmtId="0" fontId="2" fillId="9" borderId="0" xfId="0" applyFont="1" applyFill="1" applyProtection="1">
      <protection hidden="1"/>
    </xf>
    <xf numFmtId="0" fontId="12" fillId="9" borderId="0" xfId="3" applyFont="1" applyFill="1" applyBorder="1" applyAlignment="1" applyProtection="1">
      <alignment horizontal="right"/>
      <protection hidden="1"/>
    </xf>
    <xf numFmtId="0" fontId="12" fillId="9" borderId="0" xfId="3" applyFont="1" applyFill="1" applyBorder="1" applyProtection="1">
      <protection hidden="1"/>
    </xf>
    <xf numFmtId="0" fontId="2" fillId="15" borderId="0" xfId="0" applyFont="1" applyFill="1" applyProtection="1">
      <protection hidden="1"/>
    </xf>
    <xf numFmtId="0" fontId="2" fillId="11" borderId="0" xfId="0" applyFont="1" applyFill="1" applyProtection="1">
      <protection hidden="1"/>
    </xf>
    <xf numFmtId="0" fontId="12" fillId="11" borderId="0" xfId="3" applyFont="1" applyFill="1" applyBorder="1" applyAlignment="1" applyProtection="1">
      <alignment horizontal="right"/>
      <protection hidden="1"/>
    </xf>
    <xf numFmtId="0" fontId="12" fillId="11" borderId="0" xfId="3" applyFont="1" applyFill="1" applyBorder="1" applyProtection="1">
      <protection hidden="1"/>
    </xf>
    <xf numFmtId="0" fontId="19" fillId="4" borderId="0" xfId="0" applyFont="1" applyFill="1" applyAlignment="1" applyProtection="1">
      <alignment horizontal="center"/>
      <protection hidden="1"/>
    </xf>
    <xf numFmtId="0" fontId="19" fillId="4" borderId="0" xfId="0" applyFont="1" applyFill="1" applyProtection="1">
      <protection hidden="1"/>
    </xf>
    <xf numFmtId="0" fontId="19" fillId="7" borderId="3" xfId="0" applyFont="1" applyFill="1" applyBorder="1" applyAlignment="1" applyProtection="1">
      <alignment horizontal="center"/>
      <protection hidden="1"/>
    </xf>
    <xf numFmtId="0" fontId="19" fillId="7" borderId="3" xfId="0" applyFont="1" applyFill="1" applyBorder="1" applyProtection="1">
      <protection hidden="1"/>
    </xf>
    <xf numFmtId="0" fontId="19" fillId="4" borderId="0" xfId="0" applyFont="1" applyFill="1" applyAlignment="1" applyProtection="1">
      <alignment horizontal="left"/>
      <protection hidden="1"/>
    </xf>
    <xf numFmtId="164" fontId="19" fillId="4" borderId="0" xfId="0" applyNumberFormat="1" applyFont="1" applyFill="1" applyAlignment="1" applyProtection="1">
      <alignment horizontal="center"/>
      <protection hidden="1"/>
    </xf>
    <xf numFmtId="0" fontId="20" fillId="4" borderId="0" xfId="0" applyFont="1" applyFill="1" applyAlignment="1" applyProtection="1">
      <alignment vertical="top" textRotation="180"/>
      <protection hidden="1"/>
    </xf>
    <xf numFmtId="0" fontId="19" fillId="4" borderId="0" xfId="0" applyFont="1" applyFill="1" applyAlignment="1" applyProtection="1">
      <alignment vertical="center" textRotation="180"/>
      <protection hidden="1"/>
    </xf>
    <xf numFmtId="0" fontId="21" fillId="4" borderId="0" xfId="0" applyFont="1" applyFill="1" applyProtection="1">
      <protection hidden="1"/>
    </xf>
    <xf numFmtId="0" fontId="22" fillId="4" borderId="0" xfId="0" applyFont="1" applyFill="1" applyAlignment="1" applyProtection="1">
      <alignment horizontal="center"/>
      <protection hidden="1"/>
    </xf>
    <xf numFmtId="0" fontId="23" fillId="4" borderId="0" xfId="0" applyFont="1" applyFill="1" applyAlignment="1" applyProtection="1">
      <alignment horizontal="center" wrapText="1"/>
      <protection hidden="1"/>
    </xf>
    <xf numFmtId="0" fontId="21" fillId="4" borderId="0" xfId="0" applyFont="1" applyFill="1" applyAlignment="1" applyProtection="1">
      <alignment horizontal="center" vertical="center"/>
      <protection hidden="1"/>
    </xf>
    <xf numFmtId="0" fontId="24" fillId="4" borderId="0" xfId="0" applyFont="1" applyFill="1" applyProtection="1">
      <protection hidden="1"/>
    </xf>
    <xf numFmtId="0" fontId="25" fillId="4" borderId="0" xfId="0" applyFont="1" applyFill="1" applyProtection="1">
      <protection hidden="1"/>
    </xf>
    <xf numFmtId="0" fontId="26" fillId="4" borderId="0" xfId="2" applyFont="1" applyFill="1" applyBorder="1" applyProtection="1">
      <protection hidden="1"/>
    </xf>
    <xf numFmtId="0" fontId="26" fillId="4" borderId="0" xfId="3" applyFont="1" applyFill="1" applyBorder="1" applyProtection="1">
      <protection hidden="1"/>
    </xf>
    <xf numFmtId="0" fontId="27" fillId="4" borderId="0" xfId="0" applyFont="1" applyFill="1" applyProtection="1">
      <protection hidden="1"/>
    </xf>
    <xf numFmtId="0" fontId="27" fillId="4" borderId="0" xfId="0" applyFont="1" applyFill="1" applyAlignment="1" applyProtection="1">
      <alignment horizontal="center"/>
      <protection hidden="1"/>
    </xf>
    <xf numFmtId="0" fontId="21" fillId="4" borderId="0" xfId="0" applyFont="1" applyFill="1" applyAlignment="1" applyProtection="1">
      <alignment wrapText="1"/>
      <protection hidden="1"/>
    </xf>
    <xf numFmtId="0" fontId="21" fillId="4" borderId="0" xfId="0" applyFont="1" applyFill="1" applyAlignment="1" applyProtection="1">
      <alignment horizontal="center"/>
      <protection hidden="1"/>
    </xf>
    <xf numFmtId="0" fontId="28" fillId="4" borderId="0" xfId="0" applyFont="1" applyFill="1" applyAlignment="1" applyProtection="1">
      <alignment horizontal="center" wrapText="1" readingOrder="2"/>
      <protection hidden="1"/>
    </xf>
    <xf numFmtId="0" fontId="28" fillId="4" borderId="0" xfId="0" applyFont="1" applyFill="1" applyAlignment="1" applyProtection="1">
      <alignment horizontal="right" vertical="top" wrapText="1"/>
      <protection hidden="1"/>
    </xf>
    <xf numFmtId="0" fontId="29" fillId="4" borderId="0" xfId="0" applyFont="1" applyFill="1" applyAlignment="1" applyProtection="1">
      <alignment horizontal="center" vertical="center" wrapText="1"/>
      <protection hidden="1"/>
    </xf>
    <xf numFmtId="0" fontId="30" fillId="4" borderId="0" xfId="0" applyFont="1" applyFill="1" applyAlignment="1" applyProtection="1">
      <alignment horizontal="center" vertical="center" wrapText="1"/>
      <protection hidden="1"/>
    </xf>
    <xf numFmtId="9" fontId="27" fillId="4" borderId="0" xfId="0" applyNumberFormat="1" applyFont="1" applyFill="1" applyProtection="1">
      <protection hidden="1"/>
    </xf>
    <xf numFmtId="4" fontId="31" fillId="4" borderId="0" xfId="0" applyNumberFormat="1" applyFont="1" applyFill="1" applyAlignment="1" applyProtection="1">
      <alignment vertical="center" wrapText="1"/>
      <protection hidden="1"/>
    </xf>
    <xf numFmtId="0" fontId="28" fillId="4" borderId="0" xfId="0" applyFont="1" applyFill="1" applyAlignment="1" applyProtection="1">
      <alignment horizontal="right" wrapText="1"/>
      <protection hidden="1"/>
    </xf>
    <xf numFmtId="0" fontId="28" fillId="4" borderId="0" xfId="0" applyFont="1" applyFill="1" applyAlignment="1" applyProtection="1">
      <alignment horizontal="right" vertical="top" wrapText="1" readingOrder="2"/>
      <protection hidden="1"/>
    </xf>
    <xf numFmtId="0" fontId="13" fillId="4" borderId="0" xfId="0" applyFont="1" applyFill="1" applyAlignment="1" applyProtection="1">
      <alignment horizontal="center" vertical="center" wrapText="1" readingOrder="1"/>
      <protection hidden="1"/>
    </xf>
    <xf numFmtId="0" fontId="17" fillId="4" borderId="0" xfId="0" applyFont="1" applyFill="1" applyAlignment="1" applyProtection="1">
      <alignment horizontal="center" vertical="center" wrapText="1" readingOrder="1"/>
      <protection hidden="1"/>
    </xf>
  </cellXfs>
  <cellStyles count="4">
    <cellStyle name="20% - הדגשה3" xfId="2" builtinId="38"/>
    <cellStyle name="40% - הדגשה3" xfId="3" builtinId="39"/>
    <cellStyle name="Normal" xfId="0" builtinId="0"/>
    <cellStyle name="Percent" xfId="1" builtinId="5"/>
  </cellStyles>
  <dxfs count="2">
    <dxf>
      <font>
        <color rgb="FFFF0000"/>
      </font>
      <fill>
        <patternFill patternType="solid">
          <fgColor rgb="FFFF7C80"/>
          <bgColor rgb="FFFFCCC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815340</xdr:colOff>
      <xdr:row>0</xdr:row>
      <xdr:rowOff>83820</xdr:rowOff>
    </xdr:from>
    <xdr:to>
      <xdr:col>14</xdr:col>
      <xdr:colOff>243840</xdr:colOff>
      <xdr:row>3</xdr:row>
      <xdr:rowOff>149216</xdr:rowOff>
    </xdr:to>
    <xdr:pic>
      <xdr:nvPicPr>
        <xdr:cNvPr id="2" name="תמונה 1">
          <a:extLst>
            <a:ext uri="{FF2B5EF4-FFF2-40B4-BE49-F238E27FC236}">
              <a16:creationId xmlns:a16="http://schemas.microsoft.com/office/drawing/2014/main" id="{2F739EDA-CC6A-4619-B78F-4E6DD159B9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25380140" y="83820"/>
          <a:ext cx="1714500" cy="16732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CAF92-6027-4932-B538-FC8A3A6316E4}">
  <dimension ref="A1:CF52"/>
  <sheetViews>
    <sheetView rightToLeft="1" tabSelected="1" workbookViewId="0">
      <selection activeCell="D9" sqref="D9"/>
    </sheetView>
  </sheetViews>
  <sheetFormatPr defaultColWidth="9" defaultRowHeight="14" x14ac:dyDescent="0.3"/>
  <cols>
    <col min="1" max="1" width="9" style="3"/>
    <col min="2" max="2" width="14.58203125" style="3" customWidth="1"/>
    <col min="3" max="3" width="18.6640625" style="3" customWidth="1"/>
    <col min="4" max="4" width="12.9140625" style="4" customWidth="1"/>
    <col min="5" max="5" width="3.08203125" style="72" customWidth="1"/>
    <col min="6" max="6" width="3.08203125" style="73" customWidth="1"/>
    <col min="7" max="7" width="9.1640625" style="3" customWidth="1"/>
    <col min="8" max="8" width="19.9140625" style="3" customWidth="1"/>
    <col min="9" max="9" width="8.9140625" style="4" customWidth="1"/>
    <col min="10" max="10" width="2.6640625" style="72" customWidth="1"/>
    <col min="11" max="11" width="2.6640625" style="73" customWidth="1"/>
    <col min="12" max="12" width="10.08203125" style="3" customWidth="1"/>
    <col min="13" max="13" width="21.58203125" style="3" customWidth="1"/>
    <col min="14" max="14" width="8.4140625" style="4" customWidth="1"/>
    <col min="15" max="15" width="3.9140625" style="81" customWidth="1"/>
    <col min="16" max="16" width="8.1640625" style="88" bestFit="1" customWidth="1"/>
    <col min="17" max="18" width="8.1640625" style="88" customWidth="1"/>
    <col min="19" max="19" width="9" style="88"/>
    <col min="20" max="20" width="4.4140625" style="88" customWidth="1"/>
    <col min="21" max="21" width="9" style="89"/>
    <col min="22" max="51" width="9" style="88"/>
    <col min="52" max="84" width="9" style="73"/>
    <col min="85" max="16384" width="9" style="3"/>
  </cols>
  <sheetData>
    <row r="1" spans="1:84" ht="14.5" thickBot="1" x14ac:dyDescent="0.35">
      <c r="A1" s="3" t="s">
        <v>0</v>
      </c>
    </row>
    <row r="2" spans="1:84" ht="14.5" thickBot="1" x14ac:dyDescent="0.35">
      <c r="B2" s="5" t="s">
        <v>1</v>
      </c>
      <c r="C2" s="6"/>
      <c r="D2" s="7"/>
      <c r="E2" s="74"/>
      <c r="F2" s="75"/>
      <c r="K2" s="80"/>
      <c r="L2" s="8"/>
      <c r="M2" s="8"/>
      <c r="N2" s="9"/>
    </row>
    <row r="3" spans="1:84" ht="97.75" customHeight="1" thickBot="1" x14ac:dyDescent="0.35">
      <c r="B3" s="10" t="s">
        <v>2</v>
      </c>
      <c r="K3" s="80"/>
      <c r="L3" s="8"/>
      <c r="M3" s="8"/>
      <c r="N3" s="9"/>
    </row>
    <row r="4" spans="1:84" ht="22.5" customHeight="1" thickBot="1" x14ac:dyDescent="0.35">
      <c r="B4" s="11" t="s">
        <v>3</v>
      </c>
      <c r="C4" s="12" t="s">
        <v>4</v>
      </c>
      <c r="D4" s="1"/>
      <c r="G4" s="14" t="s">
        <v>5</v>
      </c>
      <c r="H4" s="15" t="s">
        <v>6</v>
      </c>
      <c r="I4" s="13">
        <v>0</v>
      </c>
      <c r="L4" s="16" t="s">
        <v>7</v>
      </c>
      <c r="M4" s="17" t="s">
        <v>6</v>
      </c>
      <c r="N4" s="18" t="str">
        <f>IFERROR(VLOOKUP(N$7,CHOOSE(J$7,$Z$12:$AD$31,$AF$12:$AJ$29,$AL$12:$AP$28,$Z$34:$AD$52,$AF$34:$AJ$51,$AL$34:$AP$49),2,TRUE),"")</f>
        <v/>
      </c>
    </row>
    <row r="5" spans="1:84" ht="22.5" customHeight="1" thickBot="1" x14ac:dyDescent="0.35">
      <c r="B5" s="19"/>
      <c r="C5" s="12" t="s">
        <v>8</v>
      </c>
      <c r="D5" s="1" t="s">
        <v>9</v>
      </c>
      <c r="E5" s="72" t="s">
        <v>10</v>
      </c>
      <c r="F5" s="76">
        <f>IF(D5="מוסמך",1,0)+IF(D5="בכיר",2,0)+IF(D5="תואר ראשון",3,0)+IF(D5="תואר שני",4,0)+IF(D5="תואר שלישי",5,0)</f>
        <v>3</v>
      </c>
      <c r="G5" s="20"/>
      <c r="H5" s="15" t="s">
        <v>11</v>
      </c>
      <c r="I5" s="21">
        <f>IF(D9="כן",3,0)</f>
        <v>0</v>
      </c>
      <c r="L5" s="16"/>
      <c r="M5" s="17" t="s">
        <v>12</v>
      </c>
      <c r="N5" s="18" t="str">
        <f>IFERROR(VLOOKUP(N$7,CHOOSE(J$7,$Z$12:$AD$31,$AF$12:$AJ$29,$AL$12:$AP$28,$Z$34:$AD$52,$AF$34:$AJ$51,$AL$34:$AP$49),3,TRUE),"")</f>
        <v/>
      </c>
      <c r="O5" s="90"/>
      <c r="W5" s="73" t="s">
        <v>13</v>
      </c>
      <c r="X5" s="88" t="s">
        <v>14</v>
      </c>
      <c r="Y5" s="88" t="s">
        <v>15</v>
      </c>
    </row>
    <row r="6" spans="1:84" ht="22.5" customHeight="1" thickBot="1" x14ac:dyDescent="0.35">
      <c r="B6" s="19"/>
      <c r="C6" s="12" t="s">
        <v>16</v>
      </c>
      <c r="D6" s="1"/>
      <c r="G6" s="20"/>
      <c r="H6" s="15" t="s">
        <v>17</v>
      </c>
      <c r="I6" s="21">
        <f>I4+I5</f>
        <v>0</v>
      </c>
      <c r="L6" s="16"/>
      <c r="M6" s="17" t="s">
        <v>18</v>
      </c>
      <c r="N6" s="18" t="str">
        <f>IFERROR(VLOOKUP(N$7,CHOOSE(J$7,$Z$12:$AD$31,$AF$12:$AJ$29,$AL$12:$AP$28,$Z$34:$AD$52,$AF$34:$AJ$51,$AL$34:$AP$49),4,TRUE),"")</f>
        <v/>
      </c>
      <c r="P6" s="80"/>
      <c r="Q6" s="80"/>
      <c r="R6" s="80"/>
      <c r="S6" s="80"/>
      <c r="T6" s="80"/>
      <c r="U6" s="80"/>
      <c r="W6" s="73" t="s">
        <v>10</v>
      </c>
      <c r="X6" s="88" t="s">
        <v>19</v>
      </c>
    </row>
    <row r="7" spans="1:84" ht="22.5" customHeight="1" thickBot="1" x14ac:dyDescent="0.35">
      <c r="B7" s="19"/>
      <c r="C7" s="12" t="s">
        <v>20</v>
      </c>
      <c r="D7" s="1" t="s">
        <v>14</v>
      </c>
      <c r="G7" s="20"/>
      <c r="H7" s="15" t="s">
        <v>21</v>
      </c>
      <c r="I7" s="21">
        <f>ROUND((I5+I4+IF(D8&gt;=55,4,IF(D8&lt;50,0,2)))/IF(D7="א-ו",30,24)*100+IF(D10="כן",10,0),2)</f>
        <v>10</v>
      </c>
      <c r="J7" s="81">
        <f>IF(D8&gt;=55,IF(D10="כן",6,3),IF(D8&lt;50,IF(D10="כן",4,1),IF(D10="כן",5,2)))</f>
        <v>4</v>
      </c>
      <c r="L7" s="16"/>
      <c r="M7" s="17" t="s">
        <v>21</v>
      </c>
      <c r="N7" s="18" t="str">
        <f>IFERROR(VLOOKUP(I7,CHOOSE(J7,$Z$12:$AD$31,$AF$12:$AJ$29,$AL$12:$AP$28,$Z$34:$AD$52,$AF$34:$AJ$51,$AL$34:$AP$49),1,TRUE),"")</f>
        <v/>
      </c>
      <c r="P7" s="80"/>
      <c r="Q7" s="80"/>
      <c r="R7" s="80"/>
      <c r="S7" s="80"/>
      <c r="T7" s="80"/>
      <c r="U7" s="91"/>
      <c r="W7" s="73" t="s">
        <v>9</v>
      </c>
    </row>
    <row r="8" spans="1:84" ht="22.5" customHeight="1" thickBot="1" x14ac:dyDescent="0.35">
      <c r="B8" s="19"/>
      <c r="C8" s="12" t="s">
        <v>22</v>
      </c>
      <c r="D8" s="1"/>
      <c r="G8" s="22"/>
      <c r="H8" s="23"/>
      <c r="I8" s="3"/>
      <c r="J8" s="81"/>
      <c r="L8" s="24"/>
      <c r="N8" s="25"/>
      <c r="P8" s="80"/>
      <c r="Q8" s="80"/>
      <c r="R8" s="80"/>
      <c r="S8" s="80"/>
      <c r="T8" s="80"/>
      <c r="U8" s="80"/>
      <c r="W8" s="73" t="s">
        <v>23</v>
      </c>
    </row>
    <row r="9" spans="1:84" ht="22.5" customHeight="1" thickBot="1" x14ac:dyDescent="0.45">
      <c r="B9" s="19"/>
      <c r="C9" s="12" t="s">
        <v>24</v>
      </c>
      <c r="D9" s="1"/>
      <c r="G9" s="26"/>
      <c r="H9" s="27" t="s">
        <v>25</v>
      </c>
      <c r="I9" s="28"/>
      <c r="J9" s="82"/>
      <c r="K9" s="72"/>
      <c r="L9" s="29"/>
      <c r="M9" s="30" t="s">
        <v>26</v>
      </c>
      <c r="N9" s="31"/>
      <c r="W9" s="73" t="s">
        <v>27</v>
      </c>
    </row>
    <row r="10" spans="1:84" s="38" customFormat="1" ht="22.5" customHeight="1" thickBot="1" x14ac:dyDescent="0.35">
      <c r="A10" s="3"/>
      <c r="B10" s="19"/>
      <c r="C10" s="12" t="s">
        <v>28</v>
      </c>
      <c r="D10" s="1" t="s">
        <v>15</v>
      </c>
      <c r="E10" s="72"/>
      <c r="F10" s="73"/>
      <c r="G10" s="32"/>
      <c r="H10" s="33" t="s">
        <v>29</v>
      </c>
      <c r="I10" s="34" t="s">
        <v>30</v>
      </c>
      <c r="J10" s="83"/>
      <c r="K10" s="73"/>
      <c r="L10" s="35"/>
      <c r="M10" s="36" t="s">
        <v>29</v>
      </c>
      <c r="N10" s="37" t="s">
        <v>30</v>
      </c>
      <c r="O10" s="81"/>
      <c r="P10" s="88"/>
      <c r="Q10" s="88" t="s">
        <v>31</v>
      </c>
      <c r="R10" s="88"/>
      <c r="S10" s="88"/>
      <c r="T10" s="88"/>
      <c r="U10" s="89"/>
      <c r="V10" s="88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  <c r="BM10" s="90"/>
      <c r="BN10" s="90"/>
      <c r="BO10" s="90"/>
      <c r="BP10" s="90"/>
      <c r="BQ10" s="90"/>
      <c r="BR10" s="90"/>
      <c r="BS10" s="90"/>
      <c r="BT10" s="90"/>
      <c r="BU10" s="90"/>
      <c r="BV10" s="90"/>
      <c r="BW10" s="90"/>
      <c r="BX10" s="90"/>
      <c r="BY10" s="90"/>
      <c r="BZ10" s="90"/>
      <c r="CA10" s="90"/>
      <c r="CB10" s="90"/>
      <c r="CC10" s="90"/>
      <c r="CD10" s="90"/>
      <c r="CE10" s="90"/>
      <c r="CF10" s="90"/>
    </row>
    <row r="11" spans="1:84" ht="15.75" customHeight="1" x14ac:dyDescent="0.3">
      <c r="H11" s="39" t="s">
        <v>32</v>
      </c>
      <c r="I11" s="40" t="e">
        <f>ROUND(J11*I7/100,2)</f>
        <v>#VALUE!</v>
      </c>
      <c r="J11" s="84" t="e">
        <f>IF(D6&lt;36.5,INDEX(S12:W47,D6,F5),INDEX(S12:W48,36,F5))</f>
        <v>#VALUE!</v>
      </c>
      <c r="M11" s="41" t="s">
        <v>33</v>
      </c>
      <c r="N11" s="40">
        <f>IF(I6="א-ו",(17+IF(D9="כן",3)+IF(D10="כן",7)),(17+IF(D9="כן",3)+IF(D10="כן",7))*1.125)</f>
        <v>27</v>
      </c>
      <c r="O11" s="81">
        <f>IF(D5="תואר ראשון",1,IF(D5="תואר שני",2,IF(D5="תואר שלישי",3,1)))</f>
        <v>1</v>
      </c>
      <c r="Q11" s="88" t="s">
        <v>34</v>
      </c>
      <c r="R11" s="73"/>
      <c r="S11" s="73" t="s">
        <v>13</v>
      </c>
      <c r="T11" s="73" t="s">
        <v>10</v>
      </c>
      <c r="U11" s="73" t="s">
        <v>9</v>
      </c>
      <c r="V11" s="73" t="s">
        <v>23</v>
      </c>
      <c r="W11" s="73" t="s">
        <v>27</v>
      </c>
      <c r="Z11" s="88" t="s">
        <v>35</v>
      </c>
      <c r="AA11" s="91" t="s">
        <v>36</v>
      </c>
      <c r="AF11" s="88" t="s">
        <v>37</v>
      </c>
      <c r="AG11" s="91" t="s">
        <v>38</v>
      </c>
      <c r="AL11" s="88" t="s">
        <v>39</v>
      </c>
      <c r="AM11" s="91" t="s">
        <v>40</v>
      </c>
      <c r="AR11" s="88" t="s">
        <v>41</v>
      </c>
    </row>
    <row r="12" spans="1:84" ht="15.75" customHeight="1" x14ac:dyDescent="0.3">
      <c r="A12" s="100" t="str">
        <f>IF(D14&gt;24.75,"*תקרת הגמולים 24.75  - 16 גמולי השלמות ו-8.75 כפל תואר","")</f>
        <v/>
      </c>
      <c r="B12" s="42"/>
      <c r="C12" s="43" t="s">
        <v>42</v>
      </c>
      <c r="D12" s="43"/>
      <c r="H12" s="39" t="s">
        <v>43</v>
      </c>
      <c r="I12" s="40">
        <f>ROUND(156.9*I7/100,2)</f>
        <v>15.69</v>
      </c>
      <c r="J12" s="84">
        <v>156.75</v>
      </c>
      <c r="M12" s="41" t="s">
        <v>44</v>
      </c>
      <c r="N12" s="44" t="e">
        <f>ROUND((J11+J12+J13+J14+J15+J16+J21+J24+J25)*1.034*(N11+100)/100,2)</f>
        <v>#VALUE!</v>
      </c>
      <c r="O12" s="81" t="str">
        <f>IFERROR(VLOOKUP(N12,CHOOSE(O11,AS12:CB29,AS31:CB48),IF(D6&lt;36,D6,36),TRUE),"")</f>
        <v/>
      </c>
      <c r="R12" s="92">
        <v>1</v>
      </c>
      <c r="S12" s="93">
        <v>2584.9299999999998</v>
      </c>
      <c r="T12" s="93">
        <v>2835.68</v>
      </c>
      <c r="U12" s="93">
        <v>2967.54</v>
      </c>
      <c r="V12" s="93">
        <v>3179.56</v>
      </c>
      <c r="W12" s="93">
        <v>3365.62</v>
      </c>
      <c r="Z12" s="94" t="s">
        <v>45</v>
      </c>
      <c r="AA12" s="94" t="s">
        <v>46</v>
      </c>
      <c r="AB12" s="94" t="s">
        <v>47</v>
      </c>
      <c r="AC12" s="94" t="s">
        <v>48</v>
      </c>
      <c r="AD12" s="94" t="s">
        <v>49</v>
      </c>
      <c r="AF12" s="94" t="s">
        <v>45</v>
      </c>
      <c r="AG12" s="94" t="s">
        <v>46</v>
      </c>
      <c r="AH12" s="94" t="s">
        <v>47</v>
      </c>
      <c r="AI12" s="94" t="s">
        <v>48</v>
      </c>
      <c r="AJ12" s="94" t="s">
        <v>49</v>
      </c>
      <c r="AL12" s="94" t="s">
        <v>45</v>
      </c>
      <c r="AM12" s="94" t="s">
        <v>46</v>
      </c>
      <c r="AN12" s="94" t="s">
        <v>47</v>
      </c>
      <c r="AO12" s="94" t="s">
        <v>48</v>
      </c>
      <c r="AP12" s="94" t="s">
        <v>49</v>
      </c>
      <c r="AR12" s="95" t="s">
        <v>50</v>
      </c>
      <c r="AS12" s="95">
        <v>1</v>
      </c>
      <c r="AT12" s="95">
        <v>2</v>
      </c>
      <c r="AU12" s="95">
        <v>3</v>
      </c>
      <c r="AV12" s="95">
        <v>4</v>
      </c>
      <c r="AW12" s="95">
        <v>5</v>
      </c>
      <c r="AX12" s="95">
        <v>6</v>
      </c>
      <c r="AY12" s="95">
        <v>7</v>
      </c>
      <c r="AZ12" s="95">
        <v>8</v>
      </c>
      <c r="BA12" s="95">
        <v>9</v>
      </c>
      <c r="BB12" s="95">
        <v>10</v>
      </c>
      <c r="BC12" s="95">
        <v>11</v>
      </c>
      <c r="BD12" s="95">
        <v>12</v>
      </c>
      <c r="BE12" s="95">
        <v>13</v>
      </c>
      <c r="BF12" s="95">
        <v>14</v>
      </c>
      <c r="BG12" s="95">
        <v>15</v>
      </c>
      <c r="BH12" s="95">
        <v>16</v>
      </c>
      <c r="BI12" s="95">
        <v>17</v>
      </c>
      <c r="BJ12" s="95">
        <v>18</v>
      </c>
      <c r="BK12" s="95">
        <v>19</v>
      </c>
      <c r="BL12" s="95">
        <v>20</v>
      </c>
      <c r="BM12" s="95">
        <v>21</v>
      </c>
      <c r="BN12" s="95">
        <v>22</v>
      </c>
      <c r="BO12" s="95">
        <v>23</v>
      </c>
      <c r="BP12" s="95">
        <v>24</v>
      </c>
      <c r="BQ12" s="95">
        <v>25</v>
      </c>
      <c r="BR12" s="95">
        <v>26</v>
      </c>
      <c r="BS12" s="95">
        <v>27</v>
      </c>
      <c r="BT12" s="95">
        <v>28</v>
      </c>
      <c r="BU12" s="95">
        <v>29</v>
      </c>
      <c r="BV12" s="95">
        <v>30</v>
      </c>
      <c r="BW12" s="95">
        <v>31</v>
      </c>
      <c r="BX12" s="95">
        <v>32</v>
      </c>
      <c r="BY12" s="95">
        <v>33</v>
      </c>
      <c r="BZ12" s="95">
        <v>34</v>
      </c>
      <c r="CA12" s="95">
        <v>35</v>
      </c>
      <c r="CB12" s="95">
        <v>36</v>
      </c>
    </row>
    <row r="13" spans="1:84" ht="15.75" customHeight="1" thickBot="1" x14ac:dyDescent="0.4">
      <c r="A13" s="100"/>
      <c r="B13" s="45"/>
      <c r="C13" s="46" t="s">
        <v>29</v>
      </c>
      <c r="D13" s="47" t="s">
        <v>51</v>
      </c>
      <c r="H13" s="39" t="s">
        <v>52</v>
      </c>
      <c r="I13" s="40">
        <f>ROUND(174.48*I7/100,2)</f>
        <v>17.45</v>
      </c>
      <c r="J13" s="84">
        <v>174.47</v>
      </c>
      <c r="M13" s="41" t="s">
        <v>53</v>
      </c>
      <c r="N13" s="48"/>
      <c r="Q13" s="96">
        <v>0.05</v>
      </c>
      <c r="R13" s="92">
        <v>2</v>
      </c>
      <c r="S13" s="93">
        <v>2714.18</v>
      </c>
      <c r="T13" s="93">
        <v>2977.47</v>
      </c>
      <c r="U13" s="93">
        <v>3115.92</v>
      </c>
      <c r="V13" s="93">
        <v>3338.53</v>
      </c>
      <c r="W13" s="93">
        <v>3533.9</v>
      </c>
      <c r="Z13" s="94">
        <v>33.33</v>
      </c>
      <c r="AA13" s="94">
        <v>8</v>
      </c>
      <c r="AB13" s="94">
        <v>2</v>
      </c>
      <c r="AC13" s="94">
        <v>2</v>
      </c>
      <c r="AD13" s="94">
        <v>12</v>
      </c>
      <c r="AF13" s="94">
        <v>35.29</v>
      </c>
      <c r="AG13" s="94">
        <v>8</v>
      </c>
      <c r="AH13" s="94">
        <v>2</v>
      </c>
      <c r="AI13" s="94">
        <v>2</v>
      </c>
      <c r="AJ13" s="94">
        <v>12</v>
      </c>
      <c r="AL13" s="94">
        <v>34.380000000000003</v>
      </c>
      <c r="AM13" s="94">
        <v>8</v>
      </c>
      <c r="AN13" s="94">
        <v>1</v>
      </c>
      <c r="AO13" s="94">
        <v>2</v>
      </c>
      <c r="AP13" s="94">
        <v>11</v>
      </c>
      <c r="AR13" s="95">
        <v>1</v>
      </c>
      <c r="AS13" s="97">
        <v>6300</v>
      </c>
      <c r="AT13" s="97">
        <v>6426</v>
      </c>
      <c r="AU13" s="97">
        <v>6554.52</v>
      </c>
      <c r="AV13" s="97">
        <v>6685.61</v>
      </c>
      <c r="AW13" s="97">
        <v>6819.32</v>
      </c>
      <c r="AX13" s="97">
        <v>6955.71</v>
      </c>
      <c r="AY13" s="97">
        <v>7094.82</v>
      </c>
      <c r="AZ13" s="97">
        <v>7165.77</v>
      </c>
      <c r="BA13" s="97">
        <v>7237.43</v>
      </c>
      <c r="BB13" s="97">
        <v>7309.8</v>
      </c>
      <c r="BC13" s="97">
        <v>7382.9</v>
      </c>
      <c r="BD13" s="97">
        <v>7456.73</v>
      </c>
      <c r="BE13" s="97">
        <v>7531.3</v>
      </c>
      <c r="BF13" s="97">
        <v>7606.61</v>
      </c>
      <c r="BG13" s="97">
        <v>7682.68</v>
      </c>
      <c r="BH13" s="97">
        <v>7759.5</v>
      </c>
      <c r="BI13" s="97">
        <v>7837.1</v>
      </c>
      <c r="BJ13" s="97">
        <v>7915.47</v>
      </c>
      <c r="BK13" s="97">
        <v>7994.62</v>
      </c>
      <c r="BL13" s="97">
        <v>8074.57</v>
      </c>
      <c r="BM13" s="97">
        <v>8155.32</v>
      </c>
      <c r="BN13" s="97">
        <v>8236.8700000000008</v>
      </c>
      <c r="BO13" s="97">
        <v>8319.24</v>
      </c>
      <c r="BP13" s="97">
        <v>8402.43</v>
      </c>
      <c r="BQ13" s="97">
        <v>8486.4500000000007</v>
      </c>
      <c r="BR13" s="97">
        <v>8571.32</v>
      </c>
      <c r="BS13" s="97">
        <v>8657.0300000000007</v>
      </c>
      <c r="BT13" s="97">
        <v>8743.6</v>
      </c>
      <c r="BU13" s="97">
        <v>8831.0400000000009</v>
      </c>
      <c r="BV13" s="97">
        <v>8919.35</v>
      </c>
      <c r="BW13" s="97">
        <v>9008.5400000000009</v>
      </c>
      <c r="BX13" s="97">
        <v>9098.6299999999992</v>
      </c>
      <c r="BY13" s="97">
        <v>9189.61</v>
      </c>
      <c r="BZ13" s="97">
        <v>9281.51</v>
      </c>
      <c r="CA13" s="97">
        <v>9374.33</v>
      </c>
      <c r="CB13" s="97">
        <v>9468.07</v>
      </c>
    </row>
    <row r="14" spans="1:84" ht="15.75" customHeight="1" thickBot="1" x14ac:dyDescent="0.35">
      <c r="A14" s="100"/>
      <c r="B14" s="45"/>
      <c r="C14" s="49" t="s">
        <v>54</v>
      </c>
      <c r="D14" s="1">
        <v>13</v>
      </c>
      <c r="E14" s="72">
        <f>D14*1.2</f>
        <v>15.6</v>
      </c>
      <c r="H14" s="39" t="s">
        <v>55</v>
      </c>
      <c r="I14" s="40" t="e">
        <f>ROUND(I11*0.03,2)</f>
        <v>#VALUE!</v>
      </c>
      <c r="J14" s="84" t="e">
        <f>ROUND(J11*0.03,2)</f>
        <v>#VALUE!</v>
      </c>
      <c r="M14" s="39" t="s">
        <v>32</v>
      </c>
      <c r="N14" s="40" t="e">
        <f>O12*N7/100</f>
        <v>#VALUE!</v>
      </c>
      <c r="O14" s="81" t="str">
        <f>O12</f>
        <v/>
      </c>
      <c r="Q14" s="96">
        <v>7.0000000000000007E-2</v>
      </c>
      <c r="R14" s="92">
        <v>3</v>
      </c>
      <c r="S14" s="93">
        <v>2849.89</v>
      </c>
      <c r="T14" s="93">
        <v>3126.34</v>
      </c>
      <c r="U14" s="93">
        <v>3271.72</v>
      </c>
      <c r="V14" s="93">
        <v>3505.46</v>
      </c>
      <c r="W14" s="93">
        <v>3710.59</v>
      </c>
      <c r="Z14" s="94">
        <v>36.11</v>
      </c>
      <c r="AA14" s="94">
        <v>9</v>
      </c>
      <c r="AB14" s="94">
        <v>2</v>
      </c>
      <c r="AC14" s="94">
        <v>2</v>
      </c>
      <c r="AD14" s="94">
        <v>13</v>
      </c>
      <c r="AF14" s="94">
        <v>38.24</v>
      </c>
      <c r="AG14" s="94">
        <v>9</v>
      </c>
      <c r="AH14" s="94">
        <v>2</v>
      </c>
      <c r="AI14" s="94">
        <v>2</v>
      </c>
      <c r="AJ14" s="94">
        <v>13</v>
      </c>
      <c r="AL14" s="94">
        <v>37.5</v>
      </c>
      <c r="AM14" s="94">
        <v>9</v>
      </c>
      <c r="AN14" s="94">
        <v>1</v>
      </c>
      <c r="AO14" s="94">
        <v>2</v>
      </c>
      <c r="AP14" s="94">
        <v>12</v>
      </c>
      <c r="AR14" s="95">
        <v>1.5</v>
      </c>
      <c r="AS14" s="97">
        <v>6536.25</v>
      </c>
      <c r="AT14" s="97">
        <v>6666.98</v>
      </c>
      <c r="AU14" s="97">
        <v>6800.31</v>
      </c>
      <c r="AV14" s="97">
        <v>6936.32</v>
      </c>
      <c r="AW14" s="97">
        <v>7075.05</v>
      </c>
      <c r="AX14" s="97">
        <v>7216.55</v>
      </c>
      <c r="AY14" s="97">
        <v>7360.88</v>
      </c>
      <c r="AZ14" s="97">
        <v>7434.49</v>
      </c>
      <c r="BA14" s="97">
        <v>7508.83</v>
      </c>
      <c r="BB14" s="97">
        <v>7583.92</v>
      </c>
      <c r="BC14" s="97">
        <v>7659.76</v>
      </c>
      <c r="BD14" s="97">
        <v>7736.36</v>
      </c>
      <c r="BE14" s="97">
        <v>7813.72</v>
      </c>
      <c r="BF14" s="97">
        <v>7891.86</v>
      </c>
      <c r="BG14" s="97">
        <v>7970.78</v>
      </c>
      <c r="BH14" s="97">
        <v>8050.49</v>
      </c>
      <c r="BI14" s="97">
        <v>8130.99</v>
      </c>
      <c r="BJ14" s="97">
        <v>8212.2999999999993</v>
      </c>
      <c r="BK14" s="97">
        <v>8294.42</v>
      </c>
      <c r="BL14" s="97">
        <v>8377.3700000000008</v>
      </c>
      <c r="BM14" s="97">
        <v>8461.14</v>
      </c>
      <c r="BN14" s="97">
        <v>8545.75</v>
      </c>
      <c r="BO14" s="97">
        <v>8631.2099999999991</v>
      </c>
      <c r="BP14" s="97">
        <v>8717.52</v>
      </c>
      <c r="BQ14" s="97">
        <v>8804.7000000000007</v>
      </c>
      <c r="BR14" s="97">
        <v>8892.74</v>
      </c>
      <c r="BS14" s="97">
        <v>8981.67</v>
      </c>
      <c r="BT14" s="97">
        <v>9071.49</v>
      </c>
      <c r="BU14" s="97">
        <v>9162.2000000000007</v>
      </c>
      <c r="BV14" s="97">
        <v>9253.83</v>
      </c>
      <c r="BW14" s="97">
        <v>9346.36</v>
      </c>
      <c r="BX14" s="97">
        <v>9439.83</v>
      </c>
      <c r="BY14" s="97">
        <v>9534.23</v>
      </c>
      <c r="BZ14" s="97">
        <v>9629.57</v>
      </c>
      <c r="CA14" s="97">
        <v>9725.86</v>
      </c>
      <c r="CB14" s="97">
        <v>9823.1200000000008</v>
      </c>
    </row>
    <row r="15" spans="1:84" ht="15.75" customHeight="1" thickBot="1" x14ac:dyDescent="0.35">
      <c r="A15" s="100"/>
      <c r="B15" s="42"/>
      <c r="C15" s="49" t="s">
        <v>56</v>
      </c>
      <c r="D15" s="1" t="s">
        <v>34</v>
      </c>
      <c r="E15" s="77">
        <f>IF(D15="א",11.5,IF(D15="",0,10))</f>
        <v>10</v>
      </c>
      <c r="H15" s="39" t="s">
        <v>57</v>
      </c>
      <c r="I15" s="40" t="e">
        <f>ROUND((I11+I14)*0.0481,2)</f>
        <v>#VALUE!</v>
      </c>
      <c r="J15" s="84" t="e">
        <f>ROUND((J11+J14)*0.0481,2)</f>
        <v>#VALUE!</v>
      </c>
      <c r="M15" s="39" t="s">
        <v>58</v>
      </c>
      <c r="N15" s="40">
        <f>ROUND(IF(N7&lt;=100,563.6*N7/100,563.6),2)</f>
        <v>563.6</v>
      </c>
      <c r="O15" s="84">
        <v>563.6</v>
      </c>
      <c r="Q15" s="96">
        <v>0.09</v>
      </c>
      <c r="R15" s="92">
        <v>4</v>
      </c>
      <c r="S15" s="93">
        <v>2992.38</v>
      </c>
      <c r="T15" s="93">
        <v>3282.66</v>
      </c>
      <c r="U15" s="93">
        <v>3435.3</v>
      </c>
      <c r="V15" s="93">
        <v>3680.73</v>
      </c>
      <c r="W15" s="93">
        <v>3896.12</v>
      </c>
      <c r="Z15" s="94">
        <v>38.89</v>
      </c>
      <c r="AA15" s="94">
        <v>10</v>
      </c>
      <c r="AB15" s="94">
        <v>2</v>
      </c>
      <c r="AC15" s="94">
        <v>2</v>
      </c>
      <c r="AD15" s="94">
        <v>14</v>
      </c>
      <c r="AF15" s="94">
        <v>41.18</v>
      </c>
      <c r="AG15" s="94">
        <v>10</v>
      </c>
      <c r="AH15" s="94">
        <v>2</v>
      </c>
      <c r="AI15" s="94">
        <v>2</v>
      </c>
      <c r="AJ15" s="94">
        <v>14</v>
      </c>
      <c r="AL15" s="94">
        <v>40.630000000000003</v>
      </c>
      <c r="AM15" s="94">
        <v>10</v>
      </c>
      <c r="AN15" s="94">
        <v>1</v>
      </c>
      <c r="AO15" s="94">
        <v>2</v>
      </c>
      <c r="AP15" s="94">
        <v>13</v>
      </c>
      <c r="AR15" s="95">
        <v>2</v>
      </c>
      <c r="AS15" s="97">
        <v>6772.5</v>
      </c>
      <c r="AT15" s="97">
        <v>6907.95</v>
      </c>
      <c r="AU15" s="97">
        <v>7046.11</v>
      </c>
      <c r="AV15" s="97">
        <v>7187.03</v>
      </c>
      <c r="AW15" s="97">
        <v>7330.77</v>
      </c>
      <c r="AX15" s="97">
        <v>7477.39</v>
      </c>
      <c r="AY15" s="97">
        <v>7626.93</v>
      </c>
      <c r="AZ15" s="97">
        <v>7703.2</v>
      </c>
      <c r="BA15" s="97">
        <v>7780.24</v>
      </c>
      <c r="BB15" s="97">
        <v>7858.04</v>
      </c>
      <c r="BC15" s="97">
        <v>7936.62</v>
      </c>
      <c r="BD15" s="97">
        <v>8015.99</v>
      </c>
      <c r="BE15" s="97">
        <v>8096.15</v>
      </c>
      <c r="BF15" s="97">
        <v>8177.11</v>
      </c>
      <c r="BG15" s="97">
        <v>8258.8799999999992</v>
      </c>
      <c r="BH15" s="97">
        <v>8341.4699999999993</v>
      </c>
      <c r="BI15" s="97">
        <v>8424.8799999999992</v>
      </c>
      <c r="BJ15" s="97">
        <v>8509.1299999999992</v>
      </c>
      <c r="BK15" s="97">
        <v>8594.2199999999993</v>
      </c>
      <c r="BL15" s="97">
        <v>8680.16</v>
      </c>
      <c r="BM15" s="97">
        <v>8766.9699999999993</v>
      </c>
      <c r="BN15" s="97">
        <v>8854.6299999999992</v>
      </c>
      <c r="BO15" s="97">
        <v>8943.18</v>
      </c>
      <c r="BP15" s="97">
        <v>9032.61</v>
      </c>
      <c r="BQ15" s="97">
        <v>9122.94</v>
      </c>
      <c r="BR15" s="97">
        <v>9214.17</v>
      </c>
      <c r="BS15" s="97">
        <v>9306.31</v>
      </c>
      <c r="BT15" s="97">
        <v>9399.3700000000008</v>
      </c>
      <c r="BU15" s="97">
        <v>9493.3700000000008</v>
      </c>
      <c r="BV15" s="97">
        <v>9588.2999999999993</v>
      </c>
      <c r="BW15" s="97">
        <v>9684.18</v>
      </c>
      <c r="BX15" s="97">
        <v>9781.0300000000007</v>
      </c>
      <c r="BY15" s="97">
        <v>9878.84</v>
      </c>
      <c r="BZ15" s="97">
        <v>9977.6200000000008</v>
      </c>
      <c r="CA15" s="97">
        <v>10077.4</v>
      </c>
      <c r="CB15" s="97">
        <v>10178.17</v>
      </c>
    </row>
    <row r="16" spans="1:84" ht="15.75" customHeight="1" thickBot="1" x14ac:dyDescent="0.35">
      <c r="A16" s="100"/>
      <c r="B16" s="42"/>
      <c r="C16" s="49" t="s">
        <v>59</v>
      </c>
      <c r="D16" s="2"/>
      <c r="E16" s="72">
        <f>D16*100</f>
        <v>0</v>
      </c>
      <c r="H16" s="39" t="s">
        <v>60</v>
      </c>
      <c r="I16" s="40" t="e">
        <f>ROUND((I11+I14+I15)*0.0635,2)</f>
        <v>#VALUE!</v>
      </c>
      <c r="J16" s="84" t="e">
        <f>ROUND((J11+J14+J15)*0.0635,2)</f>
        <v>#VALUE!</v>
      </c>
      <c r="M16" s="39" t="s">
        <v>61</v>
      </c>
      <c r="N16" s="40">
        <f>ROUND(IF(N7&lt;=100,500*N7/100,500),2)</f>
        <v>500</v>
      </c>
      <c r="O16" s="84">
        <v>500</v>
      </c>
      <c r="Q16" s="96">
        <v>0.05</v>
      </c>
      <c r="R16" s="92">
        <v>5</v>
      </c>
      <c r="S16" s="93">
        <v>3142</v>
      </c>
      <c r="T16" s="93">
        <v>3446.79</v>
      </c>
      <c r="U16" s="93">
        <v>3607.07</v>
      </c>
      <c r="V16" s="93">
        <v>3864.77</v>
      </c>
      <c r="W16" s="93">
        <v>4090.93</v>
      </c>
      <c r="Z16" s="94">
        <v>41.67</v>
      </c>
      <c r="AA16" s="94">
        <v>11</v>
      </c>
      <c r="AB16" s="94">
        <v>2</v>
      </c>
      <c r="AC16" s="94">
        <v>2</v>
      </c>
      <c r="AD16" s="94">
        <v>15</v>
      </c>
      <c r="AF16" s="94">
        <v>44.12</v>
      </c>
      <c r="AG16" s="94">
        <v>11</v>
      </c>
      <c r="AH16" s="94">
        <v>2</v>
      </c>
      <c r="AI16" s="94">
        <v>2</v>
      </c>
      <c r="AJ16" s="94">
        <v>15</v>
      </c>
      <c r="AL16" s="94">
        <v>43.75</v>
      </c>
      <c r="AM16" s="94">
        <v>11</v>
      </c>
      <c r="AN16" s="94">
        <v>1</v>
      </c>
      <c r="AO16" s="94">
        <v>2</v>
      </c>
      <c r="AP16" s="94">
        <v>14</v>
      </c>
      <c r="AR16" s="95">
        <v>2.5</v>
      </c>
      <c r="AS16" s="97">
        <v>7026.47</v>
      </c>
      <c r="AT16" s="97">
        <v>7167</v>
      </c>
      <c r="AU16" s="97">
        <v>7310.34</v>
      </c>
      <c r="AV16" s="97">
        <v>7456.54</v>
      </c>
      <c r="AW16" s="97">
        <v>7605.68</v>
      </c>
      <c r="AX16" s="97">
        <v>7757.79</v>
      </c>
      <c r="AY16" s="97">
        <v>7912.95</v>
      </c>
      <c r="AZ16" s="97">
        <v>7992.07</v>
      </c>
      <c r="BA16" s="97">
        <v>8072</v>
      </c>
      <c r="BB16" s="97">
        <v>8152.72</v>
      </c>
      <c r="BC16" s="97">
        <v>8234.24</v>
      </c>
      <c r="BD16" s="97">
        <v>8316.58</v>
      </c>
      <c r="BE16" s="97">
        <v>8399.75</v>
      </c>
      <c r="BF16" s="97">
        <v>8483.75</v>
      </c>
      <c r="BG16" s="97">
        <v>8568.59</v>
      </c>
      <c r="BH16" s="97">
        <v>8654.27</v>
      </c>
      <c r="BI16" s="97">
        <v>8740.81</v>
      </c>
      <c r="BJ16" s="97">
        <v>8828.2199999999993</v>
      </c>
      <c r="BK16" s="97">
        <v>8916.5</v>
      </c>
      <c r="BL16" s="97">
        <v>9005.67</v>
      </c>
      <c r="BM16" s="97">
        <v>9095.73</v>
      </c>
      <c r="BN16" s="97">
        <v>9186.68</v>
      </c>
      <c r="BO16" s="97">
        <v>9278.5499999999993</v>
      </c>
      <c r="BP16" s="97">
        <v>9371.34</v>
      </c>
      <c r="BQ16" s="97">
        <v>9465.0499999999993</v>
      </c>
      <c r="BR16" s="97">
        <v>9559.7000000000007</v>
      </c>
      <c r="BS16" s="97">
        <v>9655.2999999999993</v>
      </c>
      <c r="BT16" s="97">
        <v>9751.85</v>
      </c>
      <c r="BU16" s="97">
        <v>9849.3700000000008</v>
      </c>
      <c r="BV16" s="97">
        <v>9947.86</v>
      </c>
      <c r="BW16" s="97">
        <v>10047.34</v>
      </c>
      <c r="BX16" s="97">
        <v>10147.81</v>
      </c>
      <c r="BY16" s="97">
        <v>10249.290000000001</v>
      </c>
      <c r="BZ16" s="97">
        <v>10351.780000000001</v>
      </c>
      <c r="CA16" s="97">
        <v>10455.299999999999</v>
      </c>
      <c r="CB16" s="97">
        <v>10559.86</v>
      </c>
    </row>
    <row r="17" spans="1:80" ht="14.5" thickBot="1" x14ac:dyDescent="0.35">
      <c r="A17" s="100"/>
      <c r="B17" s="42"/>
      <c r="C17" s="49" t="s">
        <v>62</v>
      </c>
      <c r="D17" s="2"/>
      <c r="E17" s="72">
        <f>D17*100</f>
        <v>0</v>
      </c>
      <c r="H17" s="50" t="s">
        <v>63</v>
      </c>
      <c r="I17" s="51"/>
      <c r="J17" s="85">
        <f>I17*100/I7</f>
        <v>0</v>
      </c>
      <c r="L17" s="52" t="s">
        <v>64</v>
      </c>
      <c r="M17" s="53" t="s">
        <v>65</v>
      </c>
      <c r="N17" s="54" t="e">
        <f>N14+N15+N16</f>
        <v>#VALUE!</v>
      </c>
      <c r="O17" s="86" t="e">
        <f>O14+O15+O16</f>
        <v>#VALUE!</v>
      </c>
      <c r="Q17" s="96">
        <v>0.06</v>
      </c>
      <c r="R17" s="92">
        <v>6</v>
      </c>
      <c r="S17" s="98">
        <v>3299.1</v>
      </c>
      <c r="T17" s="98">
        <v>3619.13</v>
      </c>
      <c r="U17" s="98">
        <v>3787.42</v>
      </c>
      <c r="V17" s="98">
        <v>4058.01</v>
      </c>
      <c r="W17" s="98">
        <v>4295.4799999999996</v>
      </c>
      <c r="Z17" s="94">
        <v>44.44</v>
      </c>
      <c r="AA17" s="94">
        <v>12</v>
      </c>
      <c r="AB17" s="94">
        <v>2</v>
      </c>
      <c r="AC17" s="94">
        <v>2</v>
      </c>
      <c r="AD17" s="94">
        <v>16</v>
      </c>
      <c r="AF17" s="94">
        <v>50</v>
      </c>
      <c r="AG17" s="94">
        <v>12</v>
      </c>
      <c r="AH17" s="94">
        <v>2</v>
      </c>
      <c r="AI17" s="94">
        <v>3</v>
      </c>
      <c r="AJ17" s="94">
        <v>17</v>
      </c>
      <c r="AL17" s="94">
        <v>50</v>
      </c>
      <c r="AM17" s="94">
        <v>12</v>
      </c>
      <c r="AN17" s="94">
        <v>1</v>
      </c>
      <c r="AO17" s="94">
        <v>3</v>
      </c>
      <c r="AP17" s="94">
        <v>16</v>
      </c>
      <c r="AR17" s="95">
        <v>3</v>
      </c>
      <c r="AS17" s="97">
        <v>7280.44</v>
      </c>
      <c r="AT17" s="97">
        <v>7426.05</v>
      </c>
      <c r="AU17" s="97">
        <v>7574.57</v>
      </c>
      <c r="AV17" s="97">
        <v>7726.06</v>
      </c>
      <c r="AW17" s="97">
        <v>7880.58</v>
      </c>
      <c r="AX17" s="97">
        <v>8038.19</v>
      </c>
      <c r="AY17" s="97">
        <v>8198.9599999999991</v>
      </c>
      <c r="AZ17" s="97">
        <v>8280.94</v>
      </c>
      <c r="BA17" s="97">
        <v>8363.75</v>
      </c>
      <c r="BB17" s="97">
        <v>8447.39</v>
      </c>
      <c r="BC17" s="97">
        <v>8531.8700000000008</v>
      </c>
      <c r="BD17" s="97">
        <v>8617.18</v>
      </c>
      <c r="BE17" s="97">
        <v>8703.36</v>
      </c>
      <c r="BF17" s="97">
        <v>8790.39</v>
      </c>
      <c r="BG17" s="97">
        <v>8878.2900000000009</v>
      </c>
      <c r="BH17" s="97">
        <v>8967.08</v>
      </c>
      <c r="BI17" s="97">
        <v>9056.75</v>
      </c>
      <c r="BJ17" s="97">
        <v>9147.31</v>
      </c>
      <c r="BK17" s="97">
        <v>9238.7900000000009</v>
      </c>
      <c r="BL17" s="97">
        <v>9331.18</v>
      </c>
      <c r="BM17" s="97">
        <v>9424.49</v>
      </c>
      <c r="BN17" s="97">
        <v>9518.73</v>
      </c>
      <c r="BO17" s="97">
        <v>9613.92</v>
      </c>
      <c r="BP17" s="97">
        <v>9710.06</v>
      </c>
      <c r="BQ17" s="97">
        <v>9807.16</v>
      </c>
      <c r="BR17" s="97">
        <v>9905.23</v>
      </c>
      <c r="BS17" s="97">
        <v>10004.280000000001</v>
      </c>
      <c r="BT17" s="97">
        <v>10104.33</v>
      </c>
      <c r="BU17" s="97">
        <v>10205.370000000001</v>
      </c>
      <c r="BV17" s="97">
        <v>10307.42</v>
      </c>
      <c r="BW17" s="97">
        <v>10410.5</v>
      </c>
      <c r="BX17" s="97">
        <v>10514.6</v>
      </c>
      <c r="BY17" s="97">
        <v>10619.75</v>
      </c>
      <c r="BZ17" s="97">
        <v>10725.95</v>
      </c>
      <c r="CA17" s="97">
        <v>10833.21</v>
      </c>
      <c r="CB17" s="97">
        <v>10941.54</v>
      </c>
    </row>
    <row r="18" spans="1:80" ht="14.5" thickBot="1" x14ac:dyDescent="0.35">
      <c r="A18" s="100"/>
      <c r="B18" s="42"/>
      <c r="C18" s="49" t="s">
        <v>66</v>
      </c>
      <c r="D18" s="1" t="s">
        <v>67</v>
      </c>
      <c r="E18" s="72">
        <f>IF(D18="שני גמולים",12,IF(D18="גמול אחד",6,0))</f>
        <v>6</v>
      </c>
      <c r="H18" s="39" t="s">
        <v>58</v>
      </c>
      <c r="I18" s="40">
        <f>ROUND(IF(I7&lt;=100,563.6*I7/100,563.6),2)</f>
        <v>56.36</v>
      </c>
      <c r="J18" s="84">
        <v>563.6</v>
      </c>
      <c r="L18" s="55">
        <f t="shared" ref="L18:L30" si="0">E22</f>
        <v>0</v>
      </c>
      <c r="M18" s="39" t="s">
        <v>68</v>
      </c>
      <c r="N18" s="40" t="str">
        <f>IF(L18=0,"",IF(L18/100*N14&gt;1000,L18/100*N14,1100))</f>
        <v/>
      </c>
      <c r="Q18" s="96">
        <v>7.0000000000000007E-2</v>
      </c>
      <c r="R18" s="92">
        <v>7</v>
      </c>
      <c r="S18" s="93">
        <v>3464.06</v>
      </c>
      <c r="T18" s="93">
        <v>3800.09</v>
      </c>
      <c r="U18" s="93">
        <v>3976.79</v>
      </c>
      <c r="V18" s="93">
        <v>4260.91</v>
      </c>
      <c r="W18" s="93">
        <v>4510.25</v>
      </c>
      <c r="Z18" s="94">
        <v>50</v>
      </c>
      <c r="AA18" s="94">
        <v>13</v>
      </c>
      <c r="AB18" s="94">
        <v>2</v>
      </c>
      <c r="AC18" s="94">
        <v>3</v>
      </c>
      <c r="AD18" s="94">
        <v>18</v>
      </c>
      <c r="AF18" s="94">
        <v>55.88</v>
      </c>
      <c r="AG18" s="94">
        <v>13</v>
      </c>
      <c r="AH18" s="94">
        <v>3</v>
      </c>
      <c r="AI18" s="94">
        <v>3</v>
      </c>
      <c r="AJ18" s="94">
        <v>19</v>
      </c>
      <c r="AL18" s="94">
        <v>53.13</v>
      </c>
      <c r="AM18" s="94">
        <v>13</v>
      </c>
      <c r="AN18" s="94">
        <v>2</v>
      </c>
      <c r="AO18" s="94">
        <v>2</v>
      </c>
      <c r="AP18" s="94">
        <v>17</v>
      </c>
      <c r="AR18" s="95">
        <v>3.5</v>
      </c>
      <c r="AS18" s="97">
        <v>7553.45</v>
      </c>
      <c r="AT18" s="97">
        <v>7704.52</v>
      </c>
      <c r="AU18" s="97">
        <v>7858.61</v>
      </c>
      <c r="AV18" s="97">
        <v>8015.79</v>
      </c>
      <c r="AW18" s="97">
        <v>8176.1</v>
      </c>
      <c r="AX18" s="97">
        <v>8339.6200000000008</v>
      </c>
      <c r="AY18" s="97">
        <v>8506.42</v>
      </c>
      <c r="AZ18" s="97">
        <v>8591.48</v>
      </c>
      <c r="BA18" s="97">
        <v>8677.39</v>
      </c>
      <c r="BB18" s="97">
        <v>8764.17</v>
      </c>
      <c r="BC18" s="97">
        <v>8851.81</v>
      </c>
      <c r="BD18" s="97">
        <v>8940.33</v>
      </c>
      <c r="BE18" s="97">
        <v>9029.73</v>
      </c>
      <c r="BF18" s="97">
        <v>9120.0300000000007</v>
      </c>
      <c r="BG18" s="97">
        <v>9211.23</v>
      </c>
      <c r="BH18" s="97">
        <v>9303.34</v>
      </c>
      <c r="BI18" s="97">
        <v>9396.3799999999992</v>
      </c>
      <c r="BJ18" s="97">
        <v>9490.34</v>
      </c>
      <c r="BK18" s="97">
        <v>9585.24</v>
      </c>
      <c r="BL18" s="97">
        <v>9681.09</v>
      </c>
      <c r="BM18" s="97">
        <v>9777.91</v>
      </c>
      <c r="BN18" s="97">
        <v>9875.68</v>
      </c>
      <c r="BO18" s="97">
        <v>9974.44</v>
      </c>
      <c r="BP18" s="97">
        <v>10074.19</v>
      </c>
      <c r="BQ18" s="97">
        <v>10174.93</v>
      </c>
      <c r="BR18" s="97">
        <v>10276.68</v>
      </c>
      <c r="BS18" s="97">
        <v>10379.44</v>
      </c>
      <c r="BT18" s="97">
        <v>10483.24</v>
      </c>
      <c r="BU18" s="97">
        <v>10588.07</v>
      </c>
      <c r="BV18" s="97">
        <v>10693.95</v>
      </c>
      <c r="BW18" s="97">
        <v>10800.89</v>
      </c>
      <c r="BX18" s="97">
        <v>10908.9</v>
      </c>
      <c r="BY18" s="97">
        <v>11017.99</v>
      </c>
      <c r="BZ18" s="97">
        <v>11128.17</v>
      </c>
      <c r="CA18" s="97">
        <v>11239.45</v>
      </c>
      <c r="CB18" s="97">
        <v>11351.85</v>
      </c>
    </row>
    <row r="19" spans="1:80" x14ac:dyDescent="0.3">
      <c r="D19" s="4">
        <f>E14+E16+E17+E18</f>
        <v>21.6</v>
      </c>
      <c r="E19" s="72">
        <f>IF(D15="",6,0)</f>
        <v>0</v>
      </c>
      <c r="H19" s="39" t="s">
        <v>61</v>
      </c>
      <c r="I19" s="40">
        <f>ROUND(IF(I7&lt;=100,500*I7/100,500),2)</f>
        <v>50</v>
      </c>
      <c r="J19" s="84">
        <v>500</v>
      </c>
      <c r="L19" s="56">
        <f t="shared" si="0"/>
        <v>10</v>
      </c>
      <c r="M19" s="39" t="s">
        <v>56</v>
      </c>
      <c r="N19" s="40" t="e">
        <f>IF(L19=0,0,IF(L19/100*O14&gt;1000,L19/100*O14,1000))</f>
        <v>#VALUE!</v>
      </c>
      <c r="Q19" s="88" t="s">
        <v>67</v>
      </c>
      <c r="R19" s="92">
        <v>8</v>
      </c>
      <c r="S19" s="93">
        <v>3533.34</v>
      </c>
      <c r="T19" s="93">
        <v>3876.09</v>
      </c>
      <c r="U19" s="93">
        <v>4056.33</v>
      </c>
      <c r="V19" s="93">
        <v>4346.13</v>
      </c>
      <c r="W19" s="93">
        <v>4600.45</v>
      </c>
      <c r="Z19" s="94">
        <v>52.78</v>
      </c>
      <c r="AA19" s="94">
        <v>14</v>
      </c>
      <c r="AB19" s="94">
        <v>3</v>
      </c>
      <c r="AC19" s="94">
        <v>2</v>
      </c>
      <c r="AD19" s="94">
        <v>19</v>
      </c>
      <c r="AF19" s="94">
        <v>58.82</v>
      </c>
      <c r="AG19" s="94">
        <v>14</v>
      </c>
      <c r="AH19" s="94">
        <v>3</v>
      </c>
      <c r="AI19" s="94">
        <v>3</v>
      </c>
      <c r="AJ19" s="94">
        <v>20</v>
      </c>
      <c r="AL19" s="94">
        <v>59.38</v>
      </c>
      <c r="AM19" s="94">
        <v>14</v>
      </c>
      <c r="AN19" s="94">
        <v>2</v>
      </c>
      <c r="AO19" s="94">
        <v>3</v>
      </c>
      <c r="AP19" s="94">
        <v>19</v>
      </c>
      <c r="AR19" s="95">
        <v>4</v>
      </c>
      <c r="AS19" s="97">
        <v>7826.47</v>
      </c>
      <c r="AT19" s="97">
        <v>7983</v>
      </c>
      <c r="AU19" s="97">
        <v>8142.66</v>
      </c>
      <c r="AV19" s="97">
        <v>8305.51</v>
      </c>
      <c r="AW19" s="97">
        <v>8471.6200000000008</v>
      </c>
      <c r="AX19" s="97">
        <v>8641.06</v>
      </c>
      <c r="AY19" s="97">
        <v>8813.8799999999992</v>
      </c>
      <c r="AZ19" s="97">
        <v>8902.02</v>
      </c>
      <c r="BA19" s="97">
        <v>8991.0400000000009</v>
      </c>
      <c r="BB19" s="97">
        <v>9080.9500000000007</v>
      </c>
      <c r="BC19" s="97">
        <v>9171.76</v>
      </c>
      <c r="BD19" s="97">
        <v>9263.4699999999993</v>
      </c>
      <c r="BE19" s="97">
        <v>9356.11</v>
      </c>
      <c r="BF19" s="97">
        <v>9449.67</v>
      </c>
      <c r="BG19" s="97">
        <v>9544.17</v>
      </c>
      <c r="BH19" s="97">
        <v>9639.61</v>
      </c>
      <c r="BI19" s="97">
        <v>9736</v>
      </c>
      <c r="BJ19" s="97">
        <v>9833.36</v>
      </c>
      <c r="BK19" s="97">
        <v>9931.7000000000007</v>
      </c>
      <c r="BL19" s="97">
        <v>10031.01</v>
      </c>
      <c r="BM19" s="97">
        <v>10131.32</v>
      </c>
      <c r="BN19" s="97">
        <v>10232.64</v>
      </c>
      <c r="BO19" s="97">
        <v>10334.959999999999</v>
      </c>
      <c r="BP19" s="97">
        <v>10438.31</v>
      </c>
      <c r="BQ19" s="97">
        <v>10542.7</v>
      </c>
      <c r="BR19" s="97">
        <v>10648.12</v>
      </c>
      <c r="BS19" s="97">
        <v>10754.6</v>
      </c>
      <c r="BT19" s="97">
        <v>10862.15</v>
      </c>
      <c r="BU19" s="97">
        <v>10970.77</v>
      </c>
      <c r="BV19" s="97">
        <v>11080.48</v>
      </c>
      <c r="BW19" s="97">
        <v>11191.28</v>
      </c>
      <c r="BX19" s="97">
        <v>11303.2</v>
      </c>
      <c r="BY19" s="97">
        <v>11416.23</v>
      </c>
      <c r="BZ19" s="97">
        <v>11530.39</v>
      </c>
      <c r="CA19" s="97">
        <v>11645.7</v>
      </c>
      <c r="CB19" s="97">
        <v>11762.15</v>
      </c>
    </row>
    <row r="20" spans="1:80" ht="15" customHeight="1" x14ac:dyDescent="0.3">
      <c r="A20" s="101" t="str">
        <f>IF(COUNTA(D22:D34)&gt;2,"* באופק חדש לא ניתן לתת למורה יותר מ-2 גמולים","")</f>
        <v/>
      </c>
      <c r="B20" s="42"/>
      <c r="C20" s="57" t="s">
        <v>69</v>
      </c>
      <c r="D20" s="57"/>
      <c r="G20" s="58" t="s">
        <v>64</v>
      </c>
      <c r="H20" s="59" t="s">
        <v>65</v>
      </c>
      <c r="I20" s="60" t="e">
        <f>I11+I12+I13+I14+I15+I18+I16+I17+I19</f>
        <v>#VALUE!</v>
      </c>
      <c r="J20" s="86" t="e">
        <f>J11+J12+J13+J14+J15+J18+J16+J17</f>
        <v>#VALUE!</v>
      </c>
      <c r="L20" s="55">
        <f t="shared" si="0"/>
        <v>0</v>
      </c>
      <c r="M20" s="39" t="s">
        <v>70</v>
      </c>
      <c r="N20" s="40" t="e">
        <f>L20/100*$N$14</f>
        <v>#VALUE!</v>
      </c>
      <c r="Q20" s="88" t="s">
        <v>71</v>
      </c>
      <c r="R20" s="92">
        <v>9</v>
      </c>
      <c r="S20" s="93">
        <v>3604</v>
      </c>
      <c r="T20" s="93">
        <v>3953.61</v>
      </c>
      <c r="U20" s="93">
        <v>4137.46</v>
      </c>
      <c r="V20" s="93">
        <v>4433.05</v>
      </c>
      <c r="W20" s="93">
        <v>4692.46</v>
      </c>
      <c r="Z20" s="94">
        <v>58.33</v>
      </c>
      <c r="AA20" s="94">
        <v>15</v>
      </c>
      <c r="AB20" s="94">
        <v>3</v>
      </c>
      <c r="AC20" s="94">
        <v>3</v>
      </c>
      <c r="AD20" s="94">
        <v>21</v>
      </c>
      <c r="AF20" s="94">
        <v>61.76</v>
      </c>
      <c r="AG20" s="94">
        <v>15</v>
      </c>
      <c r="AH20" s="94">
        <v>3</v>
      </c>
      <c r="AI20" s="94">
        <v>3</v>
      </c>
      <c r="AJ20" s="94">
        <v>21</v>
      </c>
      <c r="AL20" s="94">
        <v>62.5</v>
      </c>
      <c r="AM20" s="94">
        <v>15</v>
      </c>
      <c r="AN20" s="94">
        <v>2</v>
      </c>
      <c r="AO20" s="94">
        <v>3</v>
      </c>
      <c r="AP20" s="94">
        <v>20</v>
      </c>
      <c r="AR20" s="95">
        <v>4.5</v>
      </c>
      <c r="AS20" s="97">
        <v>8119.96</v>
      </c>
      <c r="AT20" s="97">
        <v>8282.36</v>
      </c>
      <c r="AU20" s="97">
        <v>8448.01</v>
      </c>
      <c r="AV20" s="97">
        <v>8616.9699999999993</v>
      </c>
      <c r="AW20" s="97">
        <v>8789.31</v>
      </c>
      <c r="AX20" s="97">
        <v>8965.1</v>
      </c>
      <c r="AY20" s="97">
        <v>9144.4</v>
      </c>
      <c r="AZ20" s="97">
        <v>9235.84</v>
      </c>
      <c r="BA20" s="97">
        <v>9328.2000000000007</v>
      </c>
      <c r="BB20" s="97">
        <v>9421.48</v>
      </c>
      <c r="BC20" s="97">
        <v>9515.7000000000007</v>
      </c>
      <c r="BD20" s="97">
        <v>9610.85</v>
      </c>
      <c r="BE20" s="97">
        <v>9706.9599999999991</v>
      </c>
      <c r="BF20" s="97">
        <v>9804.0300000000007</v>
      </c>
      <c r="BG20" s="97">
        <v>9902.07</v>
      </c>
      <c r="BH20" s="97">
        <v>10001.09</v>
      </c>
      <c r="BI20" s="97">
        <v>10101.1</v>
      </c>
      <c r="BJ20" s="97">
        <v>10202.11</v>
      </c>
      <c r="BK20" s="97">
        <v>10304.14</v>
      </c>
      <c r="BL20" s="97">
        <v>10407.18</v>
      </c>
      <c r="BM20" s="97">
        <v>10511.25</v>
      </c>
      <c r="BN20" s="97">
        <v>10616.36</v>
      </c>
      <c r="BO20" s="97">
        <v>10722.52</v>
      </c>
      <c r="BP20" s="97">
        <v>10829.75</v>
      </c>
      <c r="BQ20" s="97">
        <v>10938.05</v>
      </c>
      <c r="BR20" s="97">
        <v>11047.43</v>
      </c>
      <c r="BS20" s="97">
        <v>11157.9</v>
      </c>
      <c r="BT20" s="97">
        <v>11269.48</v>
      </c>
      <c r="BU20" s="97">
        <v>11382.18</v>
      </c>
      <c r="BV20" s="97">
        <v>11496</v>
      </c>
      <c r="BW20" s="97">
        <v>11610.96</v>
      </c>
      <c r="BX20" s="97">
        <v>11727.07</v>
      </c>
      <c r="BY20" s="97">
        <v>11844.34</v>
      </c>
      <c r="BZ20" s="97">
        <v>11962.78</v>
      </c>
      <c r="CA20" s="97">
        <v>12082.41</v>
      </c>
      <c r="CB20" s="97">
        <v>12203.23</v>
      </c>
    </row>
    <row r="21" spans="1:80" ht="15" customHeight="1" thickBot="1" x14ac:dyDescent="0.35">
      <c r="A21" s="101"/>
      <c r="B21" s="45"/>
      <c r="C21" s="61" t="s">
        <v>29</v>
      </c>
      <c r="D21" s="35" t="s">
        <v>51</v>
      </c>
      <c r="F21" s="78"/>
      <c r="G21" s="55">
        <f>E14+E16+E17+E18</f>
        <v>21.6</v>
      </c>
      <c r="H21" s="39" t="s">
        <v>54</v>
      </c>
      <c r="I21" s="40" t="e">
        <f>ROUND((I11+I12+I14+I15+I16+I17)*G21/100,2)</f>
        <v>#VALUE!</v>
      </c>
      <c r="J21" s="84" t="e">
        <f>ROUND((J11+J12+J14+J15+J16+J2+J18+J17)*0.012*G21,2)</f>
        <v>#VALUE!</v>
      </c>
      <c r="L21" s="55">
        <f t="shared" si="0"/>
        <v>0</v>
      </c>
      <c r="M21" s="39" t="s">
        <v>72</v>
      </c>
      <c r="N21" s="40" t="e">
        <f t="shared" ref="N21:N30" si="1">L21/100*$N$14</f>
        <v>#VALUE!</v>
      </c>
      <c r="Q21" s="88" t="s">
        <v>15</v>
      </c>
      <c r="R21" s="92">
        <v>10</v>
      </c>
      <c r="S21" s="93">
        <v>3676.09</v>
      </c>
      <c r="T21" s="93">
        <v>4032.68</v>
      </c>
      <c r="U21" s="93">
        <v>4220.21</v>
      </c>
      <c r="V21" s="93">
        <v>4521.71</v>
      </c>
      <c r="W21" s="93">
        <v>4786.3100000000004</v>
      </c>
      <c r="Z21" s="94">
        <v>61.11</v>
      </c>
      <c r="AA21" s="94">
        <v>16</v>
      </c>
      <c r="AB21" s="94">
        <v>3</v>
      </c>
      <c r="AC21" s="94">
        <v>3</v>
      </c>
      <c r="AD21" s="94">
        <v>22</v>
      </c>
      <c r="AF21" s="94">
        <v>64.709999999999994</v>
      </c>
      <c r="AG21" s="94">
        <v>16</v>
      </c>
      <c r="AH21" s="94">
        <v>3</v>
      </c>
      <c r="AI21" s="94">
        <v>3</v>
      </c>
      <c r="AJ21" s="94">
        <v>22</v>
      </c>
      <c r="AL21" s="94">
        <v>65.63</v>
      </c>
      <c r="AM21" s="94">
        <v>16</v>
      </c>
      <c r="AN21" s="94">
        <v>2</v>
      </c>
      <c r="AO21" s="94">
        <v>3</v>
      </c>
      <c r="AP21" s="94">
        <v>21</v>
      </c>
      <c r="AR21" s="95">
        <v>5</v>
      </c>
      <c r="AS21" s="97">
        <v>8413.4599999999991</v>
      </c>
      <c r="AT21" s="97">
        <v>8581.7199999999993</v>
      </c>
      <c r="AU21" s="97">
        <v>8753.36</v>
      </c>
      <c r="AV21" s="97">
        <v>8928.43</v>
      </c>
      <c r="AW21" s="97">
        <v>9106.99</v>
      </c>
      <c r="AX21" s="97">
        <v>9289.1299999999992</v>
      </c>
      <c r="AY21" s="97">
        <v>9474.92</v>
      </c>
      <c r="AZ21" s="97">
        <v>9569.67</v>
      </c>
      <c r="BA21" s="97">
        <v>9665.36</v>
      </c>
      <c r="BB21" s="97">
        <v>9762.02</v>
      </c>
      <c r="BC21" s="97">
        <v>9859.64</v>
      </c>
      <c r="BD21" s="97">
        <v>9958.23</v>
      </c>
      <c r="BE21" s="97">
        <v>10057.82</v>
      </c>
      <c r="BF21" s="97">
        <v>10158.39</v>
      </c>
      <c r="BG21" s="97">
        <v>10259.98</v>
      </c>
      <c r="BH21" s="97">
        <v>10362.58</v>
      </c>
      <c r="BI21" s="97">
        <v>10466.200000000001</v>
      </c>
      <c r="BJ21" s="97">
        <v>10570.87</v>
      </c>
      <c r="BK21" s="97">
        <v>10676.57</v>
      </c>
      <c r="BL21" s="97">
        <v>10783.34</v>
      </c>
      <c r="BM21" s="97">
        <v>10891.17</v>
      </c>
      <c r="BN21" s="97">
        <v>11000.09</v>
      </c>
      <c r="BO21" s="97">
        <v>11110.09</v>
      </c>
      <c r="BP21" s="97">
        <v>11221.19</v>
      </c>
      <c r="BQ21" s="97">
        <v>11333.4</v>
      </c>
      <c r="BR21" s="97">
        <v>11446.73</v>
      </c>
      <c r="BS21" s="97">
        <v>11561.2</v>
      </c>
      <c r="BT21" s="97">
        <v>11676.81</v>
      </c>
      <c r="BU21" s="97">
        <v>11793.58</v>
      </c>
      <c r="BV21" s="97">
        <v>11911.52</v>
      </c>
      <c r="BW21" s="97">
        <v>12030.63</v>
      </c>
      <c r="BX21" s="97">
        <v>12150.94</v>
      </c>
      <c r="BY21" s="97">
        <v>12272.45</v>
      </c>
      <c r="BZ21" s="97">
        <v>12395.17</v>
      </c>
      <c r="CA21" s="97">
        <v>12519.12</v>
      </c>
      <c r="CB21" s="97">
        <v>12644.31</v>
      </c>
    </row>
    <row r="22" spans="1:80" ht="15" customHeight="1" thickBot="1" x14ac:dyDescent="0.35">
      <c r="A22" s="101"/>
      <c r="B22" s="45"/>
      <c r="C22" s="49" t="s">
        <v>68</v>
      </c>
      <c r="D22" s="1"/>
      <c r="E22" s="72">
        <f>IF(D22="כן",20,0)</f>
        <v>0</v>
      </c>
      <c r="F22" s="78"/>
      <c r="G22" s="55">
        <f>E15</f>
        <v>10</v>
      </c>
      <c r="H22" s="39" t="s">
        <v>73</v>
      </c>
      <c r="I22" s="40" t="e">
        <f>ROUND((J11+J12+J14+J15+J16)*G22/100,2)</f>
        <v>#VALUE!</v>
      </c>
      <c r="J22" s="84" t="e">
        <f>ROUND(IF($I$7&lt;=100,J20*$I$7/100*0.115,($J11*1.03*1.0481*1.0635+156.88)*0.115),2)*G22</f>
        <v>#VALUE!</v>
      </c>
      <c r="L22" s="55">
        <f t="shared" si="0"/>
        <v>0</v>
      </c>
      <c r="M22" s="39" t="s">
        <v>74</v>
      </c>
      <c r="N22" s="40" t="e">
        <f t="shared" si="1"/>
        <v>#VALUE!</v>
      </c>
      <c r="R22" s="92">
        <v>11</v>
      </c>
      <c r="S22" s="98">
        <v>3749.61</v>
      </c>
      <c r="T22" s="98">
        <v>4113.34</v>
      </c>
      <c r="U22" s="98">
        <v>4304.6099999999997</v>
      </c>
      <c r="V22" s="98">
        <v>4612.1499999999996</v>
      </c>
      <c r="W22" s="98">
        <v>4882.04</v>
      </c>
      <c r="Z22" s="94">
        <v>63.89</v>
      </c>
      <c r="AA22" s="94">
        <v>17</v>
      </c>
      <c r="AB22" s="94">
        <v>3</v>
      </c>
      <c r="AC22" s="94">
        <v>3</v>
      </c>
      <c r="AD22" s="94">
        <v>23</v>
      </c>
      <c r="AF22" s="94">
        <v>70.59</v>
      </c>
      <c r="AG22" s="94">
        <v>17</v>
      </c>
      <c r="AH22" s="94">
        <v>4</v>
      </c>
      <c r="AI22" s="94">
        <v>3</v>
      </c>
      <c r="AJ22" s="94">
        <v>24</v>
      </c>
      <c r="AL22" s="94">
        <v>71.88</v>
      </c>
      <c r="AM22" s="94">
        <v>17</v>
      </c>
      <c r="AN22" s="94">
        <v>3</v>
      </c>
      <c r="AO22" s="94">
        <v>3</v>
      </c>
      <c r="AP22" s="94">
        <v>23</v>
      </c>
      <c r="AR22" s="95">
        <v>5.5</v>
      </c>
      <c r="AS22" s="97">
        <v>8728.9599999999991</v>
      </c>
      <c r="AT22" s="97">
        <v>8903.5400000000009</v>
      </c>
      <c r="AU22" s="97">
        <v>9081.61</v>
      </c>
      <c r="AV22" s="97">
        <v>9263.24</v>
      </c>
      <c r="AW22" s="97">
        <v>9448.51</v>
      </c>
      <c r="AX22" s="97">
        <v>9637.48</v>
      </c>
      <c r="AY22" s="97">
        <v>9830.23</v>
      </c>
      <c r="AZ22" s="97">
        <v>9928.5300000000007</v>
      </c>
      <c r="BA22" s="97">
        <v>10027.81</v>
      </c>
      <c r="BB22" s="97">
        <v>10128.09</v>
      </c>
      <c r="BC22" s="97">
        <v>10229.370000000001</v>
      </c>
      <c r="BD22" s="97">
        <v>10331.67</v>
      </c>
      <c r="BE22" s="97">
        <v>10434.98</v>
      </c>
      <c r="BF22" s="97">
        <v>10539.33</v>
      </c>
      <c r="BG22" s="97">
        <v>10644.73</v>
      </c>
      <c r="BH22" s="97">
        <v>10751.17</v>
      </c>
      <c r="BI22" s="97">
        <v>10858.69</v>
      </c>
      <c r="BJ22" s="97">
        <v>10967.27</v>
      </c>
      <c r="BK22" s="97">
        <v>11076.95</v>
      </c>
      <c r="BL22" s="97">
        <v>11187.72</v>
      </c>
      <c r="BM22" s="97">
        <v>11299.59</v>
      </c>
      <c r="BN22" s="97">
        <v>11412.59</v>
      </c>
      <c r="BO22" s="97">
        <v>11526.71</v>
      </c>
      <c r="BP22" s="97">
        <v>11641.98</v>
      </c>
      <c r="BQ22" s="97">
        <v>11758.4</v>
      </c>
      <c r="BR22" s="97">
        <v>11875.99</v>
      </c>
      <c r="BS22" s="97">
        <v>11994.74</v>
      </c>
      <c r="BT22" s="97">
        <v>12114.69</v>
      </c>
      <c r="BU22" s="97">
        <v>12235.84</v>
      </c>
      <c r="BV22" s="97">
        <v>12358.2</v>
      </c>
      <c r="BW22" s="97">
        <v>12481.78</v>
      </c>
      <c r="BX22" s="97">
        <v>12606.6</v>
      </c>
      <c r="BY22" s="97">
        <v>12732.66</v>
      </c>
      <c r="BZ22" s="97">
        <v>12859.99</v>
      </c>
      <c r="CA22" s="97">
        <v>12988.59</v>
      </c>
      <c r="CB22" s="97">
        <v>13118.48</v>
      </c>
    </row>
    <row r="23" spans="1:80" ht="15" customHeight="1" thickBot="1" x14ac:dyDescent="0.35">
      <c r="A23" s="101"/>
      <c r="B23" s="42"/>
      <c r="C23" s="49" t="s">
        <v>56</v>
      </c>
      <c r="D23" s="1" t="s">
        <v>34</v>
      </c>
      <c r="E23" s="77">
        <f>IF(D23="א",11.5,IF(D23="",0,10))</f>
        <v>10</v>
      </c>
      <c r="F23" s="78"/>
      <c r="H23" s="39" t="s">
        <v>75</v>
      </c>
      <c r="L23" s="55">
        <f t="shared" si="0"/>
        <v>0</v>
      </c>
      <c r="M23" s="39" t="s">
        <v>76</v>
      </c>
      <c r="N23" s="40" t="e">
        <f t="shared" si="1"/>
        <v>#VALUE!</v>
      </c>
      <c r="Q23" s="88" t="s">
        <v>77</v>
      </c>
      <c r="R23" s="92">
        <v>12</v>
      </c>
      <c r="S23" s="93">
        <v>3824.6</v>
      </c>
      <c r="T23" s="93">
        <v>4195.6000000000004</v>
      </c>
      <c r="U23" s="93">
        <v>4390.7</v>
      </c>
      <c r="V23" s="93">
        <v>4704.3900000000003</v>
      </c>
      <c r="W23" s="93">
        <v>4979.68</v>
      </c>
      <c r="Z23" s="94">
        <v>69.44</v>
      </c>
      <c r="AA23" s="94">
        <v>18</v>
      </c>
      <c r="AB23" s="94">
        <v>4</v>
      </c>
      <c r="AC23" s="94">
        <v>3</v>
      </c>
      <c r="AD23" s="94">
        <v>25</v>
      </c>
      <c r="AF23" s="94">
        <v>76.47</v>
      </c>
      <c r="AG23" s="94">
        <v>18</v>
      </c>
      <c r="AH23" s="94">
        <v>4</v>
      </c>
      <c r="AI23" s="94">
        <v>4</v>
      </c>
      <c r="AJ23" s="94">
        <v>26</v>
      </c>
      <c r="AL23" s="94">
        <v>78.13</v>
      </c>
      <c r="AM23" s="94">
        <v>18</v>
      </c>
      <c r="AN23" s="94">
        <v>3</v>
      </c>
      <c r="AO23" s="94">
        <v>4</v>
      </c>
      <c r="AP23" s="94">
        <v>25</v>
      </c>
      <c r="AR23" s="95">
        <v>6</v>
      </c>
      <c r="AS23" s="97">
        <v>9044.4599999999991</v>
      </c>
      <c r="AT23" s="97">
        <v>9225.35</v>
      </c>
      <c r="AU23" s="97">
        <v>9409.86</v>
      </c>
      <c r="AV23" s="97">
        <v>9598.06</v>
      </c>
      <c r="AW23" s="97">
        <v>9790.02</v>
      </c>
      <c r="AX23" s="97">
        <v>9985.82</v>
      </c>
      <c r="AY23" s="97">
        <v>10185.540000000001</v>
      </c>
      <c r="AZ23" s="97">
        <v>10287.39</v>
      </c>
      <c r="BA23" s="97">
        <v>10390.27</v>
      </c>
      <c r="BB23" s="97">
        <v>10494.17</v>
      </c>
      <c r="BC23" s="97">
        <v>10599.11</v>
      </c>
      <c r="BD23" s="97">
        <v>10705.1</v>
      </c>
      <c r="BE23" s="97">
        <v>10812.15</v>
      </c>
      <c r="BF23" s="97">
        <v>10920.27</v>
      </c>
      <c r="BG23" s="97">
        <v>11029.48</v>
      </c>
      <c r="BH23" s="97">
        <v>11139.77</v>
      </c>
      <c r="BI23" s="97">
        <v>11251.17</v>
      </c>
      <c r="BJ23" s="97">
        <v>11363.68</v>
      </c>
      <c r="BK23" s="97">
        <v>11477.32</v>
      </c>
      <c r="BL23" s="97">
        <v>11592.09</v>
      </c>
      <c r="BM23" s="97">
        <v>11708.01</v>
      </c>
      <c r="BN23" s="97">
        <v>11825.09</v>
      </c>
      <c r="BO23" s="97">
        <v>11943.34</v>
      </c>
      <c r="BP23" s="97">
        <v>12062.78</v>
      </c>
      <c r="BQ23" s="97">
        <v>12183.4</v>
      </c>
      <c r="BR23" s="97">
        <v>12305.24</v>
      </c>
      <c r="BS23" s="97">
        <v>12428.29</v>
      </c>
      <c r="BT23" s="97">
        <v>12552.57</v>
      </c>
      <c r="BU23" s="97">
        <v>12678.1</v>
      </c>
      <c r="BV23" s="97">
        <v>12804.88</v>
      </c>
      <c r="BW23" s="97">
        <v>12932.93</v>
      </c>
      <c r="BX23" s="97">
        <v>13062.26</v>
      </c>
      <c r="BY23" s="97">
        <v>13192.88</v>
      </c>
      <c r="BZ23" s="97">
        <v>13324.81</v>
      </c>
      <c r="CA23" s="97">
        <v>13458.06</v>
      </c>
      <c r="CB23" s="97">
        <v>13592.64</v>
      </c>
    </row>
    <row r="24" spans="1:80" ht="15" customHeight="1" thickBot="1" x14ac:dyDescent="0.35">
      <c r="A24" s="101"/>
      <c r="B24" s="42"/>
      <c r="C24" s="49" t="s">
        <v>70</v>
      </c>
      <c r="D24" s="1"/>
      <c r="E24" s="72">
        <f>IF(D24="כן",6,0)</f>
        <v>0</v>
      </c>
      <c r="F24" s="78"/>
      <c r="G24" s="62">
        <f>IF(D5="תואר שני",5,0)+IF(D5="תואר שלישי",5,0)</f>
        <v>0</v>
      </c>
      <c r="H24" s="63" t="s">
        <v>78</v>
      </c>
      <c r="I24" s="40" t="e">
        <f>ROUND((I11+I12+I14+I15+I16)*G24/100,2)</f>
        <v>#VALUE!</v>
      </c>
      <c r="J24" s="84" t="e">
        <f>ROUND((J11+J12+J14+J15+J16+J18)*0.05*G24,2)</f>
        <v>#VALUE!</v>
      </c>
      <c r="L24" s="55">
        <f t="shared" si="0"/>
        <v>0</v>
      </c>
      <c r="M24" s="39" t="s">
        <v>79</v>
      </c>
      <c r="N24" s="40">
        <f>IF(L24=0,0,IF(L24/100*$N$14&gt;1100,L24/100*$N$14,1100))</f>
        <v>0</v>
      </c>
      <c r="Q24" s="88" t="s">
        <v>80</v>
      </c>
      <c r="R24" s="92">
        <v>13</v>
      </c>
      <c r="S24" s="93">
        <v>3901.09</v>
      </c>
      <c r="T24" s="93">
        <v>4279.5200000000004</v>
      </c>
      <c r="U24" s="93">
        <v>4478.5200000000004</v>
      </c>
      <c r="V24" s="93">
        <v>4798.4799999999996</v>
      </c>
      <c r="W24" s="93">
        <v>5079.2700000000004</v>
      </c>
      <c r="Z24" s="94">
        <v>72.22</v>
      </c>
      <c r="AA24" s="94">
        <v>19</v>
      </c>
      <c r="AB24" s="94">
        <v>4</v>
      </c>
      <c r="AC24" s="94">
        <v>3</v>
      </c>
      <c r="AD24" s="94">
        <v>26</v>
      </c>
      <c r="AF24" s="94">
        <v>79.41</v>
      </c>
      <c r="AG24" s="94">
        <v>19</v>
      </c>
      <c r="AH24" s="94">
        <v>4</v>
      </c>
      <c r="AI24" s="94">
        <v>4</v>
      </c>
      <c r="AJ24" s="94">
        <v>27</v>
      </c>
      <c r="AL24" s="94">
        <v>81.25</v>
      </c>
      <c r="AM24" s="94">
        <v>19</v>
      </c>
      <c r="AN24" s="94">
        <v>3</v>
      </c>
      <c r="AO24" s="94">
        <v>4</v>
      </c>
      <c r="AP24" s="94">
        <v>26</v>
      </c>
      <c r="AR24" s="95">
        <v>6.5</v>
      </c>
      <c r="AS24" s="97">
        <v>9383.6299999999992</v>
      </c>
      <c r="AT24" s="97">
        <v>9571.2999999999993</v>
      </c>
      <c r="AU24" s="97">
        <v>9762.73</v>
      </c>
      <c r="AV24" s="97">
        <v>9957.99</v>
      </c>
      <c r="AW24" s="97">
        <v>10157.15</v>
      </c>
      <c r="AX24" s="97">
        <v>10360.290000000001</v>
      </c>
      <c r="AY24" s="97">
        <v>10567.49</v>
      </c>
      <c r="AZ24" s="97">
        <v>10673.17</v>
      </c>
      <c r="BA24" s="97">
        <v>10779.9</v>
      </c>
      <c r="BB24" s="97">
        <v>10887.7</v>
      </c>
      <c r="BC24" s="97">
        <v>10996.58</v>
      </c>
      <c r="BD24" s="97">
        <v>11106.54</v>
      </c>
      <c r="BE24" s="97">
        <v>11217.61</v>
      </c>
      <c r="BF24" s="97">
        <v>11329.78</v>
      </c>
      <c r="BG24" s="97">
        <v>11443.08</v>
      </c>
      <c r="BH24" s="97">
        <v>11557.51</v>
      </c>
      <c r="BI24" s="97">
        <v>11673.09</v>
      </c>
      <c r="BJ24" s="97">
        <v>11789.82</v>
      </c>
      <c r="BK24" s="97">
        <v>11907.72</v>
      </c>
      <c r="BL24" s="97">
        <v>12026.79</v>
      </c>
      <c r="BM24" s="97">
        <v>12147.06</v>
      </c>
      <c r="BN24" s="97">
        <v>12268.53</v>
      </c>
      <c r="BO24" s="97">
        <v>12391.22</v>
      </c>
      <c r="BP24" s="97">
        <v>12515.13</v>
      </c>
      <c r="BQ24" s="97">
        <v>12640.28</v>
      </c>
      <c r="BR24" s="97">
        <v>12766.68</v>
      </c>
      <c r="BS24" s="97">
        <v>12894.35</v>
      </c>
      <c r="BT24" s="97">
        <v>13023.29</v>
      </c>
      <c r="BU24" s="97">
        <v>13153.53</v>
      </c>
      <c r="BV24" s="97">
        <v>13285.06</v>
      </c>
      <c r="BW24" s="97">
        <v>13417.91</v>
      </c>
      <c r="BX24" s="97">
        <v>13552.09</v>
      </c>
      <c r="BY24" s="97">
        <v>13687.61</v>
      </c>
      <c r="BZ24" s="97">
        <v>13824.49</v>
      </c>
      <c r="CA24" s="97">
        <v>13962.73</v>
      </c>
      <c r="CB24" s="97">
        <v>14102.36</v>
      </c>
    </row>
    <row r="25" spans="1:80" ht="15" customHeight="1" thickBot="1" x14ac:dyDescent="0.35">
      <c r="A25" s="101"/>
      <c r="B25" s="42"/>
      <c r="C25" s="49" t="s">
        <v>72</v>
      </c>
      <c r="D25" s="1"/>
      <c r="E25" s="72">
        <f t="shared" ref="E25:E32" si="2">IF(D25="כן",6,0)</f>
        <v>0</v>
      </c>
      <c r="F25" s="78"/>
      <c r="G25" s="62">
        <f>IF(D5="תואר שלישי",10,0)</f>
        <v>0</v>
      </c>
      <c r="H25" s="63" t="s">
        <v>81</v>
      </c>
      <c r="I25" s="40" t="e">
        <f>ROUND((I11+I12+I14+I15+I16)*G25/100,2)</f>
        <v>#VALUE!</v>
      </c>
      <c r="J25" s="84" t="e">
        <f>ROUND((J11+J12+J14+J15+J16+J18)*0.1*G25,2)</f>
        <v>#VALUE!</v>
      </c>
      <c r="L25" s="55">
        <f t="shared" si="0"/>
        <v>0</v>
      </c>
      <c r="M25" s="39" t="s">
        <v>82</v>
      </c>
      <c r="N25" s="40" t="e">
        <f t="shared" si="1"/>
        <v>#VALUE!</v>
      </c>
      <c r="Q25" s="88" t="s">
        <v>83</v>
      </c>
      <c r="R25" s="92">
        <v>14</v>
      </c>
      <c r="S25" s="93">
        <v>3979.11</v>
      </c>
      <c r="T25" s="93">
        <v>4365.1099999999997</v>
      </c>
      <c r="U25" s="93">
        <v>4568.09</v>
      </c>
      <c r="V25" s="93">
        <v>4894.45</v>
      </c>
      <c r="W25" s="93">
        <v>5180.8599999999997</v>
      </c>
      <c r="Z25" s="94">
        <v>77.78</v>
      </c>
      <c r="AA25" s="94">
        <v>20</v>
      </c>
      <c r="AB25" s="94">
        <v>4</v>
      </c>
      <c r="AC25" s="94">
        <v>4</v>
      </c>
      <c r="AD25" s="94">
        <v>28</v>
      </c>
      <c r="AF25" s="94">
        <v>85.29</v>
      </c>
      <c r="AG25" s="94">
        <v>20</v>
      </c>
      <c r="AH25" s="94">
        <v>4</v>
      </c>
      <c r="AI25" s="94">
        <v>5</v>
      </c>
      <c r="AJ25" s="94">
        <v>29</v>
      </c>
      <c r="AL25" s="94">
        <v>90.63</v>
      </c>
      <c r="AM25" s="94">
        <v>20</v>
      </c>
      <c r="AN25" s="94">
        <v>4</v>
      </c>
      <c r="AO25" s="94">
        <v>5</v>
      </c>
      <c r="AP25" s="94">
        <v>29</v>
      </c>
      <c r="AR25" s="95">
        <v>7</v>
      </c>
      <c r="AS25" s="97">
        <v>9722.7999999999993</v>
      </c>
      <c r="AT25" s="97">
        <v>9917.26</v>
      </c>
      <c r="AU25" s="97">
        <v>10115.6</v>
      </c>
      <c r="AV25" s="97">
        <v>10317.91</v>
      </c>
      <c r="AW25" s="97">
        <v>10524.27</v>
      </c>
      <c r="AX25" s="97">
        <v>10734.76</v>
      </c>
      <c r="AY25" s="97">
        <v>10949.45</v>
      </c>
      <c r="AZ25" s="97">
        <v>11058.95</v>
      </c>
      <c r="BA25" s="97">
        <v>11169.54</v>
      </c>
      <c r="BB25" s="97">
        <v>11281.23</v>
      </c>
      <c r="BC25" s="97">
        <v>11394.04</v>
      </c>
      <c r="BD25" s="97">
        <v>11507.98</v>
      </c>
      <c r="BE25" s="97">
        <v>11623.06</v>
      </c>
      <c r="BF25" s="97">
        <v>11739.29</v>
      </c>
      <c r="BG25" s="97">
        <v>11856.69</v>
      </c>
      <c r="BH25" s="97">
        <v>11975.25</v>
      </c>
      <c r="BI25" s="97">
        <v>12095.01</v>
      </c>
      <c r="BJ25" s="97">
        <v>12215.96</v>
      </c>
      <c r="BK25" s="97">
        <v>12338.12</v>
      </c>
      <c r="BL25" s="97">
        <v>12461.5</v>
      </c>
      <c r="BM25" s="97">
        <v>12586.11</v>
      </c>
      <c r="BN25" s="97">
        <v>12711.97</v>
      </c>
      <c r="BO25" s="97">
        <v>12839.09</v>
      </c>
      <c r="BP25" s="97">
        <v>12967.48</v>
      </c>
      <c r="BQ25" s="97">
        <v>13097.16</v>
      </c>
      <c r="BR25" s="97">
        <v>13228.13</v>
      </c>
      <c r="BS25" s="97">
        <v>13360.41</v>
      </c>
      <c r="BT25" s="97">
        <v>13494.02</v>
      </c>
      <c r="BU25" s="97">
        <v>13628.96</v>
      </c>
      <c r="BV25" s="97">
        <v>13765.25</v>
      </c>
      <c r="BW25" s="97">
        <v>13902.9</v>
      </c>
      <c r="BX25" s="97">
        <v>14041.93</v>
      </c>
      <c r="BY25" s="97">
        <v>14182.35</v>
      </c>
      <c r="BZ25" s="97">
        <v>14324.17</v>
      </c>
      <c r="CA25" s="97">
        <v>14467.41</v>
      </c>
      <c r="CB25" s="97">
        <v>14612.09</v>
      </c>
    </row>
    <row r="26" spans="1:80" ht="15" customHeight="1" thickBot="1" x14ac:dyDescent="0.35">
      <c r="A26" s="101"/>
      <c r="B26" s="42"/>
      <c r="C26" s="49" t="s">
        <v>74</v>
      </c>
      <c r="D26" s="1"/>
      <c r="E26" s="72">
        <f t="shared" si="2"/>
        <v>0</v>
      </c>
      <c r="F26" s="78"/>
      <c r="G26" s="64"/>
      <c r="H26" s="59" t="s">
        <v>84</v>
      </c>
      <c r="I26" s="60" t="e">
        <f>SUM(I21:I25)</f>
        <v>#VALUE!</v>
      </c>
      <c r="J26" s="86" t="e">
        <f>SUM(J21:J25)</f>
        <v>#VALUE!</v>
      </c>
      <c r="L26" s="55">
        <f t="shared" si="0"/>
        <v>0</v>
      </c>
      <c r="M26" s="39" t="s">
        <v>85</v>
      </c>
      <c r="N26" s="40" t="e">
        <f t="shared" si="1"/>
        <v>#VALUE!</v>
      </c>
      <c r="R26" s="92">
        <v>15</v>
      </c>
      <c r="S26" s="93">
        <v>4058.69</v>
      </c>
      <c r="T26" s="93">
        <v>4452.41</v>
      </c>
      <c r="U26" s="93">
        <v>4659.45</v>
      </c>
      <c r="V26" s="93">
        <v>4992.33</v>
      </c>
      <c r="W26" s="93">
        <v>5284.48</v>
      </c>
      <c r="Z26" s="94">
        <v>80.56</v>
      </c>
      <c r="AA26" s="94">
        <v>21</v>
      </c>
      <c r="AB26" s="94">
        <v>4</v>
      </c>
      <c r="AC26" s="94">
        <v>4</v>
      </c>
      <c r="AD26" s="94">
        <v>29</v>
      </c>
      <c r="AF26" s="94">
        <v>91.18</v>
      </c>
      <c r="AG26" s="94">
        <v>21</v>
      </c>
      <c r="AH26" s="94">
        <v>5</v>
      </c>
      <c r="AI26" s="94">
        <v>5</v>
      </c>
      <c r="AJ26" s="94">
        <v>31</v>
      </c>
      <c r="AL26" s="94">
        <v>93.75</v>
      </c>
      <c r="AM26" s="94">
        <v>21</v>
      </c>
      <c r="AN26" s="94">
        <v>4</v>
      </c>
      <c r="AO26" s="94">
        <v>5</v>
      </c>
      <c r="AP26" s="94">
        <v>30</v>
      </c>
      <c r="AR26" s="95">
        <v>7.5</v>
      </c>
      <c r="AS26" s="97">
        <v>10087.4</v>
      </c>
      <c r="AT26" s="97">
        <v>10289.15</v>
      </c>
      <c r="AU26" s="97">
        <v>10494.94</v>
      </c>
      <c r="AV26" s="97">
        <v>10704.83</v>
      </c>
      <c r="AW26" s="97">
        <v>10918.93</v>
      </c>
      <c r="AX26" s="97">
        <v>11137.31</v>
      </c>
      <c r="AY26" s="97">
        <v>11360.06</v>
      </c>
      <c r="AZ26" s="97">
        <v>11473.66</v>
      </c>
      <c r="BA26" s="97">
        <v>11588.39</v>
      </c>
      <c r="BB26" s="97">
        <v>11704.28</v>
      </c>
      <c r="BC26" s="97">
        <v>11821.32</v>
      </c>
      <c r="BD26" s="97">
        <v>11939.53</v>
      </c>
      <c r="BE26" s="97">
        <v>12058.93</v>
      </c>
      <c r="BF26" s="97">
        <v>12179.52</v>
      </c>
      <c r="BG26" s="97">
        <v>12301.31</v>
      </c>
      <c r="BH26" s="97">
        <v>12424.33</v>
      </c>
      <c r="BI26" s="97">
        <v>12548.57</v>
      </c>
      <c r="BJ26" s="97">
        <v>12674.05</v>
      </c>
      <c r="BK26" s="97">
        <v>12800.8</v>
      </c>
      <c r="BL26" s="97">
        <v>12928.8</v>
      </c>
      <c r="BM26" s="97">
        <v>13058.09</v>
      </c>
      <c r="BN26" s="97">
        <v>13188.67</v>
      </c>
      <c r="BO26" s="97">
        <v>13320.56</v>
      </c>
      <c r="BP26" s="97">
        <v>13453.76</v>
      </c>
      <c r="BQ26" s="97">
        <v>13588.3</v>
      </c>
      <c r="BR26" s="97">
        <v>13724.19</v>
      </c>
      <c r="BS26" s="97">
        <v>13861.43</v>
      </c>
      <c r="BT26" s="97">
        <v>14000.04</v>
      </c>
      <c r="BU26" s="97">
        <v>14140.04</v>
      </c>
      <c r="BV26" s="97">
        <v>14281.44</v>
      </c>
      <c r="BW26" s="97">
        <v>14424.26</v>
      </c>
      <c r="BX26" s="97">
        <v>14568.5</v>
      </c>
      <c r="BY26" s="97">
        <v>14714.18</v>
      </c>
      <c r="BZ26" s="97">
        <v>14861.33</v>
      </c>
      <c r="CA26" s="97">
        <v>15009.94</v>
      </c>
      <c r="CB26" s="97">
        <v>15160.04</v>
      </c>
    </row>
    <row r="27" spans="1:80" ht="15" customHeight="1" thickBot="1" x14ac:dyDescent="0.35">
      <c r="A27" s="101"/>
      <c r="B27" s="42"/>
      <c r="C27" s="49" t="s">
        <v>76</v>
      </c>
      <c r="D27" s="1"/>
      <c r="E27" s="72">
        <f>IF(D27="כן",8,0)</f>
        <v>0</v>
      </c>
      <c r="F27" s="79"/>
      <c r="G27" s="65"/>
      <c r="H27" s="66" t="s">
        <v>86</v>
      </c>
      <c r="I27" s="67" t="e">
        <f>I20+I26</f>
        <v>#VALUE!</v>
      </c>
      <c r="J27" s="87" t="e">
        <f>J20+J26</f>
        <v>#VALUE!</v>
      </c>
      <c r="L27" s="55">
        <f t="shared" si="0"/>
        <v>0</v>
      </c>
      <c r="M27" s="39" t="s">
        <v>87</v>
      </c>
      <c r="N27" s="40" t="e">
        <f t="shared" si="1"/>
        <v>#VALUE!</v>
      </c>
      <c r="R27" s="92">
        <v>16</v>
      </c>
      <c r="S27" s="93">
        <v>4139.87</v>
      </c>
      <c r="T27" s="93">
        <v>4541.46</v>
      </c>
      <c r="U27" s="93">
        <v>4752.6400000000003</v>
      </c>
      <c r="V27" s="93">
        <v>5092.18</v>
      </c>
      <c r="W27" s="93">
        <v>5390.17</v>
      </c>
      <c r="Z27" s="94">
        <v>86.11</v>
      </c>
      <c r="AA27" s="94">
        <v>22</v>
      </c>
      <c r="AB27" s="94">
        <v>4</v>
      </c>
      <c r="AC27" s="94">
        <v>5</v>
      </c>
      <c r="AD27" s="94">
        <v>31</v>
      </c>
      <c r="AF27" s="94">
        <v>94.12</v>
      </c>
      <c r="AG27" s="94">
        <v>22</v>
      </c>
      <c r="AH27" s="94">
        <v>5</v>
      </c>
      <c r="AI27" s="94">
        <v>5</v>
      </c>
      <c r="AJ27" s="94">
        <v>32</v>
      </c>
      <c r="AL27" s="94">
        <v>96.88</v>
      </c>
      <c r="AM27" s="94">
        <v>22</v>
      </c>
      <c r="AN27" s="94">
        <v>4</v>
      </c>
      <c r="AO27" s="94">
        <v>5</v>
      </c>
      <c r="AP27" s="94">
        <v>31</v>
      </c>
      <c r="AR27" s="95">
        <v>8</v>
      </c>
      <c r="AS27" s="97">
        <v>10452.01</v>
      </c>
      <c r="AT27" s="97">
        <v>10661.05</v>
      </c>
      <c r="AU27" s="97">
        <v>10874.27</v>
      </c>
      <c r="AV27" s="97">
        <v>11091.76</v>
      </c>
      <c r="AW27" s="97">
        <v>11313.59</v>
      </c>
      <c r="AX27" s="97">
        <v>11539.86</v>
      </c>
      <c r="AY27" s="97">
        <v>11770.66</v>
      </c>
      <c r="AZ27" s="97">
        <v>11888.37</v>
      </c>
      <c r="BA27" s="97">
        <v>12007.25</v>
      </c>
      <c r="BB27" s="97">
        <v>12127.32</v>
      </c>
      <c r="BC27" s="97">
        <v>12248.6</v>
      </c>
      <c r="BD27" s="97">
        <v>12371.08</v>
      </c>
      <c r="BE27" s="97">
        <v>12494.79</v>
      </c>
      <c r="BF27" s="97">
        <v>12619.74</v>
      </c>
      <c r="BG27" s="97">
        <v>12745.94</v>
      </c>
      <c r="BH27" s="97">
        <v>12873.4</v>
      </c>
      <c r="BI27" s="97">
        <v>13002.13</v>
      </c>
      <c r="BJ27" s="97">
        <v>13132.15</v>
      </c>
      <c r="BK27" s="97">
        <v>13263.47</v>
      </c>
      <c r="BL27" s="97">
        <v>13396.11</v>
      </c>
      <c r="BM27" s="97">
        <v>13530.07</v>
      </c>
      <c r="BN27" s="97">
        <v>13665.37</v>
      </c>
      <c r="BO27" s="97">
        <v>13802.03</v>
      </c>
      <c r="BP27" s="97">
        <v>13940.05</v>
      </c>
      <c r="BQ27" s="97">
        <v>14079.45</v>
      </c>
      <c r="BR27" s="97">
        <v>14220.24</v>
      </c>
      <c r="BS27" s="97">
        <v>14362.44</v>
      </c>
      <c r="BT27" s="97">
        <v>14506.07</v>
      </c>
      <c r="BU27" s="97">
        <v>14651.13</v>
      </c>
      <c r="BV27" s="97">
        <v>14797.64</v>
      </c>
      <c r="BW27" s="97">
        <v>14945.62</v>
      </c>
      <c r="BX27" s="97">
        <v>15095.07</v>
      </c>
      <c r="BY27" s="97">
        <v>15246.02</v>
      </c>
      <c r="BZ27" s="97">
        <v>15398.48</v>
      </c>
      <c r="CA27" s="97">
        <v>15552.47</v>
      </c>
      <c r="CB27" s="97">
        <v>15707.99</v>
      </c>
    </row>
    <row r="28" spans="1:80" ht="15" customHeight="1" thickBot="1" x14ac:dyDescent="0.35">
      <c r="A28" s="101"/>
      <c r="B28" s="42"/>
      <c r="C28" s="49" t="s">
        <v>79</v>
      </c>
      <c r="D28" s="2"/>
      <c r="E28" s="72">
        <f>IF(D28=0.06,6,IF(D28=0.07,7,0))</f>
        <v>0</v>
      </c>
      <c r="F28" s="79"/>
      <c r="L28" s="55">
        <f t="shared" si="0"/>
        <v>0</v>
      </c>
      <c r="M28" s="39" t="s">
        <v>88</v>
      </c>
      <c r="N28" s="40" t="e">
        <f t="shared" si="1"/>
        <v>#VALUE!</v>
      </c>
      <c r="R28" s="92">
        <v>17</v>
      </c>
      <c r="S28" s="93">
        <v>4222.67</v>
      </c>
      <c r="T28" s="93">
        <v>4632.29</v>
      </c>
      <c r="U28" s="93">
        <v>4847.6899999999996</v>
      </c>
      <c r="V28" s="93">
        <v>5194.0200000000004</v>
      </c>
      <c r="W28" s="93">
        <v>5497.97</v>
      </c>
      <c r="Z28" s="94">
        <v>91.67</v>
      </c>
      <c r="AA28" s="94">
        <v>23</v>
      </c>
      <c r="AB28" s="94">
        <v>5</v>
      </c>
      <c r="AC28" s="94">
        <v>5</v>
      </c>
      <c r="AD28" s="94">
        <v>33</v>
      </c>
      <c r="AF28" s="94">
        <v>97.06</v>
      </c>
      <c r="AG28" s="94">
        <v>23</v>
      </c>
      <c r="AH28" s="94">
        <v>5</v>
      </c>
      <c r="AI28" s="94">
        <v>5</v>
      </c>
      <c r="AJ28" s="94">
        <v>33</v>
      </c>
      <c r="AL28" s="94">
        <v>100</v>
      </c>
      <c r="AM28" s="94">
        <v>23</v>
      </c>
      <c r="AN28" s="94">
        <v>4</v>
      </c>
      <c r="AO28" s="94">
        <v>5</v>
      </c>
      <c r="AP28" s="94">
        <v>32</v>
      </c>
      <c r="AR28" s="95">
        <v>8.5</v>
      </c>
      <c r="AS28" s="97">
        <v>10843.96</v>
      </c>
      <c r="AT28" s="97">
        <v>11060.84</v>
      </c>
      <c r="AU28" s="97">
        <v>11282.06</v>
      </c>
      <c r="AV28" s="97">
        <v>11507.7</v>
      </c>
      <c r="AW28" s="97">
        <v>11737.85</v>
      </c>
      <c r="AX28" s="97">
        <v>11972.61</v>
      </c>
      <c r="AY28" s="97">
        <v>12212.06</v>
      </c>
      <c r="AZ28" s="97">
        <v>12334.18</v>
      </c>
      <c r="BA28" s="97">
        <v>12457.52</v>
      </c>
      <c r="BB28" s="97">
        <v>12582.1</v>
      </c>
      <c r="BC28" s="97">
        <v>12707.92</v>
      </c>
      <c r="BD28" s="97">
        <v>12835</v>
      </c>
      <c r="BE28" s="97">
        <v>12963.35</v>
      </c>
      <c r="BF28" s="97">
        <v>13092.98</v>
      </c>
      <c r="BG28" s="97">
        <v>13223.91</v>
      </c>
      <c r="BH28" s="97">
        <v>13356.15</v>
      </c>
      <c r="BI28" s="97">
        <v>13489.71</v>
      </c>
      <c r="BJ28" s="97">
        <v>13624.61</v>
      </c>
      <c r="BK28" s="97">
        <v>13760.86</v>
      </c>
      <c r="BL28" s="97">
        <v>13898.46</v>
      </c>
      <c r="BM28" s="97">
        <v>14037.45</v>
      </c>
      <c r="BN28" s="97">
        <v>14177.82</v>
      </c>
      <c r="BO28" s="97">
        <v>14319.6</v>
      </c>
      <c r="BP28" s="97">
        <v>14462.8</v>
      </c>
      <c r="BQ28" s="97">
        <v>14607.42</v>
      </c>
      <c r="BR28" s="97">
        <v>14753.5</v>
      </c>
      <c r="BS28" s="97">
        <v>14901.03</v>
      </c>
      <c r="BT28" s="97">
        <v>15050.04</v>
      </c>
      <c r="BU28" s="97">
        <v>15200.54</v>
      </c>
      <c r="BV28" s="97">
        <v>15352.55</v>
      </c>
      <c r="BW28" s="97">
        <v>15506.08</v>
      </c>
      <c r="BX28" s="97">
        <v>15661.14</v>
      </c>
      <c r="BY28" s="97">
        <v>15817.75</v>
      </c>
      <c r="BZ28" s="97">
        <v>15975.93</v>
      </c>
      <c r="CA28" s="97">
        <v>16135.68</v>
      </c>
      <c r="CB28" s="97">
        <v>16297.04</v>
      </c>
    </row>
    <row r="29" spans="1:80" ht="15" customHeight="1" thickBot="1" x14ac:dyDescent="0.35">
      <c r="A29" s="101"/>
      <c r="B29" s="42"/>
      <c r="C29" s="49" t="s">
        <v>82</v>
      </c>
      <c r="D29" s="1"/>
      <c r="E29" s="72">
        <f>IF(D29="כן",3,0)</f>
        <v>0</v>
      </c>
      <c r="F29" s="79"/>
      <c r="L29" s="55">
        <f t="shared" si="0"/>
        <v>0</v>
      </c>
      <c r="M29" s="39" t="s">
        <v>89</v>
      </c>
      <c r="N29" s="40" t="e">
        <f t="shared" si="1"/>
        <v>#VALUE!</v>
      </c>
      <c r="R29" s="92">
        <v>18</v>
      </c>
      <c r="S29" s="93">
        <v>4307.12</v>
      </c>
      <c r="T29" s="93">
        <v>4724.93</v>
      </c>
      <c r="U29" s="93">
        <v>4944.6400000000003</v>
      </c>
      <c r="V29" s="93">
        <v>5297.91</v>
      </c>
      <c r="W29" s="93">
        <v>5607.93</v>
      </c>
      <c r="Z29" s="94">
        <v>94.44</v>
      </c>
      <c r="AA29" s="94">
        <v>24</v>
      </c>
      <c r="AB29" s="94">
        <v>5</v>
      </c>
      <c r="AC29" s="94">
        <v>5</v>
      </c>
      <c r="AD29" s="94">
        <v>34</v>
      </c>
      <c r="AF29" s="94">
        <v>100</v>
      </c>
      <c r="AG29" s="94">
        <v>24</v>
      </c>
      <c r="AH29" s="94">
        <v>5</v>
      </c>
      <c r="AI29" s="94">
        <v>5</v>
      </c>
      <c r="AJ29" s="94">
        <v>34</v>
      </c>
      <c r="AR29" s="95">
        <v>9</v>
      </c>
      <c r="AS29" s="97">
        <v>11235.91</v>
      </c>
      <c r="AT29" s="97">
        <v>11460.63</v>
      </c>
      <c r="AU29" s="97">
        <v>11689.84</v>
      </c>
      <c r="AV29" s="97">
        <v>11923.64</v>
      </c>
      <c r="AW29" s="97">
        <v>12162.11</v>
      </c>
      <c r="AX29" s="97">
        <v>12405.35</v>
      </c>
      <c r="AY29" s="97">
        <v>12653.46</v>
      </c>
      <c r="AZ29" s="97">
        <v>12779.99</v>
      </c>
      <c r="BA29" s="97">
        <v>12907.79</v>
      </c>
      <c r="BB29" s="97">
        <v>13036.87</v>
      </c>
      <c r="BC29" s="97">
        <v>13167.24</v>
      </c>
      <c r="BD29" s="97">
        <v>13298.91</v>
      </c>
      <c r="BE29" s="97">
        <v>13431.9</v>
      </c>
      <c r="BF29" s="97">
        <v>13566.22</v>
      </c>
      <c r="BG29" s="97">
        <v>13701.88</v>
      </c>
      <c r="BH29" s="97">
        <v>13838.9</v>
      </c>
      <c r="BI29" s="97">
        <v>13977.29</v>
      </c>
      <c r="BJ29" s="97">
        <v>14117.06</v>
      </c>
      <c r="BK29" s="97">
        <v>14258.24</v>
      </c>
      <c r="BL29" s="97">
        <v>14400.82</v>
      </c>
      <c r="BM29" s="97">
        <v>14544.83</v>
      </c>
      <c r="BN29" s="97">
        <v>14690.27</v>
      </c>
      <c r="BO29" s="97">
        <v>14837.18</v>
      </c>
      <c r="BP29" s="97">
        <v>14985.55</v>
      </c>
      <c r="BQ29" s="97">
        <v>15135.4</v>
      </c>
      <c r="BR29" s="97">
        <v>15286.76</v>
      </c>
      <c r="BS29" s="97">
        <v>15439.63</v>
      </c>
      <c r="BT29" s="97">
        <v>15594.02</v>
      </c>
      <c r="BU29" s="97">
        <v>15749.96</v>
      </c>
      <c r="BV29" s="97">
        <v>15907.46</v>
      </c>
      <c r="BW29" s="97">
        <v>16066.54</v>
      </c>
      <c r="BX29" s="97">
        <v>16227.2</v>
      </c>
      <c r="BY29" s="97">
        <v>16389.47</v>
      </c>
      <c r="BZ29" s="97">
        <v>16553.37</v>
      </c>
      <c r="CA29" s="97">
        <v>16718.900000000001</v>
      </c>
      <c r="CB29" s="97">
        <v>16886</v>
      </c>
    </row>
    <row r="30" spans="1:80" ht="15" customHeight="1" thickBot="1" x14ac:dyDescent="0.35">
      <c r="A30" s="101"/>
      <c r="B30" s="42"/>
      <c r="C30" s="49" t="s">
        <v>85</v>
      </c>
      <c r="D30" s="1"/>
      <c r="E30" s="72">
        <f t="shared" si="2"/>
        <v>0</v>
      </c>
      <c r="L30" s="55">
        <f t="shared" si="0"/>
        <v>0</v>
      </c>
      <c r="M30" s="39" t="s">
        <v>90</v>
      </c>
      <c r="N30" s="40" t="e">
        <f t="shared" si="1"/>
        <v>#VALUE!</v>
      </c>
      <c r="R30" s="92">
        <v>19</v>
      </c>
      <c r="S30" s="93">
        <v>4393.26</v>
      </c>
      <c r="T30" s="93">
        <v>4819.43</v>
      </c>
      <c r="U30" s="93">
        <v>5043.54</v>
      </c>
      <c r="V30" s="93">
        <v>5403.86</v>
      </c>
      <c r="W30" s="93">
        <v>5720.09</v>
      </c>
      <c r="Z30" s="94">
        <v>97.22</v>
      </c>
      <c r="AA30" s="94">
        <v>25</v>
      </c>
      <c r="AB30" s="94">
        <v>5</v>
      </c>
      <c r="AC30" s="94">
        <v>5</v>
      </c>
      <c r="AD30" s="94">
        <v>35</v>
      </c>
      <c r="AR30" s="88" t="s">
        <v>91</v>
      </c>
    </row>
    <row r="31" spans="1:80" ht="15" customHeight="1" thickBot="1" x14ac:dyDescent="0.35">
      <c r="A31" s="101"/>
      <c r="B31" s="42"/>
      <c r="C31" s="49" t="s">
        <v>87</v>
      </c>
      <c r="D31" s="1"/>
      <c r="E31" s="72">
        <f t="shared" si="2"/>
        <v>0</v>
      </c>
      <c r="L31" s="68"/>
      <c r="M31" s="53" t="s">
        <v>84</v>
      </c>
      <c r="N31" s="54" t="e">
        <f>SUM(N18:N30)+E35/100*N14</f>
        <v>#VALUE!</v>
      </c>
      <c r="R31" s="92">
        <v>20</v>
      </c>
      <c r="S31" s="93">
        <v>4481.13</v>
      </c>
      <c r="T31" s="93">
        <v>4915.82</v>
      </c>
      <c r="U31" s="93">
        <v>5144.41</v>
      </c>
      <c r="V31" s="93">
        <v>5511.94</v>
      </c>
      <c r="W31" s="93">
        <v>5834.49</v>
      </c>
      <c r="Z31" s="94">
        <v>100</v>
      </c>
      <c r="AA31" s="94">
        <v>26</v>
      </c>
      <c r="AB31" s="94">
        <v>5</v>
      </c>
      <c r="AC31" s="94">
        <v>5</v>
      </c>
      <c r="AD31" s="94">
        <v>36</v>
      </c>
      <c r="AR31" s="95" t="s">
        <v>50</v>
      </c>
      <c r="AS31" s="95">
        <v>1</v>
      </c>
      <c r="AT31" s="95">
        <v>2</v>
      </c>
      <c r="AU31" s="95">
        <v>3</v>
      </c>
      <c r="AV31" s="95">
        <v>4</v>
      </c>
      <c r="AW31" s="95">
        <v>5</v>
      </c>
      <c r="AX31" s="95">
        <v>6</v>
      </c>
      <c r="AY31" s="95">
        <v>7</v>
      </c>
      <c r="AZ31" s="95">
        <v>8</v>
      </c>
      <c r="BA31" s="95">
        <v>9</v>
      </c>
      <c r="BB31" s="95">
        <v>10</v>
      </c>
      <c r="BC31" s="95">
        <v>11</v>
      </c>
      <c r="BD31" s="95">
        <v>12</v>
      </c>
      <c r="BE31" s="95">
        <v>13</v>
      </c>
      <c r="BF31" s="95">
        <v>14</v>
      </c>
      <c r="BG31" s="95">
        <v>15</v>
      </c>
      <c r="BH31" s="95">
        <v>16</v>
      </c>
      <c r="BI31" s="95">
        <v>17</v>
      </c>
      <c r="BJ31" s="95">
        <v>18</v>
      </c>
      <c r="BK31" s="95">
        <v>19</v>
      </c>
      <c r="BL31" s="95">
        <v>20</v>
      </c>
      <c r="BM31" s="95">
        <v>21</v>
      </c>
      <c r="BN31" s="95">
        <v>22</v>
      </c>
      <c r="BO31" s="95">
        <v>23</v>
      </c>
      <c r="BP31" s="95">
        <v>24</v>
      </c>
      <c r="BQ31" s="95">
        <v>25</v>
      </c>
      <c r="BR31" s="95">
        <v>26</v>
      </c>
      <c r="BS31" s="95">
        <v>27</v>
      </c>
      <c r="BT31" s="95">
        <v>28</v>
      </c>
      <c r="BU31" s="95">
        <v>29</v>
      </c>
      <c r="BV31" s="95">
        <v>30</v>
      </c>
      <c r="BW31" s="95">
        <v>31</v>
      </c>
      <c r="BX31" s="95">
        <v>32</v>
      </c>
      <c r="BY31" s="95">
        <v>33</v>
      </c>
      <c r="BZ31" s="95">
        <v>34</v>
      </c>
      <c r="CA31" s="95">
        <v>35</v>
      </c>
      <c r="CB31" s="95">
        <v>36</v>
      </c>
    </row>
    <row r="32" spans="1:80" ht="15" customHeight="1" thickBot="1" x14ac:dyDescent="0.35">
      <c r="A32" s="101"/>
      <c r="B32" s="42"/>
      <c r="C32" s="49" t="s">
        <v>88</v>
      </c>
      <c r="D32" s="1"/>
      <c r="E32" s="72">
        <f t="shared" si="2"/>
        <v>0</v>
      </c>
      <c r="L32" s="69"/>
      <c r="M32" s="70" t="s">
        <v>86</v>
      </c>
      <c r="N32" s="71" t="e">
        <f>N31+N17</f>
        <v>#VALUE!</v>
      </c>
      <c r="R32" s="92">
        <v>21</v>
      </c>
      <c r="S32" s="93">
        <v>4570.75</v>
      </c>
      <c r="T32" s="93">
        <v>5014.1400000000003</v>
      </c>
      <c r="U32" s="93">
        <v>5247.3</v>
      </c>
      <c r="V32" s="93">
        <v>5622.18</v>
      </c>
      <c r="W32" s="93">
        <v>5951.18</v>
      </c>
      <c r="AR32" s="95">
        <v>1</v>
      </c>
      <c r="AS32" s="97">
        <v>6615</v>
      </c>
      <c r="AT32" s="97">
        <v>6747.3</v>
      </c>
      <c r="AU32" s="97">
        <v>6882.25</v>
      </c>
      <c r="AV32" s="97">
        <v>7019.89</v>
      </c>
      <c r="AW32" s="97">
        <v>7160.29</v>
      </c>
      <c r="AX32" s="97">
        <v>7303.49</v>
      </c>
      <c r="AY32" s="97">
        <v>7449.56</v>
      </c>
      <c r="AZ32" s="97">
        <v>7524.06</v>
      </c>
      <c r="BA32" s="97">
        <v>7599.3</v>
      </c>
      <c r="BB32" s="97">
        <v>7675.29</v>
      </c>
      <c r="BC32" s="97">
        <v>7752.05</v>
      </c>
      <c r="BD32" s="97">
        <v>7829.57</v>
      </c>
      <c r="BE32" s="97">
        <v>7907.86</v>
      </c>
      <c r="BF32" s="97">
        <v>7986.94</v>
      </c>
      <c r="BG32" s="97">
        <v>8066.81</v>
      </c>
      <c r="BH32" s="97">
        <v>8147.48</v>
      </c>
      <c r="BI32" s="97">
        <v>8228.9500000000007</v>
      </c>
      <c r="BJ32" s="97">
        <v>8311.24</v>
      </c>
      <c r="BK32" s="97">
        <v>8394.36</v>
      </c>
      <c r="BL32" s="97">
        <v>8478.2999999999993</v>
      </c>
      <c r="BM32" s="97">
        <v>8563.08</v>
      </c>
      <c r="BN32" s="97">
        <v>8648.7099999999991</v>
      </c>
      <c r="BO32" s="97">
        <v>8735.2000000000007</v>
      </c>
      <c r="BP32" s="97">
        <v>8822.5499999999993</v>
      </c>
      <c r="BQ32" s="97">
        <v>8910.7800000000007</v>
      </c>
      <c r="BR32" s="97">
        <v>8999.89</v>
      </c>
      <c r="BS32" s="97">
        <v>9089.8799999999992</v>
      </c>
      <c r="BT32" s="97">
        <v>9180.7800000000007</v>
      </c>
      <c r="BU32" s="97">
        <v>9272.59</v>
      </c>
      <c r="BV32" s="97">
        <v>9365.32</v>
      </c>
      <c r="BW32" s="97">
        <v>9458.9699999999993</v>
      </c>
      <c r="BX32" s="97">
        <v>9553.56</v>
      </c>
      <c r="BY32" s="97">
        <v>9649.1</v>
      </c>
      <c r="BZ32" s="97">
        <v>9745.59</v>
      </c>
      <c r="CA32" s="97">
        <v>9843.0400000000009</v>
      </c>
      <c r="CB32" s="97">
        <v>9941.4699999999993</v>
      </c>
    </row>
    <row r="33" spans="1:80" ht="14.5" thickBot="1" x14ac:dyDescent="0.35">
      <c r="A33" s="101"/>
      <c r="B33" s="42"/>
      <c r="C33" s="49" t="s">
        <v>89</v>
      </c>
      <c r="D33" s="1"/>
      <c r="E33" s="72">
        <f>IF(D33="כן",8,0)</f>
        <v>0</v>
      </c>
      <c r="R33" s="92">
        <v>22</v>
      </c>
      <c r="S33" s="93">
        <v>4662.16</v>
      </c>
      <c r="T33" s="93">
        <v>5114.42</v>
      </c>
      <c r="U33" s="93">
        <v>5352.24</v>
      </c>
      <c r="V33" s="93">
        <v>5734.62</v>
      </c>
      <c r="W33" s="93">
        <v>6070.2</v>
      </c>
      <c r="Z33" s="88" t="s">
        <v>92</v>
      </c>
      <c r="AA33" s="91" t="s">
        <v>93</v>
      </c>
      <c r="AF33" s="88" t="s">
        <v>94</v>
      </c>
      <c r="AG33" s="91" t="s">
        <v>95</v>
      </c>
      <c r="AL33" s="88" t="s">
        <v>96</v>
      </c>
      <c r="AM33" s="91" t="s">
        <v>97</v>
      </c>
      <c r="AR33" s="95">
        <v>1.5</v>
      </c>
      <c r="AS33" s="97">
        <v>6863.06</v>
      </c>
      <c r="AT33" s="97">
        <v>7000.32</v>
      </c>
      <c r="AU33" s="97">
        <v>7140.33</v>
      </c>
      <c r="AV33" s="97">
        <v>7283.14</v>
      </c>
      <c r="AW33" s="97">
        <v>7428.8</v>
      </c>
      <c r="AX33" s="97">
        <v>7577.38</v>
      </c>
      <c r="AY33" s="97">
        <v>7728.92</v>
      </c>
      <c r="AZ33" s="97">
        <v>7806.21</v>
      </c>
      <c r="BA33" s="97">
        <v>7884.27</v>
      </c>
      <c r="BB33" s="97">
        <v>7963.12</v>
      </c>
      <c r="BC33" s="97">
        <v>8042.75</v>
      </c>
      <c r="BD33" s="97">
        <v>8123.18</v>
      </c>
      <c r="BE33" s="97">
        <v>8204.41</v>
      </c>
      <c r="BF33" s="97">
        <v>8286.4500000000007</v>
      </c>
      <c r="BG33" s="97">
        <v>8369.32</v>
      </c>
      <c r="BH33" s="97">
        <v>8453.01</v>
      </c>
      <c r="BI33" s="97">
        <v>8537.5400000000009</v>
      </c>
      <c r="BJ33" s="97">
        <v>8622.91</v>
      </c>
      <c r="BK33" s="97">
        <v>8709.14</v>
      </c>
      <c r="BL33" s="97">
        <v>8796.24</v>
      </c>
      <c r="BM33" s="97">
        <v>8884.2000000000007</v>
      </c>
      <c r="BN33" s="97">
        <v>8973.0400000000009</v>
      </c>
      <c r="BO33" s="97">
        <v>9062.77</v>
      </c>
      <c r="BP33" s="97">
        <v>9153.4</v>
      </c>
      <c r="BQ33" s="97">
        <v>9244.93</v>
      </c>
      <c r="BR33" s="97">
        <v>9337.3799999999992</v>
      </c>
      <c r="BS33" s="97">
        <v>9430.75</v>
      </c>
      <c r="BT33" s="97">
        <v>9525.06</v>
      </c>
      <c r="BU33" s="97">
        <v>9620.31</v>
      </c>
      <c r="BV33" s="97">
        <v>9716.52</v>
      </c>
      <c r="BW33" s="97">
        <v>9813.68</v>
      </c>
      <c r="BX33" s="97">
        <v>9911.82</v>
      </c>
      <c r="BY33" s="97">
        <v>10010.94</v>
      </c>
      <c r="BZ33" s="97">
        <v>10111.049999999999</v>
      </c>
      <c r="CA33" s="97">
        <v>10212.16</v>
      </c>
      <c r="CB33" s="97">
        <v>10314.280000000001</v>
      </c>
    </row>
    <row r="34" spans="1:80" ht="17.25" customHeight="1" thickBot="1" x14ac:dyDescent="0.35">
      <c r="A34" s="101"/>
      <c r="B34" s="42"/>
      <c r="C34" s="49" t="s">
        <v>90</v>
      </c>
      <c r="D34" s="1"/>
      <c r="E34" s="72">
        <f>IF(D34="מתמחה אחד",2.4,IF(D34="שני מתמחים",4.8,IF(D34="שלושה מתמחים",7.2,0)))</f>
        <v>0</v>
      </c>
      <c r="R34" s="92">
        <v>23</v>
      </c>
      <c r="S34" s="93">
        <v>4755.41</v>
      </c>
      <c r="T34" s="93">
        <v>5216.71</v>
      </c>
      <c r="U34" s="93">
        <v>5459.29</v>
      </c>
      <c r="V34" s="93">
        <v>5849.32</v>
      </c>
      <c r="W34" s="93">
        <v>6191.61</v>
      </c>
      <c r="Z34" s="94" t="s">
        <v>45</v>
      </c>
      <c r="AA34" s="94" t="s">
        <v>46</v>
      </c>
      <c r="AB34" s="94" t="s">
        <v>47</v>
      </c>
      <c r="AC34" s="94" t="s">
        <v>48</v>
      </c>
      <c r="AD34" s="94" t="s">
        <v>49</v>
      </c>
      <c r="AF34" s="94" t="s">
        <v>45</v>
      </c>
      <c r="AG34" s="94" t="s">
        <v>46</v>
      </c>
      <c r="AH34" s="94" t="s">
        <v>47</v>
      </c>
      <c r="AI34" s="94" t="s">
        <v>48</v>
      </c>
      <c r="AJ34" s="94" t="s">
        <v>49</v>
      </c>
      <c r="AL34" s="94" t="s">
        <v>45</v>
      </c>
      <c r="AM34" s="94" t="s">
        <v>46</v>
      </c>
      <c r="AN34" s="94" t="s">
        <v>47</v>
      </c>
      <c r="AO34" s="94" t="s">
        <v>48</v>
      </c>
      <c r="AP34" s="94" t="s">
        <v>49</v>
      </c>
      <c r="AR34" s="95">
        <v>2</v>
      </c>
      <c r="AS34" s="97">
        <v>7111.13</v>
      </c>
      <c r="AT34" s="97">
        <v>7253.35</v>
      </c>
      <c r="AU34" s="97">
        <v>7398.41</v>
      </c>
      <c r="AV34" s="97">
        <v>7546.38</v>
      </c>
      <c r="AW34" s="97">
        <v>7697.31</v>
      </c>
      <c r="AX34" s="97">
        <v>7851.26</v>
      </c>
      <c r="AY34" s="97">
        <v>8008.28</v>
      </c>
      <c r="AZ34" s="97">
        <v>8088.36</v>
      </c>
      <c r="BA34" s="97">
        <v>8169.25</v>
      </c>
      <c r="BB34" s="97">
        <v>8250.94</v>
      </c>
      <c r="BC34" s="97">
        <v>8333.4500000000007</v>
      </c>
      <c r="BD34" s="97">
        <v>8416.7800000000007</v>
      </c>
      <c r="BE34" s="97">
        <v>8500.9500000000007</v>
      </c>
      <c r="BF34" s="97">
        <v>8585.9599999999991</v>
      </c>
      <c r="BG34" s="97">
        <v>8671.82</v>
      </c>
      <c r="BH34" s="97">
        <v>8758.5400000000009</v>
      </c>
      <c r="BI34" s="97">
        <v>8846.1299999999992</v>
      </c>
      <c r="BJ34" s="97">
        <v>8934.59</v>
      </c>
      <c r="BK34" s="97">
        <v>9023.93</v>
      </c>
      <c r="BL34" s="97">
        <v>9114.17</v>
      </c>
      <c r="BM34" s="97">
        <v>9205.31</v>
      </c>
      <c r="BN34" s="97">
        <v>9297.3700000000008</v>
      </c>
      <c r="BO34" s="97">
        <v>9390.34</v>
      </c>
      <c r="BP34" s="97">
        <v>9484.24</v>
      </c>
      <c r="BQ34" s="97">
        <v>9579.09</v>
      </c>
      <c r="BR34" s="97">
        <v>9674.8799999999992</v>
      </c>
      <c r="BS34" s="97">
        <v>9771.6299999999992</v>
      </c>
      <c r="BT34" s="97">
        <v>9869.34</v>
      </c>
      <c r="BU34" s="97">
        <v>9968.0400000000009</v>
      </c>
      <c r="BV34" s="97">
        <v>10067.719999999999</v>
      </c>
      <c r="BW34" s="97">
        <v>10168.39</v>
      </c>
      <c r="BX34" s="97">
        <v>10270.08</v>
      </c>
      <c r="BY34" s="97">
        <v>10372.780000000001</v>
      </c>
      <c r="BZ34" s="97">
        <v>10476.51</v>
      </c>
      <c r="CA34" s="97">
        <v>10581.27</v>
      </c>
      <c r="CB34" s="97">
        <v>10687.08</v>
      </c>
    </row>
    <row r="35" spans="1:80" x14ac:dyDescent="0.3">
      <c r="E35" s="72">
        <f>IF(D23="",6,0)</f>
        <v>0</v>
      </c>
      <c r="R35" s="92">
        <v>24</v>
      </c>
      <c r="S35" s="93">
        <v>4850.5200000000004</v>
      </c>
      <c r="T35" s="93">
        <v>5321.04</v>
      </c>
      <c r="U35" s="93">
        <v>5568.47</v>
      </c>
      <c r="V35" s="93">
        <v>5966.3</v>
      </c>
      <c r="W35" s="93">
        <v>6315.44</v>
      </c>
      <c r="Z35" s="94">
        <v>33.33</v>
      </c>
      <c r="AA35" s="94">
        <v>8</v>
      </c>
      <c r="AB35" s="94">
        <v>2</v>
      </c>
      <c r="AC35" s="94">
        <v>1.5</v>
      </c>
      <c r="AD35" s="94">
        <v>11.5</v>
      </c>
      <c r="AF35" s="94">
        <v>32.35</v>
      </c>
      <c r="AG35" s="94">
        <v>7</v>
      </c>
      <c r="AH35" s="94">
        <v>2</v>
      </c>
      <c r="AI35" s="94">
        <v>1.5</v>
      </c>
      <c r="AJ35" s="94">
        <v>10.5</v>
      </c>
      <c r="AL35" s="94">
        <v>34.380000000000003</v>
      </c>
      <c r="AM35" s="94">
        <v>8</v>
      </c>
      <c r="AN35" s="94">
        <v>1</v>
      </c>
      <c r="AO35" s="94">
        <v>1.5</v>
      </c>
      <c r="AP35" s="94">
        <v>10.5</v>
      </c>
      <c r="AR35" s="95">
        <v>2.5</v>
      </c>
      <c r="AS35" s="97">
        <v>7377.79</v>
      </c>
      <c r="AT35" s="97">
        <v>7525.35</v>
      </c>
      <c r="AU35" s="97">
        <v>7675.85</v>
      </c>
      <c r="AV35" s="97">
        <v>7829.37</v>
      </c>
      <c r="AW35" s="97">
        <v>7985.96</v>
      </c>
      <c r="AX35" s="97">
        <v>8145.68</v>
      </c>
      <c r="AY35" s="97">
        <v>8308.59</v>
      </c>
      <c r="AZ35" s="97">
        <v>8391.68</v>
      </c>
      <c r="BA35" s="97">
        <v>8475.6</v>
      </c>
      <c r="BB35" s="97">
        <v>8560.35</v>
      </c>
      <c r="BC35" s="97">
        <v>8645.9500000000007</v>
      </c>
      <c r="BD35" s="97">
        <v>8732.41</v>
      </c>
      <c r="BE35" s="97">
        <v>8819.74</v>
      </c>
      <c r="BF35" s="97">
        <v>8907.94</v>
      </c>
      <c r="BG35" s="97">
        <v>8997.01</v>
      </c>
      <c r="BH35" s="97">
        <v>9086.99</v>
      </c>
      <c r="BI35" s="97">
        <v>9177.85</v>
      </c>
      <c r="BJ35" s="97">
        <v>9269.6299999999992</v>
      </c>
      <c r="BK35" s="97">
        <v>9362.33</v>
      </c>
      <c r="BL35" s="97">
        <v>9455.9500000000007</v>
      </c>
      <c r="BM35" s="97">
        <v>9550.51</v>
      </c>
      <c r="BN35" s="97">
        <v>9646.02</v>
      </c>
      <c r="BO35" s="97">
        <v>9742.48</v>
      </c>
      <c r="BP35" s="97">
        <v>9839.9</v>
      </c>
      <c r="BQ35" s="97">
        <v>9938.2999999999993</v>
      </c>
      <c r="BR35" s="97">
        <v>10037.68</v>
      </c>
      <c r="BS35" s="97">
        <v>10138.06</v>
      </c>
      <c r="BT35" s="97">
        <v>10239.44</v>
      </c>
      <c r="BU35" s="97">
        <v>10341.84</v>
      </c>
      <c r="BV35" s="97">
        <v>10445.25</v>
      </c>
      <c r="BW35" s="97">
        <v>10549.71</v>
      </c>
      <c r="BX35" s="97">
        <v>10655.2</v>
      </c>
      <c r="BY35" s="97">
        <v>10761.76</v>
      </c>
      <c r="BZ35" s="97">
        <v>10869.37</v>
      </c>
      <c r="CA35" s="97">
        <v>10978.07</v>
      </c>
      <c r="CB35" s="97">
        <v>11087.85</v>
      </c>
    </row>
    <row r="36" spans="1:80" x14ac:dyDescent="0.3">
      <c r="R36" s="92">
        <v>25</v>
      </c>
      <c r="S36" s="93">
        <v>4947.53</v>
      </c>
      <c r="T36" s="93">
        <v>5427.46</v>
      </c>
      <c r="U36" s="93">
        <v>5679.84</v>
      </c>
      <c r="V36" s="93">
        <v>6085.63</v>
      </c>
      <c r="W36" s="93">
        <v>6441.75</v>
      </c>
      <c r="Z36" s="94">
        <v>37.5</v>
      </c>
      <c r="AA36" s="94">
        <v>9</v>
      </c>
      <c r="AB36" s="94">
        <v>2</v>
      </c>
      <c r="AC36" s="94">
        <v>2</v>
      </c>
      <c r="AD36" s="94">
        <v>13</v>
      </c>
      <c r="AF36" s="94">
        <v>35.29</v>
      </c>
      <c r="AG36" s="94">
        <v>8</v>
      </c>
      <c r="AH36" s="94">
        <v>2</v>
      </c>
      <c r="AI36" s="94">
        <v>1.5</v>
      </c>
      <c r="AJ36" s="94">
        <v>11.5</v>
      </c>
      <c r="AL36" s="94">
        <v>39.06</v>
      </c>
      <c r="AM36" s="94">
        <v>9</v>
      </c>
      <c r="AN36" s="94">
        <v>1</v>
      </c>
      <c r="AO36" s="94">
        <v>2</v>
      </c>
      <c r="AP36" s="94">
        <v>12</v>
      </c>
      <c r="AR36" s="95">
        <v>3</v>
      </c>
      <c r="AS36" s="97">
        <v>7644.46</v>
      </c>
      <c r="AT36" s="97">
        <v>7797.35</v>
      </c>
      <c r="AU36" s="97">
        <v>7953.3</v>
      </c>
      <c r="AV36" s="97">
        <v>8112.36</v>
      </c>
      <c r="AW36" s="97">
        <v>8274.61</v>
      </c>
      <c r="AX36" s="97">
        <v>8440.1</v>
      </c>
      <c r="AY36" s="97">
        <v>8608.9</v>
      </c>
      <c r="AZ36" s="97">
        <v>8694.99</v>
      </c>
      <c r="BA36" s="97">
        <v>8781.94</v>
      </c>
      <c r="BB36" s="97">
        <v>8869.76</v>
      </c>
      <c r="BC36" s="97">
        <v>8958.4599999999991</v>
      </c>
      <c r="BD36" s="97">
        <v>9048.0400000000009</v>
      </c>
      <c r="BE36" s="97">
        <v>9138.52</v>
      </c>
      <c r="BF36" s="97">
        <v>9229.91</v>
      </c>
      <c r="BG36" s="97">
        <v>9322.2099999999991</v>
      </c>
      <c r="BH36" s="97">
        <v>9415.43</v>
      </c>
      <c r="BI36" s="97">
        <v>9509.58</v>
      </c>
      <c r="BJ36" s="97">
        <v>9604.68</v>
      </c>
      <c r="BK36" s="97">
        <v>9700.73</v>
      </c>
      <c r="BL36" s="97">
        <v>9797.73</v>
      </c>
      <c r="BM36" s="97">
        <v>9895.7099999999991</v>
      </c>
      <c r="BN36" s="97">
        <v>9994.67</v>
      </c>
      <c r="BO36" s="97">
        <v>10094.620000000001</v>
      </c>
      <c r="BP36" s="97">
        <v>10195.56</v>
      </c>
      <c r="BQ36" s="97">
        <v>10297.52</v>
      </c>
      <c r="BR36" s="97">
        <v>10400.49</v>
      </c>
      <c r="BS36" s="97">
        <v>10504.5</v>
      </c>
      <c r="BT36" s="97">
        <v>10609.54</v>
      </c>
      <c r="BU36" s="97">
        <v>10715.64</v>
      </c>
      <c r="BV36" s="97">
        <v>10822.79</v>
      </c>
      <c r="BW36" s="97">
        <v>10931.02</v>
      </c>
      <c r="BX36" s="97">
        <v>11040.33</v>
      </c>
      <c r="BY36" s="97">
        <v>11150.74</v>
      </c>
      <c r="BZ36" s="97">
        <v>11262.24</v>
      </c>
      <c r="CA36" s="97">
        <v>11374.87</v>
      </c>
      <c r="CB36" s="97">
        <v>11488.61</v>
      </c>
    </row>
    <row r="37" spans="1:80" x14ac:dyDescent="0.3">
      <c r="R37" s="92">
        <v>26</v>
      </c>
      <c r="S37" s="93">
        <v>4997</v>
      </c>
      <c r="T37" s="93">
        <v>5481.74</v>
      </c>
      <c r="U37" s="93">
        <v>5736.64</v>
      </c>
      <c r="V37" s="93">
        <v>6146.48</v>
      </c>
      <c r="W37" s="93">
        <v>6506.17</v>
      </c>
      <c r="Z37" s="94">
        <v>40.28</v>
      </c>
      <c r="AA37" s="94">
        <v>10</v>
      </c>
      <c r="AB37" s="94">
        <v>2</v>
      </c>
      <c r="AC37" s="94">
        <v>2</v>
      </c>
      <c r="AD37" s="94">
        <v>14</v>
      </c>
      <c r="AF37" s="94">
        <v>38.24</v>
      </c>
      <c r="AG37" s="94">
        <v>9</v>
      </c>
      <c r="AH37" s="94">
        <v>2</v>
      </c>
      <c r="AI37" s="94">
        <v>1.5</v>
      </c>
      <c r="AJ37" s="94">
        <v>12.5</v>
      </c>
      <c r="AL37" s="94">
        <v>42.19</v>
      </c>
      <c r="AM37" s="94">
        <v>10</v>
      </c>
      <c r="AN37" s="94">
        <v>1</v>
      </c>
      <c r="AO37" s="94">
        <v>2</v>
      </c>
      <c r="AP37" s="94">
        <v>13</v>
      </c>
      <c r="AR37" s="95">
        <v>3.5</v>
      </c>
      <c r="AS37" s="97">
        <v>7931.13</v>
      </c>
      <c r="AT37" s="97">
        <v>8089.75</v>
      </c>
      <c r="AU37" s="97">
        <v>8251.5400000000009</v>
      </c>
      <c r="AV37" s="97">
        <v>8416.57</v>
      </c>
      <c r="AW37" s="97">
        <v>8584.91</v>
      </c>
      <c r="AX37" s="97">
        <v>8756.6</v>
      </c>
      <c r="AY37" s="97">
        <v>8931.74</v>
      </c>
      <c r="AZ37" s="97">
        <v>9021.0499999999993</v>
      </c>
      <c r="BA37" s="97">
        <v>9111.26</v>
      </c>
      <c r="BB37" s="97">
        <v>9202.3799999999992</v>
      </c>
      <c r="BC37" s="97">
        <v>9294.4</v>
      </c>
      <c r="BD37" s="97">
        <v>9387.35</v>
      </c>
      <c r="BE37" s="97">
        <v>9481.2199999999993</v>
      </c>
      <c r="BF37" s="97">
        <v>9576.0300000000007</v>
      </c>
      <c r="BG37" s="97">
        <v>9671.7900000000009</v>
      </c>
      <c r="BH37" s="97">
        <v>9768.51</v>
      </c>
      <c r="BI37" s="97">
        <v>9866.19</v>
      </c>
      <c r="BJ37" s="97">
        <v>9964.86</v>
      </c>
      <c r="BK37" s="97">
        <v>10064.5</v>
      </c>
      <c r="BL37" s="97">
        <v>10165.15</v>
      </c>
      <c r="BM37" s="97">
        <v>10266.799999999999</v>
      </c>
      <c r="BN37" s="97">
        <v>10369.469999999999</v>
      </c>
      <c r="BO37" s="97">
        <v>10473.16</v>
      </c>
      <c r="BP37" s="97">
        <v>10577.9</v>
      </c>
      <c r="BQ37" s="97">
        <v>10683.67</v>
      </c>
      <c r="BR37" s="97">
        <v>10790.51</v>
      </c>
      <c r="BS37" s="97">
        <v>10898.42</v>
      </c>
      <c r="BT37" s="97">
        <v>11007.4</v>
      </c>
      <c r="BU37" s="97">
        <v>11117.47</v>
      </c>
      <c r="BV37" s="97">
        <v>11228.65</v>
      </c>
      <c r="BW37" s="97">
        <v>11340.94</v>
      </c>
      <c r="BX37" s="97">
        <v>11454.34</v>
      </c>
      <c r="BY37" s="97">
        <v>11568.89</v>
      </c>
      <c r="BZ37" s="97">
        <v>11684.58</v>
      </c>
      <c r="CA37" s="97">
        <v>11801.42</v>
      </c>
      <c r="CB37" s="97">
        <v>11919.44</v>
      </c>
    </row>
    <row r="38" spans="1:80" x14ac:dyDescent="0.3">
      <c r="R38" s="92">
        <v>27</v>
      </c>
      <c r="S38" s="93">
        <v>5046.97</v>
      </c>
      <c r="T38" s="93">
        <v>5536.55</v>
      </c>
      <c r="U38" s="93">
        <v>5794.01</v>
      </c>
      <c r="V38" s="93">
        <v>6207.95</v>
      </c>
      <c r="W38" s="93">
        <v>6571.23</v>
      </c>
      <c r="Z38" s="94">
        <v>43.06</v>
      </c>
      <c r="AA38" s="94">
        <v>11</v>
      </c>
      <c r="AB38" s="94">
        <v>2</v>
      </c>
      <c r="AC38" s="94">
        <v>2</v>
      </c>
      <c r="AD38" s="94">
        <v>15</v>
      </c>
      <c r="AF38" s="94">
        <v>41.18</v>
      </c>
      <c r="AG38" s="94">
        <v>10</v>
      </c>
      <c r="AH38" s="94">
        <v>2</v>
      </c>
      <c r="AI38" s="94">
        <v>1.5</v>
      </c>
      <c r="AJ38" s="94">
        <v>13.5</v>
      </c>
      <c r="AL38" s="94">
        <v>48.44</v>
      </c>
      <c r="AM38" s="94">
        <v>11</v>
      </c>
      <c r="AN38" s="94">
        <v>2</v>
      </c>
      <c r="AO38" s="94">
        <v>2</v>
      </c>
      <c r="AP38" s="94">
        <v>15</v>
      </c>
      <c r="AR38" s="95">
        <v>4</v>
      </c>
      <c r="AS38" s="97">
        <v>8217.7900000000009</v>
      </c>
      <c r="AT38" s="97">
        <v>8382.15</v>
      </c>
      <c r="AU38" s="97">
        <v>8549.7900000000009</v>
      </c>
      <c r="AV38" s="97">
        <v>8720.7900000000009</v>
      </c>
      <c r="AW38" s="97">
        <v>8895.2000000000007</v>
      </c>
      <c r="AX38" s="97">
        <v>9073.11</v>
      </c>
      <c r="AY38" s="97">
        <v>9254.57</v>
      </c>
      <c r="AZ38" s="97">
        <v>9347.1200000000008</v>
      </c>
      <c r="BA38" s="97">
        <v>9440.59</v>
      </c>
      <c r="BB38" s="97">
        <v>9534.99</v>
      </c>
      <c r="BC38" s="97">
        <v>9630.34</v>
      </c>
      <c r="BD38" s="97">
        <v>9726.65</v>
      </c>
      <c r="BE38" s="97">
        <v>9823.91</v>
      </c>
      <c r="BF38" s="97">
        <v>9922.15</v>
      </c>
      <c r="BG38" s="97">
        <v>10021.370000000001</v>
      </c>
      <c r="BH38" s="97">
        <v>10121.59</v>
      </c>
      <c r="BI38" s="97">
        <v>10222.799999999999</v>
      </c>
      <c r="BJ38" s="97">
        <v>10325.030000000001</v>
      </c>
      <c r="BK38" s="97">
        <v>10428.280000000001</v>
      </c>
      <c r="BL38" s="97">
        <v>10532.56</v>
      </c>
      <c r="BM38" s="97">
        <v>10637.89</v>
      </c>
      <c r="BN38" s="97">
        <v>10744.27</v>
      </c>
      <c r="BO38" s="97">
        <v>10851.71</v>
      </c>
      <c r="BP38" s="97">
        <v>10960.23</v>
      </c>
      <c r="BQ38" s="97">
        <v>11069.83</v>
      </c>
      <c r="BR38" s="97">
        <v>11180.53</v>
      </c>
      <c r="BS38" s="97">
        <v>11292.33</v>
      </c>
      <c r="BT38" s="97">
        <v>11405.26</v>
      </c>
      <c r="BU38" s="97">
        <v>11519.31</v>
      </c>
      <c r="BV38" s="97">
        <v>11634.5</v>
      </c>
      <c r="BW38" s="97">
        <v>11750.85</v>
      </c>
      <c r="BX38" s="97">
        <v>11868.36</v>
      </c>
      <c r="BY38" s="97">
        <v>11987.04</v>
      </c>
      <c r="BZ38" s="97">
        <v>12106.91</v>
      </c>
      <c r="CA38" s="97">
        <v>12227.98</v>
      </c>
      <c r="CB38" s="97">
        <v>12350.26</v>
      </c>
    </row>
    <row r="39" spans="1:80" x14ac:dyDescent="0.3">
      <c r="R39" s="92">
        <v>28</v>
      </c>
      <c r="S39" s="93">
        <v>5097.4399999999996</v>
      </c>
      <c r="T39" s="93">
        <v>5591.92</v>
      </c>
      <c r="U39" s="93">
        <v>5851.95</v>
      </c>
      <c r="V39" s="93">
        <v>6270.03</v>
      </c>
      <c r="W39" s="93">
        <v>6636.94</v>
      </c>
      <c r="Z39" s="94">
        <v>47.22</v>
      </c>
      <c r="AA39" s="94">
        <v>12</v>
      </c>
      <c r="AB39" s="94">
        <v>2</v>
      </c>
      <c r="AC39" s="94">
        <v>2</v>
      </c>
      <c r="AD39" s="94">
        <v>16</v>
      </c>
      <c r="AF39" s="94">
        <v>47.06</v>
      </c>
      <c r="AG39" s="94">
        <v>11</v>
      </c>
      <c r="AH39" s="94">
        <v>2</v>
      </c>
      <c r="AI39" s="94">
        <v>2</v>
      </c>
      <c r="AJ39" s="94">
        <v>15</v>
      </c>
      <c r="AL39" s="94">
        <v>56.25</v>
      </c>
      <c r="AM39" s="94">
        <v>12</v>
      </c>
      <c r="AN39" s="94">
        <v>3</v>
      </c>
      <c r="AO39" s="94">
        <v>2.5</v>
      </c>
      <c r="AP39" s="94">
        <v>17.5</v>
      </c>
      <c r="AR39" s="95">
        <v>4.5</v>
      </c>
      <c r="AS39" s="97">
        <v>8525.9599999999991</v>
      </c>
      <c r="AT39" s="97">
        <v>8696.48</v>
      </c>
      <c r="AU39" s="97">
        <v>8870.41</v>
      </c>
      <c r="AV39" s="97">
        <v>9047.82</v>
      </c>
      <c r="AW39" s="97">
        <v>9228.77</v>
      </c>
      <c r="AX39" s="97">
        <v>9413.35</v>
      </c>
      <c r="AY39" s="97">
        <v>9601.6200000000008</v>
      </c>
      <c r="AZ39" s="97">
        <v>9697.6299999999992</v>
      </c>
      <c r="BA39" s="97">
        <v>9794.61</v>
      </c>
      <c r="BB39" s="97">
        <v>9892.56</v>
      </c>
      <c r="BC39" s="97">
        <v>9991.48</v>
      </c>
      <c r="BD39" s="97">
        <v>10091.4</v>
      </c>
      <c r="BE39" s="97">
        <v>10192.31</v>
      </c>
      <c r="BF39" s="97">
        <v>10294.23</v>
      </c>
      <c r="BG39" s="97">
        <v>10397.18</v>
      </c>
      <c r="BH39" s="97">
        <v>10501.15</v>
      </c>
      <c r="BI39" s="97">
        <v>10606.16</v>
      </c>
      <c r="BJ39" s="97">
        <v>10712.22</v>
      </c>
      <c r="BK39" s="97">
        <v>10819.34</v>
      </c>
      <c r="BL39" s="97">
        <v>10927.54</v>
      </c>
      <c r="BM39" s="97">
        <v>11036.81</v>
      </c>
      <c r="BN39" s="97">
        <v>11147.18</v>
      </c>
      <c r="BO39" s="97">
        <v>11258.65</v>
      </c>
      <c r="BP39" s="97">
        <v>11371.24</v>
      </c>
      <c r="BQ39" s="97">
        <v>11484.95</v>
      </c>
      <c r="BR39" s="97">
        <v>11599.8</v>
      </c>
      <c r="BS39" s="97">
        <v>11715.8</v>
      </c>
      <c r="BT39" s="97">
        <v>11832.96</v>
      </c>
      <c r="BU39" s="97">
        <v>11951.28</v>
      </c>
      <c r="BV39" s="97">
        <v>12070.8</v>
      </c>
      <c r="BW39" s="97">
        <v>12191.51</v>
      </c>
      <c r="BX39" s="97">
        <v>12313.42</v>
      </c>
      <c r="BY39" s="97">
        <v>12436.56</v>
      </c>
      <c r="BZ39" s="97">
        <v>12560.92</v>
      </c>
      <c r="CA39" s="97">
        <v>12686.53</v>
      </c>
      <c r="CB39" s="97">
        <v>12813.4</v>
      </c>
    </row>
    <row r="40" spans="1:80" x14ac:dyDescent="0.3">
      <c r="R40" s="92">
        <v>29</v>
      </c>
      <c r="S40" s="93">
        <v>5148.42</v>
      </c>
      <c r="T40" s="93">
        <v>5647.84</v>
      </c>
      <c r="U40" s="93">
        <v>5910.47</v>
      </c>
      <c r="V40" s="93">
        <v>6332.73</v>
      </c>
      <c r="W40" s="99">
        <v>6703.31</v>
      </c>
      <c r="Z40" s="94">
        <v>55.56</v>
      </c>
      <c r="AA40" s="94">
        <v>13</v>
      </c>
      <c r="AB40" s="94">
        <v>3</v>
      </c>
      <c r="AC40" s="94">
        <v>3</v>
      </c>
      <c r="AD40" s="94">
        <v>19</v>
      </c>
      <c r="AF40" s="94">
        <v>52.94</v>
      </c>
      <c r="AG40" s="94">
        <v>12</v>
      </c>
      <c r="AH40" s="94">
        <v>2</v>
      </c>
      <c r="AI40" s="94">
        <v>3</v>
      </c>
      <c r="AJ40" s="94">
        <v>17</v>
      </c>
      <c r="AL40" s="94">
        <v>59.38</v>
      </c>
      <c r="AM40" s="94">
        <v>13</v>
      </c>
      <c r="AN40" s="94">
        <v>3</v>
      </c>
      <c r="AO40" s="94">
        <v>2.5</v>
      </c>
      <c r="AP40" s="94">
        <v>18.5</v>
      </c>
      <c r="AR40" s="95">
        <v>5</v>
      </c>
      <c r="AS40" s="97">
        <v>8834.1299999999992</v>
      </c>
      <c r="AT40" s="97">
        <v>9010.81</v>
      </c>
      <c r="AU40" s="97">
        <v>9191.0300000000007</v>
      </c>
      <c r="AV40" s="97">
        <v>9374.85</v>
      </c>
      <c r="AW40" s="97">
        <v>9562.34</v>
      </c>
      <c r="AX40" s="97">
        <v>9753.59</v>
      </c>
      <c r="AY40" s="97">
        <v>9948.66</v>
      </c>
      <c r="AZ40" s="97">
        <v>10048.15</v>
      </c>
      <c r="BA40" s="97">
        <v>10148.629999999999</v>
      </c>
      <c r="BB40" s="97">
        <v>10250.120000000001</v>
      </c>
      <c r="BC40" s="97">
        <v>10352.620000000001</v>
      </c>
      <c r="BD40" s="97">
        <v>10456.15</v>
      </c>
      <c r="BE40" s="97">
        <v>10560.71</v>
      </c>
      <c r="BF40" s="97">
        <v>10666.31</v>
      </c>
      <c r="BG40" s="97">
        <v>10772.98</v>
      </c>
      <c r="BH40" s="97">
        <v>10880.71</v>
      </c>
      <c r="BI40" s="97">
        <v>10989.51</v>
      </c>
      <c r="BJ40" s="97">
        <v>11099.41</v>
      </c>
      <c r="BK40" s="97">
        <v>11210.4</v>
      </c>
      <c r="BL40" s="97">
        <v>11322.51</v>
      </c>
      <c r="BM40" s="97">
        <v>11435.73</v>
      </c>
      <c r="BN40" s="97">
        <v>11550.09</v>
      </c>
      <c r="BO40" s="97">
        <v>11665.59</v>
      </c>
      <c r="BP40" s="97">
        <v>11782.25</v>
      </c>
      <c r="BQ40" s="97">
        <v>11900.07</v>
      </c>
      <c r="BR40" s="97">
        <v>12019.07</v>
      </c>
      <c r="BS40" s="97">
        <v>12139.26</v>
      </c>
      <c r="BT40" s="97">
        <v>12260.65</v>
      </c>
      <c r="BU40" s="97">
        <v>12383.26</v>
      </c>
      <c r="BV40" s="97">
        <v>12507.09</v>
      </c>
      <c r="BW40" s="97">
        <v>12632.16</v>
      </c>
      <c r="BX40" s="97">
        <v>12758.48</v>
      </c>
      <c r="BY40" s="97">
        <v>12886.07</v>
      </c>
      <c r="BZ40" s="97">
        <v>13014.93</v>
      </c>
      <c r="CA40" s="97">
        <v>13145.08</v>
      </c>
      <c r="CB40" s="97">
        <v>13276.53</v>
      </c>
    </row>
    <row r="41" spans="1:80" x14ac:dyDescent="0.3">
      <c r="R41" s="92">
        <v>30</v>
      </c>
      <c r="S41" s="93">
        <v>5199.8999999999996</v>
      </c>
      <c r="T41" s="93">
        <v>5704.32</v>
      </c>
      <c r="U41" s="93">
        <v>5969.57</v>
      </c>
      <c r="V41" s="93">
        <v>6396.06</v>
      </c>
      <c r="W41" s="93">
        <v>6770.34</v>
      </c>
      <c r="Z41" s="94">
        <v>58.33</v>
      </c>
      <c r="AA41" s="94">
        <v>14</v>
      </c>
      <c r="AB41" s="94">
        <v>3</v>
      </c>
      <c r="AC41" s="94">
        <v>3</v>
      </c>
      <c r="AD41" s="94">
        <v>20</v>
      </c>
      <c r="AF41" s="94">
        <v>58.82</v>
      </c>
      <c r="AG41" s="94">
        <v>13</v>
      </c>
      <c r="AH41" s="94">
        <v>3</v>
      </c>
      <c r="AI41" s="94">
        <v>3</v>
      </c>
      <c r="AJ41" s="94">
        <v>19</v>
      </c>
      <c r="AL41" s="94">
        <v>65.63</v>
      </c>
      <c r="AM41" s="94">
        <v>14</v>
      </c>
      <c r="AN41" s="94">
        <v>3</v>
      </c>
      <c r="AO41" s="94">
        <v>3</v>
      </c>
      <c r="AP41" s="94">
        <v>20</v>
      </c>
      <c r="AR41" s="95">
        <v>5.5</v>
      </c>
      <c r="AS41" s="97">
        <v>9165.41</v>
      </c>
      <c r="AT41" s="97">
        <v>9348.7199999999993</v>
      </c>
      <c r="AU41" s="97">
        <v>9535.69</v>
      </c>
      <c r="AV41" s="97">
        <v>9726.4</v>
      </c>
      <c r="AW41" s="97">
        <v>9920.93</v>
      </c>
      <c r="AX41" s="97">
        <v>10119.35</v>
      </c>
      <c r="AY41" s="97">
        <v>10321.74</v>
      </c>
      <c r="AZ41" s="97">
        <v>10424.959999999999</v>
      </c>
      <c r="BA41" s="97">
        <v>10529.21</v>
      </c>
      <c r="BB41" s="97">
        <v>10634.5</v>
      </c>
      <c r="BC41" s="97">
        <v>10740.84</v>
      </c>
      <c r="BD41" s="97">
        <v>10848.25</v>
      </c>
      <c r="BE41" s="97">
        <v>10956.73</v>
      </c>
      <c r="BF41" s="97">
        <v>11066.3</v>
      </c>
      <c r="BG41" s="97">
        <v>11176.96</v>
      </c>
      <c r="BH41" s="97">
        <v>11288.73</v>
      </c>
      <c r="BI41" s="97">
        <v>11401.62</v>
      </c>
      <c r="BJ41" s="97">
        <v>11515.64</v>
      </c>
      <c r="BK41" s="97">
        <v>11630.79</v>
      </c>
      <c r="BL41" s="97">
        <v>11747.1</v>
      </c>
      <c r="BM41" s="97">
        <v>11864.57</v>
      </c>
      <c r="BN41" s="97">
        <v>11983.22</v>
      </c>
      <c r="BO41" s="97">
        <v>12103.05</v>
      </c>
      <c r="BP41" s="97">
        <v>12224.08</v>
      </c>
      <c r="BQ41" s="97">
        <v>12346.32</v>
      </c>
      <c r="BR41" s="97">
        <v>12469.78</v>
      </c>
      <c r="BS41" s="97">
        <v>12594.48</v>
      </c>
      <c r="BT41" s="97">
        <v>12720.43</v>
      </c>
      <c r="BU41" s="97">
        <v>12847.63</v>
      </c>
      <c r="BV41" s="97">
        <v>12976.11</v>
      </c>
      <c r="BW41" s="97">
        <v>13105.87</v>
      </c>
      <c r="BX41" s="97">
        <v>13236.93</v>
      </c>
      <c r="BY41" s="97">
        <v>13369.3</v>
      </c>
      <c r="BZ41" s="97">
        <v>13502.99</v>
      </c>
      <c r="CA41" s="97">
        <v>13638.02</v>
      </c>
      <c r="CB41" s="97">
        <v>13774.4</v>
      </c>
    </row>
    <row r="42" spans="1:80" x14ac:dyDescent="0.3">
      <c r="R42" s="92">
        <v>31</v>
      </c>
      <c r="S42" s="93">
        <v>5251.9</v>
      </c>
      <c r="T42" s="93">
        <v>5761.36</v>
      </c>
      <c r="U42" s="93">
        <v>6029.27</v>
      </c>
      <c r="V42" s="93">
        <v>6460.02</v>
      </c>
      <c r="W42" s="93">
        <v>6838.04</v>
      </c>
      <c r="Z42" s="94">
        <v>61.11</v>
      </c>
      <c r="AA42" s="94">
        <v>15</v>
      </c>
      <c r="AB42" s="94">
        <v>3</v>
      </c>
      <c r="AC42" s="94">
        <v>3</v>
      </c>
      <c r="AD42" s="94">
        <v>21</v>
      </c>
      <c r="AF42" s="94">
        <v>61.76</v>
      </c>
      <c r="AG42" s="94">
        <v>14</v>
      </c>
      <c r="AH42" s="94">
        <v>3</v>
      </c>
      <c r="AI42" s="94">
        <v>3</v>
      </c>
      <c r="AJ42" s="94">
        <v>20</v>
      </c>
      <c r="AL42" s="94">
        <v>68.75</v>
      </c>
      <c r="AM42" s="94">
        <v>15</v>
      </c>
      <c r="AN42" s="94">
        <v>3</v>
      </c>
      <c r="AO42" s="94">
        <v>3</v>
      </c>
      <c r="AP42" s="94">
        <v>21</v>
      </c>
      <c r="AR42" s="95">
        <v>6</v>
      </c>
      <c r="AS42" s="97">
        <v>9496.69</v>
      </c>
      <c r="AT42" s="97">
        <v>9686.6200000000008</v>
      </c>
      <c r="AU42" s="97">
        <v>9880.35</v>
      </c>
      <c r="AV42" s="97">
        <v>10077.959999999999</v>
      </c>
      <c r="AW42" s="97">
        <v>10279.52</v>
      </c>
      <c r="AX42" s="97">
        <v>10485.11</v>
      </c>
      <c r="AY42" s="97">
        <v>10694.81</v>
      </c>
      <c r="AZ42" s="97">
        <v>10801.76</v>
      </c>
      <c r="BA42" s="97">
        <v>10909.78</v>
      </c>
      <c r="BB42" s="97">
        <v>11018.88</v>
      </c>
      <c r="BC42" s="97">
        <v>11129.07</v>
      </c>
      <c r="BD42" s="97">
        <v>11240.36</v>
      </c>
      <c r="BE42" s="97">
        <v>11352.76</v>
      </c>
      <c r="BF42" s="97">
        <v>11466.29</v>
      </c>
      <c r="BG42" s="97">
        <v>11580.95</v>
      </c>
      <c r="BH42" s="97">
        <v>11696.76</v>
      </c>
      <c r="BI42" s="97">
        <v>11813.73</v>
      </c>
      <c r="BJ42" s="97">
        <v>11931.86</v>
      </c>
      <c r="BK42" s="97">
        <v>12051.18</v>
      </c>
      <c r="BL42" s="97">
        <v>12171.69</v>
      </c>
      <c r="BM42" s="97">
        <v>12293.41</v>
      </c>
      <c r="BN42" s="97">
        <v>12416.35</v>
      </c>
      <c r="BO42" s="97">
        <v>12540.51</v>
      </c>
      <c r="BP42" s="97">
        <v>12665.91</v>
      </c>
      <c r="BQ42" s="97">
        <v>12792.57</v>
      </c>
      <c r="BR42" s="97">
        <v>12920.5</v>
      </c>
      <c r="BS42" s="97">
        <v>13049.7</v>
      </c>
      <c r="BT42" s="97">
        <v>13180.2</v>
      </c>
      <c r="BU42" s="97">
        <v>13312</v>
      </c>
      <c r="BV42" s="97">
        <v>13445.12</v>
      </c>
      <c r="BW42" s="97">
        <v>13579.57</v>
      </c>
      <c r="BX42" s="97">
        <v>13715.37</v>
      </c>
      <c r="BY42" s="97">
        <v>13852.52</v>
      </c>
      <c r="BZ42" s="97">
        <v>13991.05</v>
      </c>
      <c r="CA42" s="97">
        <v>14130.96</v>
      </c>
      <c r="CB42" s="97">
        <v>14272.27</v>
      </c>
    </row>
    <row r="43" spans="1:80" x14ac:dyDescent="0.3">
      <c r="R43" s="92">
        <v>32</v>
      </c>
      <c r="S43" s="93">
        <v>5304.42</v>
      </c>
      <c r="T43" s="93">
        <v>5818.97</v>
      </c>
      <c r="U43" s="93">
        <v>6089.56</v>
      </c>
      <c r="V43" s="93">
        <v>6524.62</v>
      </c>
      <c r="W43" s="93">
        <v>6906.43</v>
      </c>
      <c r="Z43" s="94">
        <v>63.89</v>
      </c>
      <c r="AA43" s="94">
        <v>16</v>
      </c>
      <c r="AB43" s="94">
        <v>3</v>
      </c>
      <c r="AC43" s="94">
        <v>3</v>
      </c>
      <c r="AD43" s="94">
        <v>22</v>
      </c>
      <c r="AF43" s="94">
        <v>64.709999999999994</v>
      </c>
      <c r="AG43" s="94">
        <v>15</v>
      </c>
      <c r="AH43" s="94">
        <v>3</v>
      </c>
      <c r="AI43" s="94">
        <v>3</v>
      </c>
      <c r="AJ43" s="94">
        <v>21</v>
      </c>
      <c r="AL43" s="94">
        <v>73.44</v>
      </c>
      <c r="AM43" s="94">
        <v>16</v>
      </c>
      <c r="AN43" s="94">
        <v>3</v>
      </c>
      <c r="AO43" s="94">
        <v>3</v>
      </c>
      <c r="AP43" s="94">
        <v>22</v>
      </c>
      <c r="AR43" s="95">
        <v>6.5</v>
      </c>
      <c r="AS43" s="97">
        <v>9852.81</v>
      </c>
      <c r="AT43" s="97">
        <v>10049.870000000001</v>
      </c>
      <c r="AU43" s="97">
        <v>10250.870000000001</v>
      </c>
      <c r="AV43" s="97">
        <v>10455.879999999999</v>
      </c>
      <c r="AW43" s="97">
        <v>10665</v>
      </c>
      <c r="AX43" s="97">
        <v>10878.3</v>
      </c>
      <c r="AY43" s="97">
        <v>11095.87</v>
      </c>
      <c r="AZ43" s="97">
        <v>11206.83</v>
      </c>
      <c r="BA43" s="97">
        <v>11318.9</v>
      </c>
      <c r="BB43" s="97">
        <v>11432.08</v>
      </c>
      <c r="BC43" s="97">
        <v>11546.41</v>
      </c>
      <c r="BD43" s="97">
        <v>11661.87</v>
      </c>
      <c r="BE43" s="97">
        <v>11778.49</v>
      </c>
      <c r="BF43" s="97">
        <v>11896.27</v>
      </c>
      <c r="BG43" s="97">
        <v>12015.24</v>
      </c>
      <c r="BH43" s="97">
        <v>12135.39</v>
      </c>
      <c r="BI43" s="97">
        <v>12256.74</v>
      </c>
      <c r="BJ43" s="97">
        <v>12379.31</v>
      </c>
      <c r="BK43" s="97">
        <v>12503.1</v>
      </c>
      <c r="BL43" s="97">
        <v>12628.13</v>
      </c>
      <c r="BM43" s="97">
        <v>12754.41</v>
      </c>
      <c r="BN43" s="97">
        <v>12881.96</v>
      </c>
      <c r="BO43" s="97">
        <v>13010.78</v>
      </c>
      <c r="BP43" s="97">
        <v>13140.89</v>
      </c>
      <c r="BQ43" s="97">
        <v>13272.3</v>
      </c>
      <c r="BR43" s="97">
        <v>13405.02</v>
      </c>
      <c r="BS43" s="97">
        <v>13539.07</v>
      </c>
      <c r="BT43" s="97">
        <v>13674.46</v>
      </c>
      <c r="BU43" s="97">
        <v>13811.2</v>
      </c>
      <c r="BV43" s="97">
        <v>13949.32</v>
      </c>
      <c r="BW43" s="97">
        <v>14088.81</v>
      </c>
      <c r="BX43" s="97">
        <v>14229.7</v>
      </c>
      <c r="BY43" s="97">
        <v>14371.99</v>
      </c>
      <c r="BZ43" s="97">
        <v>14515.71</v>
      </c>
      <c r="CA43" s="97">
        <v>14660.87</v>
      </c>
      <c r="CB43" s="97">
        <v>14807.48</v>
      </c>
    </row>
    <row r="44" spans="1:80" x14ac:dyDescent="0.3">
      <c r="R44" s="92">
        <v>33</v>
      </c>
      <c r="S44" s="93">
        <v>5357.46</v>
      </c>
      <c r="T44" s="93">
        <v>5877.16</v>
      </c>
      <c r="U44" s="93">
        <v>6150.45</v>
      </c>
      <c r="V44" s="93">
        <v>6589.86</v>
      </c>
      <c r="W44" s="93">
        <v>6975.49</v>
      </c>
      <c r="Z44" s="94">
        <v>69.44</v>
      </c>
      <c r="AA44" s="94">
        <v>17</v>
      </c>
      <c r="AB44" s="94">
        <v>4</v>
      </c>
      <c r="AC44" s="94">
        <v>3</v>
      </c>
      <c r="AD44" s="94">
        <v>24</v>
      </c>
      <c r="AF44" s="94">
        <v>67.650000000000006</v>
      </c>
      <c r="AG44" s="94">
        <v>16</v>
      </c>
      <c r="AH44" s="94">
        <v>3</v>
      </c>
      <c r="AI44" s="94">
        <v>3</v>
      </c>
      <c r="AJ44" s="94">
        <v>22</v>
      </c>
      <c r="AL44" s="94">
        <v>78.13</v>
      </c>
      <c r="AM44" s="94">
        <v>17</v>
      </c>
      <c r="AN44" s="94">
        <v>3</v>
      </c>
      <c r="AO44" s="94">
        <v>3</v>
      </c>
      <c r="AP44" s="94">
        <v>23</v>
      </c>
      <c r="AR44" s="95">
        <v>7</v>
      </c>
      <c r="AS44" s="97">
        <v>10208.94</v>
      </c>
      <c r="AT44" s="97">
        <v>10413.120000000001</v>
      </c>
      <c r="AU44" s="97">
        <v>10621.38</v>
      </c>
      <c r="AV44" s="97">
        <v>10833.81</v>
      </c>
      <c r="AW44" s="97">
        <v>11050.48</v>
      </c>
      <c r="AX44" s="97">
        <v>11271.49</v>
      </c>
      <c r="AY44" s="97">
        <v>11496.92</v>
      </c>
      <c r="AZ44" s="97">
        <v>11611.89</v>
      </c>
      <c r="BA44" s="97">
        <v>11728.01</v>
      </c>
      <c r="BB44" s="97">
        <v>11845.29</v>
      </c>
      <c r="BC44" s="97">
        <v>11963.75</v>
      </c>
      <c r="BD44" s="97">
        <v>12083.38</v>
      </c>
      <c r="BE44" s="97">
        <v>12204.22</v>
      </c>
      <c r="BF44" s="97">
        <v>12326.26</v>
      </c>
      <c r="BG44" s="97">
        <v>12449.52</v>
      </c>
      <c r="BH44" s="97">
        <v>12574.02</v>
      </c>
      <c r="BI44" s="97">
        <v>12699.76</v>
      </c>
      <c r="BJ44" s="97">
        <v>12826.75</v>
      </c>
      <c r="BK44" s="97">
        <v>12955.02</v>
      </c>
      <c r="BL44" s="97">
        <v>13084.57</v>
      </c>
      <c r="BM44" s="97">
        <v>13215.42</v>
      </c>
      <c r="BN44" s="97">
        <v>13347.57</v>
      </c>
      <c r="BO44" s="97">
        <v>13481.05</v>
      </c>
      <c r="BP44" s="97">
        <v>13615.86</v>
      </c>
      <c r="BQ44" s="97">
        <v>13752.02</v>
      </c>
      <c r="BR44" s="97">
        <v>13889.54</v>
      </c>
      <c r="BS44" s="97">
        <v>14028.43</v>
      </c>
      <c r="BT44" s="97">
        <v>14168.72</v>
      </c>
      <c r="BU44" s="97">
        <v>14310.4</v>
      </c>
      <c r="BV44" s="97">
        <v>14453.51</v>
      </c>
      <c r="BW44" s="97">
        <v>14598.04</v>
      </c>
      <c r="BX44" s="97">
        <v>14744.02</v>
      </c>
      <c r="BY44" s="97">
        <v>14891.46</v>
      </c>
      <c r="BZ44" s="97">
        <v>15040.38</v>
      </c>
      <c r="CA44" s="97">
        <v>15190.78</v>
      </c>
      <c r="CB44" s="97">
        <v>15342.69</v>
      </c>
    </row>
    <row r="45" spans="1:80" x14ac:dyDescent="0.3">
      <c r="R45" s="92">
        <v>34</v>
      </c>
      <c r="S45" s="93">
        <v>5411.04</v>
      </c>
      <c r="T45" s="93">
        <v>5935.94</v>
      </c>
      <c r="U45" s="93">
        <v>6211.96</v>
      </c>
      <c r="V45" s="93">
        <v>6655.76</v>
      </c>
      <c r="W45" s="93">
        <v>7045.24</v>
      </c>
      <c r="Z45" s="94">
        <v>72.22</v>
      </c>
      <c r="AA45" s="94">
        <v>18</v>
      </c>
      <c r="AB45" s="94">
        <v>4</v>
      </c>
      <c r="AC45" s="94">
        <v>3</v>
      </c>
      <c r="AD45" s="94">
        <v>25</v>
      </c>
      <c r="AF45" s="94">
        <v>76.47</v>
      </c>
      <c r="AG45" s="94">
        <v>17</v>
      </c>
      <c r="AH45" s="94">
        <v>4</v>
      </c>
      <c r="AI45" s="94">
        <v>3.5</v>
      </c>
      <c r="AJ45" s="94">
        <v>24.5</v>
      </c>
      <c r="AL45" s="94">
        <v>84.38</v>
      </c>
      <c r="AM45" s="94">
        <v>18</v>
      </c>
      <c r="AN45" s="94">
        <v>3</v>
      </c>
      <c r="AO45" s="94">
        <v>4</v>
      </c>
      <c r="AP45" s="94">
        <v>25</v>
      </c>
      <c r="AR45" s="95">
        <v>7.5</v>
      </c>
      <c r="AS45" s="97">
        <v>10591.77</v>
      </c>
      <c r="AT45" s="97">
        <v>10803.61</v>
      </c>
      <c r="AU45" s="97">
        <v>11019.68</v>
      </c>
      <c r="AV45" s="97">
        <v>11240.08</v>
      </c>
      <c r="AW45" s="97">
        <v>11464.88</v>
      </c>
      <c r="AX45" s="97">
        <v>11694.18</v>
      </c>
      <c r="AY45" s="97">
        <v>11928.06</v>
      </c>
      <c r="AZ45" s="97">
        <v>12047.34</v>
      </c>
      <c r="BA45" s="97">
        <v>12167.81</v>
      </c>
      <c r="BB45" s="97">
        <v>12289.49</v>
      </c>
      <c r="BC45" s="97">
        <v>12412.39</v>
      </c>
      <c r="BD45" s="97">
        <v>12536.51</v>
      </c>
      <c r="BE45" s="97">
        <v>12661.87</v>
      </c>
      <c r="BF45" s="97">
        <v>12788.49</v>
      </c>
      <c r="BG45" s="97">
        <v>12916.38</v>
      </c>
      <c r="BH45" s="97">
        <v>13045.54</v>
      </c>
      <c r="BI45" s="97">
        <v>13176</v>
      </c>
      <c r="BJ45" s="97">
        <v>13307.76</v>
      </c>
      <c r="BK45" s="97">
        <v>13440.84</v>
      </c>
      <c r="BL45" s="97">
        <v>13575.24</v>
      </c>
      <c r="BM45" s="97">
        <v>13711</v>
      </c>
      <c r="BN45" s="97">
        <v>13848.11</v>
      </c>
      <c r="BO45" s="97">
        <v>13986.59</v>
      </c>
      <c r="BP45" s="97">
        <v>14126.45</v>
      </c>
      <c r="BQ45" s="97">
        <v>14267.72</v>
      </c>
      <c r="BR45" s="97">
        <v>14410.39</v>
      </c>
      <c r="BS45" s="97">
        <v>14554.5</v>
      </c>
      <c r="BT45" s="97">
        <v>14700.04</v>
      </c>
      <c r="BU45" s="97">
        <v>14847.04</v>
      </c>
      <c r="BV45" s="97">
        <v>14995.51</v>
      </c>
      <c r="BW45" s="97">
        <v>15145.47</v>
      </c>
      <c r="BX45" s="97">
        <v>15296.92</v>
      </c>
      <c r="BY45" s="97">
        <v>15449.89</v>
      </c>
      <c r="BZ45" s="97">
        <v>15604.39</v>
      </c>
      <c r="CA45" s="97">
        <v>15760.44</v>
      </c>
      <c r="CB45" s="97">
        <v>15918.04</v>
      </c>
    </row>
    <row r="46" spans="1:80" x14ac:dyDescent="0.3">
      <c r="R46" s="92">
        <v>35</v>
      </c>
      <c r="S46" s="99">
        <v>5465.15</v>
      </c>
      <c r="T46" s="93">
        <v>5995.29</v>
      </c>
      <c r="U46" s="93">
        <v>6274.08</v>
      </c>
      <c r="V46" s="93">
        <v>6722.32</v>
      </c>
      <c r="W46" s="93">
        <v>7115.7</v>
      </c>
      <c r="Z46" s="94">
        <v>77.78</v>
      </c>
      <c r="AA46" s="94">
        <v>19</v>
      </c>
      <c r="AB46" s="94">
        <v>4</v>
      </c>
      <c r="AC46" s="94">
        <v>3.5</v>
      </c>
      <c r="AD46" s="94">
        <v>26.5</v>
      </c>
      <c r="AF46" s="94">
        <v>79.41</v>
      </c>
      <c r="AG46" s="94">
        <v>18</v>
      </c>
      <c r="AH46" s="94">
        <v>4</v>
      </c>
      <c r="AI46" s="94">
        <v>3.5</v>
      </c>
      <c r="AJ46" s="94">
        <v>25.5</v>
      </c>
      <c r="AL46" s="94">
        <v>90.63</v>
      </c>
      <c r="AM46" s="94">
        <v>19</v>
      </c>
      <c r="AN46" s="94">
        <v>4</v>
      </c>
      <c r="AO46" s="94">
        <v>4</v>
      </c>
      <c r="AP46" s="94">
        <v>27</v>
      </c>
      <c r="AR46" s="95">
        <v>8</v>
      </c>
      <c r="AS46" s="97">
        <v>10974.61</v>
      </c>
      <c r="AT46" s="97">
        <v>11194.1</v>
      </c>
      <c r="AU46" s="97">
        <v>11417.98</v>
      </c>
      <c r="AV46" s="97">
        <v>11646.34</v>
      </c>
      <c r="AW46" s="97">
        <v>11879.27</v>
      </c>
      <c r="AX46" s="97">
        <v>12116.86</v>
      </c>
      <c r="AY46" s="97">
        <v>12359.19</v>
      </c>
      <c r="AZ46" s="97">
        <v>12482.79</v>
      </c>
      <c r="BA46" s="97">
        <v>12607.61</v>
      </c>
      <c r="BB46" s="97">
        <v>12733.69</v>
      </c>
      <c r="BC46" s="97">
        <v>12861.03</v>
      </c>
      <c r="BD46" s="97">
        <v>12989.64</v>
      </c>
      <c r="BE46" s="97">
        <v>13119.53</v>
      </c>
      <c r="BF46" s="97">
        <v>13250.73</v>
      </c>
      <c r="BG46" s="97">
        <v>13383.24</v>
      </c>
      <c r="BH46" s="97">
        <v>13517.07</v>
      </c>
      <c r="BI46" s="97">
        <v>13652.24</v>
      </c>
      <c r="BJ46" s="97">
        <v>13788.76</v>
      </c>
      <c r="BK46" s="97">
        <v>13926.65</v>
      </c>
      <c r="BL46" s="97">
        <v>14065.91</v>
      </c>
      <c r="BM46" s="97">
        <v>14206.57</v>
      </c>
      <c r="BN46" s="97">
        <v>14348.64</v>
      </c>
      <c r="BO46" s="97">
        <v>14492.13</v>
      </c>
      <c r="BP46" s="97">
        <v>14637.05</v>
      </c>
      <c r="BQ46" s="97">
        <v>14783.42</v>
      </c>
      <c r="BR46" s="97">
        <v>14931.25</v>
      </c>
      <c r="BS46" s="97">
        <v>15080.56</v>
      </c>
      <c r="BT46" s="97">
        <v>15231.37</v>
      </c>
      <c r="BU46" s="97">
        <v>15383.68</v>
      </c>
      <c r="BV46" s="97">
        <v>15537.52</v>
      </c>
      <c r="BW46" s="97">
        <v>15692.9</v>
      </c>
      <c r="BX46" s="97">
        <v>15849.83</v>
      </c>
      <c r="BY46" s="97">
        <v>16008.32</v>
      </c>
      <c r="BZ46" s="97">
        <v>16168.41</v>
      </c>
      <c r="CA46" s="97">
        <v>16330.09</v>
      </c>
      <c r="CB46" s="97">
        <v>16493.39</v>
      </c>
    </row>
    <row r="47" spans="1:80" x14ac:dyDescent="0.3">
      <c r="R47" s="92">
        <v>36</v>
      </c>
      <c r="S47" s="93">
        <v>5519.8</v>
      </c>
      <c r="T47" s="93">
        <v>6055.25</v>
      </c>
      <c r="U47" s="93">
        <v>6336.82</v>
      </c>
      <c r="V47" s="93">
        <v>6789.54</v>
      </c>
      <c r="W47" s="99">
        <v>7186.85</v>
      </c>
      <c r="Z47" s="94">
        <v>80.56</v>
      </c>
      <c r="AA47" s="94">
        <v>20</v>
      </c>
      <c r="AB47" s="94">
        <v>4</v>
      </c>
      <c r="AC47" s="94">
        <v>3.5</v>
      </c>
      <c r="AD47" s="94">
        <v>27.5</v>
      </c>
      <c r="AF47" s="94">
        <v>85.29</v>
      </c>
      <c r="AG47" s="94">
        <v>19</v>
      </c>
      <c r="AH47" s="94">
        <v>4</v>
      </c>
      <c r="AI47" s="94">
        <v>4</v>
      </c>
      <c r="AJ47" s="94">
        <v>27</v>
      </c>
      <c r="AL47" s="94">
        <v>93.75</v>
      </c>
      <c r="AM47" s="94">
        <v>20</v>
      </c>
      <c r="AN47" s="94">
        <v>4</v>
      </c>
      <c r="AO47" s="94">
        <v>4</v>
      </c>
      <c r="AP47" s="94">
        <v>28</v>
      </c>
      <c r="AR47" s="95">
        <v>8.5</v>
      </c>
      <c r="AS47" s="97">
        <v>11386.16</v>
      </c>
      <c r="AT47" s="97">
        <v>11613.88</v>
      </c>
      <c r="AU47" s="97">
        <v>11846.16</v>
      </c>
      <c r="AV47" s="97">
        <v>12083.08</v>
      </c>
      <c r="AW47" s="97">
        <v>12324.74</v>
      </c>
      <c r="AX47" s="97">
        <v>12571.24</v>
      </c>
      <c r="AY47" s="97">
        <v>12822.66</v>
      </c>
      <c r="AZ47" s="97">
        <v>12950.89</v>
      </c>
      <c r="BA47" s="97">
        <v>13080.4</v>
      </c>
      <c r="BB47" s="97">
        <v>13211.2</v>
      </c>
      <c r="BC47" s="97">
        <v>13343.31</v>
      </c>
      <c r="BD47" s="97">
        <v>13476.75</v>
      </c>
      <c r="BE47" s="97">
        <v>13611.52</v>
      </c>
      <c r="BF47" s="97">
        <v>13747.63</v>
      </c>
      <c r="BG47" s="97">
        <v>13885.11</v>
      </c>
      <c r="BH47" s="97">
        <v>14023.96</v>
      </c>
      <c r="BI47" s="97">
        <v>14164.2</v>
      </c>
      <c r="BJ47" s="97">
        <v>14305.84</v>
      </c>
      <c r="BK47" s="97">
        <v>14448.9</v>
      </c>
      <c r="BL47" s="97">
        <v>14593.39</v>
      </c>
      <c r="BM47" s="97">
        <v>14739.32</v>
      </c>
      <c r="BN47" s="97">
        <v>14886.71</v>
      </c>
      <c r="BO47" s="97">
        <v>15035.58</v>
      </c>
      <c r="BP47" s="97">
        <v>15185.94</v>
      </c>
      <c r="BQ47" s="97">
        <v>15337.8</v>
      </c>
      <c r="BR47" s="97">
        <v>15491.17</v>
      </c>
      <c r="BS47" s="97">
        <v>15646.09</v>
      </c>
      <c r="BT47" s="97">
        <v>15802.55</v>
      </c>
      <c r="BU47" s="97">
        <v>15960.57</v>
      </c>
      <c r="BV47" s="97">
        <v>16120.18</v>
      </c>
      <c r="BW47" s="97">
        <v>16281.38</v>
      </c>
      <c r="BX47" s="97">
        <v>16444.189999999999</v>
      </c>
      <c r="BY47" s="97">
        <v>16608.64</v>
      </c>
      <c r="BZ47" s="97">
        <v>16774.72</v>
      </c>
      <c r="CA47" s="97">
        <v>16942.47</v>
      </c>
      <c r="CB47" s="97">
        <v>17111.89</v>
      </c>
    </row>
    <row r="48" spans="1:80" x14ac:dyDescent="0.3">
      <c r="Z48" s="94">
        <v>86.11</v>
      </c>
      <c r="AA48" s="94">
        <v>21</v>
      </c>
      <c r="AB48" s="94">
        <v>4</v>
      </c>
      <c r="AC48" s="94">
        <v>4</v>
      </c>
      <c r="AD48" s="94">
        <v>29</v>
      </c>
      <c r="AF48" s="94">
        <v>91.18</v>
      </c>
      <c r="AG48" s="94">
        <v>20</v>
      </c>
      <c r="AH48" s="94">
        <v>5</v>
      </c>
      <c r="AI48" s="94">
        <v>4</v>
      </c>
      <c r="AJ48" s="94">
        <v>29</v>
      </c>
      <c r="AL48" s="94">
        <v>96.88</v>
      </c>
      <c r="AM48" s="94">
        <v>21</v>
      </c>
      <c r="AN48" s="94">
        <v>4</v>
      </c>
      <c r="AO48" s="94">
        <v>4</v>
      </c>
      <c r="AP48" s="94">
        <v>29</v>
      </c>
      <c r="AR48" s="95">
        <v>9</v>
      </c>
      <c r="AS48" s="97">
        <v>11797.71</v>
      </c>
      <c r="AT48" s="97">
        <v>12033.66</v>
      </c>
      <c r="AU48" s="97">
        <v>12274.33</v>
      </c>
      <c r="AV48" s="97">
        <v>12519.82</v>
      </c>
      <c r="AW48" s="97">
        <v>12770.22</v>
      </c>
      <c r="AX48" s="97">
        <v>13025.62</v>
      </c>
      <c r="AY48" s="97">
        <v>13286.13</v>
      </c>
      <c r="AZ48" s="97">
        <v>13418.99</v>
      </c>
      <c r="BA48" s="97">
        <v>13553.18</v>
      </c>
      <c r="BB48" s="97">
        <v>13688.72</v>
      </c>
      <c r="BC48" s="97">
        <v>13825.6</v>
      </c>
      <c r="BD48" s="97">
        <v>13963.86</v>
      </c>
      <c r="BE48" s="97">
        <v>14103.5</v>
      </c>
      <c r="BF48" s="97">
        <v>14244.53</v>
      </c>
      <c r="BG48" s="97">
        <v>14386.98</v>
      </c>
      <c r="BH48" s="97">
        <v>14530.85</v>
      </c>
      <c r="BI48" s="97">
        <v>14676.16</v>
      </c>
      <c r="BJ48" s="97">
        <v>14822.92</v>
      </c>
      <c r="BK48" s="97">
        <v>14971.15</v>
      </c>
      <c r="BL48" s="97">
        <v>15120.86</v>
      </c>
      <c r="BM48" s="97">
        <v>15272.07</v>
      </c>
      <c r="BN48" s="97">
        <v>15424.79</v>
      </c>
      <c r="BO48" s="97">
        <v>15579.04</v>
      </c>
      <c r="BP48" s="97">
        <v>15734.83</v>
      </c>
      <c r="BQ48" s="97">
        <v>15892.17</v>
      </c>
      <c r="BR48" s="97">
        <v>16051.1</v>
      </c>
      <c r="BS48" s="97">
        <v>16211.61</v>
      </c>
      <c r="BT48" s="97">
        <v>16373.72</v>
      </c>
      <c r="BU48" s="97">
        <v>16537.46</v>
      </c>
      <c r="BV48" s="97">
        <v>16702.830000000002</v>
      </c>
      <c r="BW48" s="97">
        <v>16869.86</v>
      </c>
      <c r="BX48" s="97">
        <v>17038.560000000001</v>
      </c>
      <c r="BY48" s="97">
        <v>17208.95</v>
      </c>
      <c r="BZ48" s="97">
        <v>17381.04</v>
      </c>
      <c r="CA48" s="97">
        <v>17554.849999999999</v>
      </c>
      <c r="CB48" s="97">
        <v>17730.400000000001</v>
      </c>
    </row>
    <row r="49" spans="26:42" x14ac:dyDescent="0.3">
      <c r="Z49" s="94">
        <v>91.67</v>
      </c>
      <c r="AA49" s="94">
        <v>22</v>
      </c>
      <c r="AB49" s="94">
        <v>5</v>
      </c>
      <c r="AC49" s="94">
        <v>4</v>
      </c>
      <c r="AD49" s="94">
        <v>31</v>
      </c>
      <c r="AF49" s="94">
        <v>94.12</v>
      </c>
      <c r="AG49" s="94">
        <v>21</v>
      </c>
      <c r="AH49" s="94">
        <v>5</v>
      </c>
      <c r="AI49" s="94">
        <v>4</v>
      </c>
      <c r="AJ49" s="94">
        <v>30</v>
      </c>
      <c r="AL49" s="94">
        <v>100</v>
      </c>
      <c r="AM49" s="94">
        <v>22</v>
      </c>
      <c r="AN49" s="94">
        <v>4</v>
      </c>
      <c r="AO49" s="94">
        <v>4</v>
      </c>
      <c r="AP49" s="94">
        <v>30</v>
      </c>
    </row>
    <row r="50" spans="26:42" x14ac:dyDescent="0.3">
      <c r="Z50" s="94">
        <v>94.44</v>
      </c>
      <c r="AA50" s="94">
        <v>23</v>
      </c>
      <c r="AB50" s="94">
        <v>5</v>
      </c>
      <c r="AC50" s="94">
        <v>4</v>
      </c>
      <c r="AD50" s="94">
        <v>32</v>
      </c>
      <c r="AF50" s="94">
        <v>97.06</v>
      </c>
      <c r="AG50" s="94">
        <v>22</v>
      </c>
      <c r="AH50" s="94">
        <v>5</v>
      </c>
      <c r="AI50" s="94">
        <v>4</v>
      </c>
      <c r="AJ50" s="94">
        <v>31</v>
      </c>
    </row>
    <row r="51" spans="26:42" x14ac:dyDescent="0.3">
      <c r="Z51" s="94">
        <v>97.22</v>
      </c>
      <c r="AA51" s="94">
        <v>24</v>
      </c>
      <c r="AB51" s="94">
        <v>5</v>
      </c>
      <c r="AC51" s="94">
        <v>4</v>
      </c>
      <c r="AD51" s="94">
        <v>33</v>
      </c>
      <c r="AF51" s="94">
        <v>100</v>
      </c>
      <c r="AG51" s="94">
        <v>23</v>
      </c>
      <c r="AH51" s="94">
        <v>5</v>
      </c>
      <c r="AI51" s="94">
        <v>4</v>
      </c>
      <c r="AJ51" s="94">
        <v>32</v>
      </c>
    </row>
    <row r="52" spans="26:42" x14ac:dyDescent="0.3">
      <c r="Z52" s="94">
        <v>100</v>
      </c>
      <c r="AA52" s="94">
        <v>25</v>
      </c>
      <c r="AB52" s="94">
        <v>5</v>
      </c>
      <c r="AC52" s="94">
        <v>4</v>
      </c>
      <c r="AD52" s="94">
        <v>34</v>
      </c>
    </row>
  </sheetData>
  <sheetProtection algorithmName="SHA-512" hashValue="HeN+0SB7gixDl1p4VcGbC/c+CsjIIQHDEvbYm0Qqyi57CVn6Cn+tyLZfnc2xjY2wzvXyPazS4egRFecAkWS7gw==" saltValue="ir/fU0VVHEcYvTLD/x8CTg==" spinCount="100000" sheet="1" objects="1" scenarios="1" selectLockedCells="1"/>
  <mergeCells count="2">
    <mergeCell ref="A12:A18"/>
    <mergeCell ref="A20:A34"/>
  </mergeCells>
  <conditionalFormatting sqref="D14">
    <cfRule type="cellIs" dxfId="1" priority="2" operator="greaterThan">
      <formula>24.75</formula>
    </cfRule>
  </conditionalFormatting>
  <conditionalFormatting sqref="D22:D34">
    <cfRule type="expression" dxfId="0" priority="1">
      <formula>COUNTA($D$22:$D$34)&gt;2</formula>
    </cfRule>
  </conditionalFormatting>
  <dataValidations count="11">
    <dataValidation type="list" allowBlank="1" showInputMessage="1" showErrorMessage="1" sqref="D34" xr:uid="{213B64B4-3EB9-4E25-BA01-4E120AC95C81}">
      <formula1>$Q$23:$Q$25</formula1>
    </dataValidation>
    <dataValidation type="list" allowBlank="1" showInputMessage="1" showErrorMessage="1" sqref="D15" xr:uid="{093C67AD-28BD-4869-B491-7908036FB3CA}">
      <formula1>$Q$10:$Q$12</formula1>
    </dataValidation>
    <dataValidation type="list" allowBlank="1" showInputMessage="1" showErrorMessage="1" sqref="D15 D23" xr:uid="{2F963824-02CB-4EF4-A2E9-BB38BC393E8A}">
      <formula1>$Q$10:$Q$11</formula1>
    </dataValidation>
    <dataValidation type="list" allowBlank="1" showInputMessage="1" showErrorMessage="1" sqref="D28" xr:uid="{1D3FBCEE-11BA-44B3-9504-B796C9299966}">
      <formula1>$Q$17:$Q$18</formula1>
    </dataValidation>
    <dataValidation type="list" allowBlank="1" showInputMessage="1" showErrorMessage="1" sqref="D24:D27 D29:D33 D22" xr:uid="{53FAA904-781F-4521-B452-63E43A6FAE1E}">
      <formula1>$Q$21:$Q$22</formula1>
    </dataValidation>
    <dataValidation type="list" allowBlank="1" showInputMessage="1" showErrorMessage="1" sqref="D18" xr:uid="{3B45F031-6995-4A82-87B3-FCD3C56E8C29}">
      <formula1>$Q$19:$Q$20</formula1>
    </dataValidation>
    <dataValidation type="list" allowBlank="1" showInputMessage="1" showErrorMessage="1" sqref="D17" xr:uid="{1DC7EBE6-AD91-4FF7-9039-ABAF1889399D}">
      <formula1>$Q$16:$Q$18</formula1>
    </dataValidation>
    <dataValidation type="list" allowBlank="1" showInputMessage="1" showErrorMessage="1" sqref="D16" xr:uid="{2D57A64C-922E-4F92-ACB6-345E11CA5020}">
      <formula1>$Q$13:$Q$15</formula1>
    </dataValidation>
    <dataValidation type="list" allowBlank="1" showInputMessage="1" showErrorMessage="1" sqref="D5:E5" xr:uid="{973061F0-7F29-433A-ACE9-FB1E09F1DF9B}">
      <formula1>$W$5:$W$9</formula1>
    </dataValidation>
    <dataValidation type="list" allowBlank="1" showInputMessage="1" showErrorMessage="1" sqref="D9:E10" xr:uid="{C884420B-71CF-4308-9315-0D83E7431B86}">
      <formula1>$Y$5:$Y$6</formula1>
    </dataValidation>
    <dataValidation type="list" allowBlank="1" showInputMessage="1" showErrorMessage="1" sqref="D7:E7" xr:uid="{02D5C4A3-3ACA-406B-8709-EDB90166AA8D}">
      <formula1>$X$5:$X$6</formula1>
    </dataValidation>
  </dataValidations>
  <pageMargins left="0.7" right="0.7" top="0.75" bottom="0.75" header="0.3" footer="0.3"/>
  <pageSetup paperSize="9" orientation="portrait" verticalDpi="0" r:id="rId1"/>
  <ignoredErrors>
    <ignoredError sqref="F5:O20 E14:E34 D19 A12:A34 F22:O33 F21:L21 N21:O21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דבורה</dc:creator>
  <cp:lastModifiedBy>שושי</cp:lastModifiedBy>
  <dcterms:created xsi:type="dcterms:W3CDTF">2023-08-21T12:26:30Z</dcterms:created>
  <dcterms:modified xsi:type="dcterms:W3CDTF">2023-08-24T14:36:11Z</dcterms:modified>
</cp:coreProperties>
</file>