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A\Downloads\"/>
    </mc:Choice>
  </mc:AlternateContent>
  <xr:revisionPtr revIDLastSave="0" documentId="8_{10DD2EDB-72E6-4BE4-93DA-409088413660}" xr6:coauthVersionLast="47" xr6:coauthVersionMax="47" xr10:uidLastSave="{00000000-0000-0000-0000-000000000000}"/>
  <bookViews>
    <workbookView xWindow="-110" yWindow="-110" windowWidth="19420" windowHeight="1042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P92" i="3"/>
  <c r="Q92" i="3" s="1"/>
  <c r="O92" i="3"/>
  <c r="Q91" i="3"/>
  <c r="P91" i="3"/>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P40" i="3"/>
  <c r="Q40" i="3" s="1"/>
  <c r="R40" i="3" s="1"/>
  <c r="I40" i="3"/>
  <c r="I41" i="3" s="1"/>
  <c r="I42" i="3" s="1"/>
  <c r="I43" i="3" s="1"/>
  <c r="I44" i="3" s="1"/>
  <c r="I45" i="3" s="1"/>
  <c r="BL39" i="3"/>
  <c r="BL41" i="3" s="1"/>
  <c r="BL42" i="3" s="1"/>
  <c r="BJ39" i="3"/>
  <c r="AI39" i="3"/>
  <c r="AH39" i="3"/>
  <c r="AJ40" i="3" s="1"/>
  <c r="AI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V33" i="3"/>
  <c r="W33" i="3" s="1"/>
  <c r="T30" i="3" s="1"/>
  <c r="D135" i="3" s="1"/>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3" i="3" l="1"/>
  <c r="G145" i="3"/>
  <c r="G142" i="3" s="1"/>
  <c r="BN20" i="3"/>
  <c r="BN22" i="3" s="1"/>
  <c r="BN27" i="3" s="1"/>
  <c r="BU24" i="3"/>
  <c r="BU22" i="3"/>
  <c r="BU27" i="3" s="1"/>
  <c r="BU26" i="3"/>
  <c r="BL20" i="3"/>
  <c r="BJ20" i="3"/>
  <c r="BJ29" i="3" s="1"/>
  <c r="BI19" i="3"/>
  <c r="BF20" i="3"/>
  <c r="BF25" i="3" s="1"/>
  <c r="BS21" i="3"/>
  <c r="BS22" i="3" s="1"/>
  <c r="BS27" i="3" s="1"/>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6" i="3"/>
  <c r="BN24" i="3"/>
  <c r="BN23" i="3"/>
  <c r="BC27" i="3"/>
  <c r="Q8" i="3" s="1"/>
  <c r="I164" i="3"/>
  <c r="AW16" i="3"/>
  <c r="AW15" i="3" s="1"/>
  <c r="AV17" i="3" s="1"/>
  <c r="R5" i="3"/>
  <c r="R19" i="3" s="1"/>
  <c r="BU23" i="3"/>
  <c r="BU25" i="3"/>
  <c r="BK1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P24" i="3"/>
  <c r="BP26" i="3"/>
  <c r="AR719" i="3"/>
  <c r="AR718" i="3" s="1"/>
  <c r="AY720" i="3" s="1"/>
  <c r="G960" i="3"/>
  <c r="AV742" i="3"/>
  <c r="BP23" i="3"/>
  <c r="X22" i="3"/>
  <c r="BL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BL26" i="4"/>
  <c r="AI28" i="4"/>
  <c r="BM35" i="4"/>
  <c r="AW16" i="4"/>
  <c r="AW15" i="4" s="1"/>
  <c r="AV17" i="4" s="1"/>
  <c r="N81" i="4"/>
  <c r="M169" i="4" s="1"/>
  <c r="AB43" i="4"/>
  <c r="R19" i="4"/>
  <c r="V21" i="4"/>
  <c r="BM24" i="4"/>
  <c r="BM26" i="4"/>
  <c r="H779" i="4"/>
  <c r="H780" i="4"/>
  <c r="P107" i="4"/>
  <c r="J188" i="4" s="1"/>
  <c r="BM22" i="4"/>
  <c r="O24" i="4"/>
  <c r="BF25" i="4"/>
  <c r="BP25" i="4"/>
  <c r="BE26" i="4"/>
  <c r="BC27" i="4"/>
  <c r="AZ38" i="4" s="1"/>
  <c r="V32" i="4"/>
  <c r="W32" i="4" s="1"/>
  <c r="T29" i="4" s="1"/>
  <c r="D134" i="4" s="1"/>
  <c r="AY32" i="4"/>
  <c r="AY36" i="4" s="1"/>
  <c r="AY34" i="4" s="1"/>
  <c r="V33" i="4"/>
  <c r="W33" i="4" s="1"/>
  <c r="T30" i="4" s="1"/>
  <c r="D135" i="4" s="1"/>
  <c r="AI36" i="4"/>
  <c r="F205" i="4" s="1"/>
  <c r="R40" i="4"/>
  <c r="O37" i="4" s="1"/>
  <c r="BK19" i="4"/>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S23" i="3" l="1"/>
  <c r="Q19" i="4"/>
  <c r="W81" i="4" s="1"/>
  <c r="BS24" i="3"/>
  <c r="BE22" i="4"/>
  <c r="BE27" i="4" s="1"/>
  <c r="BE24" i="4"/>
  <c r="BE25" i="4"/>
  <c r="BN25" i="3"/>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4" l="1"/>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Q717" i="4"/>
  <c r="BE722" i="4"/>
  <c r="L781" i="4"/>
  <c r="K781" i="4" s="1"/>
  <c r="AE743" i="4"/>
  <c r="AW798" i="4" s="1"/>
  <c r="BK741" i="4" s="1"/>
  <c r="BH741" i="4" s="1"/>
  <c r="R800" i="4"/>
  <c r="AW739" i="4"/>
  <c r="AX800" i="4" l="1"/>
  <c r="AW800" i="4" s="1"/>
  <c r="AX800" i="3"/>
  <c r="AW800" i="3"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<sst xmlns="http://schemas.openxmlformats.org/spreadsheetml/2006/main" count="2763" uniqueCount="611">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</sst>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4">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6" fillId="2" borderId="4" xfId="0" applyFont="1" applyFill="1" applyBorder="1" applyProtection="1">
      <protection locked="0"/>
    </xf>
    <xf numFmtId="0" fontId="6" fillId="2" borderId="4" xfId="0" applyFont="1" applyFill="1" applyBorder="1" applyAlignment="1" applyProtection="1">
      <alignment horizontal="right"/>
      <protection locked="0"/>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C15" sqref="C15"/>
    </sheetView>
  </sheetViews>
  <sheetFormatPr defaultRowHeight="14" x14ac:dyDescent="0.3"/>
  <cols>
    <col min="1" max="1" width="31.33203125" customWidth="1"/>
    <col min="3" max="3" width="29.25" customWidth="1"/>
    <col min="4" max="4" width="29.33203125" customWidth="1"/>
    <col min="5" max="5" width="18.25" customWidth="1"/>
    <col min="7" max="7" width="34.08203125" customWidth="1"/>
  </cols>
  <sheetData>
    <row r="1" spans="1:7" ht="15" thickTop="1" thickBot="1" x14ac:dyDescent="0.35">
      <c r="A1" s="8" t="s">
        <v>35</v>
      </c>
      <c r="B1" s="9"/>
      <c r="C1" s="33" t="s">
        <v>73</v>
      </c>
      <c r="D1" s="33"/>
      <c r="E1" s="33"/>
      <c r="F1" s="26"/>
    </row>
    <row r="2" spans="1:7" ht="14.5" thickTop="1" x14ac:dyDescent="0.3">
      <c r="A2" s="1" t="s">
        <v>0</v>
      </c>
      <c r="B2" s="2" t="s">
        <v>1</v>
      </c>
      <c r="C2" t="s">
        <v>24</v>
      </c>
    </row>
    <row r="3" spans="1:7" x14ac:dyDescent="0.3">
      <c r="A3" s="1" t="s">
        <v>2</v>
      </c>
      <c r="B3" s="3">
        <v>14</v>
      </c>
      <c r="C3" t="s">
        <v>46</v>
      </c>
    </row>
    <row r="4" spans="1:7" x14ac:dyDescent="0.3">
      <c r="A4" s="1" t="s">
        <v>3</v>
      </c>
      <c r="B4" s="191">
        <f>IF(B9&gt;0%,0,6%)</f>
        <v>0</v>
      </c>
      <c r="C4" s="21" t="s">
        <v>36</v>
      </c>
      <c r="D4" s="21" t="s">
        <v>22</v>
      </c>
    </row>
    <row r="5" spans="1:7" x14ac:dyDescent="0.3">
      <c r="A5" s="1" t="s">
        <v>4</v>
      </c>
      <c r="B5" s="192">
        <f>IF(B2=B33,8.75,IF(B2=C33,8.75,0))</f>
        <v>8.75</v>
      </c>
      <c r="C5" s="21" t="s">
        <v>36</v>
      </c>
      <c r="D5" s="21" t="s">
        <v>23</v>
      </c>
    </row>
    <row r="6" spans="1:7" x14ac:dyDescent="0.3">
      <c r="A6" s="1" t="s">
        <v>38</v>
      </c>
      <c r="B6" s="5">
        <v>8</v>
      </c>
      <c r="C6" t="s">
        <v>24</v>
      </c>
    </row>
    <row r="7" spans="1:7" x14ac:dyDescent="0.3">
      <c r="A7" s="1" t="s">
        <v>5</v>
      </c>
      <c r="B7" s="4">
        <v>0</v>
      </c>
      <c r="C7" t="s">
        <v>44</v>
      </c>
    </row>
    <row r="8" spans="1:7" x14ac:dyDescent="0.3">
      <c r="A8" s="1" t="s">
        <v>37</v>
      </c>
      <c r="B8" s="4">
        <v>1.08</v>
      </c>
      <c r="C8" t="s">
        <v>610</v>
      </c>
    </row>
    <row r="9" spans="1:7" x14ac:dyDescent="0.3">
      <c r="A9" s="6" t="s">
        <v>6</v>
      </c>
      <c r="B9" s="4">
        <v>0.1</v>
      </c>
      <c r="C9" t="s">
        <v>45</v>
      </c>
    </row>
    <row r="10" spans="1:7" x14ac:dyDescent="0.3">
      <c r="A10" s="6" t="s">
        <v>7</v>
      </c>
      <c r="B10" s="4" t="s">
        <v>27</v>
      </c>
      <c r="C10" t="s">
        <v>25</v>
      </c>
      <c r="E10" s="10"/>
    </row>
    <row r="11" spans="1:7" ht="14.5" thickBot="1" x14ac:dyDescent="0.35">
      <c r="A11" s="16" t="s">
        <v>42</v>
      </c>
      <c r="B11" s="17" t="s">
        <v>26</v>
      </c>
      <c r="C11" t="s">
        <v>43</v>
      </c>
      <c r="E11" s="10"/>
    </row>
    <row r="12" spans="1:7" ht="14.5" thickTop="1" x14ac:dyDescent="0.3">
      <c r="A12" s="14" t="s">
        <v>42</v>
      </c>
      <c r="B12" s="15">
        <v>1.08</v>
      </c>
      <c r="C12" t="s">
        <v>50</v>
      </c>
    </row>
    <row r="13" spans="1:7" x14ac:dyDescent="0.3">
      <c r="A13" s="14" t="s">
        <v>30</v>
      </c>
      <c r="B13" s="15">
        <v>0.08</v>
      </c>
      <c r="C13" t="s">
        <v>49</v>
      </c>
    </row>
    <row r="14" spans="1:7" x14ac:dyDescent="0.3">
      <c r="A14" s="14" t="s">
        <v>31</v>
      </c>
      <c r="B14" s="15">
        <v>1</v>
      </c>
      <c r="C14" t="s">
        <v>48</v>
      </c>
      <c r="D14" t="s">
        <v>607</v>
      </c>
    </row>
    <row r="15" spans="1:7" ht="14.5" thickBot="1" x14ac:dyDescent="0.35">
      <c r="D15" s="13" t="s">
        <v>40</v>
      </c>
      <c r="E15" s="195">
        <v>2</v>
      </c>
      <c r="F15" s="196">
        <f>($E$15/24)+AX44</f>
        <v>8.3333333333333329E-2</v>
      </c>
      <c r="G15" s="11" t="s">
        <v>30</v>
      </c>
    </row>
    <row r="16" spans="1:7" ht="14.5" thickBot="1" x14ac:dyDescent="0.35">
      <c r="D16" s="13" t="s">
        <v>41</v>
      </c>
      <c r="E16" s="195">
        <v>30</v>
      </c>
      <c r="F16" s="196">
        <f>$E$16/30+AX45</f>
        <v>1</v>
      </c>
      <c r="G16" s="11" t="s">
        <v>31</v>
      </c>
    </row>
    <row r="17" spans="1:69" x14ac:dyDescent="0.3">
      <c r="A17" s="6" t="s">
        <v>39</v>
      </c>
      <c r="C17" s="207"/>
      <c r="D17" s="207"/>
      <c r="E17" s="207"/>
    </row>
    <row r="18" spans="1:69" x14ac:dyDescent="0.3">
      <c r="C18" s="18"/>
      <c r="D18" s="18"/>
      <c r="E18" s="18"/>
      <c r="F18" s="6"/>
      <c r="H18" s="10"/>
    </row>
    <row r="19" spans="1:69" x14ac:dyDescent="0.3">
      <c r="A19" t="s">
        <v>47</v>
      </c>
      <c r="C19" s="18"/>
      <c r="D19" s="18"/>
      <c r="E19" s="18"/>
      <c r="F19" s="6"/>
      <c r="H19" s="10"/>
    </row>
    <row r="20" spans="1:69" ht="14.5" thickBot="1" x14ac:dyDescent="0.35">
      <c r="A20" s="7" t="s">
        <v>33</v>
      </c>
      <c r="B20" s="193">
        <v>2</v>
      </c>
      <c r="C20" s="18" t="s">
        <v>34</v>
      </c>
      <c r="D20" s="18"/>
      <c r="E20" s="18"/>
    </row>
    <row r="21" spans="1:69" ht="14.5" thickTop="1" x14ac:dyDescent="0.3">
      <c r="A21" s="6" t="s">
        <v>32</v>
      </c>
      <c r="B21" s="194">
        <v>0.14000000000000001</v>
      </c>
      <c r="C21" s="18"/>
      <c r="D21" s="19"/>
      <c r="E21" s="18"/>
    </row>
    <row r="22" spans="1:69" x14ac:dyDescent="0.3">
      <c r="C22" s="18"/>
      <c r="D22" s="18"/>
      <c r="E22" s="18"/>
    </row>
    <row r="23" spans="1:69" x14ac:dyDescent="0.3">
      <c r="C23" s="18"/>
      <c r="D23" s="20"/>
      <c r="E23" s="20"/>
      <c r="F23" s="12"/>
    </row>
    <row r="24" spans="1:69" x14ac:dyDescent="0.3">
      <c r="B24" s="12"/>
      <c r="C24" s="18"/>
      <c r="D24" s="20"/>
      <c r="E24" s="20"/>
      <c r="F24" s="12"/>
    </row>
    <row r="25" spans="1:69" x14ac:dyDescent="0.3">
      <c r="A25" s="12"/>
      <c r="B25" s="12"/>
      <c r="C25" s="20"/>
      <c r="D25" s="20"/>
      <c r="E25" s="20"/>
      <c r="F25" s="12"/>
    </row>
    <row r="26" spans="1:69" x14ac:dyDescent="0.3">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3">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3">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3">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3">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3">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3">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 x14ac:dyDescent="0.3">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3">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3">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3">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3">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3">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3">
      <c r="A39" s="197">
        <v>0</v>
      </c>
      <c r="B39" s="197"/>
      <c r="C39" s="201">
        <f>IF(B10="כן",7%,0)</f>
        <v>0</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2.4074074074074074E-2</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3">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0.18518518518518517</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3">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0.20925925925925926</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3">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3">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3">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v>
      </c>
      <c r="AV44" s="197">
        <f>($E$15/24)</f>
        <v>8.3333333333333329E-2</v>
      </c>
      <c r="AW44" s="197">
        <f>AV44/(AV45+AV44)</f>
        <v>7.6923076923076927E-2</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3">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1</v>
      </c>
      <c r="AW45" s="197">
        <f>AV45/(AV44+AV45)</f>
        <v>0.92307692307692313</v>
      </c>
      <c r="AX45" s="197">
        <f>AW45*AU44</f>
        <v>0</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3">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3">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3">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3">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3">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3">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3">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3">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3">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3">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3">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3">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3">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3">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3">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3">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3">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3">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3">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3">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3">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3">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3">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3" zoomScaleNormal="100" workbookViewId="0">
      <selection activeCell="C1" sqref="C1"/>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51</v>
      </c>
      <c r="C1" s="23"/>
      <c r="D1" s="24"/>
      <c r="E1" s="24"/>
      <c r="F1" s="25"/>
      <c r="G1" s="26"/>
      <c r="H1" s="26" t="s">
        <v>52</v>
      </c>
      <c r="I1" s="26"/>
      <c r="J1" s="26"/>
      <c r="K1" s="26"/>
      <c r="L1" s="26"/>
      <c r="M1" s="26"/>
      <c r="N1" s="26"/>
      <c r="O1" s="26"/>
      <c r="P1" s="26" t="e">
        <f>N82</f>
        <v>#N/A</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58</v>
      </c>
      <c r="C2" s="28" t="s">
        <v>59</v>
      </c>
      <c r="D2" s="29"/>
      <c r="E2" s="29"/>
      <c r="F2" s="30" t="s">
        <v>608</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609</v>
      </c>
      <c r="C4" s="32"/>
      <c r="D4" s="206" t="s">
        <v>73</v>
      </c>
      <c r="E4" s="206"/>
      <c r="F4" s="206"/>
      <c r="G4" s="206"/>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0</v>
      </c>
      <c r="D6" s="36" t="s">
        <v>80</v>
      </c>
      <c r="E6" s="37"/>
      <c r="F6" s="40"/>
      <c r="G6" s="26"/>
      <c r="H6" s="26"/>
      <c r="I6" s="26"/>
      <c r="J6" s="26"/>
      <c r="K6" s="26"/>
      <c r="L6" s="26"/>
      <c r="M6" s="26"/>
      <c r="N6" s="26" t="s">
        <v>81</v>
      </c>
      <c r="O6" s="26" t="s">
        <v>82</v>
      </c>
      <c r="P6" s="26">
        <f>P4*C9</f>
        <v>0</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90</v>
      </c>
      <c r="C8" s="42">
        <v>0</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98</v>
      </c>
      <c r="C9" s="44">
        <v>0</v>
      </c>
      <c r="D9" s="208" t="s">
        <v>99</v>
      </c>
      <c r="E9" s="209"/>
      <c r="F9" s="26"/>
      <c r="G9" s="187" t="s">
        <v>606</v>
      </c>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3">
      <c r="B10" s="41" t="s">
        <v>109</v>
      </c>
      <c r="C10" s="188">
        <f>F14</f>
        <v>0</v>
      </c>
      <c r="D10" s="45" t="s">
        <v>110</v>
      </c>
      <c r="E10" s="38"/>
      <c r="F10" s="26"/>
      <c r="G10" s="26"/>
      <c r="H10" s="186">
        <v>0</v>
      </c>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3">
      <c r="B11" s="46" t="s">
        <v>32</v>
      </c>
      <c r="C11" s="47">
        <v>0</v>
      </c>
      <c r="D11" s="208" t="s">
        <v>117</v>
      </c>
      <c r="E11" s="209"/>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3">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3">
      <c r="A13" s="48"/>
      <c r="B13" s="46" t="s">
        <v>5</v>
      </c>
      <c r="C13" s="47">
        <v>0</v>
      </c>
      <c r="D13" s="208" t="s">
        <v>117</v>
      </c>
      <c r="E13" s="209"/>
      <c r="F13" s="26"/>
      <c r="G13" s="26"/>
      <c r="H13" s="26"/>
      <c r="I13" s="26"/>
      <c r="J13" s="26"/>
      <c r="K13" s="26" t="e">
        <f>($I$7+$I$8+#REF!+$I$11+#REF!+500)*1.2%*($C$7)*C9</f>
        <v>#REF!</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8" t="s">
        <v>132</v>
      </c>
      <c r="E14" s="209"/>
      <c r="F14" s="26">
        <f>F16*(F15+1)</f>
        <v>0</v>
      </c>
      <c r="G14" s="26"/>
      <c r="H14" s="26"/>
      <c r="I14" s="26"/>
      <c r="J14" s="26"/>
      <c r="K14" s="26" t="e">
        <f>($I$7+$I$8+#REF!+$I$11+#REF!+500)*1.2%*($C$8)*C9</f>
        <v>#REF!</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3">
      <c r="B16" s="34" t="s">
        <v>147</v>
      </c>
      <c r="C16" s="39">
        <v>1</v>
      </c>
      <c r="D16" s="208" t="s">
        <v>148</v>
      </c>
      <c r="E16" s="209"/>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154</v>
      </c>
      <c r="E17" s="38"/>
      <c r="F17" s="26"/>
      <c r="G17" s="26"/>
      <c r="H17" s="26"/>
      <c r="I17" s="26"/>
      <c r="J17" s="26"/>
      <c r="K17" s="26"/>
      <c r="L17" s="26"/>
      <c r="M17" s="26"/>
      <c r="N17" s="26"/>
      <c r="O17" s="26"/>
      <c r="P17" s="26" t="s">
        <v>155</v>
      </c>
      <c r="Q17" s="26">
        <v>0</v>
      </c>
      <c r="R17" s="26">
        <f>R10*1.2%*C8</f>
        <v>0</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3">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c r="C20" s="35"/>
      <c r="D20" s="208"/>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c r="C21" s="50"/>
      <c r="D21" s="212"/>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5">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4">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3">
      <c r="B25" s="57" t="s">
        <v>260</v>
      </c>
      <c r="C25" s="57">
        <v>1</v>
      </c>
      <c r="D25" s="57">
        <v>0</v>
      </c>
      <c r="E25" s="57">
        <v>0</v>
      </c>
      <c r="F25" s="204">
        <f>SUM(C25:E25)</f>
        <v>1</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3">
      <c r="B26" s="51" t="s">
        <v>268</v>
      </c>
      <c r="C26" s="54">
        <f>C25*1</f>
        <v>1</v>
      </c>
      <c r="D26" s="54">
        <f>D25*1.1</f>
        <v>0</v>
      </c>
      <c r="E26" s="54">
        <f>E25*2</f>
        <v>0</v>
      </c>
      <c r="F26" s="59">
        <f>SUM(C26:E26)</f>
        <v>1</v>
      </c>
      <c r="G26" s="26" t="s">
        <v>269</v>
      </c>
      <c r="H26" s="26"/>
      <c r="I26" s="26"/>
      <c r="J26" s="26"/>
      <c r="K26" s="26"/>
      <c r="L26" s="26"/>
      <c r="M26" s="26"/>
      <c r="N26" s="26"/>
      <c r="O26" s="26"/>
      <c r="P26" s="26"/>
      <c r="Q26" s="26" t="e">
        <f>SUM(Q10:Q25)</f>
        <v>#REF!</v>
      </c>
      <c r="R26" s="26">
        <f>SUM(R10:R24)*'[1]נתוני מס'!L22*(1+'[1]נתוני מס'!L23)</f>
        <v>366.65056266641858</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5">
      <c r="C27" s="60"/>
      <c r="D27" s="60" t="s">
        <v>181</v>
      </c>
      <c r="E27" s="60"/>
      <c r="G27" s="26"/>
      <c r="H27" s="26"/>
      <c r="I27" s="26"/>
      <c r="J27" s="26"/>
      <c r="K27" s="26"/>
      <c r="L27" s="26"/>
      <c r="M27" s="26"/>
      <c r="N27" s="26"/>
      <c r="O27" s="26"/>
      <c r="P27" s="26"/>
      <c r="Q27" s="26"/>
      <c r="R27" s="26">
        <f>SUM(R10:R26)</f>
        <v>8167.7263640795791</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4">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3">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3">
      <c r="B30" s="51" t="s">
        <v>268</v>
      </c>
      <c r="C30" s="54">
        <f>C29*2.4</f>
        <v>36</v>
      </c>
      <c r="D30" s="54">
        <f>D29*2.2</f>
        <v>0</v>
      </c>
      <c r="E30" s="54">
        <f>E29*2</f>
        <v>0</v>
      </c>
      <c r="F30" s="185">
        <f>SUM(C30:E30)</f>
        <v>36</v>
      </c>
      <c r="G30" s="26"/>
      <c r="H30" s="26"/>
      <c r="I30" s="26"/>
      <c r="J30" s="26"/>
      <c r="K30" s="26"/>
      <c r="L30" s="26"/>
      <c r="M30" s="26"/>
      <c r="N30" s="26"/>
      <c r="O30" s="26" t="s">
        <v>298</v>
      </c>
      <c r="P30" s="26">
        <f>IF($C$21=$S$723,15%,15%*0.8)</f>
        <v>0.12</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3">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3">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3">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3">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3">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3">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3">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3">
      <c r="B39" s="26" t="s">
        <v>373</v>
      </c>
      <c r="C39" s="26">
        <f>IF($C$38="א-ו",J111,IF($C$38="ז-ח",J112,IF($C$38="חטיבת ביניים",J112-2.5%,#REF!)))</f>
        <v>0</v>
      </c>
      <c r="D39" s="26" t="s">
        <v>374</v>
      </c>
      <c r="E39" s="26"/>
      <c r="F39" s="26"/>
      <c r="G39" s="26"/>
      <c r="H39" s="26"/>
      <c r="I39" s="26">
        <v>3</v>
      </c>
      <c r="J39" s="26">
        <f>IF(C21=S723,1*L853,IF(C21=S724,0.75*L853,IF(C21=S725,0.6836*L853,0.5948*L853)))</f>
        <v>0.5948</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0</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439</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447</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452</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277</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58</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486</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70</v>
      </c>
      <c r="C169" s="26" t="s">
        <v>508</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509</v>
      </c>
      <c r="D170" s="26"/>
      <c r="E170" s="26"/>
      <c r="F170" s="26"/>
      <c r="G170" s="26">
        <v>9</v>
      </c>
      <c r="H170" s="26" t="s">
        <v>58</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510</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511</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58</v>
      </c>
      <c r="C173" s="26"/>
      <c r="D173" s="26"/>
      <c r="E173" s="26"/>
      <c r="F173" s="26" t="s">
        <v>197</v>
      </c>
      <c r="G173" s="26"/>
      <c r="H173" s="26" t="s">
        <v>512</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514</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515</v>
      </c>
      <c r="D177" s="26" t="s">
        <v>58</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516</v>
      </c>
      <c r="D178" s="26" t="s">
        <v>517</v>
      </c>
      <c r="E178" s="26"/>
      <c r="F178" s="26" t="s">
        <v>518</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476</v>
      </c>
      <c r="D179" s="26" t="s">
        <v>519</v>
      </c>
      <c r="E179" s="26"/>
      <c r="F179" s="26" t="s">
        <v>520</v>
      </c>
      <c r="G179" s="26" t="e">
        <f>#REF!</f>
        <v>#REF!</v>
      </c>
      <c r="H179" s="26"/>
      <c r="I179" s="26" t="s">
        <v>58</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521</v>
      </c>
      <c r="D180" s="26" t="s">
        <v>475</v>
      </c>
      <c r="E180" s="26"/>
      <c r="F180" s="26" t="s">
        <v>522</v>
      </c>
      <c r="G180" s="26">
        <f>G202</f>
        <v>52.87</v>
      </c>
      <c r="H180" s="26"/>
      <c r="I180" s="26" t="s">
        <v>58</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523</v>
      </c>
      <c r="D181" s="26" t="s">
        <v>524</v>
      </c>
      <c r="E181" s="26"/>
      <c r="F181" s="26"/>
      <c r="G181" s="26" t="s">
        <v>525</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528</v>
      </c>
      <c r="D183" s="26" t="s">
        <v>478</v>
      </c>
      <c r="E183" s="26"/>
      <c r="F183" s="26" t="e">
        <f>#REF!/#REF!*F187</f>
        <v>#REF!</v>
      </c>
      <c r="G183" s="26" t="s">
        <v>529</v>
      </c>
      <c r="H183" s="26"/>
      <c r="I183" s="26"/>
      <c r="J183" s="26" t="s">
        <v>58</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530</v>
      </c>
      <c r="D184" s="26"/>
      <c r="E184" s="26"/>
      <c r="F184" s="26" t="e">
        <f>#REF!/#REF!*F187</f>
        <v>#REF!</v>
      </c>
      <c r="G184" s="26" t="s">
        <v>531</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532</v>
      </c>
      <c r="E185" s="26"/>
      <c r="F185" s="26" t="e">
        <f>#REF!/#REF!*F187</f>
        <v>#REF!</v>
      </c>
      <c r="G185" s="26" t="s">
        <v>533</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534</v>
      </c>
      <c r="C186" s="26" t="str">
        <f>C5</f>
        <v>ב"א</v>
      </c>
      <c r="D186" s="26"/>
      <c r="E186" s="26"/>
      <c r="F186" s="26" t="e">
        <f>#REF!/#REF!*F187</f>
        <v>#REF!</v>
      </c>
      <c r="G186" s="26" t="s">
        <v>535</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558</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58</v>
      </c>
      <c r="C208" s="26" t="s">
        <v>559</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58</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544</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58</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560</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561</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65.760000000000005</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-5.7600000000000051</v>
      </c>
      <c r="P711" s="26" t="s">
        <v>95</v>
      </c>
      <c r="Q711" s="26">
        <f ca="1">Q710+O711</f>
        <v>-5.4000000000000048</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27.239999999999995</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53</v>
      </c>
      <c r="N738" s="26">
        <f ca="1">ROUND((I775-AT720)/365.25,2)</f>
        <v>13.25</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574</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-0.30936000000000019</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558</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4" zoomScale="85" zoomScaleNormal="85" workbookViewId="0">
      <selection activeCell="D4" sqref="D4"/>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51</v>
      </c>
      <c r="C1" s="23"/>
      <c r="D1" s="24"/>
      <c r="E1" s="24"/>
      <c r="F1" s="25"/>
      <c r="G1" s="26"/>
      <c r="H1" s="26" t="s">
        <v>52</v>
      </c>
      <c r="I1" s="26"/>
      <c r="J1" s="26"/>
      <c r="K1" s="26"/>
      <c r="L1" s="26"/>
      <c r="M1" s="26"/>
      <c r="N1" s="26"/>
      <c r="O1" s="26"/>
      <c r="P1" s="26">
        <f>N82</f>
        <v>6300.0034374999996</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58</v>
      </c>
      <c r="C2" s="28" t="s">
        <v>59</v>
      </c>
      <c r="D2" s="29"/>
      <c r="E2" s="29"/>
      <c r="F2" s="30" t="s">
        <v>60</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609</v>
      </c>
      <c r="C4" s="32"/>
      <c r="D4" s="205" t="s">
        <v>73</v>
      </c>
      <c r="E4" s="205"/>
      <c r="F4" s="205"/>
      <c r="G4" s="205"/>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1</v>
      </c>
      <c r="D6" s="36" t="s">
        <v>80</v>
      </c>
      <c r="E6" s="37"/>
      <c r="F6" s="40"/>
      <c r="G6" s="26"/>
      <c r="H6" s="26"/>
      <c r="I6" s="26"/>
      <c r="J6" s="26"/>
      <c r="K6" s="26"/>
      <c r="L6" s="26"/>
      <c r="M6" s="26"/>
      <c r="N6" s="26" t="s">
        <v>81</v>
      </c>
      <c r="O6" s="26" t="s">
        <v>82</v>
      </c>
      <c r="P6" s="26">
        <f>P4*C9</f>
        <v>29.674899999999997</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90</v>
      </c>
      <c r="C8" s="42">
        <v>1</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98</v>
      </c>
      <c r="C9" s="44">
        <v>0.01</v>
      </c>
      <c r="D9" s="208" t="s">
        <v>99</v>
      </c>
      <c r="E9" s="209"/>
      <c r="F9" s="26"/>
      <c r="G9" s="26"/>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3">
      <c r="B10" s="41" t="s">
        <v>109</v>
      </c>
      <c r="C10" s="188" t="e">
        <f>F14</f>
        <v>#N/A</v>
      </c>
      <c r="D10" s="45" t="s">
        <v>110</v>
      </c>
      <c r="E10" s="38"/>
      <c r="F10" s="26"/>
      <c r="G10" s="187" t="s">
        <v>606</v>
      </c>
      <c r="H10" s="26"/>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3">
      <c r="B11" s="46" t="s">
        <v>32</v>
      </c>
      <c r="C11" s="47">
        <v>0</v>
      </c>
      <c r="D11" s="208" t="s">
        <v>117</v>
      </c>
      <c r="E11" s="209"/>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3">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3">
      <c r="A13" s="48"/>
      <c r="B13" s="46" t="s">
        <v>5</v>
      </c>
      <c r="C13" s="47">
        <v>0</v>
      </c>
      <c r="D13" s="208" t="s">
        <v>117</v>
      </c>
      <c r="E13" s="209"/>
      <c r="F13" s="26"/>
      <c r="G13" s="26"/>
      <c r="H13" s="26"/>
      <c r="I13" s="26"/>
      <c r="J13" s="26"/>
      <c r="K13" s="26">
        <f>($I$7+$I$8+$I$10+$I$11+$I$9+500)*1.2%*($C$7)*C9</f>
        <v>0.52500000000000002</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8" t="s">
        <v>132</v>
      </c>
      <c r="E14" s="209"/>
      <c r="F14" s="26" t="e">
        <f>F16*(F15+1)</f>
        <v>#N/A</v>
      </c>
      <c r="G14" s="26"/>
      <c r="H14" s="26"/>
      <c r="I14" s="26"/>
      <c r="J14" s="26"/>
      <c r="K14" s="26">
        <f>($I$7+$I$8+$I$10+$I$11+$I$9+500)*1.2%*($C$8)*C9</f>
        <v>0.06</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3">
      <c r="B16" s="34" t="s">
        <v>147</v>
      </c>
      <c r="C16" s="39">
        <v>1</v>
      </c>
      <c r="D16" s="208" t="s">
        <v>148</v>
      </c>
      <c r="E16" s="209"/>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3">
      <c r="B17" s="41" t="str">
        <f>IF(C19=F18,"כיתות רגילות","כיתות חינוך מיוחד")</f>
        <v>כיתות רגילות</v>
      </c>
      <c r="C17" s="190">
        <f>IF(C19=F18,F25,F29)</f>
        <v>0</v>
      </c>
      <c r="D17" s="40" t="s">
        <v>154</v>
      </c>
      <c r="E17" s="38"/>
      <c r="F17" s="26"/>
      <c r="G17" s="26"/>
      <c r="H17" s="26"/>
      <c r="I17" s="26"/>
      <c r="J17" s="26"/>
      <c r="K17" s="26"/>
      <c r="L17" s="26"/>
      <c r="M17" s="26"/>
      <c r="N17" s="26"/>
      <c r="O17" s="26"/>
      <c r="P17" s="26" t="s">
        <v>155</v>
      </c>
      <c r="Q17" s="26">
        <v>0</v>
      </c>
      <c r="R17" s="26">
        <f>R10*1.2%*C8</f>
        <v>83.702039999999997</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3">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t="s">
        <v>179</v>
      </c>
      <c r="C20" s="35" t="s">
        <v>182</v>
      </c>
      <c r="D20" s="208" t="s">
        <v>194</v>
      </c>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t="s">
        <v>207</v>
      </c>
      <c r="C21" s="190" t="str">
        <f>G3</f>
        <v>מנהל אקדמאי קיים</v>
      </c>
      <c r="D21" s="212" t="s">
        <v>208</v>
      </c>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5">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4">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3">
      <c r="B25" s="57" t="s">
        <v>260</v>
      </c>
      <c r="C25" s="57">
        <v>0</v>
      </c>
      <c r="D25" s="57">
        <v>0</v>
      </c>
      <c r="E25" s="57">
        <v>0</v>
      </c>
      <c r="F25" s="58">
        <f>SUM(C25:E25)</f>
        <v>0</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3">
      <c r="B26" s="51" t="s">
        <v>268</v>
      </c>
      <c r="C26" s="54">
        <f>C25*1</f>
        <v>0</v>
      </c>
      <c r="D26" s="54">
        <f>D25*1.1</f>
        <v>0</v>
      </c>
      <c r="E26" s="54">
        <f>E25*2</f>
        <v>0</v>
      </c>
      <c r="F26" s="59">
        <f>SUM(C26:E26)</f>
        <v>0</v>
      </c>
      <c r="G26" s="26" t="s">
        <v>269</v>
      </c>
      <c r="H26" s="26"/>
      <c r="I26" s="26"/>
      <c r="J26" s="26"/>
      <c r="K26" s="26"/>
      <c r="L26" s="26"/>
      <c r="M26" s="26"/>
      <c r="N26" s="26"/>
      <c r="O26" s="26"/>
      <c r="P26" s="26"/>
      <c r="Q26" s="26" t="e">
        <f>SUM(Q10:Q25)</f>
        <v>#REF!</v>
      </c>
      <c r="R26" s="26">
        <f>SUM(R10:R24)*'[1]נתוני מס'!L22*(1+'[1]נתוני מס'!L23)</f>
        <v>370.72618239809862</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5">
      <c r="C27" s="60"/>
      <c r="D27" s="60" t="s">
        <v>181</v>
      </c>
      <c r="E27" s="60"/>
      <c r="G27" s="26"/>
      <c r="H27" s="26"/>
      <c r="I27" s="26"/>
      <c r="J27" s="26"/>
      <c r="K27" s="26"/>
      <c r="L27" s="26"/>
      <c r="M27" s="26"/>
      <c r="N27" s="26"/>
      <c r="O27" s="26"/>
      <c r="P27" s="26"/>
      <c r="Q27" s="26"/>
      <c r="R27" s="26">
        <f>SUM(R10:R26)</f>
        <v>8258.5172972512592</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4">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3">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3">
      <c r="B30" s="51" t="s">
        <v>268</v>
      </c>
      <c r="C30" s="51">
        <f>C29*2.4</f>
        <v>36</v>
      </c>
      <c r="D30" s="51">
        <f>D29*2.2</f>
        <v>0</v>
      </c>
      <c r="E30" s="51">
        <f>E29*2</f>
        <v>0</v>
      </c>
      <c r="F30" s="59">
        <f>SUM(C30:E30)</f>
        <v>36</v>
      </c>
      <c r="G30" s="26"/>
      <c r="H30" s="26"/>
      <c r="I30" s="26"/>
      <c r="J30" s="26"/>
      <c r="K30" s="26"/>
      <c r="L30" s="26"/>
      <c r="M30" s="26"/>
      <c r="N30" s="26"/>
      <c r="O30" s="26" t="s">
        <v>298</v>
      </c>
      <c r="P30" s="26">
        <f>IF($C$21=$S$723,15%,15%*0.8)</f>
        <v>0.15</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3">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3">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3">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3">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3">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3">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3">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3">
      <c r="B39" s="26" t="s">
        <v>373</v>
      </c>
      <c r="C39" s="26">
        <f>IF($C$38="א-ו",J111,IF($C$38="ז-ח",J112,IF($C$38="חטיבת ביניים",J112-2.5%,#REF!)))</f>
        <v>0</v>
      </c>
      <c r="D39" s="26" t="s">
        <v>374</v>
      </c>
      <c r="E39" s="26"/>
      <c r="F39" s="26"/>
      <c r="G39" s="26"/>
      <c r="H39" s="26"/>
      <c r="I39" s="26">
        <v>3</v>
      </c>
      <c r="J39" s="26">
        <f>IF(C21=S723,1*L853,IF(C21=S724,0.75*L853,IF(C21=S725,0.6836*L853,0.5948*L853)))</f>
        <v>1</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1</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0</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439</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447</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0</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0</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452</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277</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58</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486</v>
      </c>
      <c r="C144" s="26">
        <v>0.27</v>
      </c>
      <c r="D144" s="26">
        <v>0.37</v>
      </c>
      <c r="E144" s="26">
        <f>C144+12.5%</f>
        <v>0.39500000000000002</v>
      </c>
      <c r="F144" s="26">
        <f>IF(C14&gt;0,30*C9-3,30*C9)</f>
        <v>0.3</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70</v>
      </c>
      <c r="C169" s="26" t="s">
        <v>508</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509</v>
      </c>
      <c r="D170" s="26"/>
      <c r="E170" s="26"/>
      <c r="F170" s="26"/>
      <c r="G170" s="26">
        <v>9</v>
      </c>
      <c r="H170" s="26" t="s">
        <v>58</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510</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511</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58</v>
      </c>
      <c r="C173" s="26"/>
      <c r="D173" s="26"/>
      <c r="E173" s="26"/>
      <c r="F173" s="26" t="s">
        <v>197</v>
      </c>
      <c r="G173" s="26"/>
      <c r="H173" s="26" t="s">
        <v>512</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514</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515</v>
      </c>
      <c r="D177" s="26" t="s">
        <v>58</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516</v>
      </c>
      <c r="D178" s="26" t="s">
        <v>517</v>
      </c>
      <c r="E178" s="26"/>
      <c r="F178" s="26" t="s">
        <v>518</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476</v>
      </c>
      <c r="D179" s="26" t="s">
        <v>519</v>
      </c>
      <c r="E179" s="26"/>
      <c r="F179" s="26" t="s">
        <v>520</v>
      </c>
      <c r="G179" s="26" t="e">
        <f>#REF!</f>
        <v>#REF!</v>
      </c>
      <c r="H179" s="26"/>
      <c r="I179" s="26" t="s">
        <v>58</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521</v>
      </c>
      <c r="D180" s="26" t="s">
        <v>475</v>
      </c>
      <c r="E180" s="26"/>
      <c r="F180" s="26" t="s">
        <v>522</v>
      </c>
      <c r="G180" s="26">
        <f>G202</f>
        <v>52.87</v>
      </c>
      <c r="H180" s="26"/>
      <c r="I180" s="26" t="s">
        <v>58</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523</v>
      </c>
      <c r="D181" s="26" t="s">
        <v>524</v>
      </c>
      <c r="E181" s="26"/>
      <c r="F181" s="26"/>
      <c r="G181" s="26" t="s">
        <v>525</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528</v>
      </c>
      <c r="D183" s="26" t="s">
        <v>478</v>
      </c>
      <c r="E183" s="26"/>
      <c r="F183" s="26" t="e">
        <f>#REF!/#REF!*F187</f>
        <v>#REF!</v>
      </c>
      <c r="G183" s="26" t="s">
        <v>529</v>
      </c>
      <c r="H183" s="26"/>
      <c r="I183" s="26"/>
      <c r="J183" s="26" t="s">
        <v>58</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530</v>
      </c>
      <c r="D184" s="26"/>
      <c r="E184" s="26"/>
      <c r="F184" s="26" t="e">
        <f>#REF!/#REF!*F187</f>
        <v>#REF!</v>
      </c>
      <c r="G184" s="26" t="s">
        <v>531</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532</v>
      </c>
      <c r="E185" s="26"/>
      <c r="F185" s="26" t="e">
        <f>#REF!/#REF!*F187</f>
        <v>#REF!</v>
      </c>
      <c r="G185" s="26" t="s">
        <v>533</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534</v>
      </c>
      <c r="C186" s="26" t="str">
        <f>C5</f>
        <v>ב"א</v>
      </c>
      <c r="D186" s="26"/>
      <c r="E186" s="26"/>
      <c r="F186" s="26" t="e">
        <f>#REF!/#REF!*F187</f>
        <v>#REF!</v>
      </c>
      <c r="G186" s="26" t="s">
        <v>535</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558</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58</v>
      </c>
      <c r="C208" s="26" t="s">
        <v>559</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58</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544</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58</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560</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561</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65.760000000000005</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-5.7600000000000051</v>
      </c>
      <c r="P711" s="26" t="s">
        <v>95</v>
      </c>
      <c r="Q711" s="26">
        <f ca="1">Q710+O711</f>
        <v>-5.4000000000000048</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27.239999999999995</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53</v>
      </c>
      <c r="N738" s="26">
        <f ca="1">ROUND((I775-AT720)/365.25,2)</f>
        <v>13.25</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574</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-0.30936000000000019</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558</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p:lastModifiedBy>
  <cp:lastPrinted>2023-09-05T13:48:47Z</cp:lastPrinted>
  <dcterms:created xsi:type="dcterms:W3CDTF">2023-09-05T11:53:22Z</dcterms:created>
  <dcterms:modified xsi:type="dcterms:W3CDTF">2023-12-20T17:36:08Z</dcterms:modified>
</cp:coreProperties>
</file>