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I:\PROJECT\Sirkin 6\general\docs\permit_docs\שולחן עגול\1.100\"/>
    </mc:Choice>
  </mc:AlternateContent>
  <xr:revisionPtr revIDLastSave="0" documentId="13_ncr:1_{AF119F5A-C28F-495E-A236-20B6EF441659}" xr6:coauthVersionLast="47" xr6:coauthVersionMax="47" xr10:uidLastSave="{00000000-0000-0000-0000-000000000000}"/>
  <bookViews>
    <workbookView xWindow="28680" yWindow="-120" windowWidth="29040" windowHeight="15720" xr2:uid="{3DE0C393-E4AF-4AAE-AF14-5885BBCB6CD0}"/>
  </bookViews>
  <sheets>
    <sheet name="טבלת דירות" sheetId="1" r:id="rId1"/>
    <sheet name="טבלת עזר - חישוב דירות כולל ממד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T49" i="1" l="1"/>
  <c r="AK51" i="1"/>
  <c r="AT47" i="1"/>
  <c r="AK49" i="1"/>
  <c r="AK47" i="1"/>
  <c r="AB51" i="1"/>
  <c r="AB49" i="1"/>
  <c r="AB47" i="1"/>
  <c r="BA51" i="1"/>
  <c r="BN44" i="1"/>
  <c r="BM44" i="1"/>
  <c r="BP51" i="1"/>
  <c r="BP47" i="1"/>
  <c r="BP49" i="1"/>
  <c r="BG47" i="1"/>
  <c r="BR13" i="1"/>
  <c r="BR44" i="1" s="1"/>
  <c r="BQ13" i="1"/>
  <c r="BQ44" i="1" s="1"/>
  <c r="BP13" i="1"/>
  <c r="BP44" i="1" s="1"/>
  <c r="BL44" i="1"/>
  <c r="BJ44" i="1"/>
  <c r="BH44" i="1"/>
  <c r="AT51" i="1" l="1"/>
  <c r="AO8" i="1"/>
  <c r="Y7" i="1"/>
  <c r="BN14" i="1"/>
  <c r="BN15" i="1"/>
  <c r="BN16" i="1"/>
  <c r="BN17" i="1"/>
  <c r="BN18" i="1"/>
  <c r="BN19" i="1"/>
  <c r="BN20" i="1"/>
  <c r="BN21" i="1"/>
  <c r="BN22" i="1"/>
  <c r="BN23" i="1"/>
  <c r="BN24" i="1"/>
  <c r="BN25" i="1"/>
  <c r="BN26" i="1"/>
  <c r="BN27" i="1"/>
  <c r="BN28" i="1"/>
  <c r="BN29" i="1"/>
  <c r="BN30" i="1"/>
  <c r="BN31" i="1"/>
  <c r="BN32" i="1"/>
  <c r="BN33" i="1"/>
  <c r="BN34" i="1"/>
  <c r="BN35" i="1"/>
  <c r="BN36" i="1"/>
  <c r="BN37" i="1"/>
  <c r="BN38" i="1"/>
  <c r="BN39" i="1"/>
  <c r="BN40" i="1"/>
  <c r="BN41" i="1"/>
  <c r="BN42" i="1"/>
  <c r="BN13" i="1"/>
  <c r="BM14" i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38" i="1"/>
  <c r="BM39" i="1"/>
  <c r="BM40" i="1"/>
  <c r="BM41" i="1"/>
  <c r="BM42" i="1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O59" i="2"/>
  <c r="O60" i="2"/>
  <c r="O61" i="2"/>
  <c r="O62" i="2"/>
  <c r="O63" i="2"/>
  <c r="O64" i="2"/>
  <c r="O65" i="2"/>
  <c r="O66" i="2"/>
  <c r="O67" i="2"/>
  <c r="O68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42" i="2"/>
  <c r="N47" i="2"/>
  <c r="N48" i="2"/>
  <c r="N50" i="2"/>
  <c r="N63" i="2"/>
  <c r="N64" i="2"/>
  <c r="N68" i="2"/>
  <c r="N69" i="2"/>
  <c r="N70" i="2"/>
  <c r="N42" i="2"/>
  <c r="M63" i="2"/>
  <c r="M64" i="2"/>
  <c r="M65" i="2"/>
  <c r="M66" i="2"/>
  <c r="M67" i="2"/>
  <c r="M68" i="2"/>
  <c r="M69" i="2"/>
  <c r="M70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42" i="2"/>
  <c r="K43" i="2"/>
  <c r="K44" i="2"/>
  <c r="K45" i="2"/>
  <c r="K46" i="2"/>
  <c r="K47" i="2"/>
  <c r="J43" i="2"/>
  <c r="J44" i="2"/>
  <c r="J45" i="2"/>
  <c r="J46" i="2"/>
  <c r="J47" i="2"/>
  <c r="J48" i="2"/>
  <c r="J49" i="2"/>
  <c r="J42" i="2"/>
  <c r="I43" i="2"/>
  <c r="I44" i="2"/>
  <c r="I45" i="2"/>
  <c r="I46" i="2"/>
  <c r="I47" i="2"/>
  <c r="I48" i="2"/>
  <c r="I49" i="2"/>
  <c r="I42" i="2"/>
  <c r="H43" i="2"/>
  <c r="H44" i="2"/>
  <c r="H45" i="2"/>
  <c r="H46" i="2"/>
  <c r="H47" i="2"/>
  <c r="H48" i="2"/>
  <c r="H42" i="2"/>
  <c r="G43" i="2"/>
  <c r="G44" i="2"/>
  <c r="G45" i="2"/>
  <c r="G46" i="2"/>
  <c r="G47" i="2"/>
  <c r="G48" i="2"/>
  <c r="G42" i="2"/>
  <c r="F44" i="2"/>
  <c r="F45" i="2"/>
  <c r="F46" i="2"/>
  <c r="F47" i="2"/>
  <c r="F43" i="2"/>
  <c r="E43" i="2"/>
  <c r="E44" i="2"/>
  <c r="E45" i="2"/>
  <c r="E46" i="2"/>
  <c r="E47" i="2"/>
  <c r="E48" i="2"/>
  <c r="E49" i="2"/>
  <c r="D43" i="2"/>
  <c r="D44" i="2"/>
  <c r="D45" i="2"/>
  <c r="D46" i="2"/>
  <c r="D47" i="2"/>
  <c r="D48" i="2"/>
  <c r="D49" i="2"/>
  <c r="D42" i="2"/>
  <c r="F6" i="2"/>
  <c r="G6" i="2" s="1"/>
  <c r="C42" i="2" s="1"/>
  <c r="F7" i="2"/>
  <c r="F8" i="2"/>
  <c r="G8" i="2" s="1"/>
  <c r="C44" i="2" s="1"/>
  <c r="F9" i="2"/>
  <c r="G9" i="2" s="1"/>
  <c r="C45" i="2" s="1"/>
  <c r="F10" i="2"/>
  <c r="G10" i="2" s="1"/>
  <c r="C46" i="2" s="1"/>
  <c r="F11" i="2"/>
  <c r="G11" i="2" s="1"/>
  <c r="C47" i="2" s="1"/>
  <c r="F12" i="2"/>
  <c r="G12" i="2" s="1"/>
  <c r="C48" i="2" s="1"/>
  <c r="D13" i="2"/>
  <c r="AS34" i="2"/>
  <c r="AT34" i="2" s="1"/>
  <c r="AM34" i="2"/>
  <c r="AN34" i="2" s="1"/>
  <c r="AJ34" i="2"/>
  <c r="AK34" i="2" s="1"/>
  <c r="AG34" i="2"/>
  <c r="AH34" i="2" s="1"/>
  <c r="AS33" i="2"/>
  <c r="AT33" i="2" s="1"/>
  <c r="AM33" i="2"/>
  <c r="AN33" i="2" s="1"/>
  <c r="AJ33" i="2"/>
  <c r="AK33" i="2" s="1"/>
  <c r="AG33" i="2"/>
  <c r="AH33" i="2" s="1"/>
  <c r="AS30" i="2"/>
  <c r="AT30" i="2" s="1"/>
  <c r="AS31" i="2"/>
  <c r="AT31" i="2" s="1"/>
  <c r="AS32" i="2"/>
  <c r="AT32" i="2" s="1"/>
  <c r="AP30" i="2"/>
  <c r="AQ30" i="2" s="1"/>
  <c r="AP31" i="2"/>
  <c r="AQ31" i="2" s="1"/>
  <c r="AP32" i="2"/>
  <c r="AQ32" i="2" s="1"/>
  <c r="AM30" i="2"/>
  <c r="AN30" i="2" s="1"/>
  <c r="N66" i="2" s="1"/>
  <c r="AM31" i="2"/>
  <c r="AN31" i="2" s="1"/>
  <c r="N67" i="2" s="1"/>
  <c r="AM32" i="2"/>
  <c r="AN32" i="2" s="1"/>
  <c r="AJ30" i="2"/>
  <c r="AK30" i="2" s="1"/>
  <c r="AJ31" i="2"/>
  <c r="AK31" i="2" s="1"/>
  <c r="AJ32" i="2"/>
  <c r="AK32" i="2" s="1"/>
  <c r="AS8" i="2"/>
  <c r="AT8" i="2" s="1"/>
  <c r="AS9" i="2"/>
  <c r="AT9" i="2" s="1"/>
  <c r="AS10" i="2"/>
  <c r="AT10" i="2" s="1"/>
  <c r="AS11" i="2"/>
  <c r="AT11" i="2" s="1"/>
  <c r="AS12" i="2"/>
  <c r="AT12" i="2" s="1"/>
  <c r="AS13" i="2"/>
  <c r="AT13" i="2" s="1"/>
  <c r="AS14" i="2"/>
  <c r="AT14" i="2" s="1"/>
  <c r="AS15" i="2"/>
  <c r="AT15" i="2" s="1"/>
  <c r="AS16" i="2"/>
  <c r="AT16" i="2" s="1"/>
  <c r="AS17" i="2"/>
  <c r="AT17" i="2" s="1"/>
  <c r="AS18" i="2"/>
  <c r="AT18" i="2" s="1"/>
  <c r="AS19" i="2"/>
  <c r="AT19" i="2" s="1"/>
  <c r="AS20" i="2"/>
  <c r="AT20" i="2" s="1"/>
  <c r="AS21" i="2"/>
  <c r="AT21" i="2" s="1"/>
  <c r="AS22" i="2"/>
  <c r="AT22" i="2" s="1"/>
  <c r="AS23" i="2"/>
  <c r="AT23" i="2" s="1"/>
  <c r="AS24" i="2"/>
  <c r="AT24" i="2" s="1"/>
  <c r="AS25" i="2"/>
  <c r="AT25" i="2" s="1"/>
  <c r="AS26" i="2"/>
  <c r="AT26" i="2" s="1"/>
  <c r="AS27" i="2"/>
  <c r="AT27" i="2" s="1"/>
  <c r="AS28" i="2"/>
  <c r="AT28" i="2" s="1"/>
  <c r="AS29" i="2"/>
  <c r="AT29" i="2" s="1"/>
  <c r="AS7" i="2"/>
  <c r="AT7" i="2" s="1"/>
  <c r="AP8" i="2"/>
  <c r="AQ8" i="2" s="1"/>
  <c r="AP9" i="2"/>
  <c r="AQ9" i="2" s="1"/>
  <c r="AP10" i="2"/>
  <c r="AQ10" i="2" s="1"/>
  <c r="AP11" i="2"/>
  <c r="AQ11" i="2" s="1"/>
  <c r="AP12" i="2"/>
  <c r="AQ12" i="2" s="1"/>
  <c r="AP13" i="2"/>
  <c r="AQ13" i="2" s="1"/>
  <c r="AP14" i="2"/>
  <c r="AQ14" i="2" s="1"/>
  <c r="AP15" i="2"/>
  <c r="AQ15" i="2" s="1"/>
  <c r="AP16" i="2"/>
  <c r="AQ16" i="2" s="1"/>
  <c r="AP17" i="2"/>
  <c r="AQ17" i="2" s="1"/>
  <c r="AP18" i="2"/>
  <c r="AQ18" i="2" s="1"/>
  <c r="AP19" i="2"/>
  <c r="AQ19" i="2" s="1"/>
  <c r="AP20" i="2"/>
  <c r="AQ20" i="2" s="1"/>
  <c r="AP21" i="2"/>
  <c r="AQ21" i="2" s="1"/>
  <c r="AP22" i="2"/>
  <c r="AQ22" i="2" s="1"/>
  <c r="AP23" i="2"/>
  <c r="AQ23" i="2" s="1"/>
  <c r="AP24" i="2"/>
  <c r="AQ24" i="2" s="1"/>
  <c r="AP25" i="2"/>
  <c r="AQ25" i="2" s="1"/>
  <c r="AP26" i="2"/>
  <c r="AQ26" i="2" s="1"/>
  <c r="AP27" i="2"/>
  <c r="AQ27" i="2" s="1"/>
  <c r="AP28" i="2"/>
  <c r="AQ28" i="2" s="1"/>
  <c r="AP29" i="2"/>
  <c r="AQ29" i="2" s="1"/>
  <c r="AP7" i="2"/>
  <c r="AQ7" i="2" s="1"/>
  <c r="AM8" i="2"/>
  <c r="AN8" i="2" s="1"/>
  <c r="N44" i="2" s="1"/>
  <c r="AM9" i="2"/>
  <c r="AN9" i="2" s="1"/>
  <c r="N45" i="2" s="1"/>
  <c r="AM10" i="2"/>
  <c r="AN10" i="2" s="1"/>
  <c r="N46" i="2" s="1"/>
  <c r="AM11" i="2"/>
  <c r="AN11" i="2" s="1"/>
  <c r="AM12" i="2"/>
  <c r="AN12" i="2" s="1"/>
  <c r="AM13" i="2"/>
  <c r="AN13" i="2" s="1"/>
  <c r="N49" i="2" s="1"/>
  <c r="AM14" i="2"/>
  <c r="AN14" i="2" s="1"/>
  <c r="AM15" i="2"/>
  <c r="AN15" i="2" s="1"/>
  <c r="N51" i="2" s="1"/>
  <c r="AM16" i="2"/>
  <c r="AN16" i="2" s="1"/>
  <c r="N52" i="2" s="1"/>
  <c r="AM17" i="2"/>
  <c r="AN17" i="2" s="1"/>
  <c r="N53" i="2" s="1"/>
  <c r="AM18" i="2"/>
  <c r="AN18" i="2" s="1"/>
  <c r="N54" i="2" s="1"/>
  <c r="AM19" i="2"/>
  <c r="AN19" i="2" s="1"/>
  <c r="N55" i="2" s="1"/>
  <c r="AM20" i="2"/>
  <c r="AN20" i="2" s="1"/>
  <c r="N56" i="2" s="1"/>
  <c r="AM21" i="2"/>
  <c r="AN21" i="2" s="1"/>
  <c r="N57" i="2" s="1"/>
  <c r="AM22" i="2"/>
  <c r="AN22" i="2" s="1"/>
  <c r="N58" i="2" s="1"/>
  <c r="AM23" i="2"/>
  <c r="AN23" i="2" s="1"/>
  <c r="N59" i="2" s="1"/>
  <c r="AM24" i="2"/>
  <c r="AN24" i="2" s="1"/>
  <c r="N60" i="2" s="1"/>
  <c r="AM25" i="2"/>
  <c r="AN25" i="2" s="1"/>
  <c r="N61" i="2" s="1"/>
  <c r="AM26" i="2"/>
  <c r="AN26" i="2" s="1"/>
  <c r="N62" i="2" s="1"/>
  <c r="AM27" i="2"/>
  <c r="AN27" i="2" s="1"/>
  <c r="AM28" i="2"/>
  <c r="AN28" i="2" s="1"/>
  <c r="AM29" i="2"/>
  <c r="AN29" i="2" s="1"/>
  <c r="N65" i="2" s="1"/>
  <c r="AM7" i="2"/>
  <c r="AN7" i="2" s="1"/>
  <c r="N43" i="2" s="1"/>
  <c r="AJ7" i="2"/>
  <c r="AK7" i="2" s="1"/>
  <c r="AJ8" i="2"/>
  <c r="AK8" i="2" s="1"/>
  <c r="AJ9" i="2"/>
  <c r="AK9" i="2" s="1"/>
  <c r="AJ10" i="2"/>
  <c r="AK10" i="2" s="1"/>
  <c r="AJ11" i="2"/>
  <c r="AK11" i="2" s="1"/>
  <c r="AJ12" i="2"/>
  <c r="AK12" i="2" s="1"/>
  <c r="AJ13" i="2"/>
  <c r="AK13" i="2" s="1"/>
  <c r="AJ14" i="2"/>
  <c r="AK14" i="2" s="1"/>
  <c r="AJ15" i="2"/>
  <c r="AK15" i="2" s="1"/>
  <c r="AJ16" i="2"/>
  <c r="AK16" i="2" s="1"/>
  <c r="AJ17" i="2"/>
  <c r="AK17" i="2" s="1"/>
  <c r="AJ18" i="2"/>
  <c r="AK18" i="2" s="1"/>
  <c r="AJ19" i="2"/>
  <c r="AK19" i="2" s="1"/>
  <c r="AJ20" i="2"/>
  <c r="AK20" i="2" s="1"/>
  <c r="AJ21" i="2"/>
  <c r="AK21" i="2" s="1"/>
  <c r="AJ22" i="2"/>
  <c r="AK22" i="2" s="1"/>
  <c r="AJ23" i="2"/>
  <c r="AK23" i="2" s="1"/>
  <c r="AJ24" i="2"/>
  <c r="AK24" i="2" s="1"/>
  <c r="AJ25" i="2"/>
  <c r="AK25" i="2" s="1"/>
  <c r="AJ26" i="2"/>
  <c r="AK26" i="2" s="1"/>
  <c r="AJ27" i="2"/>
  <c r="AK27" i="2" s="1"/>
  <c r="AJ28" i="2"/>
  <c r="AK28" i="2" s="1"/>
  <c r="AJ29" i="2"/>
  <c r="AK29" i="2" s="1"/>
  <c r="AG7" i="2"/>
  <c r="AH7" i="2" s="1"/>
  <c r="AG8" i="2"/>
  <c r="AH8" i="2" s="1"/>
  <c r="AG9" i="2"/>
  <c r="AH9" i="2" s="1"/>
  <c r="AG10" i="2"/>
  <c r="AH10" i="2" s="1"/>
  <c r="AG11" i="2"/>
  <c r="AH11" i="2" s="1"/>
  <c r="AG12" i="2"/>
  <c r="AH12" i="2" s="1"/>
  <c r="AG13" i="2"/>
  <c r="AH13" i="2" s="1"/>
  <c r="AG14" i="2"/>
  <c r="AH14" i="2" s="1"/>
  <c r="AG15" i="2"/>
  <c r="AH15" i="2" s="1"/>
  <c r="AG16" i="2"/>
  <c r="AH16" i="2" s="1"/>
  <c r="AG17" i="2"/>
  <c r="AH17" i="2" s="1"/>
  <c r="AG18" i="2"/>
  <c r="AH18" i="2" s="1"/>
  <c r="AG19" i="2"/>
  <c r="AH19" i="2" s="1"/>
  <c r="AG20" i="2"/>
  <c r="AH20" i="2" s="1"/>
  <c r="AG21" i="2"/>
  <c r="AH21" i="2" s="1"/>
  <c r="AG22" i="2"/>
  <c r="AH22" i="2" s="1"/>
  <c r="AG23" i="2"/>
  <c r="AH23" i="2" s="1"/>
  <c r="AG24" i="2"/>
  <c r="AH24" i="2" s="1"/>
  <c r="AG25" i="2"/>
  <c r="AH25" i="2" s="1"/>
  <c r="AG26" i="2"/>
  <c r="AH26" i="2" s="1"/>
  <c r="AG27" i="2"/>
  <c r="AH27" i="2" s="1"/>
  <c r="AG28" i="2"/>
  <c r="AH28" i="2" s="1"/>
  <c r="AG29" i="2"/>
  <c r="AH29" i="2" s="1"/>
  <c r="AG30" i="2"/>
  <c r="AH30" i="2" s="1"/>
  <c r="AG31" i="2"/>
  <c r="AH31" i="2" s="1"/>
  <c r="AG32" i="2"/>
  <c r="AH32" i="2" s="1"/>
  <c r="AJ6" i="2"/>
  <c r="AK6" i="2" s="1"/>
  <c r="AG6" i="2"/>
  <c r="AH6" i="2" s="1"/>
  <c r="AA13" i="2"/>
  <c r="AB13" i="2" s="1"/>
  <c r="X13" i="2"/>
  <c r="Y13" i="2" s="1"/>
  <c r="AA12" i="2"/>
  <c r="AB12" i="2" s="1"/>
  <c r="X12" i="2"/>
  <c r="Y12" i="2" s="1"/>
  <c r="U12" i="2"/>
  <c r="V12" i="2" s="1"/>
  <c r="R12" i="2"/>
  <c r="S12" i="2" s="1"/>
  <c r="AD11" i="2"/>
  <c r="AE11" i="2" s="1"/>
  <c r="AA11" i="2"/>
  <c r="AB11" i="2" s="1"/>
  <c r="X11" i="2"/>
  <c r="Y11" i="2" s="1"/>
  <c r="U11" i="2"/>
  <c r="V11" i="2" s="1"/>
  <c r="R11" i="2"/>
  <c r="S11" i="2" s="1"/>
  <c r="AD8" i="2"/>
  <c r="AE8" i="2" s="1"/>
  <c r="AD9" i="2"/>
  <c r="AE9" i="2" s="1"/>
  <c r="AD10" i="2"/>
  <c r="AE10" i="2" s="1"/>
  <c r="AD7" i="2"/>
  <c r="AE7" i="2" s="1"/>
  <c r="AA10" i="2"/>
  <c r="AB10" i="2" s="1"/>
  <c r="AA7" i="2"/>
  <c r="AB7" i="2" s="1"/>
  <c r="AA8" i="2"/>
  <c r="AB8" i="2" s="1"/>
  <c r="AA9" i="2"/>
  <c r="AB9" i="2" s="1"/>
  <c r="X8" i="2"/>
  <c r="Y8" i="2" s="1"/>
  <c r="X9" i="2"/>
  <c r="Y9" i="2" s="1"/>
  <c r="X10" i="2"/>
  <c r="Y10" i="2" s="1"/>
  <c r="X7" i="2"/>
  <c r="Y7" i="2" s="1"/>
  <c r="U8" i="2"/>
  <c r="V8" i="2" s="1"/>
  <c r="U9" i="2"/>
  <c r="V9" i="2" s="1"/>
  <c r="U10" i="2"/>
  <c r="V10" i="2" s="1"/>
  <c r="U7" i="2"/>
  <c r="V7" i="2" s="1"/>
  <c r="U6" i="2"/>
  <c r="V6" i="2" s="1"/>
  <c r="R7" i="2"/>
  <c r="S7" i="2" s="1"/>
  <c r="R8" i="2"/>
  <c r="S8" i="2" s="1"/>
  <c r="R9" i="2"/>
  <c r="S9" i="2" s="1"/>
  <c r="R10" i="2"/>
  <c r="S10" i="2" s="1"/>
  <c r="R6" i="2"/>
  <c r="S6" i="2" s="1"/>
  <c r="I13" i="2"/>
  <c r="J13" i="2" s="1"/>
  <c r="L13" i="2"/>
  <c r="M13" i="2" s="1"/>
  <c r="L12" i="2"/>
  <c r="M12" i="2" s="1"/>
  <c r="I12" i="2"/>
  <c r="J12" i="2" s="1"/>
  <c r="G7" i="2"/>
  <c r="C43" i="2" s="1"/>
  <c r="C7" i="2"/>
  <c r="D7" i="2" s="1"/>
  <c r="B43" i="2" s="1"/>
  <c r="C8" i="2"/>
  <c r="D8" i="2" s="1"/>
  <c r="B44" i="2" s="1"/>
  <c r="C9" i="2"/>
  <c r="D9" i="2" s="1"/>
  <c r="B45" i="2" s="1"/>
  <c r="C10" i="2"/>
  <c r="D10" i="2" s="1"/>
  <c r="B46" i="2" s="1"/>
  <c r="C11" i="2"/>
  <c r="D11" i="2" s="1"/>
  <c r="B47" i="2" s="1"/>
  <c r="C6" i="2"/>
  <c r="D6" i="2" s="1"/>
  <c r="B42" i="2" s="1"/>
  <c r="C12" i="2"/>
  <c r="D12" i="2" s="1"/>
  <c r="B48" i="2" s="1"/>
  <c r="O11" i="2"/>
  <c r="P11" i="2" s="1"/>
  <c r="L11" i="2"/>
  <c r="M11" i="2" s="1"/>
  <c r="I11" i="2"/>
  <c r="J11" i="2" s="1"/>
  <c r="O8" i="2"/>
  <c r="P8" i="2" s="1"/>
  <c r="O9" i="2"/>
  <c r="P9" i="2" s="1"/>
  <c r="O10" i="2"/>
  <c r="P10" i="2" s="1"/>
  <c r="L8" i="2"/>
  <c r="M8" i="2" s="1"/>
  <c r="L9" i="2"/>
  <c r="M9" i="2" s="1"/>
  <c r="L10" i="2"/>
  <c r="M10" i="2" s="1"/>
  <c r="O7" i="2"/>
  <c r="P7" i="2" s="1"/>
  <c r="L7" i="2"/>
  <c r="M7" i="2" s="1"/>
  <c r="I8" i="2"/>
  <c r="J8" i="2" s="1"/>
  <c r="I9" i="2"/>
  <c r="J9" i="2" s="1"/>
  <c r="I10" i="2"/>
  <c r="J10" i="2" s="1"/>
  <c r="I7" i="2"/>
  <c r="J7" i="2" s="1"/>
  <c r="L6" i="2"/>
  <c r="M6" i="2" s="1"/>
  <c r="E42" i="2" s="1"/>
  <c r="I6" i="2"/>
  <c r="J6" i="2" s="1"/>
  <c r="AA6" i="2"/>
  <c r="AB6" i="2" s="1"/>
  <c r="X6" i="2"/>
  <c r="Y6" i="2" s="1"/>
  <c r="P6" i="2"/>
  <c r="AP6" i="2"/>
  <c r="AQ6" i="2" s="1"/>
  <c r="AM6" i="2"/>
  <c r="AN6" i="2" s="1"/>
  <c r="AT6" i="2"/>
  <c r="AE6" i="2"/>
  <c r="G13" i="2"/>
  <c r="J58" i="1" l="1"/>
  <c r="J64" i="1"/>
  <c r="J61" i="1"/>
  <c r="W14" i="1"/>
  <c r="W15" i="1"/>
  <c r="W16" i="1"/>
  <c r="W17" i="1"/>
  <c r="W18" i="1"/>
  <c r="W19" i="1"/>
  <c r="BI13" i="1"/>
  <c r="BI44" i="1" s="1"/>
  <c r="BG13" i="1"/>
  <c r="BG44" i="1" s="1"/>
  <c r="BK13" i="1"/>
  <c r="BK44" i="1" s="1"/>
  <c r="AV13" i="1"/>
  <c r="AM13" i="1"/>
  <c r="AD13" i="1"/>
  <c r="AQ13" i="1"/>
  <c r="AH13" i="1"/>
  <c r="Y13" i="1"/>
  <c r="AO13" i="1"/>
  <c r="AF13" i="1"/>
  <c r="U13" i="1"/>
  <c r="G13" i="1"/>
  <c r="B44" i="1" s="1"/>
  <c r="M13" i="1"/>
  <c r="H44" i="1" s="1"/>
  <c r="S13" i="1"/>
  <c r="N44" i="1" s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BM13" i="1" l="1"/>
  <c r="AY13" i="1"/>
  <c r="AP13" i="1"/>
  <c r="AG13" i="1"/>
  <c r="J67" i="1"/>
  <c r="BG49" i="1"/>
  <c r="BE40" i="1"/>
  <c r="BE41" i="1"/>
  <c r="BE42" i="1"/>
  <c r="BE13" i="1"/>
  <c r="BE6" i="1"/>
  <c r="BE7" i="1"/>
  <c r="BE8" i="1"/>
  <c r="BE5" i="1"/>
  <c r="AP42" i="1"/>
  <c r="AZ6" i="1"/>
  <c r="AZ7" i="1"/>
  <c r="AZ8" i="1"/>
  <c r="AZ5" i="1"/>
  <c r="BA49" i="1"/>
  <c r="BA43" i="1"/>
  <c r="BE43" i="1" s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21" i="1"/>
  <c r="BA20" i="1"/>
  <c r="BA19" i="1"/>
  <c r="BA15" i="1"/>
  <c r="BA16" i="1"/>
  <c r="BA17" i="1"/>
  <c r="BA18" i="1"/>
  <c r="BA14" i="1"/>
  <c r="W49" i="1"/>
  <c r="W39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21" i="1"/>
  <c r="W20" i="1"/>
  <c r="AY42" i="1"/>
  <c r="T8" i="1"/>
  <c r="D7" i="1"/>
  <c r="T7" i="1" s="1"/>
  <c r="T13" i="1"/>
  <c r="V13" i="1" s="1"/>
  <c r="AP43" i="1"/>
  <c r="AG43" i="1"/>
  <c r="AG42" i="1"/>
  <c r="AQ41" i="1"/>
  <c r="AY41" i="1" s="1"/>
  <c r="T41" i="1"/>
  <c r="V41" i="1" s="1"/>
  <c r="AY43" i="1"/>
  <c r="AQ40" i="1"/>
  <c r="AY40" i="1" s="1"/>
  <c r="AQ21" i="1"/>
  <c r="AY21" i="1" s="1"/>
  <c r="AQ22" i="1"/>
  <c r="AY22" i="1" s="1"/>
  <c r="AQ23" i="1"/>
  <c r="AY23" i="1" s="1"/>
  <c r="AQ24" i="1"/>
  <c r="AY24" i="1" s="1"/>
  <c r="AQ25" i="1"/>
  <c r="AY25" i="1" s="1"/>
  <c r="AQ26" i="1"/>
  <c r="AY26" i="1" s="1"/>
  <c r="AQ27" i="1"/>
  <c r="AY27" i="1" s="1"/>
  <c r="AQ28" i="1"/>
  <c r="AY28" i="1" s="1"/>
  <c r="AQ29" i="1"/>
  <c r="AY29" i="1" s="1"/>
  <c r="AQ30" i="1"/>
  <c r="AY30" i="1" s="1"/>
  <c r="AQ31" i="1"/>
  <c r="AY31" i="1" s="1"/>
  <c r="AQ32" i="1"/>
  <c r="AY32" i="1" s="1"/>
  <c r="AQ33" i="1"/>
  <c r="AY33" i="1" s="1"/>
  <c r="AQ34" i="1"/>
  <c r="AY34" i="1" s="1"/>
  <c r="AQ35" i="1"/>
  <c r="AY35" i="1" s="1"/>
  <c r="AQ36" i="1"/>
  <c r="AY36" i="1" s="1"/>
  <c r="AQ37" i="1"/>
  <c r="AY37" i="1" s="1"/>
  <c r="AQ38" i="1"/>
  <c r="AY38" i="1" s="1"/>
  <c r="AQ39" i="1"/>
  <c r="AY39" i="1" s="1"/>
  <c r="Y20" i="1"/>
  <c r="AG20" i="1" s="1"/>
  <c r="AH20" i="1"/>
  <c r="AP20" i="1" s="1"/>
  <c r="AQ20" i="1"/>
  <c r="AY20" i="1" s="1"/>
  <c r="Y19" i="1"/>
  <c r="AG19" i="1" s="1"/>
  <c r="AH19" i="1"/>
  <c r="AP19" i="1" s="1"/>
  <c r="AQ19" i="1"/>
  <c r="AY19" i="1" s="1"/>
  <c r="AQ18" i="1"/>
  <c r="AY18" i="1" s="1"/>
  <c r="Y18" i="1"/>
  <c r="AG18" i="1" s="1"/>
  <c r="AH18" i="1"/>
  <c r="AP18" i="1" s="1"/>
  <c r="Y17" i="1"/>
  <c r="AG17" i="1" s="1"/>
  <c r="AH17" i="1"/>
  <c r="AP17" i="1" s="1"/>
  <c r="AQ17" i="1"/>
  <c r="AY17" i="1" s="1"/>
  <c r="Y16" i="1"/>
  <c r="AG16" i="1" s="1"/>
  <c r="AH16" i="1"/>
  <c r="AP16" i="1" s="1"/>
  <c r="AQ16" i="1"/>
  <c r="AY16" i="1" s="1"/>
  <c r="Y15" i="1"/>
  <c r="AG15" i="1" s="1"/>
  <c r="AH15" i="1"/>
  <c r="AP15" i="1" s="1"/>
  <c r="AQ15" i="1"/>
  <c r="AY15" i="1" s="1"/>
  <c r="Y14" i="1"/>
  <c r="AG14" i="1" s="1"/>
  <c r="AH14" i="1"/>
  <c r="AP14" i="1" s="1"/>
  <c r="AQ14" i="1"/>
  <c r="T31" i="1"/>
  <c r="V31" i="1" s="1"/>
  <c r="T15" i="1"/>
  <c r="V15" i="1" s="1"/>
  <c r="T16" i="1"/>
  <c r="V16" i="1" s="1"/>
  <c r="T17" i="1"/>
  <c r="V17" i="1" s="1"/>
  <c r="T18" i="1"/>
  <c r="V18" i="1" s="1"/>
  <c r="T19" i="1"/>
  <c r="V19" i="1" s="1"/>
  <c r="T20" i="1"/>
  <c r="V20" i="1" s="1"/>
  <c r="T21" i="1"/>
  <c r="V21" i="1" s="1"/>
  <c r="T22" i="1"/>
  <c r="V22" i="1" s="1"/>
  <c r="T23" i="1"/>
  <c r="V23" i="1" s="1"/>
  <c r="T24" i="1"/>
  <c r="V24" i="1" s="1"/>
  <c r="T25" i="1"/>
  <c r="V25" i="1" s="1"/>
  <c r="T26" i="1"/>
  <c r="V26" i="1" s="1"/>
  <c r="T27" i="1"/>
  <c r="V27" i="1" s="1"/>
  <c r="T28" i="1"/>
  <c r="V28" i="1" s="1"/>
  <c r="T29" i="1"/>
  <c r="V29" i="1" s="1"/>
  <c r="T30" i="1"/>
  <c r="V30" i="1" s="1"/>
  <c r="T32" i="1"/>
  <c r="V32" i="1" s="1"/>
  <c r="T33" i="1"/>
  <c r="V33" i="1" s="1"/>
  <c r="T34" i="1"/>
  <c r="V34" i="1" s="1"/>
  <c r="T35" i="1"/>
  <c r="V35" i="1" s="1"/>
  <c r="T36" i="1"/>
  <c r="V36" i="1" s="1"/>
  <c r="T37" i="1"/>
  <c r="V37" i="1" s="1"/>
  <c r="T38" i="1"/>
  <c r="V38" i="1" s="1"/>
  <c r="T39" i="1"/>
  <c r="V39" i="1" s="1"/>
  <c r="T40" i="1"/>
  <c r="V40" i="1" s="1"/>
  <c r="T14" i="1"/>
  <c r="V14" i="1" s="1"/>
  <c r="Y44" i="1" l="1"/>
  <c r="AH44" i="1"/>
  <c r="AZ26" i="1"/>
  <c r="BC26" i="1" s="1"/>
  <c r="AZ32" i="1"/>
  <c r="BC32" i="1" s="1"/>
  <c r="AZ23" i="1"/>
  <c r="BC23" i="1" s="1"/>
  <c r="AZ22" i="1"/>
  <c r="AZ21" i="1"/>
  <c r="BC21" i="1" s="1"/>
  <c r="AZ36" i="1"/>
  <c r="BC36" i="1" s="1"/>
  <c r="AZ28" i="1"/>
  <c r="BC28" i="1" s="1"/>
  <c r="AZ40" i="1"/>
  <c r="BC40" i="1" s="1"/>
  <c r="AZ34" i="1"/>
  <c r="BC34" i="1" s="1"/>
  <c r="AZ39" i="1"/>
  <c r="AZ38" i="1"/>
  <c r="BC38" i="1" s="1"/>
  <c r="AZ37" i="1"/>
  <c r="BC37" i="1" s="1"/>
  <c r="AZ29" i="1"/>
  <c r="AZ35" i="1"/>
  <c r="BC35" i="1" s="1"/>
  <c r="AZ27" i="1"/>
  <c r="BC27" i="1" s="1"/>
  <c r="AZ33" i="1"/>
  <c r="AZ25" i="1"/>
  <c r="BC25" i="1" s="1"/>
  <c r="AZ41" i="1"/>
  <c r="BC41" i="1" s="1"/>
  <c r="AZ24" i="1"/>
  <c r="BC24" i="1" s="1"/>
  <c r="AZ31" i="1"/>
  <c r="BC31" i="1" s="1"/>
  <c r="AZ30" i="1"/>
  <c r="BC30" i="1" s="1"/>
  <c r="AZ15" i="1"/>
  <c r="AZ43" i="1"/>
  <c r="BC43" i="1" s="1"/>
  <c r="AZ19" i="1"/>
  <c r="AZ16" i="1"/>
  <c r="AZ18" i="1"/>
  <c r="AZ17" i="1"/>
  <c r="AZ20" i="1"/>
  <c r="AZ42" i="1"/>
  <c r="BC42" i="1" s="1"/>
  <c r="AZ13" i="1"/>
  <c r="BC13" i="1" s="1"/>
  <c r="H58" i="1"/>
  <c r="H64" i="1"/>
  <c r="H61" i="1"/>
  <c r="BG51" i="1"/>
  <c r="BE31" i="1"/>
  <c r="BE20" i="1"/>
  <c r="BE39" i="1"/>
  <c r="BE28" i="1"/>
  <c r="BE27" i="1"/>
  <c r="BE38" i="1"/>
  <c r="BE37" i="1"/>
  <c r="BE36" i="1"/>
  <c r="BE35" i="1"/>
  <c r="BE33" i="1"/>
  <c r="BE15" i="1"/>
  <c r="BE23" i="1"/>
  <c r="BE32" i="1"/>
  <c r="BE30" i="1"/>
  <c r="BC8" i="1"/>
  <c r="BE29" i="1"/>
  <c r="BC7" i="1"/>
  <c r="BE34" i="1"/>
  <c r="BE49" i="1"/>
  <c r="BE22" i="1"/>
  <c r="BE21" i="1"/>
  <c r="BE14" i="1"/>
  <c r="BE19" i="1"/>
  <c r="BE18" i="1"/>
  <c r="BE26" i="1"/>
  <c r="BE17" i="1"/>
  <c r="BE25" i="1"/>
  <c r="BE16" i="1"/>
  <c r="BE24" i="1"/>
  <c r="BA47" i="1"/>
  <c r="W47" i="1"/>
  <c r="W51" i="1" s="1"/>
  <c r="AY14" i="1"/>
  <c r="AQ44" i="1" s="1"/>
  <c r="BC22" i="1"/>
  <c r="BC29" i="1" l="1"/>
  <c r="BC39" i="1"/>
  <c r="AZ14" i="1"/>
  <c r="BC33" i="1"/>
  <c r="H67" i="1"/>
  <c r="BE47" i="1"/>
  <c r="BE51" i="1" s="1"/>
  <c r="BC14" i="1"/>
  <c r="BC18" i="1"/>
  <c r="BC16" i="1"/>
  <c r="BC20" i="1"/>
  <c r="BC19" i="1"/>
  <c r="BC17" i="1"/>
  <c r="BC15" i="1"/>
  <c r="B47" i="1"/>
  <c r="BC47" i="1" l="1"/>
  <c r="T5" i="1"/>
  <c r="BC5" i="1" l="1"/>
  <c r="T6" i="1"/>
  <c r="BC6" i="1" s="1"/>
  <c r="BC49" i="1" l="1"/>
  <c r="BC51" i="1" s="1"/>
  <c r="B49" i="1"/>
  <c r="B51" i="1" s="1"/>
</calcChain>
</file>

<file path=xl/sharedStrings.xml><?xml version="1.0" encoding="utf-8"?>
<sst xmlns="http://schemas.openxmlformats.org/spreadsheetml/2006/main" count="303" uniqueCount="83">
  <si>
    <t>השימושים העיקריים (מ"ר)</t>
  </si>
  <si>
    <t>דירה</t>
  </si>
  <si>
    <t>מרתף 3</t>
  </si>
  <si>
    <t>מרתף 2</t>
  </si>
  <si>
    <t>מרתף 1</t>
  </si>
  <si>
    <t>קומת קרקע</t>
  </si>
  <si>
    <t>קומה 1</t>
  </si>
  <si>
    <t>קומה 2</t>
  </si>
  <si>
    <t>קומה 3</t>
  </si>
  <si>
    <t>קומה 4</t>
  </si>
  <si>
    <t>קומה 5</t>
  </si>
  <si>
    <t>קומה 6</t>
  </si>
  <si>
    <t>קומה 7</t>
  </si>
  <si>
    <t>קומה 8</t>
  </si>
  <si>
    <t>קומה 9</t>
  </si>
  <si>
    <t>קומה 10</t>
  </si>
  <si>
    <t>קומה 11</t>
  </si>
  <si>
    <t>קומה 12</t>
  </si>
  <si>
    <t>קומה 13</t>
  </si>
  <si>
    <t>קומה 14</t>
  </si>
  <si>
    <t>קומה 15</t>
  </si>
  <si>
    <t>קומה 16</t>
  </si>
  <si>
    <t>קומה 17</t>
  </si>
  <si>
    <t>קומה 18</t>
  </si>
  <si>
    <t>קומה 19</t>
  </si>
  <si>
    <t>קומה 20</t>
  </si>
  <si>
    <t>קומה 21</t>
  </si>
  <si>
    <t>קומה 22</t>
  </si>
  <si>
    <t>קומה 23</t>
  </si>
  <si>
    <t>קומה 24</t>
  </si>
  <si>
    <t>קומה 25</t>
  </si>
  <si>
    <t>קומה 26</t>
  </si>
  <si>
    <t>קומה 27</t>
  </si>
  <si>
    <t>קומה 28</t>
  </si>
  <si>
    <t>קומה 29</t>
  </si>
  <si>
    <t>סה"כ</t>
  </si>
  <si>
    <t>עיקרי ממ"ד</t>
  </si>
  <si>
    <t>עיקרי מגורים</t>
  </si>
  <si>
    <t>% משטח המגרש</t>
  </si>
  <si>
    <t>סה"כ לקומה</t>
  </si>
  <si>
    <t>בניין A</t>
  </si>
  <si>
    <t>בניין B</t>
  </si>
  <si>
    <t>בניין C</t>
  </si>
  <si>
    <t>סה"כ עיקרי</t>
  </si>
  <si>
    <t>סה"כ המבנה</t>
  </si>
  <si>
    <t>סה"כ מעל הקרקע</t>
  </si>
  <si>
    <t>סה"כ מתחת הקרקע</t>
  </si>
  <si>
    <t>שטחי שירות (מ"ר)</t>
  </si>
  <si>
    <t>ממ"ד</t>
  </si>
  <si>
    <t>ממ"מ/ ממ"ק</t>
  </si>
  <si>
    <t>מבואות וחדרי מדרגות</t>
  </si>
  <si>
    <t>קומת עמודים מפולשת</t>
  </si>
  <si>
    <t>מערכות טכניות ומ. שירות</t>
  </si>
  <si>
    <t>חדרי שירות משותפים</t>
  </si>
  <si>
    <t>אחסנה שירות</t>
  </si>
  <si>
    <t>גג עליון</t>
  </si>
  <si>
    <t>גג טכני</t>
  </si>
  <si>
    <t>גרעין</t>
  </si>
  <si>
    <t>מסחר והסעדה</t>
  </si>
  <si>
    <t>מבני ציבור</t>
  </si>
  <si>
    <t xml:space="preserve"> ממ"ק</t>
  </si>
  <si>
    <t>הקומה והמפלסים 
בבנין</t>
  </si>
  <si>
    <t>סה"כ שירות</t>
  </si>
  <si>
    <t>סה"כ הבניין לא כולל שטחים נלווים (מ"ר)</t>
  </si>
  <si>
    <t>מרפסת זיזית</t>
  </si>
  <si>
    <t>הורדה</t>
  </si>
  <si>
    <t>אחר</t>
  </si>
  <si>
    <t>שטח מרוצף</t>
  </si>
  <si>
    <t>מועדוני דיירים</t>
  </si>
  <si>
    <t>עד 80 מ"ר</t>
  </si>
  <si>
    <t>מעל 110 מ"ר</t>
  </si>
  <si>
    <t>אחוזים</t>
  </si>
  <si>
    <t xml:space="preserve">    סך הכול</t>
  </si>
  <si>
    <t xml:space="preserve"> 80-110 מ"ר</t>
  </si>
  <si>
    <t>כמות דירות</t>
  </si>
  <si>
    <t>שטח ממ"ד</t>
  </si>
  <si>
    <t>שטחי שירות למגורים</t>
  </si>
  <si>
    <t>שטחי שירות למסחר</t>
  </si>
  <si>
    <t>סה"כ לבניין</t>
  </si>
  <si>
    <t>בניין A (מגורים)</t>
  </si>
  <si>
    <t xml:space="preserve">סה"כ </t>
  </si>
  <si>
    <t>בניין B (מגורים)</t>
  </si>
  <si>
    <t>בניין C (מגורים)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</si>
</sst>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charset val="177"/>
      <scheme val="minor"/>
    </font>
    <font>
      <sz val="8"/>
      <name val="Aptos Narrow"/>
      <family val="2"/>
      <charset val="177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b/>
      <sz val="11"/>
      <color theme="1"/>
      <name val="Aptos Narrow"/>
      <family val="2"/>
      <charset val="177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7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3">
    <xf numFmtId="0" fontId="0" fillId="0" borderId="0" xfId="0"/>
    <xf numFmtId="0" fontId="3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67" xfId="0" applyFont="1" applyBorder="1" applyAlignment="1">
      <alignment horizontal="center" vertical="center"/>
    </xf>
    <xf numFmtId="0" fontId="3" fillId="5" borderId="65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0" borderId="0" xfId="0" applyFont="1"/>
    <xf numFmtId="0" fontId="3" fillId="0" borderId="0" xfId="0" applyFont="1" applyAlignment="1">
      <alignment vertical="center"/>
    </xf>
    <xf numFmtId="0" fontId="3" fillId="0" borderId="49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3" fillId="0" borderId="53" xfId="0" applyFont="1" applyBorder="1" applyAlignment="1">
      <alignment vertical="center"/>
    </xf>
    <xf numFmtId="0" fontId="3" fillId="0" borderId="50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0" fontId="2" fillId="3" borderId="65" xfId="0" applyFont="1" applyFill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67" xfId="0" applyFont="1" applyBorder="1" applyAlignment="1">
      <alignment horizontal="center" vertical="center" wrapText="1" readingOrder="2"/>
    </xf>
    <xf numFmtId="0" fontId="5" fillId="0" borderId="50" xfId="0" applyFont="1" applyBorder="1" applyAlignment="1">
      <alignment horizontal="center" vertical="center" wrapText="1" readingOrder="2"/>
    </xf>
    <xf numFmtId="0" fontId="5" fillId="0" borderId="61" xfId="0" applyFont="1" applyBorder="1" applyAlignment="1">
      <alignment horizontal="center" vertical="center" wrapText="1" readingOrder="2"/>
    </xf>
    <xf numFmtId="0" fontId="5" fillId="0" borderId="68" xfId="0" applyFont="1" applyBorder="1" applyAlignment="1">
      <alignment horizontal="center" vertical="center" wrapText="1" readingOrder="2"/>
    </xf>
    <xf numFmtId="0" fontId="5" fillId="0" borderId="0" xfId="0" applyFont="1" applyAlignment="1">
      <alignment horizontal="center" vertical="center" wrapText="1" readingOrder="2"/>
    </xf>
    <xf numFmtId="0" fontId="5" fillId="0" borderId="66" xfId="0" applyFont="1" applyBorder="1" applyAlignment="1">
      <alignment horizontal="center" vertical="center" wrapText="1" readingOrder="2"/>
    </xf>
    <xf numFmtId="0" fontId="5" fillId="0" borderId="40" xfId="0" applyFont="1" applyBorder="1" applyAlignment="1">
      <alignment horizontal="center" vertical="center" wrapText="1" readingOrder="2"/>
    </xf>
    <xf numFmtId="0" fontId="5" fillId="0" borderId="49" xfId="0" applyFont="1" applyBorder="1" applyAlignment="1">
      <alignment horizontal="center" vertical="center" wrapText="1" readingOrder="2"/>
    </xf>
    <xf numFmtId="0" fontId="5" fillId="0" borderId="32" xfId="0" applyFont="1" applyBorder="1" applyAlignment="1">
      <alignment horizontal="center" vertical="center" wrapText="1" readingOrder="2"/>
    </xf>
    <xf numFmtId="0" fontId="5" fillId="0" borderId="25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5" fillId="0" borderId="7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9" fontId="4" fillId="0" borderId="64" xfId="0" applyNumberFormat="1" applyFont="1" applyBorder="1" applyAlignment="1">
      <alignment horizontal="center" vertical="center"/>
    </xf>
    <xf numFmtId="9" fontId="4" fillId="0" borderId="59" xfId="0" applyNumberFormat="1" applyFont="1" applyBorder="1" applyAlignment="1">
      <alignment horizontal="center" vertical="center"/>
    </xf>
    <xf numFmtId="9" fontId="4" fillId="0" borderId="68" xfId="0" applyNumberFormat="1" applyFont="1" applyBorder="1" applyAlignment="1">
      <alignment horizontal="center" vertical="center"/>
    </xf>
    <xf numFmtId="9" fontId="4" fillId="0" borderId="66" xfId="0" applyNumberFormat="1" applyFont="1" applyBorder="1" applyAlignment="1">
      <alignment horizontal="center" vertical="center"/>
    </xf>
    <xf numFmtId="9" fontId="4" fillId="0" borderId="40" xfId="0" applyNumberFormat="1" applyFont="1" applyBorder="1" applyAlignment="1">
      <alignment horizontal="center" vertical="center"/>
    </xf>
    <xf numFmtId="9" fontId="4" fillId="0" borderId="32" xfId="0" applyNumberFormat="1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9" fontId="4" fillId="0" borderId="67" xfId="0" applyNumberFormat="1" applyFont="1" applyBorder="1" applyAlignment="1">
      <alignment horizontal="center" vertical="center"/>
    </xf>
    <xf numFmtId="9" fontId="4" fillId="0" borderId="61" xfId="0" applyNumberFormat="1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9" fontId="6" fillId="0" borderId="2" xfId="0" applyNumberFormat="1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center" vertical="center"/>
    </xf>
    <xf numFmtId="9" fontId="6" fillId="0" borderId="6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5" fillId="0" borderId="53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 readingOrder="2"/>
    </xf>
    <xf numFmtId="0" fontId="5" fillId="0" borderId="4" xfId="0" applyFont="1" applyBorder="1" applyAlignment="1">
      <alignment horizontal="center" vertical="center" wrapText="1" readingOrder="2"/>
    </xf>
    <xf numFmtId="0" fontId="5" fillId="0" borderId="45" xfId="0" applyFont="1" applyBorder="1" applyAlignment="1">
      <alignment horizontal="center" vertical="center" wrapText="1" readingOrder="2"/>
    </xf>
    <xf numFmtId="0" fontId="2" fillId="0" borderId="14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 readingOrder="2"/>
    </xf>
    <xf numFmtId="0" fontId="2" fillId="3" borderId="39" xfId="0" applyFont="1" applyFill="1" applyBorder="1" applyAlignment="1">
      <alignment horizontal="center" vertical="center" wrapText="1" readingOrder="2"/>
    </xf>
    <xf numFmtId="0" fontId="2" fillId="3" borderId="31" xfId="0" applyFont="1" applyFill="1" applyBorder="1" applyAlignment="1">
      <alignment horizontal="center" vertical="center" wrapText="1" readingOrder="2"/>
    </xf>
    <xf numFmtId="0" fontId="2" fillId="0" borderId="63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 wrapText="1" readingOrder="2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2CC"/>
      <color rgb="FFFFCC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88DD0-7EB9-41FD-8C54-BAFFB1833152}">
  <sheetPr>
    <pageSetUpPr fitToPage="1"/>
  </sheetPr>
  <dimension ref="A1:BR74"/>
  <sheetViews>
    <sheetView rightToLeft="1" tabSelected="1" topLeftCell="A4" zoomScale="41" zoomScaleNormal="41" workbookViewId="0">
      <pane xSplit="1" topLeftCell="B1" activePane="topRight" state="frozen"/>
      <selection pane="topRight" activeCell="AQ11" sqref="AQ11:AQ12"/>
    </sheetView>
  </sheetViews>
  <sheetFormatPr defaultColWidth="5.625" defaultRowHeight="12" customHeight="1" x14ac:dyDescent="0.2"/>
  <cols>
    <col min="1" max="1" width="9" style="2" customWidth="1"/>
    <col min="2" max="14" width="5.625" style="2"/>
    <col min="15" max="15" width="6.125" style="2" customWidth="1"/>
    <col min="16" max="19" width="5.625" style="2"/>
    <col min="20" max="21" width="5.625" style="2" customWidth="1"/>
    <col min="22" max="23" width="5.625" style="2"/>
    <col min="24" max="24" width="3.125" style="2" customWidth="1"/>
    <col min="25" max="25" width="5.625" style="2"/>
    <col min="26" max="26" width="5.625" style="2" customWidth="1"/>
    <col min="27" max="27" width="9.875" style="2" customWidth="1"/>
    <col min="28" max="28" width="6.625" style="2" customWidth="1"/>
    <col min="29" max="29" width="2.375" style="2" customWidth="1"/>
    <col min="30" max="30" width="10.125" style="2" customWidth="1"/>
    <col min="31" max="31" width="7.875" style="2" customWidth="1"/>
    <col min="32" max="35" width="5.625" style="2"/>
    <col min="36" max="36" width="7.875" style="2" customWidth="1"/>
    <col min="37" max="37" width="6.625" style="2" customWidth="1"/>
    <col min="38" max="38" width="2.375" style="2" customWidth="1"/>
    <col min="39" max="39" width="9.625" style="2" customWidth="1"/>
    <col min="40" max="40" width="8.625" style="2" customWidth="1"/>
    <col min="41" max="43" width="5.625" style="2"/>
    <col min="44" max="44" width="5.625" style="2" customWidth="1"/>
    <col min="45" max="45" width="8.5" style="2" customWidth="1"/>
    <col min="46" max="46" width="6.625" style="2" customWidth="1"/>
    <col min="47" max="47" width="2.375" style="2" customWidth="1"/>
    <col min="48" max="48" width="10.75" style="2" customWidth="1"/>
    <col min="49" max="49" width="7.375" style="2" customWidth="1"/>
    <col min="50" max="51" width="5.625" style="2"/>
    <col min="52" max="52" width="10" style="2" customWidth="1"/>
    <col min="53" max="53" width="5.625" style="2" customWidth="1"/>
    <col min="54" max="54" width="3" style="2" customWidth="1"/>
    <col min="55" max="55" width="5.625" style="2"/>
    <col min="56" max="57" width="5.625" style="2" customWidth="1"/>
    <col min="58" max="58" width="3.25" style="2" customWidth="1"/>
    <col min="59" max="66" width="5.625" style="2"/>
    <col min="67" max="67" width="3.25" style="2" customWidth="1"/>
    <col min="68" max="69" width="5.625" style="2"/>
    <col min="70" max="70" width="5.625" style="2" customWidth="1"/>
    <col min="71" max="16384" width="5.625" style="2"/>
  </cols>
  <sheetData>
    <row r="1" spans="1:70" ht="12" customHeight="1" thickBot="1" x14ac:dyDescent="0.25">
      <c r="A1" s="184" t="s">
        <v>61</v>
      </c>
      <c r="B1" s="169" t="s">
        <v>0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1"/>
      <c r="Y1" s="169" t="s">
        <v>47</v>
      </c>
      <c r="Z1" s="170"/>
      <c r="AA1" s="170"/>
      <c r="AB1" s="170"/>
      <c r="AC1" s="170"/>
      <c r="AD1" s="170"/>
      <c r="AE1" s="170"/>
      <c r="AF1" s="170"/>
      <c r="AG1" s="170"/>
      <c r="AH1" s="170"/>
      <c r="AI1" s="170"/>
      <c r="AJ1" s="170"/>
      <c r="AK1" s="170"/>
      <c r="AL1" s="170"/>
      <c r="AM1" s="170"/>
      <c r="AN1" s="170"/>
      <c r="AO1" s="170"/>
      <c r="AP1" s="170"/>
      <c r="AQ1" s="170"/>
      <c r="AR1" s="170"/>
      <c r="AS1" s="170"/>
      <c r="AT1" s="170"/>
      <c r="AU1" s="170"/>
      <c r="AV1" s="170"/>
      <c r="AW1" s="170"/>
      <c r="AX1" s="170"/>
      <c r="AY1" s="170"/>
      <c r="AZ1" s="170"/>
      <c r="BA1" s="171"/>
      <c r="BC1" s="142" t="s">
        <v>63</v>
      </c>
      <c r="BD1" s="143"/>
      <c r="BE1" s="224" t="s">
        <v>38</v>
      </c>
      <c r="BG1" s="169" t="s">
        <v>66</v>
      </c>
      <c r="BH1" s="170"/>
      <c r="BI1" s="170"/>
      <c r="BJ1" s="170"/>
      <c r="BK1" s="170"/>
      <c r="BL1" s="170"/>
      <c r="BM1" s="170"/>
      <c r="BN1" s="171"/>
      <c r="BP1" s="169" t="s">
        <v>65</v>
      </c>
      <c r="BQ1" s="170"/>
      <c r="BR1" s="171"/>
    </row>
    <row r="2" spans="1:70" ht="12" customHeight="1" thickBot="1" x14ac:dyDescent="0.25">
      <c r="A2" s="185"/>
      <c r="B2" s="111" t="s">
        <v>57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1" t="s">
        <v>39</v>
      </c>
      <c r="U2" s="112"/>
      <c r="V2" s="201"/>
      <c r="W2" s="224" t="s">
        <v>38</v>
      </c>
      <c r="Y2" s="111" t="s">
        <v>57</v>
      </c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  <c r="AW2" s="112"/>
      <c r="AX2" s="112"/>
      <c r="AY2" s="201"/>
      <c r="AZ2" s="17" t="s">
        <v>39</v>
      </c>
      <c r="BA2" s="224" t="s">
        <v>38</v>
      </c>
      <c r="BC2" s="144"/>
      <c r="BD2" s="145"/>
      <c r="BE2" s="225"/>
      <c r="BG2" s="111" t="s">
        <v>57</v>
      </c>
      <c r="BH2" s="112"/>
      <c r="BI2" s="112"/>
      <c r="BJ2" s="112"/>
      <c r="BK2" s="112"/>
      <c r="BL2" s="112"/>
      <c r="BM2" s="112"/>
      <c r="BN2" s="201"/>
      <c r="BP2" s="111" t="s">
        <v>57</v>
      </c>
      <c r="BQ2" s="112"/>
      <c r="BR2" s="201"/>
    </row>
    <row r="3" spans="1:70" ht="12" customHeight="1" x14ac:dyDescent="0.2">
      <c r="A3" s="185"/>
      <c r="B3" s="187" t="s">
        <v>58</v>
      </c>
      <c r="C3" s="188"/>
      <c r="D3" s="188"/>
      <c r="E3" s="188"/>
      <c r="F3" s="188"/>
      <c r="G3" s="188"/>
      <c r="H3" s="188"/>
      <c r="I3" s="188"/>
      <c r="J3" s="189"/>
      <c r="K3" s="193" t="s">
        <v>59</v>
      </c>
      <c r="L3" s="194"/>
      <c r="M3" s="194"/>
      <c r="N3" s="194"/>
      <c r="O3" s="194"/>
      <c r="P3" s="194"/>
      <c r="Q3" s="194"/>
      <c r="R3" s="194"/>
      <c r="S3" s="194"/>
      <c r="T3" s="197" t="s">
        <v>43</v>
      </c>
      <c r="U3" s="194"/>
      <c r="V3" s="198"/>
      <c r="W3" s="225"/>
      <c r="Y3" s="187" t="s">
        <v>76</v>
      </c>
      <c r="Z3" s="188"/>
      <c r="AA3" s="188"/>
      <c r="AB3" s="188"/>
      <c r="AC3" s="188"/>
      <c r="AD3" s="188"/>
      <c r="AE3" s="188"/>
      <c r="AF3" s="188"/>
      <c r="AG3" s="188"/>
      <c r="AH3" s="188"/>
      <c r="AI3" s="188"/>
      <c r="AJ3" s="188"/>
      <c r="AK3" s="188"/>
      <c r="AL3" s="188"/>
      <c r="AM3" s="188"/>
      <c r="AN3" s="189"/>
      <c r="AO3" s="232" t="s">
        <v>77</v>
      </c>
      <c r="AP3" s="188"/>
      <c r="AQ3" s="188"/>
      <c r="AR3" s="188"/>
      <c r="AS3" s="188"/>
      <c r="AT3" s="188"/>
      <c r="AU3" s="188"/>
      <c r="AV3" s="188"/>
      <c r="AW3" s="188"/>
      <c r="AX3" s="188"/>
      <c r="AY3" s="189"/>
      <c r="AZ3" s="140" t="s">
        <v>62</v>
      </c>
      <c r="BA3" s="225"/>
      <c r="BC3" s="144"/>
      <c r="BD3" s="145"/>
      <c r="BE3" s="225"/>
      <c r="BG3" s="215"/>
      <c r="BH3" s="216"/>
      <c r="BI3" s="216"/>
      <c r="BJ3" s="216"/>
      <c r="BK3" s="216"/>
      <c r="BL3" s="216"/>
      <c r="BM3" s="216"/>
      <c r="BN3" s="222"/>
      <c r="BP3" s="229"/>
      <c r="BQ3" s="179"/>
      <c r="BR3" s="180"/>
    </row>
    <row r="4" spans="1:70" ht="12" customHeight="1" thickBot="1" x14ac:dyDescent="0.25">
      <c r="A4" s="186"/>
      <c r="B4" s="190"/>
      <c r="C4" s="191"/>
      <c r="D4" s="191"/>
      <c r="E4" s="191"/>
      <c r="F4" s="191"/>
      <c r="G4" s="191"/>
      <c r="H4" s="191"/>
      <c r="I4" s="191"/>
      <c r="J4" s="192"/>
      <c r="K4" s="195"/>
      <c r="L4" s="196"/>
      <c r="M4" s="196"/>
      <c r="N4" s="196"/>
      <c r="O4" s="196"/>
      <c r="P4" s="196"/>
      <c r="Q4" s="196"/>
      <c r="R4" s="196"/>
      <c r="S4" s="196"/>
      <c r="T4" s="199"/>
      <c r="U4" s="196"/>
      <c r="V4" s="200"/>
      <c r="W4" s="226"/>
      <c r="Y4" s="190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2"/>
      <c r="AO4" s="233"/>
      <c r="AP4" s="191"/>
      <c r="AQ4" s="191"/>
      <c r="AR4" s="191"/>
      <c r="AS4" s="191"/>
      <c r="AT4" s="191"/>
      <c r="AU4" s="191"/>
      <c r="AV4" s="191"/>
      <c r="AW4" s="191"/>
      <c r="AX4" s="191"/>
      <c r="AY4" s="192"/>
      <c r="AZ4" s="141"/>
      <c r="BA4" s="234"/>
      <c r="BC4" s="146"/>
      <c r="BD4" s="147"/>
      <c r="BE4" s="226"/>
      <c r="BG4" s="215"/>
      <c r="BH4" s="216"/>
      <c r="BI4" s="216"/>
      <c r="BJ4" s="216"/>
      <c r="BK4" s="216"/>
      <c r="BL4" s="216"/>
      <c r="BM4" s="216"/>
      <c r="BN4" s="222"/>
      <c r="BP4" s="231"/>
      <c r="BQ4" s="174"/>
      <c r="BR4" s="181"/>
    </row>
    <row r="5" spans="1:70" ht="12" customHeight="1" x14ac:dyDescent="0.2">
      <c r="A5" s="21" t="s">
        <v>2</v>
      </c>
      <c r="B5" s="119"/>
      <c r="C5" s="202"/>
      <c r="D5" s="202"/>
      <c r="E5" s="202"/>
      <c r="F5" s="202"/>
      <c r="G5" s="202"/>
      <c r="H5" s="202"/>
      <c r="I5" s="202"/>
      <c r="J5" s="203"/>
      <c r="K5" s="208"/>
      <c r="L5" s="202"/>
      <c r="M5" s="202"/>
      <c r="N5" s="202"/>
      <c r="O5" s="202"/>
      <c r="P5" s="202"/>
      <c r="Q5" s="202"/>
      <c r="R5" s="202"/>
      <c r="S5" s="202"/>
      <c r="T5" s="119">
        <f>SUM(B5:S5)</f>
        <v>0</v>
      </c>
      <c r="U5" s="202"/>
      <c r="V5" s="120"/>
      <c r="W5" s="22"/>
      <c r="Y5" s="229">
        <v>3951.86</v>
      </c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  <c r="AM5" s="179"/>
      <c r="AN5" s="230"/>
      <c r="AO5" s="208"/>
      <c r="AP5" s="202"/>
      <c r="AQ5" s="202"/>
      <c r="AR5" s="202"/>
      <c r="AS5" s="202"/>
      <c r="AT5" s="202"/>
      <c r="AU5" s="202"/>
      <c r="AV5" s="202"/>
      <c r="AW5" s="202"/>
      <c r="AX5" s="202"/>
      <c r="AY5" s="203"/>
      <c r="AZ5" s="15">
        <f>SUM(Y5:AY5)</f>
        <v>3951.86</v>
      </c>
      <c r="BA5" s="15">
        <v>68.680000000000007</v>
      </c>
      <c r="BC5" s="119">
        <f>AZ5+T5</f>
        <v>3951.86</v>
      </c>
      <c r="BD5" s="120"/>
      <c r="BE5" s="36">
        <f>BA5+W5</f>
        <v>68.680000000000007</v>
      </c>
      <c r="BG5" s="215"/>
      <c r="BH5" s="216"/>
      <c r="BI5" s="216"/>
      <c r="BJ5" s="216"/>
      <c r="BK5" s="216"/>
      <c r="BL5" s="216"/>
      <c r="BM5" s="216"/>
      <c r="BN5" s="222"/>
      <c r="BP5" s="119">
        <v>0</v>
      </c>
      <c r="BQ5" s="202"/>
      <c r="BR5" s="120"/>
    </row>
    <row r="6" spans="1:70" ht="12" customHeight="1" x14ac:dyDescent="0.2">
      <c r="A6" s="18" t="s">
        <v>3</v>
      </c>
      <c r="B6" s="117"/>
      <c r="C6" s="204"/>
      <c r="D6" s="204"/>
      <c r="E6" s="204"/>
      <c r="F6" s="204"/>
      <c r="G6" s="204"/>
      <c r="H6" s="204"/>
      <c r="I6" s="204"/>
      <c r="J6" s="183"/>
      <c r="K6" s="182"/>
      <c r="L6" s="204"/>
      <c r="M6" s="204"/>
      <c r="N6" s="204"/>
      <c r="O6" s="204"/>
      <c r="P6" s="204"/>
      <c r="Q6" s="204"/>
      <c r="R6" s="204"/>
      <c r="S6" s="204"/>
      <c r="T6" s="117">
        <f>SUM(B6:S6)</f>
        <v>0</v>
      </c>
      <c r="U6" s="204"/>
      <c r="V6" s="118"/>
      <c r="W6" s="12"/>
      <c r="Y6" s="117">
        <v>3886.28</v>
      </c>
      <c r="Z6" s="204"/>
      <c r="AA6" s="204"/>
      <c r="AB6" s="204"/>
      <c r="AC6" s="204"/>
      <c r="AD6" s="204"/>
      <c r="AE6" s="204"/>
      <c r="AF6" s="204"/>
      <c r="AG6" s="204"/>
      <c r="AH6" s="204"/>
      <c r="AI6" s="204"/>
      <c r="AJ6" s="204"/>
      <c r="AK6" s="204"/>
      <c r="AL6" s="204"/>
      <c r="AM6" s="204"/>
      <c r="AN6" s="183"/>
      <c r="AO6" s="182"/>
      <c r="AP6" s="204"/>
      <c r="AQ6" s="204"/>
      <c r="AR6" s="204"/>
      <c r="AS6" s="204"/>
      <c r="AT6" s="204"/>
      <c r="AU6" s="204"/>
      <c r="AV6" s="204"/>
      <c r="AW6" s="204"/>
      <c r="AX6" s="204"/>
      <c r="AY6" s="183"/>
      <c r="AZ6" s="15">
        <f>SUM(Y6:AY6)</f>
        <v>3886.28</v>
      </c>
      <c r="BA6" s="15">
        <v>67.540000000000006</v>
      </c>
      <c r="BC6" s="117">
        <f>AZ6+T6</f>
        <v>3886.28</v>
      </c>
      <c r="BD6" s="118"/>
      <c r="BE6" s="15">
        <f>BA6+W6</f>
        <v>67.540000000000006</v>
      </c>
      <c r="BG6" s="215"/>
      <c r="BH6" s="216"/>
      <c r="BI6" s="216"/>
      <c r="BJ6" s="216"/>
      <c r="BK6" s="216"/>
      <c r="BL6" s="216"/>
      <c r="BM6" s="216"/>
      <c r="BN6" s="222"/>
      <c r="BP6" s="117">
        <v>65.58</v>
      </c>
      <c r="BQ6" s="204"/>
      <c r="BR6" s="118"/>
    </row>
    <row r="7" spans="1:70" ht="12" customHeight="1" x14ac:dyDescent="0.2">
      <c r="A7" s="18" t="s">
        <v>4</v>
      </c>
      <c r="B7" s="117"/>
      <c r="C7" s="204"/>
      <c r="D7" s="204">
        <f>SUM(B7:C7)</f>
        <v>0</v>
      </c>
      <c r="E7" s="204"/>
      <c r="F7" s="204"/>
      <c r="G7" s="204"/>
      <c r="H7" s="204"/>
      <c r="I7" s="204"/>
      <c r="J7" s="183"/>
      <c r="K7" s="182"/>
      <c r="L7" s="204"/>
      <c r="M7" s="204"/>
      <c r="N7" s="204"/>
      <c r="O7" s="204"/>
      <c r="P7" s="204"/>
      <c r="Q7" s="204"/>
      <c r="R7" s="204"/>
      <c r="S7" s="204"/>
      <c r="T7" s="117">
        <f>SUM(B7:S7)</f>
        <v>0</v>
      </c>
      <c r="U7" s="204"/>
      <c r="V7" s="118"/>
      <c r="W7" s="12"/>
      <c r="Y7" s="117">
        <f>3926.31-AO7</f>
        <v>2481.31</v>
      </c>
      <c r="Z7" s="204"/>
      <c r="AA7" s="204"/>
      <c r="AB7" s="204"/>
      <c r="AC7" s="204"/>
      <c r="AD7" s="204"/>
      <c r="AE7" s="204"/>
      <c r="AF7" s="204"/>
      <c r="AG7" s="204"/>
      <c r="AH7" s="204"/>
      <c r="AI7" s="204"/>
      <c r="AJ7" s="204"/>
      <c r="AK7" s="204"/>
      <c r="AL7" s="204"/>
      <c r="AM7" s="204"/>
      <c r="AN7" s="183"/>
      <c r="AO7" s="182">
        <v>1445</v>
      </c>
      <c r="AP7" s="204"/>
      <c r="AQ7" s="204"/>
      <c r="AR7" s="204"/>
      <c r="AS7" s="204"/>
      <c r="AT7" s="204"/>
      <c r="AU7" s="204"/>
      <c r="AV7" s="204"/>
      <c r="AW7" s="204"/>
      <c r="AX7" s="204"/>
      <c r="AY7" s="183"/>
      <c r="AZ7" s="15">
        <f>SUM(Y7:AY7)</f>
        <v>3926.31</v>
      </c>
      <c r="BA7" s="15">
        <v>68.239999999999995</v>
      </c>
      <c r="BC7" s="117">
        <f>AZ7+T7</f>
        <v>3926.31</v>
      </c>
      <c r="BD7" s="118"/>
      <c r="BE7" s="15">
        <f>BA7+W7</f>
        <v>68.239999999999995</v>
      </c>
      <c r="BG7" s="215"/>
      <c r="BH7" s="216"/>
      <c r="BI7" s="216"/>
      <c r="BJ7" s="216"/>
      <c r="BK7" s="216"/>
      <c r="BL7" s="216"/>
      <c r="BM7" s="216"/>
      <c r="BN7" s="222"/>
      <c r="BP7" s="117">
        <v>85.61</v>
      </c>
      <c r="BQ7" s="204"/>
      <c r="BR7" s="118"/>
    </row>
    <row r="8" spans="1:70" ht="12" customHeight="1" thickBot="1" x14ac:dyDescent="0.25">
      <c r="A8" s="19" t="s">
        <v>5</v>
      </c>
      <c r="B8" s="205">
        <v>1361.72</v>
      </c>
      <c r="C8" s="206"/>
      <c r="D8" s="206"/>
      <c r="E8" s="206"/>
      <c r="F8" s="206"/>
      <c r="G8" s="206"/>
      <c r="H8" s="206"/>
      <c r="I8" s="206"/>
      <c r="J8" s="207"/>
      <c r="K8" s="214">
        <v>498.84</v>
      </c>
      <c r="L8" s="206"/>
      <c r="M8" s="206"/>
      <c r="N8" s="206"/>
      <c r="O8" s="206"/>
      <c r="P8" s="206"/>
      <c r="Q8" s="206"/>
      <c r="R8" s="206"/>
      <c r="S8" s="206"/>
      <c r="T8" s="205">
        <f>SUM(B8:S8)</f>
        <v>1860.56</v>
      </c>
      <c r="U8" s="206"/>
      <c r="V8" s="213"/>
      <c r="W8" s="25">
        <v>32.340000000000003</v>
      </c>
      <c r="Y8" s="205">
        <v>427.61</v>
      </c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207"/>
      <c r="AO8" s="214">
        <f>1019.42-Y8</f>
        <v>591.80999999999995</v>
      </c>
      <c r="AP8" s="206"/>
      <c r="AQ8" s="206"/>
      <c r="AR8" s="206"/>
      <c r="AS8" s="206"/>
      <c r="AT8" s="206"/>
      <c r="AU8" s="206"/>
      <c r="AV8" s="206"/>
      <c r="AW8" s="206"/>
      <c r="AX8" s="206"/>
      <c r="AY8" s="207"/>
      <c r="AZ8" s="15">
        <f>SUM(Y8:AY8)</f>
        <v>1019.42</v>
      </c>
      <c r="BA8" s="33">
        <v>17.72</v>
      </c>
      <c r="BC8" s="205">
        <f>AZ8+T8</f>
        <v>2879.98</v>
      </c>
      <c r="BD8" s="213"/>
      <c r="BE8" s="33">
        <f>BA8+W8</f>
        <v>50.06</v>
      </c>
      <c r="BG8" s="231"/>
      <c r="BH8" s="174"/>
      <c r="BI8" s="174"/>
      <c r="BJ8" s="174"/>
      <c r="BK8" s="174"/>
      <c r="BL8" s="174"/>
      <c r="BM8" s="174"/>
      <c r="BN8" s="181"/>
      <c r="BP8" s="205">
        <v>78.13</v>
      </c>
      <c r="BQ8" s="206"/>
      <c r="BR8" s="213"/>
    </row>
    <row r="9" spans="1:70" ht="12" customHeight="1" thickBot="1" x14ac:dyDescent="0.25">
      <c r="A9" s="172"/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2"/>
      <c r="O9" s="172"/>
      <c r="P9" s="172"/>
      <c r="Q9" s="172"/>
      <c r="R9" s="172"/>
      <c r="S9" s="172"/>
      <c r="T9" s="172"/>
      <c r="U9" s="172"/>
      <c r="V9" s="172"/>
      <c r="W9" s="173"/>
      <c r="Y9" s="164"/>
      <c r="Z9" s="165"/>
      <c r="AA9" s="165"/>
      <c r="AB9" s="165"/>
      <c r="AC9" s="165"/>
      <c r="AD9" s="165"/>
      <c r="AE9" s="174"/>
      <c r="AF9" s="174"/>
      <c r="AG9" s="174"/>
      <c r="AH9" s="174"/>
      <c r="AI9" s="174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6"/>
      <c r="BC9" s="164"/>
      <c r="BD9" s="165"/>
      <c r="BE9" s="166"/>
      <c r="BG9" s="66"/>
      <c r="BH9" s="67"/>
      <c r="BI9" s="67"/>
      <c r="BJ9" s="67"/>
      <c r="BK9" s="67"/>
      <c r="BL9" s="67"/>
      <c r="BM9" s="67"/>
      <c r="BN9" s="68"/>
      <c r="BP9" s="164"/>
      <c r="BQ9" s="165"/>
      <c r="BR9" s="166"/>
    </row>
    <row r="10" spans="1:70" ht="15.75" customHeight="1" thickBot="1" x14ac:dyDescent="0.25">
      <c r="A10" s="184" t="s">
        <v>61</v>
      </c>
      <c r="B10" s="111" t="s">
        <v>40</v>
      </c>
      <c r="C10" s="112"/>
      <c r="D10" s="112"/>
      <c r="E10" s="112"/>
      <c r="F10" s="112"/>
      <c r="G10" s="201"/>
      <c r="H10" s="111" t="s">
        <v>41</v>
      </c>
      <c r="I10" s="112"/>
      <c r="J10" s="112"/>
      <c r="K10" s="112"/>
      <c r="L10" s="112"/>
      <c r="M10" s="112"/>
      <c r="N10" s="111" t="s">
        <v>42</v>
      </c>
      <c r="O10" s="112"/>
      <c r="P10" s="112"/>
      <c r="Q10" s="112"/>
      <c r="R10" s="112"/>
      <c r="S10" s="201"/>
      <c r="T10" s="111" t="s">
        <v>39</v>
      </c>
      <c r="U10" s="112"/>
      <c r="V10" s="201"/>
      <c r="W10" s="224" t="s">
        <v>38</v>
      </c>
      <c r="Y10" s="111" t="s">
        <v>79</v>
      </c>
      <c r="Z10" s="112"/>
      <c r="AA10" s="112"/>
      <c r="AB10" s="112"/>
      <c r="AC10" s="112"/>
      <c r="AD10" s="112"/>
      <c r="AE10" s="112"/>
      <c r="AF10" s="112"/>
      <c r="AG10" s="201"/>
      <c r="AH10" s="111" t="s">
        <v>81</v>
      </c>
      <c r="AI10" s="112"/>
      <c r="AJ10" s="112"/>
      <c r="AK10" s="112"/>
      <c r="AL10" s="112"/>
      <c r="AM10" s="112"/>
      <c r="AN10" s="112"/>
      <c r="AO10" s="112"/>
      <c r="AP10" s="201"/>
      <c r="AQ10" s="111" t="s">
        <v>82</v>
      </c>
      <c r="AR10" s="112"/>
      <c r="AS10" s="112"/>
      <c r="AT10" s="112"/>
      <c r="AU10" s="112"/>
      <c r="AV10" s="112"/>
      <c r="AW10" s="112"/>
      <c r="AX10" s="112"/>
      <c r="AY10" s="201"/>
      <c r="AZ10" s="17" t="s">
        <v>39</v>
      </c>
      <c r="BA10" s="224" t="s">
        <v>38</v>
      </c>
      <c r="BC10" s="142" t="s">
        <v>63</v>
      </c>
      <c r="BD10" s="143"/>
      <c r="BE10" s="224" t="s">
        <v>38</v>
      </c>
      <c r="BG10" s="111" t="s">
        <v>40</v>
      </c>
      <c r="BH10" s="112"/>
      <c r="BI10" s="111" t="s">
        <v>41</v>
      </c>
      <c r="BJ10" s="112"/>
      <c r="BK10" s="111" t="s">
        <v>42</v>
      </c>
      <c r="BL10" s="112"/>
      <c r="BM10" s="111" t="s">
        <v>80</v>
      </c>
      <c r="BN10" s="201"/>
      <c r="BP10" s="60" t="s">
        <v>40</v>
      </c>
      <c r="BQ10" s="60" t="s">
        <v>41</v>
      </c>
      <c r="BR10" s="65" t="s">
        <v>42</v>
      </c>
    </row>
    <row r="11" spans="1:70" ht="12" customHeight="1" x14ac:dyDescent="0.2">
      <c r="A11" s="185"/>
      <c r="B11" s="38" t="s">
        <v>1</v>
      </c>
      <c r="C11" s="35" t="s">
        <v>1</v>
      </c>
      <c r="D11" s="35" t="s">
        <v>1</v>
      </c>
      <c r="E11" s="35" t="s">
        <v>1</v>
      </c>
      <c r="F11" s="35" t="s">
        <v>1</v>
      </c>
      <c r="G11" s="209" t="s">
        <v>36</v>
      </c>
      <c r="H11" s="38" t="s">
        <v>1</v>
      </c>
      <c r="I11" s="35" t="s">
        <v>1</v>
      </c>
      <c r="J11" s="35" t="s">
        <v>1</v>
      </c>
      <c r="K11" s="35" t="s">
        <v>1</v>
      </c>
      <c r="L11" s="35" t="s">
        <v>1</v>
      </c>
      <c r="M11" s="193" t="s">
        <v>36</v>
      </c>
      <c r="N11" s="38" t="s">
        <v>1</v>
      </c>
      <c r="O11" s="35" t="s">
        <v>1</v>
      </c>
      <c r="P11" s="35" t="s">
        <v>1</v>
      </c>
      <c r="Q11" s="35" t="s">
        <v>1</v>
      </c>
      <c r="R11" s="35" t="s">
        <v>1</v>
      </c>
      <c r="S11" s="209" t="s">
        <v>36</v>
      </c>
      <c r="T11" s="140" t="s">
        <v>36</v>
      </c>
      <c r="U11" s="140" t="s">
        <v>37</v>
      </c>
      <c r="V11" s="140" t="s">
        <v>43</v>
      </c>
      <c r="W11" s="225"/>
      <c r="Y11" s="175" t="s">
        <v>48</v>
      </c>
      <c r="Z11" s="115" t="s">
        <v>60</v>
      </c>
      <c r="AA11" s="115" t="s">
        <v>50</v>
      </c>
      <c r="AB11" s="193" t="s">
        <v>51</v>
      </c>
      <c r="AC11" s="211"/>
      <c r="AD11" s="115" t="s">
        <v>52</v>
      </c>
      <c r="AE11" s="115" t="s">
        <v>53</v>
      </c>
      <c r="AF11" s="115" t="s">
        <v>54</v>
      </c>
      <c r="AG11" s="227" t="s">
        <v>35</v>
      </c>
      <c r="AH11" s="175" t="s">
        <v>48</v>
      </c>
      <c r="AI11" s="115" t="s">
        <v>49</v>
      </c>
      <c r="AJ11" s="115" t="s">
        <v>50</v>
      </c>
      <c r="AK11" s="193" t="s">
        <v>51</v>
      </c>
      <c r="AL11" s="211"/>
      <c r="AM11" s="115" t="s">
        <v>52</v>
      </c>
      <c r="AN11" s="115" t="s">
        <v>53</v>
      </c>
      <c r="AO11" s="115" t="s">
        <v>54</v>
      </c>
      <c r="AP11" s="227" t="s">
        <v>35</v>
      </c>
      <c r="AQ11" s="175" t="s">
        <v>48</v>
      </c>
      <c r="AR11" s="115" t="s">
        <v>49</v>
      </c>
      <c r="AS11" s="115" t="s">
        <v>50</v>
      </c>
      <c r="AT11" s="193" t="s">
        <v>51</v>
      </c>
      <c r="AU11" s="211"/>
      <c r="AV11" s="115" t="s">
        <v>52</v>
      </c>
      <c r="AW11" s="115" t="s">
        <v>53</v>
      </c>
      <c r="AX11" s="115" t="s">
        <v>54</v>
      </c>
      <c r="AY11" s="227" t="s">
        <v>35</v>
      </c>
      <c r="AZ11" s="140" t="s">
        <v>62</v>
      </c>
      <c r="BA11" s="225"/>
      <c r="BC11" s="144"/>
      <c r="BD11" s="145"/>
      <c r="BE11" s="225"/>
      <c r="BG11" s="113" t="s">
        <v>64</v>
      </c>
      <c r="BH11" s="115" t="s">
        <v>67</v>
      </c>
      <c r="BI11" s="113" t="s">
        <v>64</v>
      </c>
      <c r="BJ11" s="115" t="s">
        <v>67</v>
      </c>
      <c r="BK11" s="113" t="s">
        <v>64</v>
      </c>
      <c r="BL11" s="115" t="s">
        <v>67</v>
      </c>
      <c r="BM11" s="113" t="s">
        <v>64</v>
      </c>
      <c r="BN11" s="209" t="s">
        <v>67</v>
      </c>
      <c r="BP11" s="229"/>
      <c r="BQ11" s="179"/>
      <c r="BR11" s="180"/>
    </row>
    <row r="12" spans="1:70" ht="15" customHeight="1" thickBot="1" x14ac:dyDescent="0.25">
      <c r="A12" s="186"/>
      <c r="B12" s="39">
        <v>1</v>
      </c>
      <c r="C12" s="34">
        <v>2</v>
      </c>
      <c r="D12" s="34">
        <v>3</v>
      </c>
      <c r="E12" s="34">
        <v>4</v>
      </c>
      <c r="F12" s="34">
        <v>5</v>
      </c>
      <c r="G12" s="210"/>
      <c r="H12" s="39">
        <v>6</v>
      </c>
      <c r="I12" s="34">
        <v>7</v>
      </c>
      <c r="J12" s="34">
        <v>8</v>
      </c>
      <c r="K12" s="34">
        <v>9</v>
      </c>
      <c r="L12" s="34">
        <v>10</v>
      </c>
      <c r="M12" s="195"/>
      <c r="N12" s="39">
        <v>11</v>
      </c>
      <c r="O12" s="34">
        <v>12</v>
      </c>
      <c r="P12" s="34">
        <v>13</v>
      </c>
      <c r="Q12" s="34">
        <v>14</v>
      </c>
      <c r="R12" s="34">
        <v>15</v>
      </c>
      <c r="S12" s="210"/>
      <c r="T12" s="141"/>
      <c r="U12" s="141"/>
      <c r="V12" s="141"/>
      <c r="W12" s="226"/>
      <c r="Y12" s="176"/>
      <c r="Z12" s="116"/>
      <c r="AA12" s="116"/>
      <c r="AB12" s="195"/>
      <c r="AC12" s="212"/>
      <c r="AD12" s="116"/>
      <c r="AE12" s="116"/>
      <c r="AF12" s="116"/>
      <c r="AG12" s="228"/>
      <c r="AH12" s="176"/>
      <c r="AI12" s="116"/>
      <c r="AJ12" s="116"/>
      <c r="AK12" s="195"/>
      <c r="AL12" s="212"/>
      <c r="AM12" s="116"/>
      <c r="AN12" s="116"/>
      <c r="AO12" s="116"/>
      <c r="AP12" s="228"/>
      <c r="AQ12" s="176"/>
      <c r="AR12" s="116"/>
      <c r="AS12" s="116"/>
      <c r="AT12" s="195"/>
      <c r="AU12" s="212"/>
      <c r="AV12" s="116"/>
      <c r="AW12" s="116"/>
      <c r="AX12" s="116"/>
      <c r="AY12" s="228"/>
      <c r="AZ12" s="141"/>
      <c r="BA12" s="226"/>
      <c r="BC12" s="146"/>
      <c r="BD12" s="147"/>
      <c r="BE12" s="226"/>
      <c r="BG12" s="114"/>
      <c r="BH12" s="116"/>
      <c r="BI12" s="114"/>
      <c r="BJ12" s="116"/>
      <c r="BK12" s="114"/>
      <c r="BL12" s="116"/>
      <c r="BM12" s="114"/>
      <c r="BN12" s="210"/>
      <c r="BP12" s="217"/>
      <c r="BQ12" s="218"/>
      <c r="BR12" s="223"/>
    </row>
    <row r="13" spans="1:70" ht="12" customHeight="1" x14ac:dyDescent="0.2">
      <c r="A13" s="21" t="s">
        <v>6</v>
      </c>
      <c r="B13" s="30">
        <v>86.73</v>
      </c>
      <c r="C13" s="24">
        <v>86.79</v>
      </c>
      <c r="D13" s="3">
        <v>63.99</v>
      </c>
      <c r="E13" s="3">
        <v>115.57</v>
      </c>
      <c r="F13" s="43">
        <v>50.01</v>
      </c>
      <c r="G13" s="10">
        <f>9.91-9+9.82-9+10.03-9+10.03-9</f>
        <v>3.7899999999999991</v>
      </c>
      <c r="H13" s="9">
        <v>86.69</v>
      </c>
      <c r="I13" s="6">
        <v>86.65</v>
      </c>
      <c r="J13" s="5">
        <v>63.91</v>
      </c>
      <c r="K13" s="5">
        <v>129.16999999999999</v>
      </c>
      <c r="L13" s="44">
        <v>50.02</v>
      </c>
      <c r="M13" s="7">
        <f>9.91-9+9.82-9+10.03-9+10.03-9</f>
        <v>3.7899999999999991</v>
      </c>
      <c r="N13" s="9">
        <v>86.34</v>
      </c>
      <c r="O13" s="6">
        <v>86.32</v>
      </c>
      <c r="P13" s="5">
        <v>63.95</v>
      </c>
      <c r="Q13" s="5">
        <v>129</v>
      </c>
      <c r="R13" s="44">
        <v>50.05</v>
      </c>
      <c r="S13" s="10">
        <f>9.91-9+9.8-9+10.03-9+10.03-9</f>
        <v>3.7699999999999996</v>
      </c>
      <c r="T13" s="9">
        <f t="shared" ref="T13:T41" si="0">S13+M13+G13</f>
        <v>11.349999999999998</v>
      </c>
      <c r="U13" s="5">
        <f t="shared" ref="U13:U41" si="1">SUM(B13:F13,H13:L13,N13:R13)</f>
        <v>1235.19</v>
      </c>
      <c r="V13" s="10">
        <f>T13+U13</f>
        <v>1246.54</v>
      </c>
      <c r="W13" s="12">
        <v>21.66</v>
      </c>
      <c r="Y13" s="9">
        <f>36+3.46+3.79+3.77+3.77</f>
        <v>50.790000000000006</v>
      </c>
      <c r="Z13" s="5">
        <v>13.77</v>
      </c>
      <c r="AA13" s="5">
        <v>71.59</v>
      </c>
      <c r="AB13" s="208">
        <v>4.1500000000000004</v>
      </c>
      <c r="AC13" s="203"/>
      <c r="AD13" s="5">
        <f>3.71+2.25+5.19+0.88+1.53+3.72+7.78</f>
        <v>25.060000000000002</v>
      </c>
      <c r="AE13" s="5">
        <v>27.68</v>
      </c>
      <c r="AF13" s="5">
        <f>11.71+6.67</f>
        <v>18.380000000000003</v>
      </c>
      <c r="AG13" s="8">
        <f t="shared" ref="AG13:AG20" si="2">SUM(Y13:AF13)</f>
        <v>211.42000000000002</v>
      </c>
      <c r="AH13" s="9">
        <f>36+3.4+3.76+3.77+3.77</f>
        <v>50.7</v>
      </c>
      <c r="AI13" s="5">
        <v>9.82</v>
      </c>
      <c r="AJ13" s="5">
        <v>71.83</v>
      </c>
      <c r="AK13" s="208">
        <v>3.91</v>
      </c>
      <c r="AL13" s="203"/>
      <c r="AM13" s="5">
        <f>3.91+2.26+5.19+0.88+1.54+3.67+7.84</f>
        <v>25.290000000000003</v>
      </c>
      <c r="AN13" s="5">
        <v>21.12</v>
      </c>
      <c r="AO13" s="5">
        <f>6.86+11.73</f>
        <v>18.59</v>
      </c>
      <c r="AP13" s="7">
        <f t="shared" ref="AP13:AP20" si="3">SUM(AH13:AO13)</f>
        <v>201.26</v>
      </c>
      <c r="AQ13" s="30">
        <f>36+3.45+3.84+3.77+3.77</f>
        <v>50.830000000000013</v>
      </c>
      <c r="AR13" s="3">
        <v>13.76</v>
      </c>
      <c r="AS13" s="3">
        <v>79.27</v>
      </c>
      <c r="AT13" s="208">
        <v>3.89</v>
      </c>
      <c r="AU13" s="203"/>
      <c r="AV13" s="3">
        <f>3.95+1.72+4.56+9.25+3.59+1.43+7.78</f>
        <v>32.28</v>
      </c>
      <c r="AW13" s="3">
        <v>21.05</v>
      </c>
      <c r="AX13" s="3"/>
      <c r="AY13" s="8">
        <f t="shared" ref="AY13:AY43" si="4">SUM(AQ13:AX13)</f>
        <v>201.08</v>
      </c>
      <c r="AZ13" s="10">
        <f t="shared" ref="AZ13:AZ43" si="5">AY13+AP13+AG13</f>
        <v>613.76</v>
      </c>
      <c r="BA13" s="20">
        <v>14.27</v>
      </c>
      <c r="BC13" s="119">
        <f t="shared" ref="BC13:BC43" si="6">AZ13+V13</f>
        <v>1860.3</v>
      </c>
      <c r="BD13" s="120"/>
      <c r="BE13" s="15">
        <f t="shared" ref="BE13:BE43" si="7">BA13+W13</f>
        <v>35.93</v>
      </c>
      <c r="BG13" s="9">
        <f>13.7+13.68+12.49+12.63+12.88</f>
        <v>65.38</v>
      </c>
      <c r="BH13" s="5"/>
      <c r="BI13" s="9">
        <f>13.99+12.89+12.5+13.67+13.67</f>
        <v>66.72</v>
      </c>
      <c r="BJ13" s="5"/>
      <c r="BK13" s="9">
        <f>13.65+13.65+12.49+12.81+14</f>
        <v>66.599999999999994</v>
      </c>
      <c r="BL13" s="5"/>
      <c r="BM13" s="9">
        <f t="shared" ref="BM13:BM42" si="8">BG13+BI13+BK13</f>
        <v>198.7</v>
      </c>
      <c r="BN13" s="10">
        <f t="shared" ref="BN13:BN42" si="9">BH13+BJ13+BL13</f>
        <v>0</v>
      </c>
      <c r="BP13" s="15">
        <f>7.41+16.57+5.45</f>
        <v>29.43</v>
      </c>
      <c r="BQ13" s="10">
        <f>7.41+16.56+5.43</f>
        <v>29.4</v>
      </c>
      <c r="BR13" s="10">
        <f>19.94+8.99+4.28</f>
        <v>33.21</v>
      </c>
    </row>
    <row r="14" spans="1:70" ht="12" customHeight="1" x14ac:dyDescent="0.2">
      <c r="A14" s="18" t="s">
        <v>7</v>
      </c>
      <c r="B14" s="9">
        <v>86.56</v>
      </c>
      <c r="C14" s="5">
        <v>86.6</v>
      </c>
      <c r="D14" s="5">
        <v>63.89</v>
      </c>
      <c r="E14" s="5">
        <v>115.47</v>
      </c>
      <c r="F14" s="5">
        <v>77.08</v>
      </c>
      <c r="G14" s="10">
        <v>4.62</v>
      </c>
      <c r="H14" s="9">
        <v>86.48</v>
      </c>
      <c r="I14" s="5">
        <v>86.4</v>
      </c>
      <c r="J14" s="5">
        <v>64.099999999999994</v>
      </c>
      <c r="K14" s="5">
        <v>129.30000000000001</v>
      </c>
      <c r="L14" s="5">
        <v>64.5</v>
      </c>
      <c r="M14" s="7">
        <v>4.57</v>
      </c>
      <c r="N14" s="9">
        <v>86.34</v>
      </c>
      <c r="O14" s="5">
        <v>86.34</v>
      </c>
      <c r="P14" s="5">
        <v>63.86</v>
      </c>
      <c r="Q14" s="5">
        <v>129</v>
      </c>
      <c r="R14" s="5">
        <v>64.17</v>
      </c>
      <c r="S14" s="10">
        <v>4.6100000000000003</v>
      </c>
      <c r="T14" s="9">
        <f t="shared" si="0"/>
        <v>13.8</v>
      </c>
      <c r="U14" s="5">
        <f t="shared" si="1"/>
        <v>1290.0899999999999</v>
      </c>
      <c r="V14" s="10">
        <f t="shared" ref="V14:V41" si="10">T14+U14</f>
        <v>1303.8899999999999</v>
      </c>
      <c r="W14" s="12">
        <f t="shared" ref="W14:W16" si="11">7.55+7.55+7.57</f>
        <v>22.67</v>
      </c>
      <c r="Y14" s="9">
        <f>45+18.75</f>
        <v>63.75</v>
      </c>
      <c r="Z14" s="5"/>
      <c r="AA14" s="5">
        <v>71.69</v>
      </c>
      <c r="AB14" s="182"/>
      <c r="AC14" s="183"/>
      <c r="AD14" s="5">
        <v>29.33</v>
      </c>
      <c r="AE14" s="5"/>
      <c r="AF14" s="5">
        <v>18.36</v>
      </c>
      <c r="AG14" s="8">
        <f t="shared" si="2"/>
        <v>183.13</v>
      </c>
      <c r="AH14" s="9">
        <f>45+18.66</f>
        <v>63.66</v>
      </c>
      <c r="AI14" s="5"/>
      <c r="AJ14" s="5">
        <v>71.790000000000006</v>
      </c>
      <c r="AK14" s="182"/>
      <c r="AL14" s="183"/>
      <c r="AM14" s="5">
        <v>29.15</v>
      </c>
      <c r="AN14" s="5"/>
      <c r="AO14" s="5">
        <v>24.6</v>
      </c>
      <c r="AP14" s="28">
        <f t="shared" si="3"/>
        <v>189.2</v>
      </c>
      <c r="AQ14" s="30">
        <f t="shared" ref="AQ14:AQ20" si="12">45+18.75</f>
        <v>63.75</v>
      </c>
      <c r="AR14" s="3"/>
      <c r="AS14" s="3">
        <v>79.349999999999994</v>
      </c>
      <c r="AT14" s="182"/>
      <c r="AU14" s="183"/>
      <c r="AV14" s="3">
        <v>36.200000000000003</v>
      </c>
      <c r="AW14" s="3"/>
      <c r="AX14" s="3">
        <v>6.2</v>
      </c>
      <c r="AY14" s="8">
        <f t="shared" si="4"/>
        <v>185.5</v>
      </c>
      <c r="AZ14" s="10">
        <f t="shared" si="5"/>
        <v>557.82999999999993</v>
      </c>
      <c r="BA14" s="15">
        <f>3.22+3.29+3.18</f>
        <v>9.69</v>
      </c>
      <c r="BC14" s="117">
        <f t="shared" si="6"/>
        <v>1861.7199999999998</v>
      </c>
      <c r="BD14" s="118"/>
      <c r="BE14" s="15">
        <f t="shared" si="7"/>
        <v>32.36</v>
      </c>
      <c r="BG14" s="9">
        <v>65.02</v>
      </c>
      <c r="BH14" s="5"/>
      <c r="BI14" s="9">
        <v>66.34</v>
      </c>
      <c r="BJ14" s="5"/>
      <c r="BK14" s="9">
        <v>66.28</v>
      </c>
      <c r="BL14" s="5"/>
      <c r="BM14" s="9">
        <f t="shared" si="8"/>
        <v>197.64000000000001</v>
      </c>
      <c r="BN14" s="10">
        <f t="shared" si="9"/>
        <v>0</v>
      </c>
      <c r="BP14" s="15">
        <v>29.43</v>
      </c>
      <c r="BQ14" s="10">
        <v>29.42</v>
      </c>
      <c r="BR14" s="10">
        <v>33.21</v>
      </c>
    </row>
    <row r="15" spans="1:70" ht="12" customHeight="1" x14ac:dyDescent="0.2">
      <c r="A15" s="18" t="s">
        <v>8</v>
      </c>
      <c r="B15" s="9">
        <v>86.56</v>
      </c>
      <c r="C15" s="5">
        <v>86.6</v>
      </c>
      <c r="D15" s="5">
        <v>63.89</v>
      </c>
      <c r="E15" s="5">
        <v>115.47</v>
      </c>
      <c r="F15" s="5">
        <v>77.08</v>
      </c>
      <c r="G15" s="10">
        <v>4.62</v>
      </c>
      <c r="H15" s="9">
        <v>86.48</v>
      </c>
      <c r="I15" s="5">
        <v>86.4</v>
      </c>
      <c r="J15" s="5">
        <v>64.099999999999994</v>
      </c>
      <c r="K15" s="5">
        <v>129.30000000000001</v>
      </c>
      <c r="L15" s="5">
        <v>64.5</v>
      </c>
      <c r="M15" s="7">
        <v>4.57</v>
      </c>
      <c r="N15" s="9">
        <v>86.34</v>
      </c>
      <c r="O15" s="5">
        <v>86.34</v>
      </c>
      <c r="P15" s="5">
        <v>63.86</v>
      </c>
      <c r="Q15" s="5">
        <v>129</v>
      </c>
      <c r="R15" s="5">
        <v>64.17</v>
      </c>
      <c r="S15" s="10">
        <v>4.6100000000000003</v>
      </c>
      <c r="T15" s="9">
        <f t="shared" si="0"/>
        <v>13.8</v>
      </c>
      <c r="U15" s="5">
        <f t="shared" si="1"/>
        <v>1290.0899999999999</v>
      </c>
      <c r="V15" s="10">
        <f t="shared" si="10"/>
        <v>1303.8899999999999</v>
      </c>
      <c r="W15" s="12">
        <f t="shared" si="11"/>
        <v>22.67</v>
      </c>
      <c r="Y15" s="9">
        <f>45+18.75</f>
        <v>63.75</v>
      </c>
      <c r="Z15" s="5"/>
      <c r="AA15" s="5">
        <v>71.69</v>
      </c>
      <c r="AB15" s="182"/>
      <c r="AC15" s="183"/>
      <c r="AD15" s="5">
        <v>29.33</v>
      </c>
      <c r="AE15" s="5"/>
      <c r="AF15" s="5">
        <v>18.36</v>
      </c>
      <c r="AG15" s="8">
        <f t="shared" si="2"/>
        <v>183.13</v>
      </c>
      <c r="AH15" s="9">
        <f>45+18.66</f>
        <v>63.66</v>
      </c>
      <c r="AI15" s="5"/>
      <c r="AJ15" s="5">
        <v>71.790000000000006</v>
      </c>
      <c r="AK15" s="182"/>
      <c r="AL15" s="183"/>
      <c r="AM15" s="5">
        <v>29.15</v>
      </c>
      <c r="AN15" s="5"/>
      <c r="AO15" s="5">
        <v>24.6</v>
      </c>
      <c r="AP15" s="28">
        <f t="shared" si="3"/>
        <v>189.2</v>
      </c>
      <c r="AQ15" s="9">
        <f t="shared" si="12"/>
        <v>63.75</v>
      </c>
      <c r="AR15" s="5"/>
      <c r="AS15" s="5">
        <v>79.349999999999994</v>
      </c>
      <c r="AT15" s="182"/>
      <c r="AU15" s="183"/>
      <c r="AV15" s="5">
        <v>36.200000000000003</v>
      </c>
      <c r="AW15" s="5"/>
      <c r="AX15" s="5">
        <v>6.2</v>
      </c>
      <c r="AY15" s="8">
        <f t="shared" si="4"/>
        <v>185.5</v>
      </c>
      <c r="AZ15" s="10">
        <f t="shared" si="5"/>
        <v>557.82999999999993</v>
      </c>
      <c r="BA15" s="15">
        <f t="shared" ref="BA15:BA18" si="13">3.22+3.29+3.18</f>
        <v>9.69</v>
      </c>
      <c r="BC15" s="117">
        <f t="shared" si="6"/>
        <v>1861.7199999999998</v>
      </c>
      <c r="BD15" s="118"/>
      <c r="BE15" s="15">
        <f t="shared" si="7"/>
        <v>32.36</v>
      </c>
      <c r="BG15" s="9">
        <v>65.02</v>
      </c>
      <c r="BH15" s="5"/>
      <c r="BI15" s="9">
        <v>66.34</v>
      </c>
      <c r="BJ15" s="5"/>
      <c r="BK15" s="9">
        <v>66.28</v>
      </c>
      <c r="BL15" s="5"/>
      <c r="BM15" s="9">
        <f t="shared" si="8"/>
        <v>197.64000000000001</v>
      </c>
      <c r="BN15" s="10">
        <f t="shared" si="9"/>
        <v>0</v>
      </c>
      <c r="BP15" s="15">
        <v>29.43</v>
      </c>
      <c r="BQ15" s="10">
        <v>29.42</v>
      </c>
      <c r="BR15" s="10">
        <v>33.21</v>
      </c>
    </row>
    <row r="16" spans="1:70" ht="12" customHeight="1" x14ac:dyDescent="0.2">
      <c r="A16" s="18" t="s">
        <v>9</v>
      </c>
      <c r="B16" s="9">
        <v>86.56</v>
      </c>
      <c r="C16" s="5">
        <v>86.6</v>
      </c>
      <c r="D16" s="5">
        <v>63.89</v>
      </c>
      <c r="E16" s="5">
        <v>115.47</v>
      </c>
      <c r="F16" s="5">
        <v>77.08</v>
      </c>
      <c r="G16" s="10">
        <v>4.62</v>
      </c>
      <c r="H16" s="9">
        <v>86.48</v>
      </c>
      <c r="I16" s="5">
        <v>86.4</v>
      </c>
      <c r="J16" s="5">
        <v>64.099999999999994</v>
      </c>
      <c r="K16" s="5">
        <v>129.30000000000001</v>
      </c>
      <c r="L16" s="5">
        <v>64.5</v>
      </c>
      <c r="M16" s="7">
        <v>4.57</v>
      </c>
      <c r="N16" s="9">
        <v>86.34</v>
      </c>
      <c r="O16" s="5">
        <v>86.34</v>
      </c>
      <c r="P16" s="5">
        <v>63.86</v>
      </c>
      <c r="Q16" s="5">
        <v>129</v>
      </c>
      <c r="R16" s="5">
        <v>64.17</v>
      </c>
      <c r="S16" s="10">
        <v>4.6100000000000003</v>
      </c>
      <c r="T16" s="9">
        <f t="shared" si="0"/>
        <v>13.8</v>
      </c>
      <c r="U16" s="5">
        <f t="shared" si="1"/>
        <v>1290.0899999999999</v>
      </c>
      <c r="V16" s="10">
        <f t="shared" si="10"/>
        <v>1303.8899999999999</v>
      </c>
      <c r="W16" s="12">
        <f t="shared" si="11"/>
        <v>22.67</v>
      </c>
      <c r="Y16" s="9">
        <f>45+18.75</f>
        <v>63.75</v>
      </c>
      <c r="Z16" s="5"/>
      <c r="AA16" s="5">
        <v>71.69</v>
      </c>
      <c r="AB16" s="182"/>
      <c r="AC16" s="183"/>
      <c r="AD16" s="5">
        <v>29.33</v>
      </c>
      <c r="AE16" s="5"/>
      <c r="AF16" s="5">
        <v>18.36</v>
      </c>
      <c r="AG16" s="8">
        <f t="shared" si="2"/>
        <v>183.13</v>
      </c>
      <c r="AH16" s="9">
        <f>45+18.66</f>
        <v>63.66</v>
      </c>
      <c r="AI16" s="5"/>
      <c r="AJ16" s="5">
        <v>71.790000000000006</v>
      </c>
      <c r="AK16" s="182"/>
      <c r="AL16" s="183"/>
      <c r="AM16" s="5">
        <v>29.15</v>
      </c>
      <c r="AN16" s="5"/>
      <c r="AO16" s="5">
        <v>24.6</v>
      </c>
      <c r="AP16" s="28">
        <f t="shared" si="3"/>
        <v>189.2</v>
      </c>
      <c r="AQ16" s="9">
        <f t="shared" si="12"/>
        <v>63.75</v>
      </c>
      <c r="AR16" s="5"/>
      <c r="AS16" s="5">
        <v>79.349999999999994</v>
      </c>
      <c r="AT16" s="182"/>
      <c r="AU16" s="183"/>
      <c r="AV16" s="5">
        <v>36.200000000000003</v>
      </c>
      <c r="AW16" s="5"/>
      <c r="AX16" s="5">
        <v>6.2</v>
      </c>
      <c r="AY16" s="8">
        <f t="shared" si="4"/>
        <v>185.5</v>
      </c>
      <c r="AZ16" s="10">
        <f t="shared" si="5"/>
        <v>557.82999999999993</v>
      </c>
      <c r="BA16" s="15">
        <f t="shared" si="13"/>
        <v>9.69</v>
      </c>
      <c r="BC16" s="117">
        <f t="shared" si="6"/>
        <v>1861.7199999999998</v>
      </c>
      <c r="BD16" s="118"/>
      <c r="BE16" s="15">
        <f t="shared" si="7"/>
        <v>32.36</v>
      </c>
      <c r="BG16" s="9">
        <v>65.02</v>
      </c>
      <c r="BH16" s="5"/>
      <c r="BI16" s="9">
        <v>66.34</v>
      </c>
      <c r="BJ16" s="5"/>
      <c r="BK16" s="9">
        <v>66.28</v>
      </c>
      <c r="BL16" s="5"/>
      <c r="BM16" s="9">
        <f t="shared" si="8"/>
        <v>197.64000000000001</v>
      </c>
      <c r="BN16" s="10">
        <f t="shared" si="9"/>
        <v>0</v>
      </c>
      <c r="BP16" s="15">
        <v>29.43</v>
      </c>
      <c r="BQ16" s="10">
        <v>29.42</v>
      </c>
      <c r="BR16" s="10">
        <v>33.21</v>
      </c>
    </row>
    <row r="17" spans="1:70" ht="12" customHeight="1" x14ac:dyDescent="0.2">
      <c r="A17" s="18" t="s">
        <v>10</v>
      </c>
      <c r="B17" s="9">
        <v>86.56</v>
      </c>
      <c r="C17" s="5">
        <v>86.6</v>
      </c>
      <c r="D17" s="5">
        <v>63.89</v>
      </c>
      <c r="E17" s="5">
        <v>115.47</v>
      </c>
      <c r="F17" s="5">
        <v>77.08</v>
      </c>
      <c r="G17" s="10">
        <v>4.62</v>
      </c>
      <c r="H17" s="9">
        <v>86.48</v>
      </c>
      <c r="I17" s="5">
        <v>86.4</v>
      </c>
      <c r="J17" s="5">
        <v>64.099999999999994</v>
      </c>
      <c r="K17" s="5">
        <v>129.30000000000001</v>
      </c>
      <c r="L17" s="5">
        <v>64.5</v>
      </c>
      <c r="M17" s="7">
        <v>4.57</v>
      </c>
      <c r="N17" s="9">
        <v>86.34</v>
      </c>
      <c r="O17" s="5">
        <v>86.34</v>
      </c>
      <c r="P17" s="5">
        <v>63.86</v>
      </c>
      <c r="Q17" s="5">
        <v>129</v>
      </c>
      <c r="R17" s="5">
        <v>64.17</v>
      </c>
      <c r="S17" s="10">
        <v>4.6100000000000003</v>
      </c>
      <c r="T17" s="9">
        <f t="shared" si="0"/>
        <v>13.8</v>
      </c>
      <c r="U17" s="5">
        <f t="shared" si="1"/>
        <v>1290.0899999999999</v>
      </c>
      <c r="V17" s="10">
        <f t="shared" si="10"/>
        <v>1303.8899999999999</v>
      </c>
      <c r="W17" s="12">
        <f>7.55+7.55+7.57</f>
        <v>22.67</v>
      </c>
      <c r="Y17" s="9">
        <f>45+18.75</f>
        <v>63.75</v>
      </c>
      <c r="Z17" s="5"/>
      <c r="AA17" s="5">
        <v>71.69</v>
      </c>
      <c r="AB17" s="182"/>
      <c r="AC17" s="183"/>
      <c r="AD17" s="5">
        <v>29.33</v>
      </c>
      <c r="AE17" s="5"/>
      <c r="AF17" s="5">
        <v>18.36</v>
      </c>
      <c r="AG17" s="8">
        <f t="shared" si="2"/>
        <v>183.13</v>
      </c>
      <c r="AH17" s="9">
        <f>45+18.66</f>
        <v>63.66</v>
      </c>
      <c r="AI17" s="5"/>
      <c r="AJ17" s="5">
        <v>71.790000000000006</v>
      </c>
      <c r="AK17" s="182"/>
      <c r="AL17" s="183"/>
      <c r="AM17" s="5">
        <v>29.15</v>
      </c>
      <c r="AN17" s="5"/>
      <c r="AO17" s="5">
        <v>24.6</v>
      </c>
      <c r="AP17" s="28">
        <f t="shared" si="3"/>
        <v>189.2</v>
      </c>
      <c r="AQ17" s="9">
        <f t="shared" si="12"/>
        <v>63.75</v>
      </c>
      <c r="AR17" s="5"/>
      <c r="AS17" s="5">
        <v>79.349999999999994</v>
      </c>
      <c r="AT17" s="182"/>
      <c r="AU17" s="183"/>
      <c r="AV17" s="5">
        <v>36.200000000000003</v>
      </c>
      <c r="AW17" s="5"/>
      <c r="AX17" s="5">
        <v>6.2</v>
      </c>
      <c r="AY17" s="8">
        <f t="shared" si="4"/>
        <v>185.5</v>
      </c>
      <c r="AZ17" s="10">
        <f t="shared" si="5"/>
        <v>557.82999999999993</v>
      </c>
      <c r="BA17" s="15">
        <f t="shared" si="13"/>
        <v>9.69</v>
      </c>
      <c r="BC17" s="117">
        <f t="shared" si="6"/>
        <v>1861.7199999999998</v>
      </c>
      <c r="BD17" s="118"/>
      <c r="BE17" s="15">
        <f t="shared" si="7"/>
        <v>32.36</v>
      </c>
      <c r="BG17" s="9">
        <v>65.02</v>
      </c>
      <c r="BH17" s="5"/>
      <c r="BI17" s="9">
        <v>66.34</v>
      </c>
      <c r="BJ17" s="5"/>
      <c r="BK17" s="9">
        <v>66.28</v>
      </c>
      <c r="BL17" s="5"/>
      <c r="BM17" s="9">
        <f t="shared" si="8"/>
        <v>197.64000000000001</v>
      </c>
      <c r="BN17" s="10">
        <f t="shared" si="9"/>
        <v>0</v>
      </c>
      <c r="BP17" s="15">
        <v>29.43</v>
      </c>
      <c r="BQ17" s="10">
        <v>29.42</v>
      </c>
      <c r="BR17" s="10">
        <v>33.21</v>
      </c>
    </row>
    <row r="18" spans="1:70" ht="12" customHeight="1" x14ac:dyDescent="0.2">
      <c r="A18" s="18" t="s">
        <v>11</v>
      </c>
      <c r="B18" s="9">
        <v>86.52</v>
      </c>
      <c r="C18" s="5">
        <v>86.59</v>
      </c>
      <c r="D18" s="5">
        <v>63.89</v>
      </c>
      <c r="E18" s="5">
        <v>115.47</v>
      </c>
      <c r="F18" s="5">
        <v>77.08</v>
      </c>
      <c r="G18" s="10">
        <v>4.62</v>
      </c>
      <c r="H18" s="9">
        <v>86.51</v>
      </c>
      <c r="I18" s="5">
        <v>86.37</v>
      </c>
      <c r="J18" s="5">
        <v>64.099999999999994</v>
      </c>
      <c r="K18" s="5">
        <v>129.30000000000001</v>
      </c>
      <c r="L18" s="5">
        <v>64.5</v>
      </c>
      <c r="M18" s="7">
        <v>4.57</v>
      </c>
      <c r="N18" s="9">
        <v>86.34</v>
      </c>
      <c r="O18" s="5">
        <v>86.34</v>
      </c>
      <c r="P18" s="5">
        <v>63.86</v>
      </c>
      <c r="Q18" s="5">
        <v>129</v>
      </c>
      <c r="R18" s="5">
        <v>64.17</v>
      </c>
      <c r="S18" s="10">
        <v>4.6100000000000003</v>
      </c>
      <c r="T18" s="9">
        <f t="shared" si="0"/>
        <v>13.8</v>
      </c>
      <c r="U18" s="5">
        <f t="shared" si="1"/>
        <v>1290.0400000000002</v>
      </c>
      <c r="V18" s="10">
        <f t="shared" si="10"/>
        <v>1303.8400000000001</v>
      </c>
      <c r="W18" s="12">
        <f>7.55+7.55+7.57</f>
        <v>22.67</v>
      </c>
      <c r="Y18" s="9">
        <f>45+18.75</f>
        <v>63.75</v>
      </c>
      <c r="Z18" s="5"/>
      <c r="AA18" s="5">
        <v>71.69</v>
      </c>
      <c r="AB18" s="182"/>
      <c r="AC18" s="183"/>
      <c r="AD18" s="5">
        <v>29.33</v>
      </c>
      <c r="AE18" s="5"/>
      <c r="AF18" s="5">
        <v>18.36</v>
      </c>
      <c r="AG18" s="8">
        <f t="shared" si="2"/>
        <v>183.13</v>
      </c>
      <c r="AH18" s="9">
        <f>45+18.66</f>
        <v>63.66</v>
      </c>
      <c r="AI18" s="5"/>
      <c r="AJ18" s="5">
        <v>71.790000000000006</v>
      </c>
      <c r="AK18" s="182"/>
      <c r="AL18" s="183"/>
      <c r="AM18" s="5">
        <v>29.15</v>
      </c>
      <c r="AN18" s="5"/>
      <c r="AO18" s="5">
        <v>24.6</v>
      </c>
      <c r="AP18" s="28">
        <f t="shared" si="3"/>
        <v>189.2</v>
      </c>
      <c r="AQ18" s="9">
        <f t="shared" si="12"/>
        <v>63.75</v>
      </c>
      <c r="AR18" s="5"/>
      <c r="AS18" s="5">
        <v>79.349999999999994</v>
      </c>
      <c r="AT18" s="182"/>
      <c r="AU18" s="183"/>
      <c r="AV18" s="5">
        <v>36.200000000000003</v>
      </c>
      <c r="AW18" s="5"/>
      <c r="AX18" s="5">
        <v>6.2</v>
      </c>
      <c r="AY18" s="8">
        <f t="shared" si="4"/>
        <v>185.5</v>
      </c>
      <c r="AZ18" s="10">
        <f t="shared" si="5"/>
        <v>557.82999999999993</v>
      </c>
      <c r="BA18" s="15">
        <f t="shared" si="13"/>
        <v>9.69</v>
      </c>
      <c r="BC18" s="117">
        <f t="shared" si="6"/>
        <v>1861.67</v>
      </c>
      <c r="BD18" s="118"/>
      <c r="BE18" s="15">
        <f t="shared" si="7"/>
        <v>32.36</v>
      </c>
      <c r="BG18" s="9">
        <v>40</v>
      </c>
      <c r="BH18" s="5">
        <v>24.99</v>
      </c>
      <c r="BI18" s="9">
        <v>41.37</v>
      </c>
      <c r="BJ18" s="5">
        <v>24.97</v>
      </c>
      <c r="BK18" s="9">
        <v>66.28</v>
      </c>
      <c r="BL18" s="5"/>
      <c r="BM18" s="9">
        <f t="shared" si="8"/>
        <v>147.65</v>
      </c>
      <c r="BN18" s="10">
        <f t="shared" si="9"/>
        <v>49.959999999999994</v>
      </c>
      <c r="BP18" s="15">
        <v>29.43</v>
      </c>
      <c r="BQ18" s="10">
        <v>29.42</v>
      </c>
      <c r="BR18" s="10">
        <v>33.21</v>
      </c>
    </row>
    <row r="19" spans="1:70" ht="12" customHeight="1" x14ac:dyDescent="0.2">
      <c r="A19" s="18" t="s">
        <v>12</v>
      </c>
      <c r="B19" s="9">
        <v>86.77</v>
      </c>
      <c r="C19" s="5">
        <v>86.88</v>
      </c>
      <c r="D19" s="5">
        <v>124.63</v>
      </c>
      <c r="E19" s="5">
        <v>124.52</v>
      </c>
      <c r="F19" s="5"/>
      <c r="G19" s="10">
        <v>3.71</v>
      </c>
      <c r="H19" s="9">
        <v>86.61</v>
      </c>
      <c r="I19" s="5">
        <v>86.64</v>
      </c>
      <c r="J19" s="5">
        <v>124.91</v>
      </c>
      <c r="K19" s="5">
        <v>124.87</v>
      </c>
      <c r="M19" s="7">
        <v>3.67</v>
      </c>
      <c r="N19" s="9">
        <v>86.34</v>
      </c>
      <c r="O19" s="5">
        <v>86.34</v>
      </c>
      <c r="P19" s="5">
        <v>63.86</v>
      </c>
      <c r="Q19" s="5">
        <v>129</v>
      </c>
      <c r="R19" s="5">
        <v>64.17</v>
      </c>
      <c r="S19" s="10">
        <v>4.6100000000000003</v>
      </c>
      <c r="T19" s="9">
        <f t="shared" si="0"/>
        <v>11.990000000000002</v>
      </c>
      <c r="U19" s="5">
        <f t="shared" si="1"/>
        <v>1275.54</v>
      </c>
      <c r="V19" s="10">
        <f t="shared" si="10"/>
        <v>1287.53</v>
      </c>
      <c r="W19" s="12">
        <f>7.55+7.42+7.41</f>
        <v>22.38</v>
      </c>
      <c r="Y19" s="9">
        <f>36+15.34</f>
        <v>51.34</v>
      </c>
      <c r="Z19" s="5"/>
      <c r="AA19" s="2">
        <v>67.02</v>
      </c>
      <c r="AB19" s="182"/>
      <c r="AC19" s="183"/>
      <c r="AD19" s="5">
        <v>39.380000000000003</v>
      </c>
      <c r="AE19" s="5"/>
      <c r="AF19" s="5"/>
      <c r="AG19" s="8">
        <f t="shared" si="2"/>
        <v>157.74</v>
      </c>
      <c r="AH19" s="9">
        <f>36+15.4</f>
        <v>51.4</v>
      </c>
      <c r="AI19" s="5"/>
      <c r="AJ19" s="5">
        <v>66.78</v>
      </c>
      <c r="AK19" s="182"/>
      <c r="AL19" s="183"/>
      <c r="AM19" s="5">
        <v>39.46</v>
      </c>
      <c r="AN19" s="5"/>
      <c r="AO19" s="5"/>
      <c r="AP19" s="28">
        <f t="shared" si="3"/>
        <v>157.64000000000001</v>
      </c>
      <c r="AQ19" s="9">
        <f t="shared" si="12"/>
        <v>63.75</v>
      </c>
      <c r="AR19" s="5"/>
      <c r="AS19" s="5">
        <v>79.349999999999994</v>
      </c>
      <c r="AT19" s="182"/>
      <c r="AU19" s="183"/>
      <c r="AV19" s="5">
        <v>36.200000000000003</v>
      </c>
      <c r="AW19" s="5"/>
      <c r="AX19" s="5">
        <v>6.2</v>
      </c>
      <c r="AY19" s="8">
        <f t="shared" si="4"/>
        <v>185.5</v>
      </c>
      <c r="AZ19" s="10">
        <f t="shared" si="5"/>
        <v>500.88</v>
      </c>
      <c r="BA19" s="15">
        <f>3.22+2.74+2.74</f>
        <v>8.7000000000000011</v>
      </c>
      <c r="BC19" s="117">
        <f t="shared" si="6"/>
        <v>1788.4099999999999</v>
      </c>
      <c r="BD19" s="118"/>
      <c r="BE19" s="15">
        <f t="shared" si="7"/>
        <v>31.08</v>
      </c>
      <c r="BG19" s="9">
        <v>27.4</v>
      </c>
      <c r="BH19" s="5">
        <v>50.96</v>
      </c>
      <c r="BI19" s="9">
        <v>27.32</v>
      </c>
      <c r="BJ19" s="5">
        <v>49.62</v>
      </c>
      <c r="BK19" s="9">
        <v>66.28</v>
      </c>
      <c r="BL19" s="5"/>
      <c r="BM19" s="9">
        <f t="shared" si="8"/>
        <v>121</v>
      </c>
      <c r="BN19" s="10">
        <f t="shared" si="9"/>
        <v>100.58</v>
      </c>
      <c r="BP19" s="15">
        <v>29.08</v>
      </c>
      <c r="BQ19" s="10">
        <v>29.03</v>
      </c>
      <c r="BR19" s="10">
        <v>33.21</v>
      </c>
    </row>
    <row r="20" spans="1:70" ht="12" customHeight="1" thickBot="1" x14ac:dyDescent="0.25">
      <c r="A20" s="18" t="s">
        <v>13</v>
      </c>
      <c r="B20" s="29"/>
      <c r="C20" s="4"/>
      <c r="D20" s="4">
        <v>143.06</v>
      </c>
      <c r="E20" s="4">
        <v>143.06</v>
      </c>
      <c r="F20" s="4"/>
      <c r="G20" s="11">
        <v>1.64</v>
      </c>
      <c r="H20" s="29"/>
      <c r="I20" s="4"/>
      <c r="J20" s="4">
        <v>143.18</v>
      </c>
      <c r="K20" s="4">
        <v>143.32</v>
      </c>
      <c r="L20" s="4"/>
      <c r="M20" s="37">
        <v>1.65</v>
      </c>
      <c r="N20" s="9">
        <v>86.34</v>
      </c>
      <c r="O20" s="5">
        <v>86.34</v>
      </c>
      <c r="P20" s="5">
        <v>63.86</v>
      </c>
      <c r="Q20" s="5">
        <v>129</v>
      </c>
      <c r="R20" s="5">
        <v>64.17</v>
      </c>
      <c r="S20" s="10">
        <v>4.6100000000000003</v>
      </c>
      <c r="T20" s="9">
        <f t="shared" si="0"/>
        <v>7.8999999999999995</v>
      </c>
      <c r="U20" s="5">
        <f t="shared" si="1"/>
        <v>1002.33</v>
      </c>
      <c r="V20" s="10">
        <f t="shared" si="10"/>
        <v>1010.23</v>
      </c>
      <c r="W20" s="12">
        <f>7.55+5.01+5</f>
        <v>17.559999999999999</v>
      </c>
      <c r="Y20" s="9">
        <f>18+7.86</f>
        <v>25.86</v>
      </c>
      <c r="Z20" s="5"/>
      <c r="AA20" s="5">
        <v>61.67</v>
      </c>
      <c r="AB20" s="182"/>
      <c r="AC20" s="183"/>
      <c r="AD20" s="5">
        <v>9.0299999999999994</v>
      </c>
      <c r="AE20" s="5"/>
      <c r="AF20" s="5"/>
      <c r="AG20" s="8">
        <f t="shared" si="2"/>
        <v>96.56</v>
      </c>
      <c r="AH20" s="9">
        <f>18+7.86</f>
        <v>25.86</v>
      </c>
      <c r="AI20" s="5"/>
      <c r="AJ20" s="5">
        <v>61.69</v>
      </c>
      <c r="AK20" s="182"/>
      <c r="AL20" s="183"/>
      <c r="AM20" s="5">
        <v>9.02</v>
      </c>
      <c r="AN20" s="5"/>
      <c r="AO20" s="5"/>
      <c r="AP20" s="28">
        <f t="shared" si="3"/>
        <v>96.57</v>
      </c>
      <c r="AQ20" s="9">
        <f t="shared" si="12"/>
        <v>63.75</v>
      </c>
      <c r="AR20" s="5"/>
      <c r="AS20" s="5">
        <v>79.349999999999994</v>
      </c>
      <c r="AT20" s="182"/>
      <c r="AU20" s="183"/>
      <c r="AV20" s="5">
        <v>36.200000000000003</v>
      </c>
      <c r="AW20" s="5"/>
      <c r="AX20" s="5">
        <v>6.2</v>
      </c>
      <c r="AY20" s="8">
        <f t="shared" si="4"/>
        <v>185.5</v>
      </c>
      <c r="AZ20" s="10">
        <f t="shared" si="5"/>
        <v>378.63</v>
      </c>
      <c r="BA20" s="15">
        <f>3.22+1.68+1.68</f>
        <v>6.58</v>
      </c>
      <c r="BC20" s="117">
        <f t="shared" si="6"/>
        <v>1388.8600000000001</v>
      </c>
      <c r="BD20" s="118"/>
      <c r="BE20" s="15">
        <f t="shared" si="7"/>
        <v>24.14</v>
      </c>
      <c r="BG20" s="9"/>
      <c r="BH20" s="5">
        <v>191.45</v>
      </c>
      <c r="BI20" s="9"/>
      <c r="BJ20" s="5">
        <v>193.2</v>
      </c>
      <c r="BK20" s="9">
        <v>66.28</v>
      </c>
      <c r="BL20" s="5"/>
      <c r="BM20" s="9">
        <f t="shared" si="8"/>
        <v>66.28</v>
      </c>
      <c r="BN20" s="10">
        <f t="shared" si="9"/>
        <v>384.65</v>
      </c>
      <c r="BP20" s="15">
        <v>29.47</v>
      </c>
      <c r="BQ20" s="10">
        <v>29.43</v>
      </c>
      <c r="BR20" s="10">
        <v>33.21</v>
      </c>
    </row>
    <row r="21" spans="1:70" ht="12" customHeight="1" x14ac:dyDescent="0.2">
      <c r="A21" s="18" t="s">
        <v>14</v>
      </c>
      <c r="B21" s="215"/>
      <c r="C21" s="216"/>
      <c r="D21" s="216"/>
      <c r="E21" s="216"/>
      <c r="F21" s="216"/>
      <c r="G21" s="216"/>
      <c r="H21" s="215"/>
      <c r="I21" s="216"/>
      <c r="J21" s="216"/>
      <c r="K21" s="216"/>
      <c r="L21" s="216"/>
      <c r="M21" s="216"/>
      <c r="N21" s="9">
        <v>86.34</v>
      </c>
      <c r="O21" s="5">
        <v>86.34</v>
      </c>
      <c r="P21" s="5">
        <v>63.86</v>
      </c>
      <c r="Q21" s="5">
        <v>129</v>
      </c>
      <c r="R21" s="5">
        <v>64.17</v>
      </c>
      <c r="S21" s="10">
        <v>4.6100000000000003</v>
      </c>
      <c r="T21" s="9">
        <f t="shared" si="0"/>
        <v>4.6100000000000003</v>
      </c>
      <c r="U21" s="5">
        <f t="shared" si="1"/>
        <v>429.71000000000004</v>
      </c>
      <c r="V21" s="10">
        <f t="shared" si="10"/>
        <v>434.32000000000005</v>
      </c>
      <c r="W21" s="12">
        <f>7.55</f>
        <v>7.55</v>
      </c>
      <c r="Y21" s="219"/>
      <c r="Z21" s="220"/>
      <c r="AA21" s="220"/>
      <c r="AB21" s="220"/>
      <c r="AC21" s="220"/>
      <c r="AD21" s="220"/>
      <c r="AE21" s="220"/>
      <c r="AF21" s="220"/>
      <c r="AG21" s="221"/>
      <c r="AH21" s="219"/>
      <c r="AI21" s="220"/>
      <c r="AJ21" s="220"/>
      <c r="AK21" s="220"/>
      <c r="AL21" s="220"/>
      <c r="AM21" s="220"/>
      <c r="AN21" s="220"/>
      <c r="AO21" s="220"/>
      <c r="AP21" s="221"/>
      <c r="AQ21" s="9">
        <f t="shared" ref="AQ21:AQ39" si="14">45+18.75</f>
        <v>63.75</v>
      </c>
      <c r="AR21" s="5"/>
      <c r="AS21" s="5">
        <v>79.349999999999994</v>
      </c>
      <c r="AT21" s="182"/>
      <c r="AU21" s="183"/>
      <c r="AV21" s="5">
        <v>36.200000000000003</v>
      </c>
      <c r="AW21" s="5"/>
      <c r="AX21" s="5">
        <v>6.2</v>
      </c>
      <c r="AY21" s="8">
        <f t="shared" si="4"/>
        <v>185.5</v>
      </c>
      <c r="AZ21" s="10">
        <f t="shared" si="5"/>
        <v>185.5</v>
      </c>
      <c r="BA21" s="15">
        <f>3.22</f>
        <v>3.22</v>
      </c>
      <c r="BC21" s="117">
        <f t="shared" si="6"/>
        <v>619.82000000000005</v>
      </c>
      <c r="BD21" s="118"/>
      <c r="BE21" s="15">
        <f t="shared" si="7"/>
        <v>10.77</v>
      </c>
      <c r="BG21" s="61"/>
      <c r="BH21" s="62"/>
      <c r="BI21" s="61"/>
      <c r="BJ21" s="62"/>
      <c r="BK21" s="9">
        <v>66.28</v>
      </c>
      <c r="BL21" s="5"/>
      <c r="BM21" s="9">
        <f t="shared" si="8"/>
        <v>66.28</v>
      </c>
      <c r="BN21" s="10">
        <f t="shared" si="9"/>
        <v>0</v>
      </c>
      <c r="BP21" s="238"/>
      <c r="BQ21" s="221"/>
      <c r="BR21" s="10">
        <v>33.21</v>
      </c>
    </row>
    <row r="22" spans="1:70" ht="12" customHeight="1" x14ac:dyDescent="0.2">
      <c r="A22" s="18" t="s">
        <v>15</v>
      </c>
      <c r="B22" s="215"/>
      <c r="C22" s="216"/>
      <c r="D22" s="216"/>
      <c r="E22" s="216"/>
      <c r="F22" s="216"/>
      <c r="G22" s="216"/>
      <c r="H22" s="215"/>
      <c r="I22" s="216"/>
      <c r="J22" s="216"/>
      <c r="K22" s="216"/>
      <c r="L22" s="216"/>
      <c r="M22" s="216"/>
      <c r="N22" s="9">
        <v>86.34</v>
      </c>
      <c r="O22" s="5">
        <v>86.34</v>
      </c>
      <c r="P22" s="5">
        <v>63.86</v>
      </c>
      <c r="Q22" s="5">
        <v>129</v>
      </c>
      <c r="R22" s="5">
        <v>64.17</v>
      </c>
      <c r="S22" s="10">
        <v>4.6100000000000003</v>
      </c>
      <c r="T22" s="9">
        <f t="shared" si="0"/>
        <v>4.6100000000000003</v>
      </c>
      <c r="U22" s="5">
        <f t="shared" si="1"/>
        <v>429.71000000000004</v>
      </c>
      <c r="V22" s="10">
        <f t="shared" si="10"/>
        <v>434.32000000000005</v>
      </c>
      <c r="W22" s="12">
        <f t="shared" ref="W22:W39" si="15">7.55</f>
        <v>7.55</v>
      </c>
      <c r="Y22" s="215"/>
      <c r="Z22" s="216"/>
      <c r="AA22" s="216"/>
      <c r="AB22" s="216"/>
      <c r="AC22" s="216"/>
      <c r="AD22" s="216"/>
      <c r="AE22" s="216"/>
      <c r="AF22" s="216"/>
      <c r="AG22" s="222"/>
      <c r="AH22" s="215"/>
      <c r="AI22" s="216"/>
      <c r="AJ22" s="216"/>
      <c r="AK22" s="216"/>
      <c r="AL22" s="216"/>
      <c r="AM22" s="216"/>
      <c r="AN22" s="216"/>
      <c r="AO22" s="216"/>
      <c r="AP22" s="222"/>
      <c r="AQ22" s="9">
        <f t="shared" si="14"/>
        <v>63.75</v>
      </c>
      <c r="AR22" s="5"/>
      <c r="AS22" s="5">
        <v>79.349999999999994</v>
      </c>
      <c r="AT22" s="182"/>
      <c r="AU22" s="183"/>
      <c r="AV22" s="5">
        <v>36.200000000000003</v>
      </c>
      <c r="AW22" s="5"/>
      <c r="AX22" s="5">
        <v>6.2</v>
      </c>
      <c r="AY22" s="8">
        <f t="shared" si="4"/>
        <v>185.5</v>
      </c>
      <c r="AZ22" s="10">
        <f t="shared" si="5"/>
        <v>185.5</v>
      </c>
      <c r="BA22" s="15">
        <f t="shared" ref="BA22:BA39" si="16">3.22</f>
        <v>3.22</v>
      </c>
      <c r="BC22" s="117">
        <f t="shared" si="6"/>
        <v>619.82000000000005</v>
      </c>
      <c r="BD22" s="118"/>
      <c r="BE22" s="15">
        <f t="shared" si="7"/>
        <v>10.77</v>
      </c>
      <c r="BG22" s="63"/>
      <c r="BH22" s="56"/>
      <c r="BI22" s="63"/>
      <c r="BJ22" s="56"/>
      <c r="BK22" s="9">
        <v>66.28</v>
      </c>
      <c r="BL22" s="5"/>
      <c r="BM22" s="9">
        <f t="shared" si="8"/>
        <v>66.28</v>
      </c>
      <c r="BN22" s="10">
        <f t="shared" si="9"/>
        <v>0</v>
      </c>
      <c r="BP22" s="239"/>
      <c r="BQ22" s="222"/>
      <c r="BR22" s="10">
        <v>33.21</v>
      </c>
    </row>
    <row r="23" spans="1:70" ht="12" customHeight="1" x14ac:dyDescent="0.2">
      <c r="A23" s="18" t="s">
        <v>16</v>
      </c>
      <c r="B23" s="215"/>
      <c r="C23" s="216"/>
      <c r="D23" s="216"/>
      <c r="E23" s="216"/>
      <c r="F23" s="216"/>
      <c r="G23" s="216"/>
      <c r="H23" s="215"/>
      <c r="I23" s="216"/>
      <c r="J23" s="216"/>
      <c r="K23" s="216"/>
      <c r="L23" s="216"/>
      <c r="M23" s="216"/>
      <c r="N23" s="9">
        <v>86.34</v>
      </c>
      <c r="O23" s="5">
        <v>86.34</v>
      </c>
      <c r="P23" s="5">
        <v>63.86</v>
      </c>
      <c r="Q23" s="5">
        <v>129</v>
      </c>
      <c r="R23" s="5">
        <v>64.17</v>
      </c>
      <c r="S23" s="10">
        <v>4.6100000000000003</v>
      </c>
      <c r="T23" s="9">
        <f t="shared" si="0"/>
        <v>4.6100000000000003</v>
      </c>
      <c r="U23" s="5">
        <f t="shared" si="1"/>
        <v>429.71000000000004</v>
      </c>
      <c r="V23" s="10">
        <f t="shared" si="10"/>
        <v>434.32000000000005</v>
      </c>
      <c r="W23" s="12">
        <f t="shared" si="15"/>
        <v>7.55</v>
      </c>
      <c r="Y23" s="215"/>
      <c r="Z23" s="216"/>
      <c r="AA23" s="216"/>
      <c r="AB23" s="216"/>
      <c r="AC23" s="216"/>
      <c r="AD23" s="216"/>
      <c r="AE23" s="216"/>
      <c r="AF23" s="216"/>
      <c r="AG23" s="222"/>
      <c r="AH23" s="215"/>
      <c r="AI23" s="216"/>
      <c r="AJ23" s="216"/>
      <c r="AK23" s="216"/>
      <c r="AL23" s="216"/>
      <c r="AM23" s="216"/>
      <c r="AN23" s="216"/>
      <c r="AO23" s="216"/>
      <c r="AP23" s="222"/>
      <c r="AQ23" s="9">
        <f t="shared" si="14"/>
        <v>63.75</v>
      </c>
      <c r="AR23" s="5"/>
      <c r="AS23" s="5">
        <v>79.349999999999994</v>
      </c>
      <c r="AT23" s="182"/>
      <c r="AU23" s="183"/>
      <c r="AV23" s="5">
        <v>36.200000000000003</v>
      </c>
      <c r="AW23" s="5"/>
      <c r="AX23" s="5">
        <v>6.2</v>
      </c>
      <c r="AY23" s="8">
        <f t="shared" si="4"/>
        <v>185.5</v>
      </c>
      <c r="AZ23" s="10">
        <f t="shared" si="5"/>
        <v>185.5</v>
      </c>
      <c r="BA23" s="15">
        <f t="shared" si="16"/>
        <v>3.22</v>
      </c>
      <c r="BC23" s="117">
        <f t="shared" si="6"/>
        <v>619.82000000000005</v>
      </c>
      <c r="BD23" s="118"/>
      <c r="BE23" s="15">
        <f t="shared" si="7"/>
        <v>10.77</v>
      </c>
      <c r="BG23" s="63"/>
      <c r="BH23" s="56"/>
      <c r="BI23" s="63"/>
      <c r="BJ23" s="56"/>
      <c r="BK23" s="9">
        <v>66.28</v>
      </c>
      <c r="BL23" s="5"/>
      <c r="BM23" s="9">
        <f t="shared" si="8"/>
        <v>66.28</v>
      </c>
      <c r="BN23" s="10">
        <f t="shared" si="9"/>
        <v>0</v>
      </c>
      <c r="BP23" s="239"/>
      <c r="BQ23" s="222"/>
      <c r="BR23" s="10">
        <v>33.21</v>
      </c>
    </row>
    <row r="24" spans="1:70" ht="12" customHeight="1" x14ac:dyDescent="0.2">
      <c r="A24" s="18" t="s">
        <v>17</v>
      </c>
      <c r="B24" s="215"/>
      <c r="C24" s="216"/>
      <c r="D24" s="216"/>
      <c r="E24" s="216"/>
      <c r="F24" s="216"/>
      <c r="G24" s="216"/>
      <c r="H24" s="215"/>
      <c r="I24" s="216"/>
      <c r="J24" s="216"/>
      <c r="K24" s="216"/>
      <c r="L24" s="216"/>
      <c r="M24" s="216"/>
      <c r="N24" s="9">
        <v>86.34</v>
      </c>
      <c r="O24" s="5">
        <v>86.34</v>
      </c>
      <c r="P24" s="5">
        <v>63.86</v>
      </c>
      <c r="Q24" s="5">
        <v>129</v>
      </c>
      <c r="R24" s="5">
        <v>64.17</v>
      </c>
      <c r="S24" s="10">
        <v>4.6100000000000003</v>
      </c>
      <c r="T24" s="9">
        <f t="shared" si="0"/>
        <v>4.6100000000000003</v>
      </c>
      <c r="U24" s="5">
        <f t="shared" si="1"/>
        <v>429.71000000000004</v>
      </c>
      <c r="V24" s="10">
        <f t="shared" si="10"/>
        <v>434.32000000000005</v>
      </c>
      <c r="W24" s="12">
        <f t="shared" si="15"/>
        <v>7.55</v>
      </c>
      <c r="Y24" s="215"/>
      <c r="Z24" s="216"/>
      <c r="AA24" s="216"/>
      <c r="AB24" s="216"/>
      <c r="AC24" s="216"/>
      <c r="AD24" s="216"/>
      <c r="AE24" s="216"/>
      <c r="AF24" s="216"/>
      <c r="AG24" s="222"/>
      <c r="AH24" s="215"/>
      <c r="AI24" s="216"/>
      <c r="AJ24" s="216"/>
      <c r="AK24" s="216"/>
      <c r="AL24" s="216"/>
      <c r="AM24" s="216"/>
      <c r="AN24" s="216"/>
      <c r="AO24" s="216"/>
      <c r="AP24" s="222"/>
      <c r="AQ24" s="9">
        <f t="shared" si="14"/>
        <v>63.75</v>
      </c>
      <c r="AR24" s="5"/>
      <c r="AS24" s="5">
        <v>79.349999999999994</v>
      </c>
      <c r="AT24" s="182"/>
      <c r="AU24" s="183"/>
      <c r="AV24" s="5">
        <v>36.200000000000003</v>
      </c>
      <c r="AW24" s="5"/>
      <c r="AX24" s="5">
        <v>6.2</v>
      </c>
      <c r="AY24" s="8">
        <f t="shared" si="4"/>
        <v>185.5</v>
      </c>
      <c r="AZ24" s="10">
        <f t="shared" si="5"/>
        <v>185.5</v>
      </c>
      <c r="BA24" s="15">
        <f t="shared" si="16"/>
        <v>3.22</v>
      </c>
      <c r="BC24" s="117">
        <f t="shared" si="6"/>
        <v>619.82000000000005</v>
      </c>
      <c r="BD24" s="118"/>
      <c r="BE24" s="15">
        <f t="shared" si="7"/>
        <v>10.77</v>
      </c>
      <c r="BG24" s="63"/>
      <c r="BH24" s="56"/>
      <c r="BI24" s="63"/>
      <c r="BJ24" s="56"/>
      <c r="BK24" s="9">
        <v>66.28</v>
      </c>
      <c r="BL24" s="5"/>
      <c r="BM24" s="9">
        <f t="shared" si="8"/>
        <v>66.28</v>
      </c>
      <c r="BN24" s="10">
        <f t="shared" si="9"/>
        <v>0</v>
      </c>
      <c r="BP24" s="239"/>
      <c r="BQ24" s="222"/>
      <c r="BR24" s="10">
        <v>33.21</v>
      </c>
    </row>
    <row r="25" spans="1:70" ht="12" customHeight="1" x14ac:dyDescent="0.2">
      <c r="A25" s="18" t="s">
        <v>18</v>
      </c>
      <c r="B25" s="215"/>
      <c r="C25" s="216"/>
      <c r="D25" s="216"/>
      <c r="E25" s="216"/>
      <c r="F25" s="216"/>
      <c r="G25" s="216"/>
      <c r="H25" s="215"/>
      <c r="I25" s="216"/>
      <c r="J25" s="216"/>
      <c r="K25" s="216"/>
      <c r="L25" s="216"/>
      <c r="M25" s="216"/>
      <c r="N25" s="9">
        <v>86.34</v>
      </c>
      <c r="O25" s="5">
        <v>86.34</v>
      </c>
      <c r="P25" s="5">
        <v>63.86</v>
      </c>
      <c r="Q25" s="5">
        <v>129</v>
      </c>
      <c r="R25" s="5">
        <v>64.17</v>
      </c>
      <c r="S25" s="10">
        <v>4.6100000000000003</v>
      </c>
      <c r="T25" s="9">
        <f t="shared" si="0"/>
        <v>4.6100000000000003</v>
      </c>
      <c r="U25" s="5">
        <f t="shared" si="1"/>
        <v>429.71000000000004</v>
      </c>
      <c r="V25" s="10">
        <f t="shared" si="10"/>
        <v>434.32000000000005</v>
      </c>
      <c r="W25" s="12">
        <f t="shared" si="15"/>
        <v>7.55</v>
      </c>
      <c r="Y25" s="215"/>
      <c r="Z25" s="216"/>
      <c r="AA25" s="216"/>
      <c r="AB25" s="216"/>
      <c r="AC25" s="216"/>
      <c r="AD25" s="216"/>
      <c r="AE25" s="216"/>
      <c r="AF25" s="216"/>
      <c r="AG25" s="222"/>
      <c r="AH25" s="215"/>
      <c r="AI25" s="216"/>
      <c r="AJ25" s="216"/>
      <c r="AK25" s="216"/>
      <c r="AL25" s="216"/>
      <c r="AM25" s="216"/>
      <c r="AN25" s="216"/>
      <c r="AO25" s="216"/>
      <c r="AP25" s="222"/>
      <c r="AQ25" s="9">
        <f t="shared" si="14"/>
        <v>63.75</v>
      </c>
      <c r="AR25" s="5"/>
      <c r="AS25" s="5">
        <v>79.349999999999994</v>
      </c>
      <c r="AT25" s="182"/>
      <c r="AU25" s="183"/>
      <c r="AV25" s="5">
        <v>36.200000000000003</v>
      </c>
      <c r="AW25" s="5"/>
      <c r="AX25" s="5">
        <v>6.2</v>
      </c>
      <c r="AY25" s="8">
        <f t="shared" si="4"/>
        <v>185.5</v>
      </c>
      <c r="AZ25" s="10">
        <f t="shared" si="5"/>
        <v>185.5</v>
      </c>
      <c r="BA25" s="15">
        <f t="shared" si="16"/>
        <v>3.22</v>
      </c>
      <c r="BC25" s="117">
        <f t="shared" si="6"/>
        <v>619.82000000000005</v>
      </c>
      <c r="BD25" s="118"/>
      <c r="BE25" s="15">
        <f t="shared" si="7"/>
        <v>10.77</v>
      </c>
      <c r="BG25" s="63"/>
      <c r="BH25" s="56"/>
      <c r="BI25" s="63"/>
      <c r="BJ25" s="56"/>
      <c r="BK25" s="9">
        <v>66.28</v>
      </c>
      <c r="BL25" s="5"/>
      <c r="BM25" s="9">
        <f t="shared" si="8"/>
        <v>66.28</v>
      </c>
      <c r="BN25" s="10">
        <f t="shared" si="9"/>
        <v>0</v>
      </c>
      <c r="BP25" s="239"/>
      <c r="BQ25" s="222"/>
      <c r="BR25" s="10">
        <v>33.21</v>
      </c>
    </row>
    <row r="26" spans="1:70" ht="12" customHeight="1" x14ac:dyDescent="0.2">
      <c r="A26" s="18" t="s">
        <v>19</v>
      </c>
      <c r="B26" s="215"/>
      <c r="C26" s="216"/>
      <c r="D26" s="216"/>
      <c r="E26" s="216"/>
      <c r="F26" s="216"/>
      <c r="G26" s="216"/>
      <c r="H26" s="215"/>
      <c r="I26" s="216"/>
      <c r="J26" s="216"/>
      <c r="K26" s="216"/>
      <c r="L26" s="216"/>
      <c r="M26" s="216"/>
      <c r="N26" s="9">
        <v>86.34</v>
      </c>
      <c r="O26" s="5">
        <v>86.34</v>
      </c>
      <c r="P26" s="5">
        <v>63.86</v>
      </c>
      <c r="Q26" s="5">
        <v>129</v>
      </c>
      <c r="R26" s="5">
        <v>64.17</v>
      </c>
      <c r="S26" s="10">
        <v>4.6100000000000003</v>
      </c>
      <c r="T26" s="9">
        <f t="shared" si="0"/>
        <v>4.6100000000000003</v>
      </c>
      <c r="U26" s="5">
        <f t="shared" si="1"/>
        <v>429.71000000000004</v>
      </c>
      <c r="V26" s="10">
        <f t="shared" si="10"/>
        <v>434.32000000000005</v>
      </c>
      <c r="W26" s="12">
        <f t="shared" si="15"/>
        <v>7.55</v>
      </c>
      <c r="Y26" s="215"/>
      <c r="Z26" s="216"/>
      <c r="AA26" s="216"/>
      <c r="AB26" s="216"/>
      <c r="AC26" s="216"/>
      <c r="AD26" s="216"/>
      <c r="AE26" s="216"/>
      <c r="AF26" s="216"/>
      <c r="AG26" s="222"/>
      <c r="AH26" s="215"/>
      <c r="AI26" s="216"/>
      <c r="AJ26" s="216"/>
      <c r="AK26" s="216"/>
      <c r="AL26" s="216"/>
      <c r="AM26" s="216"/>
      <c r="AN26" s="216"/>
      <c r="AO26" s="216"/>
      <c r="AP26" s="222"/>
      <c r="AQ26" s="9">
        <f t="shared" si="14"/>
        <v>63.75</v>
      </c>
      <c r="AR26" s="5"/>
      <c r="AS26" s="5">
        <v>79.349999999999994</v>
      </c>
      <c r="AT26" s="182"/>
      <c r="AU26" s="183"/>
      <c r="AV26" s="5">
        <v>36.200000000000003</v>
      </c>
      <c r="AW26" s="5"/>
      <c r="AX26" s="5">
        <v>6.2</v>
      </c>
      <c r="AY26" s="8">
        <f t="shared" si="4"/>
        <v>185.5</v>
      </c>
      <c r="AZ26" s="10">
        <f t="shared" si="5"/>
        <v>185.5</v>
      </c>
      <c r="BA26" s="15">
        <f t="shared" si="16"/>
        <v>3.22</v>
      </c>
      <c r="BC26" s="117">
        <f t="shared" si="6"/>
        <v>619.82000000000005</v>
      </c>
      <c r="BD26" s="118"/>
      <c r="BE26" s="15">
        <f t="shared" si="7"/>
        <v>10.77</v>
      </c>
      <c r="BG26" s="63"/>
      <c r="BH26" s="56"/>
      <c r="BI26" s="63"/>
      <c r="BJ26" s="56"/>
      <c r="BK26" s="9">
        <v>66.28</v>
      </c>
      <c r="BL26" s="5"/>
      <c r="BM26" s="9">
        <f t="shared" si="8"/>
        <v>66.28</v>
      </c>
      <c r="BN26" s="10">
        <f t="shared" si="9"/>
        <v>0</v>
      </c>
      <c r="BP26" s="239"/>
      <c r="BQ26" s="222"/>
      <c r="BR26" s="10">
        <v>33.21</v>
      </c>
    </row>
    <row r="27" spans="1:70" ht="12" customHeight="1" x14ac:dyDescent="0.2">
      <c r="A27" s="18" t="s">
        <v>20</v>
      </c>
      <c r="B27" s="215"/>
      <c r="C27" s="216"/>
      <c r="D27" s="216"/>
      <c r="E27" s="216"/>
      <c r="F27" s="216"/>
      <c r="G27" s="216"/>
      <c r="H27" s="215"/>
      <c r="I27" s="216"/>
      <c r="J27" s="216"/>
      <c r="K27" s="216"/>
      <c r="L27" s="216"/>
      <c r="M27" s="216"/>
      <c r="N27" s="9">
        <v>86.34</v>
      </c>
      <c r="O27" s="5">
        <v>86.34</v>
      </c>
      <c r="P27" s="5">
        <v>63.86</v>
      </c>
      <c r="Q27" s="5">
        <v>129</v>
      </c>
      <c r="R27" s="5">
        <v>64.17</v>
      </c>
      <c r="S27" s="10">
        <v>4.6100000000000003</v>
      </c>
      <c r="T27" s="9">
        <f t="shared" si="0"/>
        <v>4.6100000000000003</v>
      </c>
      <c r="U27" s="5">
        <f t="shared" si="1"/>
        <v>429.71000000000004</v>
      </c>
      <c r="V27" s="10">
        <f t="shared" si="10"/>
        <v>434.32000000000005</v>
      </c>
      <c r="W27" s="12">
        <f t="shared" si="15"/>
        <v>7.55</v>
      </c>
      <c r="Y27" s="215"/>
      <c r="Z27" s="216"/>
      <c r="AA27" s="216"/>
      <c r="AB27" s="216"/>
      <c r="AC27" s="216"/>
      <c r="AD27" s="216"/>
      <c r="AE27" s="216"/>
      <c r="AF27" s="216"/>
      <c r="AG27" s="222"/>
      <c r="AH27" s="215"/>
      <c r="AI27" s="216"/>
      <c r="AJ27" s="216"/>
      <c r="AK27" s="216"/>
      <c r="AL27" s="216"/>
      <c r="AM27" s="216"/>
      <c r="AN27" s="216"/>
      <c r="AO27" s="216"/>
      <c r="AP27" s="222"/>
      <c r="AQ27" s="9">
        <f t="shared" si="14"/>
        <v>63.75</v>
      </c>
      <c r="AR27" s="5"/>
      <c r="AS27" s="5">
        <v>79.349999999999994</v>
      </c>
      <c r="AT27" s="182"/>
      <c r="AU27" s="183"/>
      <c r="AV27" s="5">
        <v>36.200000000000003</v>
      </c>
      <c r="AW27" s="5"/>
      <c r="AX27" s="5">
        <v>6.2</v>
      </c>
      <c r="AY27" s="8">
        <f t="shared" si="4"/>
        <v>185.5</v>
      </c>
      <c r="AZ27" s="10">
        <f t="shared" si="5"/>
        <v>185.5</v>
      </c>
      <c r="BA27" s="15">
        <f t="shared" si="16"/>
        <v>3.22</v>
      </c>
      <c r="BC27" s="117">
        <f t="shared" si="6"/>
        <v>619.82000000000005</v>
      </c>
      <c r="BD27" s="118"/>
      <c r="BE27" s="15">
        <f t="shared" si="7"/>
        <v>10.77</v>
      </c>
      <c r="BG27" s="63"/>
      <c r="BH27" s="56"/>
      <c r="BI27" s="63"/>
      <c r="BJ27" s="56"/>
      <c r="BK27" s="9">
        <v>66.28</v>
      </c>
      <c r="BL27" s="5"/>
      <c r="BM27" s="9">
        <f t="shared" si="8"/>
        <v>66.28</v>
      </c>
      <c r="BN27" s="10">
        <f t="shared" si="9"/>
        <v>0</v>
      </c>
      <c r="BP27" s="239"/>
      <c r="BQ27" s="222"/>
      <c r="BR27" s="10">
        <v>33.21</v>
      </c>
    </row>
    <row r="28" spans="1:70" ht="12" customHeight="1" x14ac:dyDescent="0.2">
      <c r="A28" s="18" t="s">
        <v>21</v>
      </c>
      <c r="B28" s="215"/>
      <c r="C28" s="216"/>
      <c r="D28" s="216"/>
      <c r="E28" s="216"/>
      <c r="F28" s="216"/>
      <c r="G28" s="216"/>
      <c r="H28" s="215"/>
      <c r="I28" s="216"/>
      <c r="J28" s="216"/>
      <c r="K28" s="216"/>
      <c r="L28" s="216"/>
      <c r="M28" s="216"/>
      <c r="N28" s="9">
        <v>86.34</v>
      </c>
      <c r="O28" s="5">
        <v>86.34</v>
      </c>
      <c r="P28" s="5">
        <v>63.86</v>
      </c>
      <c r="Q28" s="5">
        <v>129</v>
      </c>
      <c r="R28" s="5">
        <v>64.17</v>
      </c>
      <c r="S28" s="10">
        <v>4.6100000000000003</v>
      </c>
      <c r="T28" s="9">
        <f t="shared" si="0"/>
        <v>4.6100000000000003</v>
      </c>
      <c r="U28" s="5">
        <f t="shared" si="1"/>
        <v>429.71000000000004</v>
      </c>
      <c r="V28" s="10">
        <f t="shared" si="10"/>
        <v>434.32000000000005</v>
      </c>
      <c r="W28" s="12">
        <f t="shared" si="15"/>
        <v>7.55</v>
      </c>
      <c r="Y28" s="215"/>
      <c r="Z28" s="216"/>
      <c r="AA28" s="216"/>
      <c r="AB28" s="216"/>
      <c r="AC28" s="216"/>
      <c r="AD28" s="216"/>
      <c r="AE28" s="216"/>
      <c r="AF28" s="216"/>
      <c r="AG28" s="222"/>
      <c r="AH28" s="215"/>
      <c r="AI28" s="216"/>
      <c r="AJ28" s="216"/>
      <c r="AK28" s="216"/>
      <c r="AL28" s="216"/>
      <c r="AM28" s="216"/>
      <c r="AN28" s="216"/>
      <c r="AO28" s="216"/>
      <c r="AP28" s="222"/>
      <c r="AQ28" s="9">
        <f t="shared" si="14"/>
        <v>63.75</v>
      </c>
      <c r="AR28" s="5"/>
      <c r="AS28" s="5">
        <v>79.349999999999994</v>
      </c>
      <c r="AT28" s="182"/>
      <c r="AU28" s="183"/>
      <c r="AV28" s="5">
        <v>36.200000000000003</v>
      </c>
      <c r="AW28" s="5"/>
      <c r="AX28" s="5">
        <v>6.2</v>
      </c>
      <c r="AY28" s="8">
        <f t="shared" si="4"/>
        <v>185.5</v>
      </c>
      <c r="AZ28" s="10">
        <f t="shared" si="5"/>
        <v>185.5</v>
      </c>
      <c r="BA28" s="15">
        <f t="shared" si="16"/>
        <v>3.22</v>
      </c>
      <c r="BC28" s="117">
        <f t="shared" si="6"/>
        <v>619.82000000000005</v>
      </c>
      <c r="BD28" s="118"/>
      <c r="BE28" s="15">
        <f t="shared" si="7"/>
        <v>10.77</v>
      </c>
      <c r="BG28" s="63"/>
      <c r="BH28" s="56"/>
      <c r="BI28" s="63"/>
      <c r="BJ28" s="56"/>
      <c r="BK28" s="9">
        <v>66.28</v>
      </c>
      <c r="BL28" s="5"/>
      <c r="BM28" s="9">
        <f t="shared" si="8"/>
        <v>66.28</v>
      </c>
      <c r="BN28" s="10">
        <f t="shared" si="9"/>
        <v>0</v>
      </c>
      <c r="BP28" s="239"/>
      <c r="BQ28" s="222"/>
      <c r="BR28" s="10">
        <v>33.21</v>
      </c>
    </row>
    <row r="29" spans="1:70" ht="12" customHeight="1" x14ac:dyDescent="0.2">
      <c r="A29" s="18" t="s">
        <v>22</v>
      </c>
      <c r="B29" s="215"/>
      <c r="C29" s="216"/>
      <c r="D29" s="216"/>
      <c r="E29" s="216"/>
      <c r="F29" s="216"/>
      <c r="G29" s="216"/>
      <c r="H29" s="215"/>
      <c r="I29" s="216"/>
      <c r="J29" s="216"/>
      <c r="K29" s="216"/>
      <c r="L29" s="216"/>
      <c r="M29" s="216"/>
      <c r="N29" s="9">
        <v>86.34</v>
      </c>
      <c r="O29" s="5">
        <v>86.34</v>
      </c>
      <c r="P29" s="5">
        <v>63.86</v>
      </c>
      <c r="Q29" s="5">
        <v>129</v>
      </c>
      <c r="R29" s="5">
        <v>64.17</v>
      </c>
      <c r="S29" s="10">
        <v>4.6100000000000003</v>
      </c>
      <c r="T29" s="9">
        <f t="shared" si="0"/>
        <v>4.6100000000000003</v>
      </c>
      <c r="U29" s="5">
        <f t="shared" si="1"/>
        <v>429.71000000000004</v>
      </c>
      <c r="V29" s="10">
        <f t="shared" si="10"/>
        <v>434.32000000000005</v>
      </c>
      <c r="W29" s="12">
        <f t="shared" si="15"/>
        <v>7.55</v>
      </c>
      <c r="Y29" s="215"/>
      <c r="Z29" s="216"/>
      <c r="AA29" s="216"/>
      <c r="AB29" s="216"/>
      <c r="AC29" s="216"/>
      <c r="AD29" s="216"/>
      <c r="AE29" s="216"/>
      <c r="AF29" s="216"/>
      <c r="AG29" s="222"/>
      <c r="AH29" s="215"/>
      <c r="AI29" s="216"/>
      <c r="AJ29" s="216"/>
      <c r="AK29" s="216"/>
      <c r="AL29" s="216"/>
      <c r="AM29" s="216"/>
      <c r="AN29" s="216"/>
      <c r="AO29" s="216"/>
      <c r="AP29" s="222"/>
      <c r="AQ29" s="9">
        <f t="shared" si="14"/>
        <v>63.75</v>
      </c>
      <c r="AR29" s="5"/>
      <c r="AS29" s="5">
        <v>79.349999999999994</v>
      </c>
      <c r="AT29" s="182"/>
      <c r="AU29" s="183"/>
      <c r="AV29" s="5">
        <v>36.200000000000003</v>
      </c>
      <c r="AW29" s="5"/>
      <c r="AX29" s="5">
        <v>6.2</v>
      </c>
      <c r="AY29" s="8">
        <f t="shared" si="4"/>
        <v>185.5</v>
      </c>
      <c r="AZ29" s="10">
        <f t="shared" si="5"/>
        <v>185.5</v>
      </c>
      <c r="BA29" s="15">
        <f t="shared" si="16"/>
        <v>3.22</v>
      </c>
      <c r="BC29" s="117">
        <f t="shared" si="6"/>
        <v>619.82000000000005</v>
      </c>
      <c r="BD29" s="118"/>
      <c r="BE29" s="15">
        <f t="shared" si="7"/>
        <v>10.77</v>
      </c>
      <c r="BG29" s="63"/>
      <c r="BH29" s="56"/>
      <c r="BI29" s="63"/>
      <c r="BJ29" s="56"/>
      <c r="BK29" s="9">
        <v>66.28</v>
      </c>
      <c r="BL29" s="5"/>
      <c r="BM29" s="9">
        <f t="shared" si="8"/>
        <v>66.28</v>
      </c>
      <c r="BN29" s="10">
        <f t="shared" si="9"/>
        <v>0</v>
      </c>
      <c r="BP29" s="239"/>
      <c r="BQ29" s="222"/>
      <c r="BR29" s="10">
        <v>33.21</v>
      </c>
    </row>
    <row r="30" spans="1:70" ht="12" customHeight="1" x14ac:dyDescent="0.2">
      <c r="A30" s="18" t="s">
        <v>23</v>
      </c>
      <c r="B30" s="215"/>
      <c r="C30" s="216"/>
      <c r="D30" s="216"/>
      <c r="E30" s="216"/>
      <c r="F30" s="216"/>
      <c r="G30" s="216"/>
      <c r="H30" s="215"/>
      <c r="I30" s="216"/>
      <c r="J30" s="216"/>
      <c r="K30" s="216"/>
      <c r="L30" s="216"/>
      <c r="M30" s="216"/>
      <c r="N30" s="9">
        <v>86.34</v>
      </c>
      <c r="O30" s="5">
        <v>86.34</v>
      </c>
      <c r="P30" s="5">
        <v>63.86</v>
      </c>
      <c r="Q30" s="5">
        <v>129</v>
      </c>
      <c r="R30" s="5">
        <v>64.17</v>
      </c>
      <c r="S30" s="10">
        <v>4.6100000000000003</v>
      </c>
      <c r="T30" s="9">
        <f t="shared" si="0"/>
        <v>4.6100000000000003</v>
      </c>
      <c r="U30" s="5">
        <f t="shared" si="1"/>
        <v>429.71000000000004</v>
      </c>
      <c r="V30" s="10">
        <f t="shared" si="10"/>
        <v>434.32000000000005</v>
      </c>
      <c r="W30" s="12">
        <f t="shared" si="15"/>
        <v>7.55</v>
      </c>
      <c r="Y30" s="215"/>
      <c r="Z30" s="216"/>
      <c r="AA30" s="216"/>
      <c r="AB30" s="216"/>
      <c r="AC30" s="216"/>
      <c r="AD30" s="216"/>
      <c r="AE30" s="216"/>
      <c r="AF30" s="216"/>
      <c r="AG30" s="222"/>
      <c r="AH30" s="215"/>
      <c r="AI30" s="216"/>
      <c r="AJ30" s="216"/>
      <c r="AK30" s="216"/>
      <c r="AL30" s="216"/>
      <c r="AM30" s="216"/>
      <c r="AN30" s="216"/>
      <c r="AO30" s="216"/>
      <c r="AP30" s="222"/>
      <c r="AQ30" s="9">
        <f t="shared" si="14"/>
        <v>63.75</v>
      </c>
      <c r="AR30" s="5"/>
      <c r="AS30" s="5">
        <v>79.349999999999994</v>
      </c>
      <c r="AT30" s="182"/>
      <c r="AU30" s="183"/>
      <c r="AV30" s="5">
        <v>36.200000000000003</v>
      </c>
      <c r="AW30" s="5"/>
      <c r="AX30" s="5">
        <v>6.2</v>
      </c>
      <c r="AY30" s="8">
        <f t="shared" si="4"/>
        <v>185.5</v>
      </c>
      <c r="AZ30" s="10">
        <f t="shared" si="5"/>
        <v>185.5</v>
      </c>
      <c r="BA30" s="15">
        <f t="shared" si="16"/>
        <v>3.22</v>
      </c>
      <c r="BC30" s="117">
        <f t="shared" si="6"/>
        <v>619.82000000000005</v>
      </c>
      <c r="BD30" s="118"/>
      <c r="BE30" s="15">
        <f t="shared" si="7"/>
        <v>10.77</v>
      </c>
      <c r="BG30" s="63"/>
      <c r="BH30" s="56"/>
      <c r="BI30" s="63"/>
      <c r="BJ30" s="56"/>
      <c r="BK30" s="9">
        <v>66.28</v>
      </c>
      <c r="BL30" s="5"/>
      <c r="BM30" s="9">
        <f t="shared" si="8"/>
        <v>66.28</v>
      </c>
      <c r="BN30" s="10">
        <f t="shared" si="9"/>
        <v>0</v>
      </c>
      <c r="BP30" s="239"/>
      <c r="BQ30" s="222"/>
      <c r="BR30" s="10">
        <v>33.21</v>
      </c>
    </row>
    <row r="31" spans="1:70" ht="12" customHeight="1" x14ac:dyDescent="0.2">
      <c r="A31" s="18" t="s">
        <v>24</v>
      </c>
      <c r="B31" s="215"/>
      <c r="C31" s="216"/>
      <c r="D31" s="216"/>
      <c r="E31" s="216"/>
      <c r="F31" s="216"/>
      <c r="G31" s="216"/>
      <c r="H31" s="215"/>
      <c r="I31" s="216"/>
      <c r="J31" s="216"/>
      <c r="K31" s="216"/>
      <c r="L31" s="216"/>
      <c r="M31" s="216"/>
      <c r="N31" s="9">
        <v>86.34</v>
      </c>
      <c r="O31" s="5">
        <v>86.34</v>
      </c>
      <c r="P31" s="5">
        <v>63.86</v>
      </c>
      <c r="Q31" s="5">
        <v>129</v>
      </c>
      <c r="R31" s="5">
        <v>64.17</v>
      </c>
      <c r="S31" s="10">
        <v>4.6100000000000003</v>
      </c>
      <c r="T31" s="9">
        <f t="shared" si="0"/>
        <v>4.6100000000000003</v>
      </c>
      <c r="U31" s="5">
        <f t="shared" si="1"/>
        <v>429.71000000000004</v>
      </c>
      <c r="V31" s="10">
        <f t="shared" si="10"/>
        <v>434.32000000000005</v>
      </c>
      <c r="W31" s="12">
        <f t="shared" si="15"/>
        <v>7.55</v>
      </c>
      <c r="Y31" s="215"/>
      <c r="Z31" s="216"/>
      <c r="AA31" s="216"/>
      <c r="AB31" s="216"/>
      <c r="AC31" s="216"/>
      <c r="AD31" s="216"/>
      <c r="AE31" s="216"/>
      <c r="AF31" s="216"/>
      <c r="AG31" s="222"/>
      <c r="AH31" s="215"/>
      <c r="AI31" s="216"/>
      <c r="AJ31" s="216"/>
      <c r="AK31" s="216"/>
      <c r="AL31" s="216"/>
      <c r="AM31" s="216"/>
      <c r="AN31" s="216"/>
      <c r="AO31" s="216"/>
      <c r="AP31" s="222"/>
      <c r="AQ31" s="9">
        <f t="shared" si="14"/>
        <v>63.75</v>
      </c>
      <c r="AR31" s="5"/>
      <c r="AS31" s="5">
        <v>79.349999999999994</v>
      </c>
      <c r="AT31" s="182"/>
      <c r="AU31" s="183"/>
      <c r="AV31" s="5">
        <v>36.200000000000003</v>
      </c>
      <c r="AW31" s="5"/>
      <c r="AX31" s="5">
        <v>6.2</v>
      </c>
      <c r="AY31" s="8">
        <f t="shared" si="4"/>
        <v>185.5</v>
      </c>
      <c r="AZ31" s="10">
        <f t="shared" si="5"/>
        <v>185.5</v>
      </c>
      <c r="BA31" s="15">
        <f t="shared" si="16"/>
        <v>3.22</v>
      </c>
      <c r="BC31" s="117">
        <f t="shared" si="6"/>
        <v>619.82000000000005</v>
      </c>
      <c r="BD31" s="118"/>
      <c r="BE31" s="15">
        <f t="shared" si="7"/>
        <v>10.77</v>
      </c>
      <c r="BG31" s="63"/>
      <c r="BH31" s="56"/>
      <c r="BI31" s="63"/>
      <c r="BJ31" s="56"/>
      <c r="BK31" s="9">
        <v>66.28</v>
      </c>
      <c r="BL31" s="5"/>
      <c r="BM31" s="9">
        <f t="shared" si="8"/>
        <v>66.28</v>
      </c>
      <c r="BN31" s="10">
        <f t="shared" si="9"/>
        <v>0</v>
      </c>
      <c r="BP31" s="239"/>
      <c r="BQ31" s="222"/>
      <c r="BR31" s="10">
        <v>33.21</v>
      </c>
    </row>
    <row r="32" spans="1:70" ht="12" customHeight="1" x14ac:dyDescent="0.2">
      <c r="A32" s="18" t="s">
        <v>25</v>
      </c>
      <c r="B32" s="215"/>
      <c r="C32" s="216"/>
      <c r="D32" s="216"/>
      <c r="E32" s="216"/>
      <c r="F32" s="216"/>
      <c r="G32" s="216"/>
      <c r="H32" s="215"/>
      <c r="I32" s="216"/>
      <c r="J32" s="216"/>
      <c r="K32" s="216"/>
      <c r="L32" s="216"/>
      <c r="M32" s="216"/>
      <c r="N32" s="9">
        <v>86.34</v>
      </c>
      <c r="O32" s="5">
        <v>86.34</v>
      </c>
      <c r="P32" s="5">
        <v>63.86</v>
      </c>
      <c r="Q32" s="5">
        <v>129</v>
      </c>
      <c r="R32" s="5">
        <v>64.17</v>
      </c>
      <c r="S32" s="10">
        <v>4.6100000000000003</v>
      </c>
      <c r="T32" s="9">
        <f t="shared" si="0"/>
        <v>4.6100000000000003</v>
      </c>
      <c r="U32" s="5">
        <f t="shared" si="1"/>
        <v>429.71000000000004</v>
      </c>
      <c r="V32" s="10">
        <f>T32+U32</f>
        <v>434.32000000000005</v>
      </c>
      <c r="W32" s="12">
        <f t="shared" si="15"/>
        <v>7.55</v>
      </c>
      <c r="Y32" s="215"/>
      <c r="Z32" s="216"/>
      <c r="AA32" s="216"/>
      <c r="AB32" s="216"/>
      <c r="AC32" s="216"/>
      <c r="AD32" s="216"/>
      <c r="AE32" s="216"/>
      <c r="AF32" s="216"/>
      <c r="AG32" s="222"/>
      <c r="AH32" s="215"/>
      <c r="AI32" s="216"/>
      <c r="AJ32" s="216"/>
      <c r="AK32" s="216"/>
      <c r="AL32" s="216"/>
      <c r="AM32" s="216"/>
      <c r="AN32" s="216"/>
      <c r="AO32" s="216"/>
      <c r="AP32" s="222"/>
      <c r="AQ32" s="9">
        <f t="shared" si="14"/>
        <v>63.75</v>
      </c>
      <c r="AR32" s="5"/>
      <c r="AS32" s="5">
        <v>79.349999999999994</v>
      </c>
      <c r="AT32" s="182"/>
      <c r="AU32" s="183"/>
      <c r="AV32" s="5">
        <v>36.200000000000003</v>
      </c>
      <c r="AW32" s="5"/>
      <c r="AX32" s="5">
        <v>6.2</v>
      </c>
      <c r="AY32" s="8">
        <f t="shared" si="4"/>
        <v>185.5</v>
      </c>
      <c r="AZ32" s="10">
        <f t="shared" si="5"/>
        <v>185.5</v>
      </c>
      <c r="BA32" s="15">
        <f t="shared" si="16"/>
        <v>3.22</v>
      </c>
      <c r="BC32" s="117">
        <f t="shared" si="6"/>
        <v>619.82000000000005</v>
      </c>
      <c r="BD32" s="118"/>
      <c r="BE32" s="15">
        <f t="shared" si="7"/>
        <v>10.77</v>
      </c>
      <c r="BG32" s="63"/>
      <c r="BH32" s="56"/>
      <c r="BI32" s="63"/>
      <c r="BJ32" s="56"/>
      <c r="BK32" s="9">
        <v>66.28</v>
      </c>
      <c r="BL32" s="5"/>
      <c r="BM32" s="9">
        <f t="shared" si="8"/>
        <v>66.28</v>
      </c>
      <c r="BN32" s="10">
        <f t="shared" si="9"/>
        <v>0</v>
      </c>
      <c r="BP32" s="239"/>
      <c r="BQ32" s="222"/>
      <c r="BR32" s="10">
        <v>33.21</v>
      </c>
    </row>
    <row r="33" spans="1:70" ht="12" customHeight="1" x14ac:dyDescent="0.2">
      <c r="A33" s="18" t="s">
        <v>26</v>
      </c>
      <c r="B33" s="215"/>
      <c r="C33" s="216"/>
      <c r="D33" s="216"/>
      <c r="E33" s="216"/>
      <c r="F33" s="216"/>
      <c r="G33" s="216"/>
      <c r="H33" s="215"/>
      <c r="I33" s="216"/>
      <c r="J33" s="216"/>
      <c r="K33" s="216"/>
      <c r="L33" s="216"/>
      <c r="M33" s="216"/>
      <c r="N33" s="9">
        <v>86.34</v>
      </c>
      <c r="O33" s="5">
        <v>86.34</v>
      </c>
      <c r="P33" s="5">
        <v>63.86</v>
      </c>
      <c r="Q33" s="5">
        <v>129</v>
      </c>
      <c r="R33" s="5">
        <v>64.17</v>
      </c>
      <c r="S33" s="10">
        <v>4.6100000000000003</v>
      </c>
      <c r="T33" s="9">
        <f t="shared" si="0"/>
        <v>4.6100000000000003</v>
      </c>
      <c r="U33" s="5">
        <f t="shared" si="1"/>
        <v>429.71000000000004</v>
      </c>
      <c r="V33" s="10">
        <f t="shared" si="10"/>
        <v>434.32000000000005</v>
      </c>
      <c r="W33" s="12">
        <f t="shared" si="15"/>
        <v>7.55</v>
      </c>
      <c r="Y33" s="215"/>
      <c r="Z33" s="216"/>
      <c r="AA33" s="216"/>
      <c r="AB33" s="216"/>
      <c r="AC33" s="216"/>
      <c r="AD33" s="216"/>
      <c r="AE33" s="216"/>
      <c r="AF33" s="216"/>
      <c r="AG33" s="222"/>
      <c r="AH33" s="215"/>
      <c r="AI33" s="216"/>
      <c r="AJ33" s="216"/>
      <c r="AK33" s="216"/>
      <c r="AL33" s="216"/>
      <c r="AM33" s="216"/>
      <c r="AN33" s="216"/>
      <c r="AO33" s="216"/>
      <c r="AP33" s="222"/>
      <c r="AQ33" s="9">
        <f t="shared" si="14"/>
        <v>63.75</v>
      </c>
      <c r="AR33" s="5"/>
      <c r="AS33" s="5">
        <v>79.349999999999994</v>
      </c>
      <c r="AT33" s="182"/>
      <c r="AU33" s="183"/>
      <c r="AV33" s="5">
        <v>36.200000000000003</v>
      </c>
      <c r="AW33" s="5"/>
      <c r="AX33" s="5">
        <v>6.2</v>
      </c>
      <c r="AY33" s="8">
        <f t="shared" si="4"/>
        <v>185.5</v>
      </c>
      <c r="AZ33" s="10">
        <f t="shared" si="5"/>
        <v>185.5</v>
      </c>
      <c r="BA33" s="15">
        <f t="shared" si="16"/>
        <v>3.22</v>
      </c>
      <c r="BC33" s="117">
        <f t="shared" si="6"/>
        <v>619.82000000000005</v>
      </c>
      <c r="BD33" s="118"/>
      <c r="BE33" s="15">
        <f t="shared" si="7"/>
        <v>10.77</v>
      </c>
      <c r="BG33" s="63"/>
      <c r="BH33" s="56"/>
      <c r="BI33" s="63"/>
      <c r="BJ33" s="56"/>
      <c r="BK33" s="9">
        <v>66.28</v>
      </c>
      <c r="BL33" s="5"/>
      <c r="BM33" s="9">
        <f t="shared" si="8"/>
        <v>66.28</v>
      </c>
      <c r="BN33" s="10">
        <f t="shared" si="9"/>
        <v>0</v>
      </c>
      <c r="BP33" s="239"/>
      <c r="BQ33" s="222"/>
      <c r="BR33" s="10">
        <v>33.21</v>
      </c>
    </row>
    <row r="34" spans="1:70" ht="12" customHeight="1" x14ac:dyDescent="0.2">
      <c r="A34" s="18" t="s">
        <v>27</v>
      </c>
      <c r="B34" s="215"/>
      <c r="C34" s="216"/>
      <c r="D34" s="216"/>
      <c r="E34" s="216"/>
      <c r="F34" s="216"/>
      <c r="G34" s="216"/>
      <c r="H34" s="215"/>
      <c r="I34" s="216"/>
      <c r="J34" s="216"/>
      <c r="K34" s="216"/>
      <c r="L34" s="216"/>
      <c r="M34" s="216"/>
      <c r="N34" s="9">
        <v>86.34</v>
      </c>
      <c r="O34" s="5">
        <v>86.34</v>
      </c>
      <c r="P34" s="5">
        <v>63.86</v>
      </c>
      <c r="Q34" s="5">
        <v>129</v>
      </c>
      <c r="R34" s="5">
        <v>64.17</v>
      </c>
      <c r="S34" s="10">
        <v>4.6100000000000003</v>
      </c>
      <c r="T34" s="9">
        <f t="shared" si="0"/>
        <v>4.6100000000000003</v>
      </c>
      <c r="U34" s="5">
        <f t="shared" si="1"/>
        <v>429.71000000000004</v>
      </c>
      <c r="V34" s="10">
        <f t="shared" si="10"/>
        <v>434.32000000000005</v>
      </c>
      <c r="W34" s="12">
        <f t="shared" si="15"/>
        <v>7.55</v>
      </c>
      <c r="Y34" s="215"/>
      <c r="Z34" s="216"/>
      <c r="AA34" s="216"/>
      <c r="AB34" s="216"/>
      <c r="AC34" s="216"/>
      <c r="AD34" s="216"/>
      <c r="AE34" s="216"/>
      <c r="AF34" s="216"/>
      <c r="AG34" s="222"/>
      <c r="AH34" s="215"/>
      <c r="AI34" s="216"/>
      <c r="AJ34" s="216"/>
      <c r="AK34" s="216"/>
      <c r="AL34" s="216"/>
      <c r="AM34" s="216"/>
      <c r="AN34" s="216"/>
      <c r="AO34" s="216"/>
      <c r="AP34" s="222"/>
      <c r="AQ34" s="9">
        <f t="shared" si="14"/>
        <v>63.75</v>
      </c>
      <c r="AR34" s="5"/>
      <c r="AS34" s="5">
        <v>79.349999999999994</v>
      </c>
      <c r="AT34" s="182"/>
      <c r="AU34" s="183"/>
      <c r="AV34" s="5">
        <v>36.200000000000003</v>
      </c>
      <c r="AW34" s="5"/>
      <c r="AX34" s="5">
        <v>6.2</v>
      </c>
      <c r="AY34" s="8">
        <f t="shared" si="4"/>
        <v>185.5</v>
      </c>
      <c r="AZ34" s="10">
        <f t="shared" si="5"/>
        <v>185.5</v>
      </c>
      <c r="BA34" s="15">
        <f t="shared" si="16"/>
        <v>3.22</v>
      </c>
      <c r="BC34" s="117">
        <f t="shared" si="6"/>
        <v>619.82000000000005</v>
      </c>
      <c r="BD34" s="118"/>
      <c r="BE34" s="15">
        <f t="shared" si="7"/>
        <v>10.77</v>
      </c>
      <c r="BG34" s="63"/>
      <c r="BH34" s="56"/>
      <c r="BI34" s="63"/>
      <c r="BJ34" s="56"/>
      <c r="BK34" s="9">
        <v>66.28</v>
      </c>
      <c r="BL34" s="5"/>
      <c r="BM34" s="9">
        <f t="shared" si="8"/>
        <v>66.28</v>
      </c>
      <c r="BN34" s="10">
        <f t="shared" si="9"/>
        <v>0</v>
      </c>
      <c r="BP34" s="239"/>
      <c r="BQ34" s="222"/>
      <c r="BR34" s="10">
        <v>33.21</v>
      </c>
    </row>
    <row r="35" spans="1:70" ht="12" customHeight="1" x14ac:dyDescent="0.2">
      <c r="A35" s="18" t="s">
        <v>28</v>
      </c>
      <c r="B35" s="215"/>
      <c r="C35" s="216"/>
      <c r="D35" s="216"/>
      <c r="E35" s="216"/>
      <c r="F35" s="216"/>
      <c r="G35" s="216"/>
      <c r="H35" s="215"/>
      <c r="I35" s="216"/>
      <c r="J35" s="216"/>
      <c r="K35" s="216"/>
      <c r="L35" s="216"/>
      <c r="M35" s="216"/>
      <c r="N35" s="9">
        <v>86.34</v>
      </c>
      <c r="O35" s="5">
        <v>86.34</v>
      </c>
      <c r="P35" s="5">
        <v>63.86</v>
      </c>
      <c r="Q35" s="5">
        <v>129</v>
      </c>
      <c r="R35" s="5">
        <v>64.17</v>
      </c>
      <c r="S35" s="10">
        <v>4.6100000000000003</v>
      </c>
      <c r="T35" s="9">
        <f t="shared" si="0"/>
        <v>4.6100000000000003</v>
      </c>
      <c r="U35" s="5">
        <f t="shared" si="1"/>
        <v>429.71000000000004</v>
      </c>
      <c r="V35" s="10">
        <f t="shared" si="10"/>
        <v>434.32000000000005</v>
      </c>
      <c r="W35" s="12">
        <f t="shared" si="15"/>
        <v>7.55</v>
      </c>
      <c r="Y35" s="215"/>
      <c r="Z35" s="216"/>
      <c r="AA35" s="216"/>
      <c r="AB35" s="216"/>
      <c r="AC35" s="216"/>
      <c r="AD35" s="216"/>
      <c r="AE35" s="216"/>
      <c r="AF35" s="216"/>
      <c r="AG35" s="222"/>
      <c r="AH35" s="215"/>
      <c r="AI35" s="216"/>
      <c r="AJ35" s="216"/>
      <c r="AK35" s="216"/>
      <c r="AL35" s="216"/>
      <c r="AM35" s="216"/>
      <c r="AN35" s="216"/>
      <c r="AO35" s="216"/>
      <c r="AP35" s="222"/>
      <c r="AQ35" s="9">
        <f t="shared" si="14"/>
        <v>63.75</v>
      </c>
      <c r="AR35" s="5"/>
      <c r="AS35" s="5">
        <v>79.349999999999994</v>
      </c>
      <c r="AT35" s="182"/>
      <c r="AU35" s="183"/>
      <c r="AV35" s="5">
        <v>36.200000000000003</v>
      </c>
      <c r="AW35" s="5"/>
      <c r="AX35" s="5">
        <v>6.2</v>
      </c>
      <c r="AY35" s="8">
        <f t="shared" si="4"/>
        <v>185.5</v>
      </c>
      <c r="AZ35" s="10">
        <f t="shared" si="5"/>
        <v>185.5</v>
      </c>
      <c r="BA35" s="15">
        <f t="shared" si="16"/>
        <v>3.22</v>
      </c>
      <c r="BC35" s="117">
        <f t="shared" si="6"/>
        <v>619.82000000000005</v>
      </c>
      <c r="BD35" s="118"/>
      <c r="BE35" s="15">
        <f t="shared" si="7"/>
        <v>10.77</v>
      </c>
      <c r="BG35" s="63"/>
      <c r="BH35" s="56"/>
      <c r="BI35" s="63"/>
      <c r="BJ35" s="56"/>
      <c r="BK35" s="9">
        <v>66.28</v>
      </c>
      <c r="BL35" s="5"/>
      <c r="BM35" s="9">
        <f t="shared" si="8"/>
        <v>66.28</v>
      </c>
      <c r="BN35" s="10">
        <f t="shared" si="9"/>
        <v>0</v>
      </c>
      <c r="BP35" s="239"/>
      <c r="BQ35" s="222"/>
      <c r="BR35" s="10">
        <v>33.21</v>
      </c>
    </row>
    <row r="36" spans="1:70" ht="12" customHeight="1" x14ac:dyDescent="0.2">
      <c r="A36" s="18" t="s">
        <v>29</v>
      </c>
      <c r="B36" s="215"/>
      <c r="C36" s="216"/>
      <c r="D36" s="216"/>
      <c r="E36" s="216"/>
      <c r="F36" s="216"/>
      <c r="G36" s="216"/>
      <c r="H36" s="215"/>
      <c r="I36" s="216"/>
      <c r="J36" s="216"/>
      <c r="K36" s="216"/>
      <c r="L36" s="216"/>
      <c r="M36" s="216"/>
      <c r="N36" s="9">
        <v>86.34</v>
      </c>
      <c r="O36" s="5">
        <v>86.34</v>
      </c>
      <c r="P36" s="5">
        <v>63.86</v>
      </c>
      <c r="Q36" s="5">
        <v>129</v>
      </c>
      <c r="R36" s="5">
        <v>64.17</v>
      </c>
      <c r="S36" s="10">
        <v>4.6100000000000003</v>
      </c>
      <c r="T36" s="9">
        <f t="shared" si="0"/>
        <v>4.6100000000000003</v>
      </c>
      <c r="U36" s="5">
        <f t="shared" si="1"/>
        <v>429.71000000000004</v>
      </c>
      <c r="V36" s="10">
        <f t="shared" si="10"/>
        <v>434.32000000000005</v>
      </c>
      <c r="W36" s="12">
        <f t="shared" si="15"/>
        <v>7.55</v>
      </c>
      <c r="Y36" s="215"/>
      <c r="Z36" s="216"/>
      <c r="AA36" s="216"/>
      <c r="AB36" s="216"/>
      <c r="AC36" s="216"/>
      <c r="AD36" s="216"/>
      <c r="AE36" s="216"/>
      <c r="AF36" s="216"/>
      <c r="AG36" s="222"/>
      <c r="AH36" s="215"/>
      <c r="AI36" s="216"/>
      <c r="AJ36" s="216"/>
      <c r="AK36" s="216"/>
      <c r="AL36" s="216"/>
      <c r="AM36" s="216"/>
      <c r="AN36" s="216"/>
      <c r="AO36" s="216"/>
      <c r="AP36" s="222"/>
      <c r="AQ36" s="9">
        <f t="shared" si="14"/>
        <v>63.75</v>
      </c>
      <c r="AR36" s="5"/>
      <c r="AS36" s="5">
        <v>79.349999999999994</v>
      </c>
      <c r="AT36" s="182"/>
      <c r="AU36" s="183"/>
      <c r="AV36" s="5">
        <v>36.200000000000003</v>
      </c>
      <c r="AW36" s="5"/>
      <c r="AX36" s="5">
        <v>6.2</v>
      </c>
      <c r="AY36" s="8">
        <f t="shared" si="4"/>
        <v>185.5</v>
      </c>
      <c r="AZ36" s="10">
        <f t="shared" si="5"/>
        <v>185.5</v>
      </c>
      <c r="BA36" s="15">
        <f t="shared" si="16"/>
        <v>3.22</v>
      </c>
      <c r="BC36" s="117">
        <f t="shared" si="6"/>
        <v>619.82000000000005</v>
      </c>
      <c r="BD36" s="118"/>
      <c r="BE36" s="15">
        <f t="shared" si="7"/>
        <v>10.77</v>
      </c>
      <c r="BG36" s="63"/>
      <c r="BH36" s="56"/>
      <c r="BI36" s="63"/>
      <c r="BJ36" s="56"/>
      <c r="BK36" s="9">
        <v>66.28</v>
      </c>
      <c r="BL36" s="5"/>
      <c r="BM36" s="9">
        <f t="shared" si="8"/>
        <v>66.28</v>
      </c>
      <c r="BN36" s="10">
        <f t="shared" si="9"/>
        <v>0</v>
      </c>
      <c r="BP36" s="239"/>
      <c r="BQ36" s="222"/>
      <c r="BR36" s="10">
        <v>33.21</v>
      </c>
    </row>
    <row r="37" spans="1:70" ht="12" customHeight="1" x14ac:dyDescent="0.2">
      <c r="A37" s="18" t="s">
        <v>30</v>
      </c>
      <c r="B37" s="215"/>
      <c r="C37" s="216"/>
      <c r="D37" s="216"/>
      <c r="E37" s="216"/>
      <c r="F37" s="216"/>
      <c r="G37" s="216"/>
      <c r="H37" s="215"/>
      <c r="I37" s="216"/>
      <c r="J37" s="216"/>
      <c r="K37" s="216"/>
      <c r="L37" s="216"/>
      <c r="M37" s="216"/>
      <c r="N37" s="9">
        <v>86.34</v>
      </c>
      <c r="O37" s="5">
        <v>86.34</v>
      </c>
      <c r="P37" s="5">
        <v>63.86</v>
      </c>
      <c r="Q37" s="5">
        <v>129</v>
      </c>
      <c r="R37" s="5">
        <v>64.17</v>
      </c>
      <c r="S37" s="10">
        <v>4.6100000000000003</v>
      </c>
      <c r="T37" s="9">
        <f t="shared" si="0"/>
        <v>4.6100000000000003</v>
      </c>
      <c r="U37" s="5">
        <f t="shared" si="1"/>
        <v>429.71000000000004</v>
      </c>
      <c r="V37" s="10">
        <f t="shared" si="10"/>
        <v>434.32000000000005</v>
      </c>
      <c r="W37" s="12">
        <f t="shared" si="15"/>
        <v>7.55</v>
      </c>
      <c r="Y37" s="215"/>
      <c r="Z37" s="216"/>
      <c r="AA37" s="216"/>
      <c r="AB37" s="216"/>
      <c r="AC37" s="216"/>
      <c r="AD37" s="216"/>
      <c r="AE37" s="216"/>
      <c r="AF37" s="216"/>
      <c r="AG37" s="222"/>
      <c r="AH37" s="215"/>
      <c r="AI37" s="216"/>
      <c r="AJ37" s="216"/>
      <c r="AK37" s="216"/>
      <c r="AL37" s="216"/>
      <c r="AM37" s="216"/>
      <c r="AN37" s="216"/>
      <c r="AO37" s="216"/>
      <c r="AP37" s="222"/>
      <c r="AQ37" s="9">
        <f t="shared" si="14"/>
        <v>63.75</v>
      </c>
      <c r="AR37" s="5"/>
      <c r="AS37" s="5">
        <v>79.349999999999994</v>
      </c>
      <c r="AT37" s="182"/>
      <c r="AU37" s="183"/>
      <c r="AV37" s="5">
        <v>36.200000000000003</v>
      </c>
      <c r="AW37" s="5"/>
      <c r="AX37" s="5">
        <v>6.2</v>
      </c>
      <c r="AY37" s="8">
        <f t="shared" si="4"/>
        <v>185.5</v>
      </c>
      <c r="AZ37" s="10">
        <f t="shared" si="5"/>
        <v>185.5</v>
      </c>
      <c r="BA37" s="15">
        <f t="shared" si="16"/>
        <v>3.22</v>
      </c>
      <c r="BC37" s="117">
        <f t="shared" si="6"/>
        <v>619.82000000000005</v>
      </c>
      <c r="BD37" s="118"/>
      <c r="BE37" s="15">
        <f t="shared" si="7"/>
        <v>10.77</v>
      </c>
      <c r="BG37" s="63"/>
      <c r="BH37" s="56"/>
      <c r="BI37" s="63"/>
      <c r="BJ37" s="56"/>
      <c r="BK37" s="9">
        <v>66.28</v>
      </c>
      <c r="BL37" s="5"/>
      <c r="BM37" s="9">
        <f t="shared" si="8"/>
        <v>66.28</v>
      </c>
      <c r="BN37" s="10">
        <f t="shared" si="9"/>
        <v>0</v>
      </c>
      <c r="BP37" s="239"/>
      <c r="BQ37" s="222"/>
      <c r="BR37" s="10">
        <v>33.21</v>
      </c>
    </row>
    <row r="38" spans="1:70" ht="12" customHeight="1" x14ac:dyDescent="0.2">
      <c r="A38" s="18" t="s">
        <v>31</v>
      </c>
      <c r="B38" s="215"/>
      <c r="C38" s="216"/>
      <c r="D38" s="216"/>
      <c r="E38" s="216"/>
      <c r="F38" s="216"/>
      <c r="G38" s="216"/>
      <c r="H38" s="215"/>
      <c r="I38" s="216"/>
      <c r="J38" s="216"/>
      <c r="K38" s="216"/>
      <c r="L38" s="216"/>
      <c r="M38" s="216"/>
      <c r="N38" s="9">
        <v>86.34</v>
      </c>
      <c r="O38" s="5">
        <v>86.34</v>
      </c>
      <c r="P38" s="5">
        <v>63.86</v>
      </c>
      <c r="Q38" s="5">
        <v>129</v>
      </c>
      <c r="R38" s="5">
        <v>64.17</v>
      </c>
      <c r="S38" s="10">
        <v>4.6100000000000003</v>
      </c>
      <c r="T38" s="9">
        <f t="shared" si="0"/>
        <v>4.6100000000000003</v>
      </c>
      <c r="U38" s="5">
        <f t="shared" si="1"/>
        <v>429.71000000000004</v>
      </c>
      <c r="V38" s="10">
        <f t="shared" si="10"/>
        <v>434.32000000000005</v>
      </c>
      <c r="W38" s="12">
        <f t="shared" si="15"/>
        <v>7.55</v>
      </c>
      <c r="Y38" s="215"/>
      <c r="Z38" s="216"/>
      <c r="AA38" s="216"/>
      <c r="AB38" s="216"/>
      <c r="AC38" s="216"/>
      <c r="AD38" s="216"/>
      <c r="AE38" s="216"/>
      <c r="AF38" s="216"/>
      <c r="AG38" s="222"/>
      <c r="AH38" s="215"/>
      <c r="AI38" s="216"/>
      <c r="AJ38" s="216"/>
      <c r="AK38" s="216"/>
      <c r="AL38" s="216"/>
      <c r="AM38" s="216"/>
      <c r="AN38" s="216"/>
      <c r="AO38" s="216"/>
      <c r="AP38" s="222"/>
      <c r="AQ38" s="9">
        <f t="shared" si="14"/>
        <v>63.75</v>
      </c>
      <c r="AR38" s="5"/>
      <c r="AS38" s="5">
        <v>79.349999999999994</v>
      </c>
      <c r="AT38" s="182"/>
      <c r="AU38" s="183"/>
      <c r="AV38" s="5">
        <v>36.200000000000003</v>
      </c>
      <c r="AW38" s="5"/>
      <c r="AX38" s="5">
        <v>6.2</v>
      </c>
      <c r="AY38" s="8">
        <f t="shared" si="4"/>
        <v>185.5</v>
      </c>
      <c r="AZ38" s="10">
        <f t="shared" si="5"/>
        <v>185.5</v>
      </c>
      <c r="BA38" s="15">
        <f t="shared" si="16"/>
        <v>3.22</v>
      </c>
      <c r="BC38" s="117">
        <f t="shared" si="6"/>
        <v>619.82000000000005</v>
      </c>
      <c r="BD38" s="118"/>
      <c r="BE38" s="15">
        <f t="shared" si="7"/>
        <v>10.77</v>
      </c>
      <c r="BG38" s="63"/>
      <c r="BH38" s="56"/>
      <c r="BI38" s="63"/>
      <c r="BJ38" s="56"/>
      <c r="BK38" s="9">
        <v>66.28</v>
      </c>
      <c r="BL38" s="5"/>
      <c r="BM38" s="9">
        <f t="shared" si="8"/>
        <v>66.28</v>
      </c>
      <c r="BN38" s="10">
        <f t="shared" si="9"/>
        <v>0</v>
      </c>
      <c r="BP38" s="239"/>
      <c r="BQ38" s="222"/>
      <c r="BR38" s="10">
        <v>33.21</v>
      </c>
    </row>
    <row r="39" spans="1:70" ht="12" customHeight="1" x14ac:dyDescent="0.2">
      <c r="A39" s="18" t="s">
        <v>32</v>
      </c>
      <c r="B39" s="215"/>
      <c r="C39" s="216"/>
      <c r="D39" s="216"/>
      <c r="E39" s="216"/>
      <c r="F39" s="216"/>
      <c r="G39" s="216"/>
      <c r="H39" s="215"/>
      <c r="I39" s="216"/>
      <c r="J39" s="216"/>
      <c r="K39" s="216"/>
      <c r="L39" s="216"/>
      <c r="M39" s="216"/>
      <c r="N39" s="9">
        <v>86.34</v>
      </c>
      <c r="O39" s="5">
        <v>86.34</v>
      </c>
      <c r="P39" s="5">
        <v>63.87</v>
      </c>
      <c r="Q39" s="5">
        <v>129</v>
      </c>
      <c r="R39" s="5">
        <v>64.17</v>
      </c>
      <c r="S39" s="10">
        <v>4.6100000000000003</v>
      </c>
      <c r="T39" s="9">
        <f t="shared" si="0"/>
        <v>4.6100000000000003</v>
      </c>
      <c r="U39" s="5">
        <f t="shared" si="1"/>
        <v>429.72</v>
      </c>
      <c r="V39" s="10">
        <f t="shared" si="10"/>
        <v>434.33000000000004</v>
      </c>
      <c r="W39" s="12">
        <f t="shared" si="15"/>
        <v>7.55</v>
      </c>
      <c r="Y39" s="215"/>
      <c r="Z39" s="216"/>
      <c r="AA39" s="216"/>
      <c r="AB39" s="216"/>
      <c r="AC39" s="216"/>
      <c r="AD39" s="216"/>
      <c r="AE39" s="216"/>
      <c r="AF39" s="216"/>
      <c r="AG39" s="222"/>
      <c r="AH39" s="215"/>
      <c r="AI39" s="216"/>
      <c r="AJ39" s="216"/>
      <c r="AK39" s="216"/>
      <c r="AL39" s="216"/>
      <c r="AM39" s="216"/>
      <c r="AN39" s="216"/>
      <c r="AO39" s="216"/>
      <c r="AP39" s="222"/>
      <c r="AQ39" s="9">
        <f t="shared" si="14"/>
        <v>63.75</v>
      </c>
      <c r="AR39" s="5"/>
      <c r="AS39" s="5">
        <v>79.349999999999994</v>
      </c>
      <c r="AT39" s="182"/>
      <c r="AU39" s="183"/>
      <c r="AV39" s="5">
        <v>36.200000000000003</v>
      </c>
      <c r="AW39" s="5"/>
      <c r="AX39" s="5">
        <v>6.2</v>
      </c>
      <c r="AY39" s="8">
        <f t="shared" si="4"/>
        <v>185.5</v>
      </c>
      <c r="AZ39" s="10">
        <f t="shared" si="5"/>
        <v>185.5</v>
      </c>
      <c r="BA39" s="15">
        <f t="shared" si="16"/>
        <v>3.22</v>
      </c>
      <c r="BC39" s="117">
        <f t="shared" si="6"/>
        <v>619.83000000000004</v>
      </c>
      <c r="BD39" s="118"/>
      <c r="BE39" s="15">
        <f t="shared" si="7"/>
        <v>10.77</v>
      </c>
      <c r="BG39" s="63"/>
      <c r="BH39" s="56"/>
      <c r="BI39" s="63"/>
      <c r="BJ39" s="56"/>
      <c r="BK39" s="9">
        <v>41.3</v>
      </c>
      <c r="BL39" s="5">
        <v>24.98</v>
      </c>
      <c r="BM39" s="9">
        <f t="shared" si="8"/>
        <v>41.3</v>
      </c>
      <c r="BN39" s="10">
        <f t="shared" si="9"/>
        <v>24.98</v>
      </c>
      <c r="BP39" s="239"/>
      <c r="BQ39" s="222"/>
      <c r="BR39" s="10">
        <v>33.21</v>
      </c>
    </row>
    <row r="40" spans="1:70" ht="12" customHeight="1" x14ac:dyDescent="0.2">
      <c r="A40" s="18" t="s">
        <v>33</v>
      </c>
      <c r="B40" s="215"/>
      <c r="C40" s="216"/>
      <c r="D40" s="216"/>
      <c r="E40" s="216"/>
      <c r="F40" s="216"/>
      <c r="G40" s="216"/>
      <c r="H40" s="215"/>
      <c r="I40" s="216"/>
      <c r="J40" s="216"/>
      <c r="K40" s="216"/>
      <c r="L40" s="216"/>
      <c r="M40" s="216"/>
      <c r="N40" s="9">
        <v>86.35</v>
      </c>
      <c r="O40" s="5">
        <v>86.33</v>
      </c>
      <c r="P40" s="5">
        <v>120.9</v>
      </c>
      <c r="Q40" s="5"/>
      <c r="R40" s="5">
        <v>121</v>
      </c>
      <c r="S40" s="10">
        <v>3.7</v>
      </c>
      <c r="T40" s="9">
        <f t="shared" si="0"/>
        <v>3.7</v>
      </c>
      <c r="U40" s="5">
        <f t="shared" si="1"/>
        <v>414.58000000000004</v>
      </c>
      <c r="V40" s="10">
        <f t="shared" si="10"/>
        <v>418.28000000000003</v>
      </c>
      <c r="W40" s="12">
        <v>7.27</v>
      </c>
      <c r="Y40" s="215"/>
      <c r="Z40" s="216"/>
      <c r="AA40" s="216"/>
      <c r="AB40" s="216"/>
      <c r="AC40" s="216"/>
      <c r="AD40" s="216"/>
      <c r="AE40" s="216"/>
      <c r="AF40" s="216"/>
      <c r="AG40" s="222"/>
      <c r="AH40" s="215"/>
      <c r="AI40" s="216"/>
      <c r="AJ40" s="216"/>
      <c r="AK40" s="216"/>
      <c r="AL40" s="216"/>
      <c r="AM40" s="216"/>
      <c r="AN40" s="216"/>
      <c r="AO40" s="216"/>
      <c r="AP40" s="222"/>
      <c r="AQ40" s="9">
        <f>36+15.4</f>
        <v>51.4</v>
      </c>
      <c r="AR40" s="5"/>
      <c r="AS40" s="5">
        <v>79.739999999999995</v>
      </c>
      <c r="AT40" s="182"/>
      <c r="AU40" s="183"/>
      <c r="AV40" s="5">
        <v>20.41</v>
      </c>
      <c r="AW40" s="5"/>
      <c r="AX40" s="5"/>
      <c r="AY40" s="8">
        <f t="shared" si="4"/>
        <v>151.54999999999998</v>
      </c>
      <c r="AZ40" s="10">
        <f t="shared" si="5"/>
        <v>151.54999999999998</v>
      </c>
      <c r="BA40" s="15">
        <v>3.53</v>
      </c>
      <c r="BC40" s="117">
        <f t="shared" si="6"/>
        <v>569.83000000000004</v>
      </c>
      <c r="BD40" s="118"/>
      <c r="BE40" s="15">
        <f t="shared" si="7"/>
        <v>10.799999999999999</v>
      </c>
      <c r="BG40" s="63"/>
      <c r="BH40" s="56"/>
      <c r="BI40" s="63"/>
      <c r="BJ40" s="56"/>
      <c r="BK40" s="9">
        <v>79.09</v>
      </c>
      <c r="BL40" s="5"/>
      <c r="BM40" s="9">
        <f t="shared" si="8"/>
        <v>79.09</v>
      </c>
      <c r="BN40" s="10">
        <f t="shared" si="9"/>
        <v>0</v>
      </c>
      <c r="BP40" s="239"/>
      <c r="BQ40" s="222"/>
      <c r="BR40" s="10">
        <v>33.549999999999997</v>
      </c>
    </row>
    <row r="41" spans="1:70" ht="12" customHeight="1" x14ac:dyDescent="0.2">
      <c r="A41" s="18" t="s">
        <v>34</v>
      </c>
      <c r="B41" s="217"/>
      <c r="C41" s="218"/>
      <c r="D41" s="218"/>
      <c r="E41" s="218"/>
      <c r="F41" s="218"/>
      <c r="G41" s="218"/>
      <c r="H41" s="217"/>
      <c r="I41" s="218"/>
      <c r="J41" s="218"/>
      <c r="K41" s="218"/>
      <c r="L41" s="218"/>
      <c r="M41" s="218"/>
      <c r="N41" s="9">
        <v>86.36</v>
      </c>
      <c r="O41" s="6">
        <v>86.37</v>
      </c>
      <c r="P41" s="14">
        <v>120.87</v>
      </c>
      <c r="R41" s="14">
        <v>120.99</v>
      </c>
      <c r="S41" s="1">
        <v>3.7</v>
      </c>
      <c r="T41" s="13">
        <f t="shared" si="0"/>
        <v>3.7</v>
      </c>
      <c r="U41" s="5">
        <f t="shared" si="1"/>
        <v>414.59000000000003</v>
      </c>
      <c r="V41" s="10">
        <f t="shared" si="10"/>
        <v>418.29</v>
      </c>
      <c r="W41" s="12">
        <v>7.27</v>
      </c>
      <c r="Y41" s="217"/>
      <c r="Z41" s="218"/>
      <c r="AA41" s="218"/>
      <c r="AB41" s="218"/>
      <c r="AC41" s="218"/>
      <c r="AD41" s="218"/>
      <c r="AE41" s="218"/>
      <c r="AF41" s="218"/>
      <c r="AG41" s="223"/>
      <c r="AH41" s="217"/>
      <c r="AI41" s="218"/>
      <c r="AJ41" s="218"/>
      <c r="AK41" s="218"/>
      <c r="AL41" s="218"/>
      <c r="AM41" s="218"/>
      <c r="AN41" s="218"/>
      <c r="AO41" s="218"/>
      <c r="AP41" s="223"/>
      <c r="AQ41" s="9">
        <f>36+15.4</f>
        <v>51.4</v>
      </c>
      <c r="AR41" s="5"/>
      <c r="AS41" s="5">
        <v>79.739999999999995</v>
      </c>
      <c r="AT41" s="182"/>
      <c r="AU41" s="183"/>
      <c r="AV41" s="5">
        <v>20.41</v>
      </c>
      <c r="AW41" s="5"/>
      <c r="AX41" s="5"/>
      <c r="AY41" s="8">
        <f t="shared" si="4"/>
        <v>151.54999999999998</v>
      </c>
      <c r="AZ41" s="10">
        <f t="shared" si="5"/>
        <v>151.54999999999998</v>
      </c>
      <c r="BA41" s="15">
        <v>2.63</v>
      </c>
      <c r="BC41" s="117">
        <f t="shared" si="6"/>
        <v>569.84</v>
      </c>
      <c r="BD41" s="118"/>
      <c r="BE41" s="15">
        <f t="shared" si="7"/>
        <v>9.8999999999999986</v>
      </c>
      <c r="BG41" s="64"/>
      <c r="BH41" s="57"/>
      <c r="BI41" s="64"/>
      <c r="BJ41" s="57"/>
      <c r="BK41" s="9">
        <v>27.34</v>
      </c>
      <c r="BL41" s="5">
        <v>55.43</v>
      </c>
      <c r="BM41" s="9">
        <f t="shared" si="8"/>
        <v>27.34</v>
      </c>
      <c r="BN41" s="10">
        <f t="shared" si="9"/>
        <v>55.43</v>
      </c>
      <c r="BP41" s="240"/>
      <c r="BQ41" s="223"/>
      <c r="BR41" s="10">
        <v>33.549999999999997</v>
      </c>
    </row>
    <row r="42" spans="1:70" ht="12" customHeight="1" x14ac:dyDescent="0.2">
      <c r="A42" s="18" t="s">
        <v>55</v>
      </c>
      <c r="B42" s="31"/>
      <c r="C42" s="14"/>
      <c r="D42" s="14"/>
      <c r="E42" s="14"/>
      <c r="F42" s="14"/>
      <c r="G42" s="14"/>
      <c r="H42" s="13"/>
      <c r="I42" s="14"/>
      <c r="J42" s="14"/>
      <c r="K42" s="14"/>
      <c r="L42" s="14"/>
      <c r="M42" s="41"/>
      <c r="N42" s="13"/>
      <c r="O42" s="14"/>
      <c r="P42" s="14"/>
      <c r="Q42" s="14"/>
      <c r="R42" s="14"/>
      <c r="S42" s="1"/>
      <c r="T42" s="13"/>
      <c r="U42" s="14"/>
      <c r="V42" s="1">
        <v>0</v>
      </c>
      <c r="W42" s="23"/>
      <c r="Y42" s="9"/>
      <c r="Z42" s="5"/>
      <c r="AA42" s="5"/>
      <c r="AB42" s="182"/>
      <c r="AC42" s="183"/>
      <c r="AD42" s="5"/>
      <c r="AE42" s="5"/>
      <c r="AF42" s="5"/>
      <c r="AG42" s="8">
        <f>SUM(Y42:AF42)</f>
        <v>0</v>
      </c>
      <c r="AH42" s="9"/>
      <c r="AI42" s="5"/>
      <c r="AJ42" s="5"/>
      <c r="AK42" s="182"/>
      <c r="AL42" s="183"/>
      <c r="AM42" s="5"/>
      <c r="AN42" s="5"/>
      <c r="AO42" s="5"/>
      <c r="AP42" s="28">
        <f>SUM(AH42:AN42)</f>
        <v>0</v>
      </c>
      <c r="AQ42" s="9"/>
      <c r="AR42" s="5"/>
      <c r="AS42" s="5">
        <v>23.06</v>
      </c>
      <c r="AT42" s="182"/>
      <c r="AU42" s="183"/>
      <c r="AV42" s="5"/>
      <c r="AW42" s="5"/>
      <c r="AX42" s="5"/>
      <c r="AY42" s="8">
        <f t="shared" si="4"/>
        <v>23.06</v>
      </c>
      <c r="AZ42" s="10">
        <f t="shared" si="5"/>
        <v>23.06</v>
      </c>
      <c r="BA42" s="16">
        <v>0.4</v>
      </c>
      <c r="BC42" s="117">
        <f t="shared" si="6"/>
        <v>23.06</v>
      </c>
      <c r="BD42" s="118"/>
      <c r="BE42" s="15">
        <f t="shared" si="7"/>
        <v>0.4</v>
      </c>
      <c r="BG42" s="9"/>
      <c r="BH42" s="5"/>
      <c r="BI42" s="9"/>
      <c r="BJ42" s="5"/>
      <c r="BK42" s="9"/>
      <c r="BL42" s="5"/>
      <c r="BM42" s="9">
        <f t="shared" si="8"/>
        <v>0</v>
      </c>
      <c r="BN42" s="10">
        <f t="shared" si="9"/>
        <v>0</v>
      </c>
      <c r="BP42" s="15">
        <v>25.6</v>
      </c>
      <c r="BQ42" s="10">
        <v>25.61</v>
      </c>
      <c r="BR42" s="10">
        <v>43.42</v>
      </c>
    </row>
    <row r="43" spans="1:70" ht="12" customHeight="1" thickBot="1" x14ac:dyDescent="0.25">
      <c r="A43" s="19" t="s">
        <v>56</v>
      </c>
      <c r="B43" s="26"/>
      <c r="C43" s="4"/>
      <c r="D43" s="4"/>
      <c r="E43" s="4"/>
      <c r="F43" s="4"/>
      <c r="G43" s="4"/>
      <c r="H43" s="29"/>
      <c r="I43" s="4"/>
      <c r="J43" s="4"/>
      <c r="K43" s="4"/>
      <c r="L43" s="4"/>
      <c r="M43" s="37"/>
      <c r="N43" s="29"/>
      <c r="O43" s="4"/>
      <c r="P43" s="4"/>
      <c r="Q43" s="4"/>
      <c r="R43" s="4"/>
      <c r="S43" s="11"/>
      <c r="T43" s="29"/>
      <c r="U43" s="4"/>
      <c r="V43" s="11">
        <v>0</v>
      </c>
      <c r="W43" s="25"/>
      <c r="Y43" s="29"/>
      <c r="Z43" s="4"/>
      <c r="AA43" s="4">
        <v>23.25</v>
      </c>
      <c r="AB43" s="214"/>
      <c r="AC43" s="207"/>
      <c r="AD43" s="4"/>
      <c r="AE43" s="4"/>
      <c r="AF43" s="4"/>
      <c r="AG43" s="27">
        <f>SUM(Y43:AF43)</f>
        <v>23.25</v>
      </c>
      <c r="AH43" s="29"/>
      <c r="AI43" s="4"/>
      <c r="AJ43" s="4">
        <v>23.25</v>
      </c>
      <c r="AK43" s="214"/>
      <c r="AL43" s="207"/>
      <c r="AM43" s="4"/>
      <c r="AN43" s="4"/>
      <c r="AO43" s="4"/>
      <c r="AP43" s="32">
        <f>SUM(AH43:AN43)</f>
        <v>23.25</v>
      </c>
      <c r="AQ43" s="29"/>
      <c r="AR43" s="4"/>
      <c r="AS43" s="4">
        <v>38.479999999999997</v>
      </c>
      <c r="AT43" s="214"/>
      <c r="AU43" s="207"/>
      <c r="AV43" s="4"/>
      <c r="AW43" s="4"/>
      <c r="AX43" s="4"/>
      <c r="AY43" s="27">
        <f t="shared" si="4"/>
        <v>38.479999999999997</v>
      </c>
      <c r="AZ43" s="27">
        <f t="shared" si="5"/>
        <v>84.97999999999999</v>
      </c>
      <c r="BA43" s="33">
        <f>0.4+0.4+0.7</f>
        <v>1.5</v>
      </c>
      <c r="BC43" s="205">
        <f t="shared" si="6"/>
        <v>84.97999999999999</v>
      </c>
      <c r="BD43" s="213"/>
      <c r="BE43" s="33">
        <f t="shared" si="7"/>
        <v>1.5</v>
      </c>
      <c r="BG43" s="29"/>
      <c r="BH43" s="4"/>
      <c r="BI43" s="29"/>
      <c r="BJ43" s="4"/>
      <c r="BK43" s="29"/>
      <c r="BL43" s="4"/>
      <c r="BM43" s="29">
        <v>0</v>
      </c>
      <c r="BN43" s="11">
        <v>0</v>
      </c>
      <c r="BP43" s="33">
        <v>25.6</v>
      </c>
      <c r="BQ43" s="11">
        <v>25.61</v>
      </c>
      <c r="BR43" s="11">
        <v>43.42</v>
      </c>
    </row>
    <row r="44" spans="1:70" ht="12" customHeight="1" x14ac:dyDescent="0.2">
      <c r="A44" s="177" t="s">
        <v>78</v>
      </c>
      <c r="B44" s="152">
        <f>SUM(B13:G20)</f>
        <v>3292.1999999999989</v>
      </c>
      <c r="C44" s="153"/>
      <c r="D44" s="153"/>
      <c r="E44" s="153"/>
      <c r="F44" s="153"/>
      <c r="G44" s="153"/>
      <c r="H44" s="152">
        <f>SUM(H13:M20)</f>
        <v>3311.8300000000004</v>
      </c>
      <c r="I44" s="153"/>
      <c r="J44" s="153"/>
      <c r="K44" s="153"/>
      <c r="L44" s="153"/>
      <c r="M44" s="153"/>
      <c r="N44" s="152">
        <f>SUM(N13:S43)</f>
        <v>12548.330000000016</v>
      </c>
      <c r="O44" s="153"/>
      <c r="P44" s="153"/>
      <c r="Q44" s="153"/>
      <c r="R44" s="153"/>
      <c r="S44" s="153"/>
      <c r="T44" s="152"/>
      <c r="U44" s="153"/>
      <c r="V44" s="153"/>
      <c r="W44" s="154"/>
      <c r="Y44" s="152">
        <f>SUM(AG13:AG20)</f>
        <v>1381.3700000000001</v>
      </c>
      <c r="Z44" s="153"/>
      <c r="AA44" s="153"/>
      <c r="AB44" s="153"/>
      <c r="AC44" s="153"/>
      <c r="AD44" s="153"/>
      <c r="AE44" s="153"/>
      <c r="AF44" s="153"/>
      <c r="AG44" s="154"/>
      <c r="AH44" s="152">
        <f>SUM(AP13:AP20)</f>
        <v>1401.47</v>
      </c>
      <c r="AI44" s="153"/>
      <c r="AJ44" s="153"/>
      <c r="AK44" s="153"/>
      <c r="AL44" s="153"/>
      <c r="AM44" s="153"/>
      <c r="AN44" s="153"/>
      <c r="AO44" s="153"/>
      <c r="AP44" s="154"/>
      <c r="AQ44" s="152">
        <f>SUM(AY13:AY43)</f>
        <v>5388.72</v>
      </c>
      <c r="AR44" s="153"/>
      <c r="AS44" s="153"/>
      <c r="AT44" s="153"/>
      <c r="AU44" s="153"/>
      <c r="AV44" s="153"/>
      <c r="AW44" s="153"/>
      <c r="AX44" s="153"/>
      <c r="AY44" s="154"/>
      <c r="AZ44" s="179"/>
      <c r="BA44" s="180"/>
      <c r="BC44" s="229"/>
      <c r="BD44" s="179"/>
      <c r="BE44" s="180"/>
      <c r="BG44" s="127">
        <f>SUM(BG13:BG20)</f>
        <v>392.8599999999999</v>
      </c>
      <c r="BH44" s="127">
        <f t="shared" ref="BH44" si="17">SUM(BH13:BH20)</f>
        <v>267.39999999999998</v>
      </c>
      <c r="BI44" s="127">
        <f t="shared" ref="BI44:BJ44" si="18">SUM(BI13:BI20)</f>
        <v>400.77000000000004</v>
      </c>
      <c r="BJ44" s="127">
        <f t="shared" si="18"/>
        <v>267.78999999999996</v>
      </c>
      <c r="BK44" s="127">
        <f>SUM(BK13:BK42)</f>
        <v>1871.3299999999992</v>
      </c>
      <c r="BL44" s="127">
        <f t="shared" ref="BL44" si="19">SUM(BL13:BL42)</f>
        <v>80.41</v>
      </c>
      <c r="BM44" s="148">
        <f>SUM(BM13:BM43)</f>
        <v>2664.9600000000019</v>
      </c>
      <c r="BN44" s="148">
        <f>SUM(BN13:BN43)</f>
        <v>615.59999999999991</v>
      </c>
      <c r="BP44" s="148">
        <f t="shared" ref="BP44:BQ44" si="20">SUM(BP13:BP20)</f>
        <v>235.13000000000002</v>
      </c>
      <c r="BQ44" s="148">
        <f t="shared" si="20"/>
        <v>234.96</v>
      </c>
      <c r="BR44" s="148">
        <f>SUM(BR13:BR43)</f>
        <v>1050.6100000000001</v>
      </c>
    </row>
    <row r="45" spans="1:70" ht="12" customHeight="1" thickBot="1" x14ac:dyDescent="0.25">
      <c r="A45" s="178"/>
      <c r="B45" s="155"/>
      <c r="C45" s="156"/>
      <c r="D45" s="156"/>
      <c r="E45" s="156"/>
      <c r="F45" s="156"/>
      <c r="G45" s="156"/>
      <c r="H45" s="155"/>
      <c r="I45" s="156"/>
      <c r="J45" s="156"/>
      <c r="K45" s="156"/>
      <c r="L45" s="156"/>
      <c r="M45" s="156"/>
      <c r="N45" s="155"/>
      <c r="O45" s="156"/>
      <c r="P45" s="156"/>
      <c r="Q45" s="156"/>
      <c r="R45" s="156"/>
      <c r="S45" s="156"/>
      <c r="T45" s="155"/>
      <c r="U45" s="156"/>
      <c r="V45" s="156"/>
      <c r="W45" s="157"/>
      <c r="Y45" s="155"/>
      <c r="Z45" s="156"/>
      <c r="AA45" s="156"/>
      <c r="AB45" s="156"/>
      <c r="AC45" s="156"/>
      <c r="AD45" s="156"/>
      <c r="AE45" s="156"/>
      <c r="AF45" s="156"/>
      <c r="AG45" s="157"/>
      <c r="AH45" s="155"/>
      <c r="AI45" s="156"/>
      <c r="AJ45" s="156"/>
      <c r="AK45" s="156"/>
      <c r="AL45" s="156"/>
      <c r="AM45" s="156"/>
      <c r="AN45" s="156"/>
      <c r="AO45" s="156"/>
      <c r="AP45" s="157"/>
      <c r="AQ45" s="155"/>
      <c r="AR45" s="156"/>
      <c r="AS45" s="156"/>
      <c r="AT45" s="156"/>
      <c r="AU45" s="156"/>
      <c r="AV45" s="156"/>
      <c r="AW45" s="156"/>
      <c r="AX45" s="156"/>
      <c r="AY45" s="157"/>
      <c r="AZ45" s="174"/>
      <c r="BA45" s="181"/>
      <c r="BC45" s="231"/>
      <c r="BD45" s="174"/>
      <c r="BE45" s="181"/>
      <c r="BG45" s="128"/>
      <c r="BH45" s="128"/>
      <c r="BI45" s="128"/>
      <c r="BJ45" s="128"/>
      <c r="BK45" s="128"/>
      <c r="BL45" s="128"/>
      <c r="BM45" s="149"/>
      <c r="BN45" s="149"/>
      <c r="BP45" s="149"/>
      <c r="BQ45" s="149"/>
      <c r="BR45" s="149"/>
    </row>
    <row r="46" spans="1:70" ht="12" customHeight="1" thickBot="1" x14ac:dyDescent="0.25">
      <c r="A46" s="172"/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3"/>
      <c r="Y46" s="164"/>
      <c r="Z46" s="165"/>
      <c r="AA46" s="165"/>
      <c r="AB46" s="165"/>
      <c r="AC46" s="165"/>
      <c r="AD46" s="165"/>
      <c r="AE46" s="165"/>
      <c r="AF46" s="165"/>
      <c r="AG46" s="165"/>
      <c r="AH46" s="165"/>
      <c r="AI46" s="165"/>
      <c r="AJ46" s="165"/>
      <c r="AK46" s="165"/>
      <c r="AL46" s="165"/>
      <c r="AM46" s="165"/>
      <c r="AN46" s="165"/>
      <c r="AO46" s="165"/>
      <c r="AP46" s="165"/>
      <c r="AQ46" s="179"/>
      <c r="AR46" s="179"/>
      <c r="AS46" s="179"/>
      <c r="AT46" s="179"/>
      <c r="AU46" s="179"/>
      <c r="AV46" s="179"/>
      <c r="AW46" s="179"/>
      <c r="AX46" s="179"/>
      <c r="AY46" s="179"/>
      <c r="AZ46" s="179"/>
      <c r="BA46" s="166"/>
      <c r="BC46" s="164"/>
      <c r="BD46" s="165"/>
      <c r="BE46" s="166"/>
      <c r="BG46" s="164"/>
      <c r="BH46" s="165"/>
      <c r="BI46" s="165"/>
      <c r="BJ46" s="165"/>
      <c r="BK46" s="165"/>
      <c r="BL46" s="165"/>
      <c r="BM46" s="165"/>
      <c r="BN46" s="166"/>
      <c r="BP46" s="164"/>
      <c r="BQ46" s="165"/>
      <c r="BR46" s="166"/>
    </row>
    <row r="47" spans="1:70" ht="12" customHeight="1" x14ac:dyDescent="0.2">
      <c r="A47" s="177" t="s">
        <v>45</v>
      </c>
      <c r="B47" s="152">
        <f>SUM(V13:V43,T8)</f>
        <v>21012.92</v>
      </c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4"/>
      <c r="W47" s="148">
        <f>SUM(W8,W13:W43)</f>
        <v>365.2800000000002</v>
      </c>
      <c r="Y47" s="152" t="s">
        <v>76</v>
      </c>
      <c r="Z47" s="153"/>
      <c r="AA47" s="153"/>
      <c r="AB47" s="153">
        <f>Y8+SUM(AZ13:AZ43)</f>
        <v>8645.6700000000019</v>
      </c>
      <c r="AC47" s="153"/>
      <c r="AD47" s="153"/>
      <c r="AE47" s="153"/>
      <c r="AF47" s="153"/>
      <c r="AG47" s="153"/>
      <c r="AH47" s="152" t="s">
        <v>77</v>
      </c>
      <c r="AI47" s="153"/>
      <c r="AJ47" s="153"/>
      <c r="AK47" s="153">
        <f>SUM(AO8)</f>
        <v>591.80999999999995</v>
      </c>
      <c r="AL47" s="153"/>
      <c r="AM47" s="153"/>
      <c r="AN47" s="153"/>
      <c r="AO47" s="153"/>
      <c r="AP47" s="153"/>
      <c r="AQ47" s="152" t="s">
        <v>35</v>
      </c>
      <c r="AR47" s="153"/>
      <c r="AS47" s="153"/>
      <c r="AT47" s="153">
        <f>AB47+AK47</f>
        <v>9237.4800000000014</v>
      </c>
      <c r="AU47" s="153"/>
      <c r="AV47" s="153"/>
      <c r="AW47" s="153"/>
      <c r="AX47" s="153"/>
      <c r="AY47" s="153"/>
      <c r="AZ47" s="154"/>
      <c r="BA47" s="148">
        <f>SUM(BA8,BA13:BA43)</f>
        <v>164.95999999999998</v>
      </c>
      <c r="BC47" s="152">
        <f>SUM(BC8,BC13:BD43)</f>
        <v>30250.399999999998</v>
      </c>
      <c r="BD47" s="154"/>
      <c r="BE47" s="148">
        <f>SUM(BE8,BE13:BE43)</f>
        <v>530.23999999999955</v>
      </c>
      <c r="BG47" s="152">
        <f>SUM(BG13:BL43)</f>
        <v>3280.5600000000031</v>
      </c>
      <c r="BH47" s="153"/>
      <c r="BI47" s="153"/>
      <c r="BJ47" s="153"/>
      <c r="BK47" s="153"/>
      <c r="BL47" s="153"/>
      <c r="BM47" s="153"/>
      <c r="BN47" s="154"/>
      <c r="BP47" s="152">
        <f>BP8+SUM(BP13:BR43)</f>
        <v>1701.2500000000005</v>
      </c>
      <c r="BQ47" s="153"/>
      <c r="BR47" s="154"/>
    </row>
    <row r="48" spans="1:70" ht="15.75" customHeight="1" thickBot="1" x14ac:dyDescent="0.25">
      <c r="A48" s="178"/>
      <c r="B48" s="155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7"/>
      <c r="W48" s="149"/>
      <c r="Y48" s="155"/>
      <c r="Z48" s="156"/>
      <c r="AA48" s="156"/>
      <c r="AB48" s="156"/>
      <c r="AC48" s="156"/>
      <c r="AD48" s="156"/>
      <c r="AE48" s="156"/>
      <c r="AF48" s="156"/>
      <c r="AG48" s="156"/>
      <c r="AH48" s="155"/>
      <c r="AI48" s="156"/>
      <c r="AJ48" s="156"/>
      <c r="AK48" s="156"/>
      <c r="AL48" s="156"/>
      <c r="AM48" s="156"/>
      <c r="AN48" s="156"/>
      <c r="AO48" s="156"/>
      <c r="AP48" s="156"/>
      <c r="AQ48" s="155"/>
      <c r="AR48" s="156"/>
      <c r="AS48" s="156"/>
      <c r="AT48" s="156"/>
      <c r="AU48" s="156"/>
      <c r="AV48" s="156"/>
      <c r="AW48" s="156"/>
      <c r="AX48" s="156"/>
      <c r="AY48" s="156"/>
      <c r="AZ48" s="157"/>
      <c r="BA48" s="149"/>
      <c r="BC48" s="155"/>
      <c r="BD48" s="157"/>
      <c r="BE48" s="149"/>
      <c r="BG48" s="155"/>
      <c r="BH48" s="156"/>
      <c r="BI48" s="156"/>
      <c r="BJ48" s="156"/>
      <c r="BK48" s="156"/>
      <c r="BL48" s="156"/>
      <c r="BM48" s="156"/>
      <c r="BN48" s="157"/>
      <c r="BP48" s="155"/>
      <c r="BQ48" s="156"/>
      <c r="BR48" s="157"/>
    </row>
    <row r="49" spans="1:70" ht="12" customHeight="1" x14ac:dyDescent="0.2">
      <c r="A49" s="177" t="s">
        <v>46</v>
      </c>
      <c r="B49" s="152">
        <f>SUM(T5:V7)</f>
        <v>0</v>
      </c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4"/>
      <c r="W49" s="148">
        <f>SUM(W5:W7)</f>
        <v>0</v>
      </c>
      <c r="Y49" s="152" t="s">
        <v>76</v>
      </c>
      <c r="Z49" s="153"/>
      <c r="AA49" s="153"/>
      <c r="AB49" s="153">
        <f>SUM(Y5:AN7)</f>
        <v>10319.450000000001</v>
      </c>
      <c r="AC49" s="153"/>
      <c r="AD49" s="153"/>
      <c r="AE49" s="153"/>
      <c r="AF49" s="153"/>
      <c r="AG49" s="153"/>
      <c r="AH49" s="152" t="s">
        <v>77</v>
      </c>
      <c r="AI49" s="153"/>
      <c r="AJ49" s="153"/>
      <c r="AK49" s="153">
        <f>SUM(AO5:AY7)</f>
        <v>1445</v>
      </c>
      <c r="AL49" s="153"/>
      <c r="AM49" s="153"/>
      <c r="AN49" s="153"/>
      <c r="AO49" s="153"/>
      <c r="AP49" s="153"/>
      <c r="AQ49" s="152" t="s">
        <v>35</v>
      </c>
      <c r="AR49" s="153"/>
      <c r="AS49" s="153"/>
      <c r="AT49" s="153">
        <f t="shared" ref="AT49" si="21">AB49+AK49</f>
        <v>11764.45</v>
      </c>
      <c r="AU49" s="153"/>
      <c r="AV49" s="153"/>
      <c r="AW49" s="153"/>
      <c r="AX49" s="153"/>
      <c r="AY49" s="153"/>
      <c r="AZ49" s="154"/>
      <c r="BA49" s="148">
        <f>SUM(BA5:BA7)</f>
        <v>204.46000000000004</v>
      </c>
      <c r="BC49" s="152">
        <f>SUM(BC5:BD7)</f>
        <v>11764.45</v>
      </c>
      <c r="BD49" s="154"/>
      <c r="BE49" s="148">
        <f>SUM(BE5:BE7)</f>
        <v>204.46000000000004</v>
      </c>
      <c r="BG49" s="152">
        <f>BG6+BG7</f>
        <v>0</v>
      </c>
      <c r="BH49" s="153"/>
      <c r="BI49" s="153"/>
      <c r="BJ49" s="153"/>
      <c r="BK49" s="153"/>
      <c r="BL49" s="153"/>
      <c r="BM49" s="153"/>
      <c r="BN49" s="154"/>
      <c r="BP49" s="152">
        <f>SUM(BP5:BR7)</f>
        <v>151.19</v>
      </c>
      <c r="BQ49" s="153"/>
      <c r="BR49" s="154"/>
    </row>
    <row r="50" spans="1:70" ht="13.5" customHeight="1" thickBot="1" x14ac:dyDescent="0.25">
      <c r="A50" s="178"/>
      <c r="B50" s="155"/>
      <c r="C50" s="156"/>
      <c r="D50" s="156"/>
      <c r="E50" s="156"/>
      <c r="F50" s="156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7"/>
      <c r="W50" s="149"/>
      <c r="Y50" s="155"/>
      <c r="Z50" s="156"/>
      <c r="AA50" s="156"/>
      <c r="AB50" s="156"/>
      <c r="AC50" s="156"/>
      <c r="AD50" s="156"/>
      <c r="AE50" s="156"/>
      <c r="AF50" s="156"/>
      <c r="AG50" s="156"/>
      <c r="AH50" s="155"/>
      <c r="AI50" s="156"/>
      <c r="AJ50" s="156"/>
      <c r="AK50" s="156"/>
      <c r="AL50" s="156"/>
      <c r="AM50" s="156"/>
      <c r="AN50" s="156"/>
      <c r="AO50" s="156"/>
      <c r="AP50" s="156"/>
      <c r="AQ50" s="155"/>
      <c r="AR50" s="156"/>
      <c r="AS50" s="156"/>
      <c r="AT50" s="156"/>
      <c r="AU50" s="156"/>
      <c r="AV50" s="156"/>
      <c r="AW50" s="156"/>
      <c r="AX50" s="156"/>
      <c r="AY50" s="156"/>
      <c r="AZ50" s="157"/>
      <c r="BA50" s="149"/>
      <c r="BC50" s="155"/>
      <c r="BD50" s="157"/>
      <c r="BE50" s="149"/>
      <c r="BG50" s="155"/>
      <c r="BH50" s="156"/>
      <c r="BI50" s="156"/>
      <c r="BJ50" s="156"/>
      <c r="BK50" s="156"/>
      <c r="BL50" s="156"/>
      <c r="BM50" s="156"/>
      <c r="BN50" s="157"/>
      <c r="BP50" s="155"/>
      <c r="BQ50" s="156"/>
      <c r="BR50" s="157"/>
    </row>
    <row r="51" spans="1:70" ht="12" customHeight="1" x14ac:dyDescent="0.2">
      <c r="A51" s="184" t="s">
        <v>44</v>
      </c>
      <c r="B51" s="158">
        <f>SUM(B47:V50)</f>
        <v>21012.92</v>
      </c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60"/>
      <c r="W51" s="150">
        <f>SUM(W47:W50)</f>
        <v>365.2800000000002</v>
      </c>
      <c r="Y51" s="235"/>
      <c r="Z51" s="236"/>
      <c r="AA51" s="236"/>
      <c r="AB51" s="159">
        <f>SUM(AB47:AG50)</f>
        <v>18965.120000000003</v>
      </c>
      <c r="AC51" s="159"/>
      <c r="AD51" s="159"/>
      <c r="AE51" s="159"/>
      <c r="AF51" s="159"/>
      <c r="AG51" s="159"/>
      <c r="AH51" s="235"/>
      <c r="AI51" s="236"/>
      <c r="AJ51" s="236"/>
      <c r="AK51" s="159">
        <f>SUM(AK47:AP50)</f>
        <v>2036.81</v>
      </c>
      <c r="AL51" s="159"/>
      <c r="AM51" s="159"/>
      <c r="AN51" s="159"/>
      <c r="AO51" s="159"/>
      <c r="AP51" s="159"/>
      <c r="AQ51" s="235"/>
      <c r="AR51" s="236"/>
      <c r="AS51" s="236"/>
      <c r="AT51" s="159">
        <f t="shared" ref="AT51" si="22">AB51+AK51</f>
        <v>21001.930000000004</v>
      </c>
      <c r="AU51" s="159"/>
      <c r="AV51" s="159"/>
      <c r="AW51" s="159"/>
      <c r="AX51" s="159"/>
      <c r="AY51" s="159"/>
      <c r="AZ51" s="160"/>
      <c r="BA51" s="150">
        <f>SUM(BA47:BA50)</f>
        <v>369.42</v>
      </c>
      <c r="BC51" s="158">
        <f>SUM(BC47:BD50)</f>
        <v>42014.85</v>
      </c>
      <c r="BD51" s="160"/>
      <c r="BE51" s="150">
        <f>SUM(BE47:BE50)</f>
        <v>734.69999999999959</v>
      </c>
      <c r="BG51" s="158">
        <f>SUM(BG47:BH50)</f>
        <v>3280.5600000000031</v>
      </c>
      <c r="BH51" s="159"/>
      <c r="BI51" s="159"/>
      <c r="BJ51" s="159"/>
      <c r="BK51" s="159"/>
      <c r="BL51" s="159"/>
      <c r="BM51" s="159"/>
      <c r="BN51" s="160"/>
      <c r="BP51" s="235">
        <f>SUM(BP47:BR50)</f>
        <v>1852.4400000000005</v>
      </c>
      <c r="BQ51" s="236"/>
      <c r="BR51" s="237"/>
    </row>
    <row r="52" spans="1:70" ht="12" customHeight="1" thickBot="1" x14ac:dyDescent="0.25">
      <c r="A52" s="186"/>
      <c r="B52" s="161"/>
      <c r="C52" s="162"/>
      <c r="D52" s="162"/>
      <c r="E52" s="162"/>
      <c r="F52" s="162"/>
      <c r="G52" s="162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3"/>
      <c r="W52" s="151"/>
      <c r="Y52" s="161"/>
      <c r="Z52" s="162"/>
      <c r="AA52" s="162"/>
      <c r="AB52" s="162"/>
      <c r="AC52" s="162"/>
      <c r="AD52" s="162"/>
      <c r="AE52" s="162"/>
      <c r="AF52" s="162"/>
      <c r="AG52" s="162"/>
      <c r="AH52" s="161"/>
      <c r="AI52" s="162"/>
      <c r="AJ52" s="162"/>
      <c r="AK52" s="162"/>
      <c r="AL52" s="162"/>
      <c r="AM52" s="162"/>
      <c r="AN52" s="162"/>
      <c r="AO52" s="162"/>
      <c r="AP52" s="162"/>
      <c r="AQ52" s="161"/>
      <c r="AR52" s="162"/>
      <c r="AS52" s="162"/>
      <c r="AT52" s="162"/>
      <c r="AU52" s="162"/>
      <c r="AV52" s="162"/>
      <c r="AW52" s="162"/>
      <c r="AX52" s="162"/>
      <c r="AY52" s="162"/>
      <c r="AZ52" s="163"/>
      <c r="BA52" s="151"/>
      <c r="BC52" s="161"/>
      <c r="BD52" s="163"/>
      <c r="BE52" s="151"/>
      <c r="BG52" s="161"/>
      <c r="BH52" s="162"/>
      <c r="BI52" s="162"/>
      <c r="BJ52" s="162"/>
      <c r="BK52" s="162"/>
      <c r="BL52" s="162"/>
      <c r="BM52" s="162"/>
      <c r="BN52" s="163"/>
      <c r="BP52" s="161"/>
      <c r="BQ52" s="162"/>
      <c r="BR52" s="163"/>
    </row>
    <row r="56" spans="1:70" ht="12" customHeight="1" thickBot="1" x14ac:dyDescent="0.25"/>
    <row r="57" spans="1:70" ht="12" customHeight="1" thickBot="1" x14ac:dyDescent="0.25">
      <c r="H57" s="78" t="s">
        <v>71</v>
      </c>
      <c r="I57" s="79"/>
      <c r="J57" s="80" t="s">
        <v>74</v>
      </c>
      <c r="K57" s="81"/>
      <c r="M57" s="42"/>
      <c r="N57" s="78" t="s">
        <v>68</v>
      </c>
      <c r="O57" s="81"/>
    </row>
    <row r="58" spans="1:70" ht="12" customHeight="1" x14ac:dyDescent="0.2">
      <c r="C58" s="121" t="s">
        <v>69</v>
      </c>
      <c r="D58" s="122"/>
      <c r="E58" s="131"/>
      <c r="F58" s="132"/>
      <c r="G58" s="122"/>
      <c r="H58" s="82">
        <f>J58/J67</f>
        <v>0.330188679245283</v>
      </c>
      <c r="I58" s="83"/>
      <c r="J58" s="88">
        <f>COUNTIF('טבלת עזר - חישוב דירות כולל ממד'!B42:P70,"&lt;80")</f>
        <v>70</v>
      </c>
      <c r="K58" s="89"/>
    </row>
    <row r="59" spans="1:70" ht="12" customHeight="1" x14ac:dyDescent="0.2">
      <c r="C59" s="123"/>
      <c r="D59" s="124"/>
      <c r="E59" s="133"/>
      <c r="F59" s="134"/>
      <c r="G59" s="124"/>
      <c r="H59" s="84"/>
      <c r="I59" s="85"/>
      <c r="J59" s="90"/>
      <c r="K59" s="91"/>
    </row>
    <row r="60" spans="1:70" ht="12" customHeight="1" x14ac:dyDescent="0.2">
      <c r="C60" s="125"/>
      <c r="D60" s="126"/>
      <c r="E60" s="135"/>
      <c r="F60" s="136"/>
      <c r="G60" s="126"/>
      <c r="H60" s="86"/>
      <c r="I60" s="87"/>
      <c r="J60" s="92"/>
      <c r="K60" s="93"/>
    </row>
    <row r="61" spans="1:70" ht="12" customHeight="1" x14ac:dyDescent="0.2">
      <c r="C61" s="137" t="s">
        <v>73</v>
      </c>
      <c r="D61" s="71"/>
      <c r="E61" s="167"/>
      <c r="F61" s="168"/>
      <c r="G61" s="130"/>
      <c r="H61" s="94">
        <f>J61/J67</f>
        <v>0.42924528301886794</v>
      </c>
      <c r="I61" s="95"/>
      <c r="J61" s="96">
        <f>COUNTIFS('טבלת עזר - חישוב דירות כולל ממד'!B42:P70,"&gt;=80",'טבלת עזר - חישוב דירות כולל ממד'!B42:P70,"&lt;110")</f>
        <v>91</v>
      </c>
      <c r="K61" s="97"/>
    </row>
    <row r="62" spans="1:70" ht="12" customHeight="1" x14ac:dyDescent="0.2">
      <c r="C62" s="138"/>
      <c r="D62" s="74"/>
      <c r="E62" s="133"/>
      <c r="F62" s="134"/>
      <c r="G62" s="124"/>
      <c r="H62" s="84"/>
      <c r="I62" s="85"/>
      <c r="J62" s="90"/>
      <c r="K62" s="91"/>
    </row>
    <row r="63" spans="1:70" ht="12" customHeight="1" x14ac:dyDescent="0.2">
      <c r="C63" s="139"/>
      <c r="D63" s="77"/>
      <c r="E63" s="135"/>
      <c r="F63" s="136"/>
      <c r="G63" s="126"/>
      <c r="H63" s="84"/>
      <c r="I63" s="85"/>
      <c r="J63" s="92"/>
      <c r="K63" s="93"/>
    </row>
    <row r="64" spans="1:70" ht="12" customHeight="1" x14ac:dyDescent="0.2">
      <c r="C64" s="129" t="s">
        <v>70</v>
      </c>
      <c r="D64" s="130"/>
      <c r="E64" s="69"/>
      <c r="F64" s="70"/>
      <c r="G64" s="71"/>
      <c r="H64" s="94">
        <f>J64/J67</f>
        <v>0.24056603773584906</v>
      </c>
      <c r="I64" s="95"/>
      <c r="J64" s="96">
        <f>COUNTIF('טבלת עזר - חישוב דירות כולל ממד'!B42:P70,"&gt;110")</f>
        <v>51</v>
      </c>
      <c r="K64" s="97"/>
    </row>
    <row r="65" spans="3:11" ht="12" customHeight="1" x14ac:dyDescent="0.2">
      <c r="C65" s="123"/>
      <c r="D65" s="124"/>
      <c r="E65" s="72"/>
      <c r="F65" s="73"/>
      <c r="G65" s="74"/>
      <c r="H65" s="84"/>
      <c r="I65" s="85"/>
      <c r="J65" s="90"/>
      <c r="K65" s="91"/>
    </row>
    <row r="66" spans="3:11" ht="12" customHeight="1" thickBot="1" x14ac:dyDescent="0.25">
      <c r="C66" s="125"/>
      <c r="D66" s="126"/>
      <c r="E66" s="75"/>
      <c r="F66" s="76"/>
      <c r="G66" s="77"/>
      <c r="H66" s="84"/>
      <c r="I66" s="85"/>
      <c r="J66" s="92"/>
      <c r="K66" s="93"/>
    </row>
    <row r="67" spans="3:11" ht="12" customHeight="1" x14ac:dyDescent="0.2">
      <c r="C67" s="98" t="s">
        <v>72</v>
      </c>
      <c r="D67" s="99"/>
      <c r="E67" s="99"/>
      <c r="F67" s="99"/>
      <c r="G67" s="100"/>
      <c r="H67" s="104">
        <f>SUM(H58:I66)</f>
        <v>1</v>
      </c>
      <c r="I67" s="105"/>
      <c r="J67" s="108">
        <f>SUM(J58:K66)</f>
        <v>212</v>
      </c>
      <c r="K67" s="89"/>
    </row>
    <row r="68" spans="3:11" ht="12" customHeight="1" thickBot="1" x14ac:dyDescent="0.25">
      <c r="C68" s="101"/>
      <c r="D68" s="102"/>
      <c r="E68" s="102"/>
      <c r="F68" s="102"/>
      <c r="G68" s="103"/>
      <c r="H68" s="106"/>
      <c r="I68" s="107"/>
      <c r="J68" s="109"/>
      <c r="K68" s="110"/>
    </row>
    <row r="69" spans="3:11" ht="12" customHeight="1" x14ac:dyDescent="0.2">
      <c r="C69" s="40"/>
      <c r="D69" s="40"/>
    </row>
    <row r="70" spans="3:11" ht="12" customHeight="1" x14ac:dyDescent="0.2">
      <c r="C70" s="40"/>
      <c r="D70" s="40"/>
    </row>
    <row r="71" spans="3:11" ht="12" customHeight="1" x14ac:dyDescent="0.2">
      <c r="C71" s="40"/>
      <c r="D71" s="40"/>
    </row>
    <row r="72" spans="3:11" ht="12" customHeight="1" x14ac:dyDescent="0.2">
      <c r="C72" s="40"/>
      <c r="D72" s="40"/>
    </row>
    <row r="73" spans="3:11" ht="12" customHeight="1" x14ac:dyDescent="0.2">
      <c r="C73" s="40"/>
      <c r="D73" s="40"/>
    </row>
    <row r="74" spans="3:11" ht="12" customHeight="1" x14ac:dyDescent="0.2">
      <c r="C74" s="40"/>
      <c r="D74" s="40"/>
    </row>
  </sheetData>
  <mergeCells count="284">
    <mergeCell ref="BP1:BR1"/>
    <mergeCell ref="BP3:BR4"/>
    <mergeCell ref="BR44:BR45"/>
    <mergeCell ref="BQ44:BQ45"/>
    <mergeCell ref="BP11:BR12"/>
    <mergeCell ref="AB51:AG52"/>
    <mergeCell ref="Y51:AA52"/>
    <mergeCell ref="AH51:AJ52"/>
    <mergeCell ref="AK51:AP52"/>
    <mergeCell ref="AQ49:AS50"/>
    <mergeCell ref="AQ51:AS52"/>
    <mergeCell ref="AT51:AZ52"/>
    <mergeCell ref="AT49:AZ50"/>
    <mergeCell ref="Y47:AA48"/>
    <mergeCell ref="AB47:AG48"/>
    <mergeCell ref="Y49:AA50"/>
    <mergeCell ref="AB49:AG50"/>
    <mergeCell ref="AH47:AJ48"/>
    <mergeCell ref="AH49:AJ50"/>
    <mergeCell ref="AQ47:AS48"/>
    <mergeCell ref="AK47:AP48"/>
    <mergeCell ref="AK49:AP50"/>
    <mergeCell ref="AT47:AZ48"/>
    <mergeCell ref="BP47:BR48"/>
    <mergeCell ref="BP49:BR50"/>
    <mergeCell ref="BP51:BR52"/>
    <mergeCell ref="BP21:BP41"/>
    <mergeCell ref="BP44:BP45"/>
    <mergeCell ref="BQ21:BQ41"/>
    <mergeCell ref="BP2:BR2"/>
    <mergeCell ref="BP5:BR5"/>
    <mergeCell ref="BP6:BR6"/>
    <mergeCell ref="BP7:BR7"/>
    <mergeCell ref="BP8:BR8"/>
    <mergeCell ref="BP46:BR46"/>
    <mergeCell ref="BP9:BR9"/>
    <mergeCell ref="BC44:BE45"/>
    <mergeCell ref="BC46:BE46"/>
    <mergeCell ref="BM10:BN10"/>
    <mergeCell ref="BN11:BN12"/>
    <mergeCell ref="AO3:AY4"/>
    <mergeCell ref="AO5:AY5"/>
    <mergeCell ref="AO6:AY6"/>
    <mergeCell ref="AO7:AY7"/>
    <mergeCell ref="AO8:AY8"/>
    <mergeCell ref="BM11:BM12"/>
    <mergeCell ref="AS11:AS12"/>
    <mergeCell ref="AT38:AU38"/>
    <mergeCell ref="AT33:AU33"/>
    <mergeCell ref="AT34:AU34"/>
    <mergeCell ref="AT35:AU35"/>
    <mergeCell ref="AT36:AU36"/>
    <mergeCell ref="AT37:AU37"/>
    <mergeCell ref="AT15:AU15"/>
    <mergeCell ref="AT16:AU16"/>
    <mergeCell ref="BA2:BA4"/>
    <mergeCell ref="BG2:BN2"/>
    <mergeCell ref="BG3:BN8"/>
    <mergeCell ref="BN44:BN45"/>
    <mergeCell ref="AT29:AU29"/>
    <mergeCell ref="BG1:BN1"/>
    <mergeCell ref="AT31:AU31"/>
    <mergeCell ref="AT32:AU32"/>
    <mergeCell ref="BA10:BA12"/>
    <mergeCell ref="AV11:AV12"/>
    <mergeCell ref="AW11:AW12"/>
    <mergeCell ref="AZ11:AZ12"/>
    <mergeCell ref="BI11:BI12"/>
    <mergeCell ref="BJ11:BJ12"/>
    <mergeCell ref="AQ10:AY10"/>
    <mergeCell ref="AT21:AU21"/>
    <mergeCell ref="AT22:AU22"/>
    <mergeCell ref="AT23:AU23"/>
    <mergeCell ref="AT24:AU24"/>
    <mergeCell ref="AT25:AU25"/>
    <mergeCell ref="AT26:AU26"/>
    <mergeCell ref="AT27:AU27"/>
    <mergeCell ref="AT13:AU13"/>
    <mergeCell ref="AT14:AU14"/>
    <mergeCell ref="B10:G10"/>
    <mergeCell ref="H10:M10"/>
    <mergeCell ref="N10:S10"/>
    <mergeCell ref="T10:V10"/>
    <mergeCell ref="W10:W12"/>
    <mergeCell ref="Y10:AG10"/>
    <mergeCell ref="AR11:AR12"/>
    <mergeCell ref="AD11:AD12"/>
    <mergeCell ref="AE11:AE12"/>
    <mergeCell ref="AF11:AF12"/>
    <mergeCell ref="AG11:AG12"/>
    <mergeCell ref="AH11:AH12"/>
    <mergeCell ref="AI11:AI12"/>
    <mergeCell ref="AM11:AM12"/>
    <mergeCell ref="AN11:AN12"/>
    <mergeCell ref="AO11:AO12"/>
    <mergeCell ref="AP11:AP12"/>
    <mergeCell ref="AQ11:AQ12"/>
    <mergeCell ref="AH10:AP10"/>
    <mergeCell ref="Y3:AN4"/>
    <mergeCell ref="Y5:AN5"/>
    <mergeCell ref="Y2:AY2"/>
    <mergeCell ref="AZ3:AZ4"/>
    <mergeCell ref="K6:S6"/>
    <mergeCell ref="K8:S8"/>
    <mergeCell ref="Y6:AN6"/>
    <mergeCell ref="Y7:AN7"/>
    <mergeCell ref="Y8:AN8"/>
    <mergeCell ref="BE47:BE48"/>
    <mergeCell ref="BC35:BD35"/>
    <mergeCell ref="BC36:BD36"/>
    <mergeCell ref="BC37:BD37"/>
    <mergeCell ref="BC38:BD38"/>
    <mergeCell ref="BC39:BD39"/>
    <mergeCell ref="BE1:BE4"/>
    <mergeCell ref="AH21:AP41"/>
    <mergeCell ref="AJ11:AJ12"/>
    <mergeCell ref="BA47:BA48"/>
    <mergeCell ref="AX11:AX12"/>
    <mergeCell ref="AY11:AY12"/>
    <mergeCell ref="Y46:BA46"/>
    <mergeCell ref="BC30:BD30"/>
    <mergeCell ref="BC1:BD4"/>
    <mergeCell ref="BC5:BD5"/>
    <mergeCell ref="BC6:BD6"/>
    <mergeCell ref="BC7:BD7"/>
    <mergeCell ref="BC8:BD8"/>
    <mergeCell ref="BE10:BE12"/>
    <mergeCell ref="BC9:BE9"/>
    <mergeCell ref="BC21:BD21"/>
    <mergeCell ref="AK13:AL13"/>
    <mergeCell ref="AK14:AL14"/>
    <mergeCell ref="A51:A52"/>
    <mergeCell ref="B51:V52"/>
    <mergeCell ref="W51:W52"/>
    <mergeCell ref="AB11:AC12"/>
    <mergeCell ref="AB13:AC13"/>
    <mergeCell ref="AB14:AC14"/>
    <mergeCell ref="AB15:AC15"/>
    <mergeCell ref="AB16:AC16"/>
    <mergeCell ref="AB17:AC17"/>
    <mergeCell ref="AB18:AC18"/>
    <mergeCell ref="AB19:AC19"/>
    <mergeCell ref="AB20:AC20"/>
    <mergeCell ref="AB42:AC42"/>
    <mergeCell ref="AB43:AC43"/>
    <mergeCell ref="W49:W50"/>
    <mergeCell ref="G11:G12"/>
    <mergeCell ref="B21:G41"/>
    <mergeCell ref="A46:W46"/>
    <mergeCell ref="H21:M41"/>
    <mergeCell ref="Y21:AG41"/>
    <mergeCell ref="A47:A48"/>
    <mergeCell ref="B47:V48"/>
    <mergeCell ref="W47:W48"/>
    <mergeCell ref="A49:A50"/>
    <mergeCell ref="AK15:AL15"/>
    <mergeCell ref="AK16:AL16"/>
    <mergeCell ref="AK17:AL17"/>
    <mergeCell ref="AK11:AL12"/>
    <mergeCell ref="AT11:AU12"/>
    <mergeCell ref="BA49:BA50"/>
    <mergeCell ref="BC40:BD40"/>
    <mergeCell ref="BC41:BD41"/>
    <mergeCell ref="BC42:BD42"/>
    <mergeCell ref="BC43:BD43"/>
    <mergeCell ref="BC47:BD48"/>
    <mergeCell ref="BC49:BD50"/>
    <mergeCell ref="AT42:AU42"/>
    <mergeCell ref="AT43:AU43"/>
    <mergeCell ref="AK42:AL42"/>
    <mergeCell ref="AK43:AL43"/>
    <mergeCell ref="AT39:AU39"/>
    <mergeCell ref="AT40:AU40"/>
    <mergeCell ref="AT41:AU41"/>
    <mergeCell ref="AT30:AU30"/>
    <mergeCell ref="AK18:AL18"/>
    <mergeCell ref="AK19:AL19"/>
    <mergeCell ref="AK20:AL20"/>
    <mergeCell ref="AT28:AU28"/>
    <mergeCell ref="B49:V50"/>
    <mergeCell ref="A1:A4"/>
    <mergeCell ref="B3:J4"/>
    <mergeCell ref="K3:S4"/>
    <mergeCell ref="T3:V4"/>
    <mergeCell ref="B1:W1"/>
    <mergeCell ref="B2:S2"/>
    <mergeCell ref="T2:V2"/>
    <mergeCell ref="T5:V5"/>
    <mergeCell ref="B5:J5"/>
    <mergeCell ref="B6:J6"/>
    <mergeCell ref="B8:J8"/>
    <mergeCell ref="B7:J7"/>
    <mergeCell ref="K5:S5"/>
    <mergeCell ref="M11:M12"/>
    <mergeCell ref="S11:S12"/>
    <mergeCell ref="B44:G45"/>
    <mergeCell ref="H44:M45"/>
    <mergeCell ref="K7:S7"/>
    <mergeCell ref="T6:V6"/>
    <mergeCell ref="T7:V7"/>
    <mergeCell ref="T8:V8"/>
    <mergeCell ref="W2:W4"/>
    <mergeCell ref="A10:A12"/>
    <mergeCell ref="Y1:BA1"/>
    <mergeCell ref="A9:W9"/>
    <mergeCell ref="Y9:BA9"/>
    <mergeCell ref="BC51:BD52"/>
    <mergeCell ref="BA51:BA52"/>
    <mergeCell ref="Y11:Y12"/>
    <mergeCell ref="Z11:Z12"/>
    <mergeCell ref="AA11:AA12"/>
    <mergeCell ref="BG10:BH10"/>
    <mergeCell ref="U11:U12"/>
    <mergeCell ref="V11:V12"/>
    <mergeCell ref="A44:A45"/>
    <mergeCell ref="AZ44:BA45"/>
    <mergeCell ref="AQ44:AY45"/>
    <mergeCell ref="AH44:AP45"/>
    <mergeCell ref="Y44:AG45"/>
    <mergeCell ref="BC17:BD17"/>
    <mergeCell ref="BC18:BD18"/>
    <mergeCell ref="BC19:BD19"/>
    <mergeCell ref="BC20:BD20"/>
    <mergeCell ref="AT18:AU18"/>
    <mergeCell ref="AT19:AU19"/>
    <mergeCell ref="AT20:AU20"/>
    <mergeCell ref="AT17:AU17"/>
    <mergeCell ref="C61:D63"/>
    <mergeCell ref="T11:T12"/>
    <mergeCell ref="BC10:BD12"/>
    <mergeCell ref="BG11:BG12"/>
    <mergeCell ref="BC33:BD33"/>
    <mergeCell ref="BC34:BD34"/>
    <mergeCell ref="BH11:BH12"/>
    <mergeCell ref="BE49:BE50"/>
    <mergeCell ref="BE51:BE52"/>
    <mergeCell ref="BC31:BD31"/>
    <mergeCell ref="BC32:BD32"/>
    <mergeCell ref="BG47:BN48"/>
    <mergeCell ref="BG49:BN50"/>
    <mergeCell ref="BG51:BN52"/>
    <mergeCell ref="BG46:BN46"/>
    <mergeCell ref="BG44:BG45"/>
    <mergeCell ref="BH44:BH45"/>
    <mergeCell ref="BI44:BI45"/>
    <mergeCell ref="BJ44:BJ45"/>
    <mergeCell ref="N57:O57"/>
    <mergeCell ref="N44:S45"/>
    <mergeCell ref="T44:W45"/>
    <mergeCell ref="BM44:BM45"/>
    <mergeCell ref="E61:G63"/>
    <mergeCell ref="C67:G68"/>
    <mergeCell ref="H67:I68"/>
    <mergeCell ref="J67:K68"/>
    <mergeCell ref="BK10:BL10"/>
    <mergeCell ref="BK11:BK12"/>
    <mergeCell ref="BL11:BL12"/>
    <mergeCell ref="BI10:BJ10"/>
    <mergeCell ref="BC22:BD22"/>
    <mergeCell ref="BC23:BD23"/>
    <mergeCell ref="BC24:BD24"/>
    <mergeCell ref="BC25:BD25"/>
    <mergeCell ref="BC26:BD26"/>
    <mergeCell ref="BC27:BD27"/>
    <mergeCell ref="BC28:BD28"/>
    <mergeCell ref="BC29:BD29"/>
    <mergeCell ref="BC13:BD13"/>
    <mergeCell ref="BC14:BD14"/>
    <mergeCell ref="BC15:BD15"/>
    <mergeCell ref="BC16:BD16"/>
    <mergeCell ref="C58:D60"/>
    <mergeCell ref="BK44:BK45"/>
    <mergeCell ref="BL44:BL45"/>
    <mergeCell ref="C64:D66"/>
    <mergeCell ref="E58:G60"/>
    <mergeCell ref="E64:G66"/>
    <mergeCell ref="H57:I57"/>
    <mergeCell ref="J57:K57"/>
    <mergeCell ref="H58:I60"/>
    <mergeCell ref="J58:K60"/>
    <mergeCell ref="H61:I63"/>
    <mergeCell ref="J61:K63"/>
    <mergeCell ref="H64:I66"/>
    <mergeCell ref="J64:K66"/>
  </mergeCells>
  <phoneticPr fontId="1" type="noConversion"/>
  <pageMargins left="0.70866141732283472" right="0.70866141732283472" top="0.74803149606299213" bottom="0.74803149606299213" header="0.31496062992125984" footer="0.31496062992125984"/>
  <pageSetup paperSize="66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B9826-3C9C-4EA9-B892-603E2BC9ACED}">
  <dimension ref="A1:AT71"/>
  <sheetViews>
    <sheetView rightToLeft="1" topLeftCell="A36" zoomScaleNormal="100" workbookViewId="0">
      <pane xSplit="1" topLeftCell="B1" activePane="topRight" state="frozen"/>
      <selection pane="topRight" activeCell="AL7" sqref="AL7:AL31"/>
    </sheetView>
  </sheetViews>
  <sheetFormatPr defaultRowHeight="15" x14ac:dyDescent="0.25"/>
  <cols>
    <col min="34" max="34" width="8.625" style="55"/>
    <col min="37" max="37" width="8.625" style="55"/>
    <col min="40" max="40" width="8.625" style="55"/>
    <col min="43" max="43" width="8.625" style="55"/>
    <col min="46" max="46" width="8.625" style="55"/>
  </cols>
  <sheetData>
    <row r="1" spans="1:46" thickBot="1" x14ac:dyDescent="0.25">
      <c r="A1" s="184" t="s">
        <v>61</v>
      </c>
      <c r="B1" s="111" t="s">
        <v>40</v>
      </c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1" t="s">
        <v>41</v>
      </c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1" t="s">
        <v>42</v>
      </c>
      <c r="AG1" s="112"/>
      <c r="AH1" s="112"/>
      <c r="AI1" s="112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201"/>
    </row>
    <row r="2" spans="1:46" ht="14.25" x14ac:dyDescent="0.2">
      <c r="A2" s="185"/>
      <c r="B2" s="187" t="s">
        <v>1</v>
      </c>
      <c r="C2" s="188"/>
      <c r="D2" s="241"/>
      <c r="E2" s="187" t="s">
        <v>1</v>
      </c>
      <c r="F2" s="187"/>
      <c r="G2" s="241"/>
      <c r="H2" s="187" t="s">
        <v>1</v>
      </c>
      <c r="I2" s="188"/>
      <c r="J2" s="241"/>
      <c r="K2" s="187" t="s">
        <v>1</v>
      </c>
      <c r="L2" s="188"/>
      <c r="M2" s="241"/>
      <c r="N2" s="187" t="s">
        <v>1</v>
      </c>
      <c r="O2" s="188"/>
      <c r="P2" s="241"/>
      <c r="Q2" s="187" t="s">
        <v>1</v>
      </c>
      <c r="R2" s="188"/>
      <c r="S2" s="241"/>
      <c r="T2" s="187" t="s">
        <v>1</v>
      </c>
      <c r="U2" s="188"/>
      <c r="V2" s="241"/>
      <c r="W2" s="187" t="s">
        <v>1</v>
      </c>
      <c r="X2" s="188"/>
      <c r="Y2" s="241"/>
      <c r="Z2" s="187" t="s">
        <v>1</v>
      </c>
      <c r="AA2" s="188"/>
      <c r="AB2" s="241"/>
      <c r="AC2" s="187" t="s">
        <v>1</v>
      </c>
      <c r="AD2" s="188"/>
      <c r="AE2" s="241"/>
      <c r="AF2" s="187" t="s">
        <v>1</v>
      </c>
      <c r="AG2" s="188"/>
      <c r="AH2" s="241"/>
      <c r="AI2" s="187" t="s">
        <v>1</v>
      </c>
      <c r="AJ2" s="188"/>
      <c r="AK2" s="241"/>
      <c r="AL2" s="187" t="s">
        <v>1</v>
      </c>
      <c r="AM2" s="188"/>
      <c r="AN2" s="241"/>
      <c r="AO2" s="187" t="s">
        <v>1</v>
      </c>
      <c r="AP2" s="188"/>
      <c r="AQ2" s="241"/>
      <c r="AR2" s="187" t="s">
        <v>1</v>
      </c>
      <c r="AS2" s="188"/>
      <c r="AT2" s="241"/>
    </row>
    <row r="3" spans="1:46" thickBot="1" x14ac:dyDescent="0.25">
      <c r="A3" s="185"/>
      <c r="B3" s="190">
        <v>1</v>
      </c>
      <c r="C3" s="191"/>
      <c r="D3" s="242"/>
      <c r="E3" s="190">
        <v>2</v>
      </c>
      <c r="F3" s="190"/>
      <c r="G3" s="242"/>
      <c r="H3" s="190">
        <v>3</v>
      </c>
      <c r="I3" s="191"/>
      <c r="J3" s="242"/>
      <c r="K3" s="190">
        <v>4</v>
      </c>
      <c r="L3" s="191"/>
      <c r="M3" s="242"/>
      <c r="N3" s="190">
        <v>5</v>
      </c>
      <c r="O3" s="191"/>
      <c r="P3" s="242"/>
      <c r="Q3" s="190">
        <v>6</v>
      </c>
      <c r="R3" s="191"/>
      <c r="S3" s="242"/>
      <c r="T3" s="190">
        <v>7</v>
      </c>
      <c r="U3" s="191"/>
      <c r="V3" s="242"/>
      <c r="W3" s="190">
        <v>8</v>
      </c>
      <c r="X3" s="191"/>
      <c r="Y3" s="242"/>
      <c r="Z3" s="190">
        <v>9</v>
      </c>
      <c r="AA3" s="191"/>
      <c r="AB3" s="242"/>
      <c r="AC3" s="190">
        <v>10</v>
      </c>
      <c r="AD3" s="191"/>
      <c r="AE3" s="242"/>
      <c r="AF3" s="190">
        <v>11</v>
      </c>
      <c r="AG3" s="191"/>
      <c r="AH3" s="242"/>
      <c r="AI3" s="190">
        <v>12</v>
      </c>
      <c r="AJ3" s="191"/>
      <c r="AK3" s="242"/>
      <c r="AL3" s="190">
        <v>13</v>
      </c>
      <c r="AM3" s="191"/>
      <c r="AN3" s="242"/>
      <c r="AO3" s="190">
        <v>14</v>
      </c>
      <c r="AP3" s="191"/>
      <c r="AQ3" s="242"/>
      <c r="AR3" s="190">
        <v>15</v>
      </c>
      <c r="AS3" s="191"/>
      <c r="AT3" s="242"/>
    </row>
    <row r="4" spans="1:46" ht="14.1" customHeight="1" x14ac:dyDescent="0.2">
      <c r="A4" s="185"/>
      <c r="B4" s="113" t="s">
        <v>37</v>
      </c>
      <c r="C4" s="140" t="s">
        <v>75</v>
      </c>
      <c r="D4" s="113" t="s">
        <v>35</v>
      </c>
      <c r="E4" s="140" t="s">
        <v>37</v>
      </c>
      <c r="F4" s="209" t="s">
        <v>75</v>
      </c>
      <c r="G4" s="113" t="s">
        <v>35</v>
      </c>
      <c r="H4" s="197" t="s">
        <v>37</v>
      </c>
      <c r="I4" s="140" t="s">
        <v>75</v>
      </c>
      <c r="J4" s="113" t="s">
        <v>35</v>
      </c>
      <c r="K4" s="140" t="s">
        <v>37</v>
      </c>
      <c r="L4" s="140" t="s">
        <v>75</v>
      </c>
      <c r="M4" s="113" t="s">
        <v>35</v>
      </c>
      <c r="N4" s="113" t="s">
        <v>37</v>
      </c>
      <c r="O4" s="140" t="s">
        <v>75</v>
      </c>
      <c r="P4" s="113" t="s">
        <v>35</v>
      </c>
      <c r="Q4" s="38" t="s">
        <v>1</v>
      </c>
      <c r="R4" s="140" t="s">
        <v>75</v>
      </c>
      <c r="S4" s="140" t="s">
        <v>35</v>
      </c>
      <c r="T4" s="45" t="s">
        <v>1</v>
      </c>
      <c r="U4" s="140" t="s">
        <v>75</v>
      </c>
      <c r="V4" s="140" t="s">
        <v>35</v>
      </c>
      <c r="W4" s="35" t="s">
        <v>1</v>
      </c>
      <c r="X4" s="140" t="s">
        <v>75</v>
      </c>
      <c r="Y4" s="140" t="s">
        <v>35</v>
      </c>
      <c r="Z4" s="35" t="s">
        <v>1</v>
      </c>
      <c r="AA4" s="140" t="s">
        <v>75</v>
      </c>
      <c r="AB4" s="140" t="s">
        <v>35</v>
      </c>
      <c r="AC4" s="35" t="s">
        <v>1</v>
      </c>
      <c r="AD4" s="140" t="s">
        <v>75</v>
      </c>
      <c r="AE4" s="140" t="s">
        <v>35</v>
      </c>
      <c r="AF4" s="113" t="s">
        <v>37</v>
      </c>
      <c r="AG4" s="140" t="s">
        <v>75</v>
      </c>
      <c r="AH4" s="140" t="s">
        <v>35</v>
      </c>
      <c r="AI4" s="113" t="s">
        <v>37</v>
      </c>
      <c r="AJ4" s="140" t="s">
        <v>75</v>
      </c>
      <c r="AK4" s="140" t="s">
        <v>35</v>
      </c>
      <c r="AL4" s="113" t="s">
        <v>37</v>
      </c>
      <c r="AM4" s="140" t="s">
        <v>75</v>
      </c>
      <c r="AN4" s="140" t="s">
        <v>35</v>
      </c>
      <c r="AO4" s="113" t="s">
        <v>37</v>
      </c>
      <c r="AP4" s="140" t="s">
        <v>75</v>
      </c>
      <c r="AQ4" s="140" t="s">
        <v>35</v>
      </c>
      <c r="AR4" s="113" t="s">
        <v>37</v>
      </c>
      <c r="AS4" s="140" t="s">
        <v>75</v>
      </c>
      <c r="AT4" s="140" t="s">
        <v>35</v>
      </c>
    </row>
    <row r="5" spans="1:46" thickBot="1" x14ac:dyDescent="0.25">
      <c r="A5" s="186"/>
      <c r="B5" s="114"/>
      <c r="C5" s="141"/>
      <c r="D5" s="114"/>
      <c r="E5" s="141"/>
      <c r="F5" s="210"/>
      <c r="G5" s="114"/>
      <c r="H5" s="199"/>
      <c r="I5" s="141"/>
      <c r="J5" s="114"/>
      <c r="K5" s="141"/>
      <c r="L5" s="141"/>
      <c r="M5" s="114"/>
      <c r="N5" s="114"/>
      <c r="O5" s="141"/>
      <c r="P5" s="114"/>
      <c r="Q5" s="39">
        <v>6</v>
      </c>
      <c r="R5" s="141"/>
      <c r="S5" s="141"/>
      <c r="T5" s="46">
        <v>7</v>
      </c>
      <c r="U5" s="141"/>
      <c r="V5" s="141"/>
      <c r="W5" s="34">
        <v>8</v>
      </c>
      <c r="X5" s="141"/>
      <c r="Y5" s="141"/>
      <c r="Z5" s="34">
        <v>9</v>
      </c>
      <c r="AA5" s="141"/>
      <c r="AB5" s="141"/>
      <c r="AC5" s="34">
        <v>10</v>
      </c>
      <c r="AD5" s="141"/>
      <c r="AE5" s="141"/>
      <c r="AF5" s="114"/>
      <c r="AG5" s="141"/>
      <c r="AH5" s="141"/>
      <c r="AI5" s="114"/>
      <c r="AJ5" s="141"/>
      <c r="AK5" s="141"/>
      <c r="AL5" s="114"/>
      <c r="AM5" s="141"/>
      <c r="AN5" s="141"/>
      <c r="AO5" s="114"/>
      <c r="AP5" s="141"/>
      <c r="AQ5" s="141"/>
      <c r="AR5" s="114"/>
      <c r="AS5" s="141"/>
      <c r="AT5" s="141"/>
    </row>
    <row r="6" spans="1:46" ht="14.25" x14ac:dyDescent="0.2">
      <c r="A6" s="21" t="s">
        <v>6</v>
      </c>
      <c r="B6" s="6">
        <v>86.73</v>
      </c>
      <c r="C6" s="5">
        <f>10.03+3.77</f>
        <v>13.799999999999999</v>
      </c>
      <c r="D6" s="22">
        <f>B6+C6</f>
        <v>100.53</v>
      </c>
      <c r="E6" s="24">
        <v>86.79</v>
      </c>
      <c r="F6" s="5">
        <f>10.03+3.77</f>
        <v>13.799999999999999</v>
      </c>
      <c r="G6" s="22">
        <f t="shared" ref="G6:G13" si="0">E6+F6</f>
        <v>100.59</v>
      </c>
      <c r="H6" s="24">
        <v>63.99</v>
      </c>
      <c r="I6" s="5">
        <f>9.82+3.79</f>
        <v>13.61</v>
      </c>
      <c r="J6" s="22">
        <f>H6+I6</f>
        <v>77.599999999999994</v>
      </c>
      <c r="K6" s="24">
        <v>115.57</v>
      </c>
      <c r="L6" s="5">
        <f>9.91+3.46</f>
        <v>13.370000000000001</v>
      </c>
      <c r="M6" s="22">
        <f>K6+L6</f>
        <v>128.94</v>
      </c>
      <c r="N6" s="52">
        <v>50.01</v>
      </c>
      <c r="O6" s="5"/>
      <c r="P6" s="53">
        <f>N6+O6</f>
        <v>50.01</v>
      </c>
      <c r="Q6" s="9">
        <v>86.69</v>
      </c>
      <c r="R6" s="5">
        <f>10.03+3.77</f>
        <v>13.799999999999999</v>
      </c>
      <c r="S6" s="22">
        <f>Q6+R6</f>
        <v>100.49</v>
      </c>
      <c r="T6" s="6">
        <v>86.65</v>
      </c>
      <c r="U6" s="5">
        <f>10.03+3.77</f>
        <v>13.799999999999999</v>
      </c>
      <c r="V6" s="53">
        <f>T6+U6</f>
        <v>100.45</v>
      </c>
      <c r="W6" s="5">
        <v>63.91</v>
      </c>
      <c r="X6" s="5">
        <f>9.82+3.76</f>
        <v>13.58</v>
      </c>
      <c r="Y6" s="53">
        <f>W6+X6</f>
        <v>77.489999999999995</v>
      </c>
      <c r="Z6" s="5">
        <v>129.16999999999999</v>
      </c>
      <c r="AA6" s="5">
        <f>9.91+3.4</f>
        <v>13.31</v>
      </c>
      <c r="AB6" s="53">
        <f>Z6+AA6</f>
        <v>142.47999999999999</v>
      </c>
      <c r="AC6" s="44">
        <v>50.02</v>
      </c>
      <c r="AD6" s="5"/>
      <c r="AE6" s="53">
        <f>AC6+AD6</f>
        <v>50.02</v>
      </c>
      <c r="AF6" s="9">
        <v>86.34</v>
      </c>
      <c r="AG6" s="5">
        <f>10.03+3.77</f>
        <v>13.799999999999999</v>
      </c>
      <c r="AH6" s="53">
        <f>AF6+AG6</f>
        <v>100.14</v>
      </c>
      <c r="AI6" s="6">
        <v>86.32</v>
      </c>
      <c r="AJ6" s="5">
        <f>10.03+3.77</f>
        <v>13.799999999999999</v>
      </c>
      <c r="AK6" s="53">
        <f>AI6+AJ6</f>
        <v>100.11999999999999</v>
      </c>
      <c r="AL6" s="5">
        <v>63.95</v>
      </c>
      <c r="AM6" s="5">
        <f>9.8+3.84</f>
        <v>13.64</v>
      </c>
      <c r="AN6" s="53">
        <f>AL6+AM6</f>
        <v>77.59</v>
      </c>
      <c r="AO6" s="5">
        <v>129</v>
      </c>
      <c r="AP6" s="5">
        <f>9.91+3.45</f>
        <v>13.36</v>
      </c>
      <c r="AQ6" s="53">
        <f>AO6+AP6</f>
        <v>142.36000000000001</v>
      </c>
      <c r="AR6" s="44">
        <v>50.05</v>
      </c>
      <c r="AS6" s="5"/>
      <c r="AT6" s="53">
        <f>AR6+AS6</f>
        <v>50.05</v>
      </c>
    </row>
    <row r="7" spans="1:46" ht="14.25" x14ac:dyDescent="0.2">
      <c r="A7" s="18" t="s">
        <v>7</v>
      </c>
      <c r="B7" s="6">
        <v>86.56</v>
      </c>
      <c r="C7" s="5">
        <f t="shared" ref="C7:C11" si="1">10.03+3.77</f>
        <v>13.799999999999999</v>
      </c>
      <c r="D7" s="22">
        <f t="shared" ref="D7:D13" si="2">B7+C7</f>
        <v>100.36</v>
      </c>
      <c r="E7" s="6">
        <v>86.6</v>
      </c>
      <c r="F7" s="5">
        <f t="shared" ref="F7:F11" si="3">10.03+3.77</f>
        <v>13.799999999999999</v>
      </c>
      <c r="G7" s="22">
        <f t="shared" si="0"/>
        <v>100.39999999999999</v>
      </c>
      <c r="H7" s="6">
        <v>63.89</v>
      </c>
      <c r="I7" s="5">
        <f>9.82+3.82</f>
        <v>13.64</v>
      </c>
      <c r="J7" s="22">
        <f t="shared" ref="J7:J13" si="4">H7+I7</f>
        <v>77.53</v>
      </c>
      <c r="K7" s="6">
        <v>115.47</v>
      </c>
      <c r="L7" s="5">
        <f>9.91+3.46</f>
        <v>13.370000000000001</v>
      </c>
      <c r="M7" s="22">
        <f t="shared" ref="M7:M13" si="5">K7+L7</f>
        <v>128.84</v>
      </c>
      <c r="N7" s="5">
        <v>77.08</v>
      </c>
      <c r="O7" s="5">
        <f>3.93+9.83</f>
        <v>13.76</v>
      </c>
      <c r="P7" s="53">
        <f t="shared" ref="P7:P11" si="6">N7+O7</f>
        <v>90.84</v>
      </c>
      <c r="Q7" s="9">
        <v>86.48</v>
      </c>
      <c r="R7" s="5">
        <f t="shared" ref="R7:R12" si="7">10.03+3.77</f>
        <v>13.799999999999999</v>
      </c>
      <c r="S7" s="22">
        <f t="shared" ref="S7:S12" si="8">Q7+R7</f>
        <v>100.28</v>
      </c>
      <c r="T7" s="5">
        <v>86.4</v>
      </c>
      <c r="U7" s="5">
        <f>9.99+3.81</f>
        <v>13.8</v>
      </c>
      <c r="V7" s="53">
        <f t="shared" ref="V7:V12" si="9">T7+U7</f>
        <v>100.2</v>
      </c>
      <c r="W7" s="5">
        <v>64.099999999999994</v>
      </c>
      <c r="X7" s="5">
        <f>9.82+3.75</f>
        <v>13.57</v>
      </c>
      <c r="Y7" s="53">
        <f t="shared" ref="Y7:Y13" si="10">W7+X7</f>
        <v>77.669999999999987</v>
      </c>
      <c r="Z7" s="5">
        <v>129.30000000000001</v>
      </c>
      <c r="AA7" s="5">
        <f t="shared" ref="AA7:AA9" si="11">9.91+3.4</f>
        <v>13.31</v>
      </c>
      <c r="AB7" s="53">
        <f t="shared" ref="AB7:AB13" si="12">Z7+AA7</f>
        <v>142.61000000000001</v>
      </c>
      <c r="AC7" s="5">
        <v>64.5</v>
      </c>
      <c r="AD7" s="5">
        <f>9.82+3.93</f>
        <v>13.75</v>
      </c>
      <c r="AE7" s="53">
        <f t="shared" ref="AE7:AE11" si="13">AC7+AD7</f>
        <v>78.25</v>
      </c>
      <c r="AF7" s="9">
        <v>86.34</v>
      </c>
      <c r="AG7" s="5">
        <f t="shared" ref="AG7:AG32" si="14">10.03+3.77</f>
        <v>13.799999999999999</v>
      </c>
      <c r="AH7" s="53">
        <f>AF7+AG7</f>
        <v>100.14</v>
      </c>
      <c r="AI7" s="5">
        <v>86.34</v>
      </c>
      <c r="AJ7" s="5">
        <f t="shared" ref="AJ7:AJ32" si="15">10.03+3.77</f>
        <v>13.799999999999999</v>
      </c>
      <c r="AK7" s="53">
        <f t="shared" ref="AK7:AK34" si="16">AI7+AJ7</f>
        <v>100.14</v>
      </c>
      <c r="AL7" s="5">
        <v>63.86</v>
      </c>
      <c r="AM7" s="5">
        <f>9.82+3.82</f>
        <v>13.64</v>
      </c>
      <c r="AN7" s="53">
        <f t="shared" ref="AN7:AN34" si="17">AL7+AM7</f>
        <v>77.5</v>
      </c>
      <c r="AO7" s="5">
        <v>129</v>
      </c>
      <c r="AP7" s="5">
        <f>9.91+3.46</f>
        <v>13.370000000000001</v>
      </c>
      <c r="AQ7" s="53">
        <f t="shared" ref="AQ7:AQ32" si="18">AO7+AP7</f>
        <v>142.37</v>
      </c>
      <c r="AR7" s="5">
        <v>64.17</v>
      </c>
      <c r="AS7" s="5">
        <f>9.82+3.93</f>
        <v>13.75</v>
      </c>
      <c r="AT7" s="53">
        <f t="shared" ref="AT7:AT34" si="19">AR7+AS7</f>
        <v>77.92</v>
      </c>
    </row>
    <row r="8" spans="1:46" ht="14.25" x14ac:dyDescent="0.2">
      <c r="A8" s="18" t="s">
        <v>8</v>
      </c>
      <c r="B8" s="6">
        <v>86.56</v>
      </c>
      <c r="C8" s="5">
        <f t="shared" si="1"/>
        <v>13.799999999999999</v>
      </c>
      <c r="D8" s="22">
        <f t="shared" si="2"/>
        <v>100.36</v>
      </c>
      <c r="E8" s="6">
        <v>86.6</v>
      </c>
      <c r="F8" s="5">
        <f t="shared" si="3"/>
        <v>13.799999999999999</v>
      </c>
      <c r="G8" s="22">
        <f t="shared" si="0"/>
        <v>100.39999999999999</v>
      </c>
      <c r="H8" s="6">
        <v>63.89</v>
      </c>
      <c r="I8" s="5">
        <f t="shared" ref="I8:I11" si="20">9.82+3.82</f>
        <v>13.64</v>
      </c>
      <c r="J8" s="22">
        <f t="shared" si="4"/>
        <v>77.53</v>
      </c>
      <c r="K8" s="6">
        <v>115.47</v>
      </c>
      <c r="L8" s="5">
        <f t="shared" ref="L8:L11" si="21">9.91+3.46</f>
        <v>13.370000000000001</v>
      </c>
      <c r="M8" s="22">
        <f t="shared" si="5"/>
        <v>128.84</v>
      </c>
      <c r="N8" s="5">
        <v>77.08</v>
      </c>
      <c r="O8" s="5">
        <f t="shared" ref="O8:O11" si="22">3.93+9.83</f>
        <v>13.76</v>
      </c>
      <c r="P8" s="53">
        <f t="shared" si="6"/>
        <v>90.84</v>
      </c>
      <c r="Q8" s="9">
        <v>86.48</v>
      </c>
      <c r="R8" s="5">
        <f t="shared" si="7"/>
        <v>13.799999999999999</v>
      </c>
      <c r="S8" s="22">
        <f t="shared" si="8"/>
        <v>100.28</v>
      </c>
      <c r="T8" s="5">
        <v>86.4</v>
      </c>
      <c r="U8" s="5">
        <f t="shared" ref="U8:U11" si="23">9.99+3.81</f>
        <v>13.8</v>
      </c>
      <c r="V8" s="53">
        <f t="shared" si="9"/>
        <v>100.2</v>
      </c>
      <c r="W8" s="5">
        <v>64.099999999999994</v>
      </c>
      <c r="X8" s="5">
        <f t="shared" ref="X8:X11" si="24">9.82+3.75</f>
        <v>13.57</v>
      </c>
      <c r="Y8" s="53">
        <f t="shared" si="10"/>
        <v>77.669999999999987</v>
      </c>
      <c r="Z8" s="5">
        <v>129.30000000000001</v>
      </c>
      <c r="AA8" s="5">
        <f t="shared" si="11"/>
        <v>13.31</v>
      </c>
      <c r="AB8" s="53">
        <f t="shared" si="12"/>
        <v>142.61000000000001</v>
      </c>
      <c r="AC8" s="5">
        <v>64.5</v>
      </c>
      <c r="AD8" s="5">
        <f t="shared" ref="AD8:AD11" si="25">9.82+3.93</f>
        <v>13.75</v>
      </c>
      <c r="AE8" s="53">
        <f t="shared" si="13"/>
        <v>78.25</v>
      </c>
      <c r="AF8" s="9">
        <v>86.34</v>
      </c>
      <c r="AG8" s="5">
        <f t="shared" si="14"/>
        <v>13.799999999999999</v>
      </c>
      <c r="AH8" s="53">
        <f t="shared" ref="AH8:AH34" si="26">AF8+AG8</f>
        <v>100.14</v>
      </c>
      <c r="AI8" s="5">
        <v>86.34</v>
      </c>
      <c r="AJ8" s="5">
        <f t="shared" si="15"/>
        <v>13.799999999999999</v>
      </c>
      <c r="AK8" s="53">
        <f t="shared" si="16"/>
        <v>100.14</v>
      </c>
      <c r="AL8" s="5">
        <v>63.86</v>
      </c>
      <c r="AM8" s="5">
        <f t="shared" ref="AM8:AM32" si="27">9.82+3.82</f>
        <v>13.64</v>
      </c>
      <c r="AN8" s="53">
        <f t="shared" si="17"/>
        <v>77.5</v>
      </c>
      <c r="AO8" s="5">
        <v>129</v>
      </c>
      <c r="AP8" s="5">
        <f t="shared" ref="AP8:AP32" si="28">9.91+3.46</f>
        <v>13.370000000000001</v>
      </c>
      <c r="AQ8" s="53">
        <f t="shared" si="18"/>
        <v>142.37</v>
      </c>
      <c r="AR8" s="5">
        <v>64.17</v>
      </c>
      <c r="AS8" s="5">
        <f t="shared" ref="AS8:AS32" si="29">9.82+3.93</f>
        <v>13.75</v>
      </c>
      <c r="AT8" s="53">
        <f t="shared" si="19"/>
        <v>77.92</v>
      </c>
    </row>
    <row r="9" spans="1:46" ht="14.25" x14ac:dyDescent="0.2">
      <c r="A9" s="18" t="s">
        <v>9</v>
      </c>
      <c r="B9" s="6">
        <v>86.56</v>
      </c>
      <c r="C9" s="5">
        <f t="shared" si="1"/>
        <v>13.799999999999999</v>
      </c>
      <c r="D9" s="22">
        <f t="shared" si="2"/>
        <v>100.36</v>
      </c>
      <c r="E9" s="6">
        <v>86.6</v>
      </c>
      <c r="F9" s="5">
        <f t="shared" si="3"/>
        <v>13.799999999999999</v>
      </c>
      <c r="G9" s="22">
        <f t="shared" si="0"/>
        <v>100.39999999999999</v>
      </c>
      <c r="H9" s="6">
        <v>63.89</v>
      </c>
      <c r="I9" s="5">
        <f t="shared" si="20"/>
        <v>13.64</v>
      </c>
      <c r="J9" s="22">
        <f t="shared" si="4"/>
        <v>77.53</v>
      </c>
      <c r="K9" s="6">
        <v>115.47</v>
      </c>
      <c r="L9" s="5">
        <f t="shared" si="21"/>
        <v>13.370000000000001</v>
      </c>
      <c r="M9" s="22">
        <f t="shared" si="5"/>
        <v>128.84</v>
      </c>
      <c r="N9" s="5">
        <v>77.08</v>
      </c>
      <c r="O9" s="5">
        <f t="shared" si="22"/>
        <v>13.76</v>
      </c>
      <c r="P9" s="53">
        <f t="shared" si="6"/>
        <v>90.84</v>
      </c>
      <c r="Q9" s="9">
        <v>86.48</v>
      </c>
      <c r="R9" s="5">
        <f t="shared" si="7"/>
        <v>13.799999999999999</v>
      </c>
      <c r="S9" s="22">
        <f t="shared" si="8"/>
        <v>100.28</v>
      </c>
      <c r="T9" s="5">
        <v>86.4</v>
      </c>
      <c r="U9" s="5">
        <f t="shared" si="23"/>
        <v>13.8</v>
      </c>
      <c r="V9" s="53">
        <f t="shared" si="9"/>
        <v>100.2</v>
      </c>
      <c r="W9" s="5">
        <v>64.099999999999994</v>
      </c>
      <c r="X9" s="5">
        <f t="shared" si="24"/>
        <v>13.57</v>
      </c>
      <c r="Y9" s="53">
        <f t="shared" si="10"/>
        <v>77.669999999999987</v>
      </c>
      <c r="Z9" s="5">
        <v>129.30000000000001</v>
      </c>
      <c r="AA9" s="5">
        <f t="shared" si="11"/>
        <v>13.31</v>
      </c>
      <c r="AB9" s="53">
        <f t="shared" si="12"/>
        <v>142.61000000000001</v>
      </c>
      <c r="AC9" s="5">
        <v>64.5</v>
      </c>
      <c r="AD9" s="5">
        <f t="shared" si="25"/>
        <v>13.75</v>
      </c>
      <c r="AE9" s="53">
        <f t="shared" si="13"/>
        <v>78.25</v>
      </c>
      <c r="AF9" s="9">
        <v>86.34</v>
      </c>
      <c r="AG9" s="5">
        <f t="shared" si="14"/>
        <v>13.799999999999999</v>
      </c>
      <c r="AH9" s="53">
        <f t="shared" si="26"/>
        <v>100.14</v>
      </c>
      <c r="AI9" s="5">
        <v>86.34</v>
      </c>
      <c r="AJ9" s="5">
        <f t="shared" si="15"/>
        <v>13.799999999999999</v>
      </c>
      <c r="AK9" s="53">
        <f t="shared" si="16"/>
        <v>100.14</v>
      </c>
      <c r="AL9" s="5">
        <v>63.86</v>
      </c>
      <c r="AM9" s="5">
        <f t="shared" si="27"/>
        <v>13.64</v>
      </c>
      <c r="AN9" s="53">
        <f t="shared" si="17"/>
        <v>77.5</v>
      </c>
      <c r="AO9" s="5">
        <v>129</v>
      </c>
      <c r="AP9" s="5">
        <f t="shared" si="28"/>
        <v>13.370000000000001</v>
      </c>
      <c r="AQ9" s="53">
        <f t="shared" si="18"/>
        <v>142.37</v>
      </c>
      <c r="AR9" s="5">
        <v>64.17</v>
      </c>
      <c r="AS9" s="5">
        <f t="shared" si="29"/>
        <v>13.75</v>
      </c>
      <c r="AT9" s="53">
        <f t="shared" si="19"/>
        <v>77.92</v>
      </c>
    </row>
    <row r="10" spans="1:46" ht="14.25" x14ac:dyDescent="0.2">
      <c r="A10" s="18" t="s">
        <v>10</v>
      </c>
      <c r="B10" s="6">
        <v>86.56</v>
      </c>
      <c r="C10" s="5">
        <f t="shared" si="1"/>
        <v>13.799999999999999</v>
      </c>
      <c r="D10" s="22">
        <f t="shared" si="2"/>
        <v>100.36</v>
      </c>
      <c r="E10" s="6">
        <v>86.6</v>
      </c>
      <c r="F10" s="5">
        <f t="shared" si="3"/>
        <v>13.799999999999999</v>
      </c>
      <c r="G10" s="22">
        <f t="shared" si="0"/>
        <v>100.39999999999999</v>
      </c>
      <c r="H10" s="6">
        <v>63.89</v>
      </c>
      <c r="I10" s="5">
        <f t="shared" si="20"/>
        <v>13.64</v>
      </c>
      <c r="J10" s="22">
        <f t="shared" si="4"/>
        <v>77.53</v>
      </c>
      <c r="K10" s="6">
        <v>115.47</v>
      </c>
      <c r="L10" s="5">
        <f t="shared" si="21"/>
        <v>13.370000000000001</v>
      </c>
      <c r="M10" s="22">
        <f t="shared" si="5"/>
        <v>128.84</v>
      </c>
      <c r="N10" s="5">
        <v>77.08</v>
      </c>
      <c r="O10" s="5">
        <f t="shared" si="22"/>
        <v>13.76</v>
      </c>
      <c r="P10" s="53">
        <f t="shared" si="6"/>
        <v>90.84</v>
      </c>
      <c r="Q10" s="9">
        <v>86.48</v>
      </c>
      <c r="R10" s="5">
        <f t="shared" si="7"/>
        <v>13.799999999999999</v>
      </c>
      <c r="S10" s="22">
        <f t="shared" si="8"/>
        <v>100.28</v>
      </c>
      <c r="T10" s="5">
        <v>86.4</v>
      </c>
      <c r="U10" s="5">
        <f t="shared" si="23"/>
        <v>13.8</v>
      </c>
      <c r="V10" s="53">
        <f t="shared" si="9"/>
        <v>100.2</v>
      </c>
      <c r="W10" s="5">
        <v>64.099999999999994</v>
      </c>
      <c r="X10" s="5">
        <f t="shared" si="24"/>
        <v>13.57</v>
      </c>
      <c r="Y10" s="53">
        <f t="shared" si="10"/>
        <v>77.669999999999987</v>
      </c>
      <c r="Z10" s="5">
        <v>129.30000000000001</v>
      </c>
      <c r="AA10" s="5">
        <f>9.91+3.4</f>
        <v>13.31</v>
      </c>
      <c r="AB10" s="53">
        <f t="shared" si="12"/>
        <v>142.61000000000001</v>
      </c>
      <c r="AC10" s="5">
        <v>64.5</v>
      </c>
      <c r="AD10" s="5">
        <f t="shared" si="25"/>
        <v>13.75</v>
      </c>
      <c r="AE10" s="53">
        <f t="shared" si="13"/>
        <v>78.25</v>
      </c>
      <c r="AF10" s="9">
        <v>86.34</v>
      </c>
      <c r="AG10" s="5">
        <f t="shared" si="14"/>
        <v>13.799999999999999</v>
      </c>
      <c r="AH10" s="53">
        <f t="shared" si="26"/>
        <v>100.14</v>
      </c>
      <c r="AI10" s="5">
        <v>86.34</v>
      </c>
      <c r="AJ10" s="5">
        <f t="shared" si="15"/>
        <v>13.799999999999999</v>
      </c>
      <c r="AK10" s="53">
        <f t="shared" si="16"/>
        <v>100.14</v>
      </c>
      <c r="AL10" s="5">
        <v>63.86</v>
      </c>
      <c r="AM10" s="5">
        <f t="shared" si="27"/>
        <v>13.64</v>
      </c>
      <c r="AN10" s="53">
        <f t="shared" si="17"/>
        <v>77.5</v>
      </c>
      <c r="AO10" s="5">
        <v>129</v>
      </c>
      <c r="AP10" s="5">
        <f t="shared" si="28"/>
        <v>13.370000000000001</v>
      </c>
      <c r="AQ10" s="53">
        <f t="shared" si="18"/>
        <v>142.37</v>
      </c>
      <c r="AR10" s="5">
        <v>64.17</v>
      </c>
      <c r="AS10" s="5">
        <f t="shared" si="29"/>
        <v>13.75</v>
      </c>
      <c r="AT10" s="53">
        <f t="shared" si="19"/>
        <v>77.92</v>
      </c>
    </row>
    <row r="11" spans="1:46" ht="14.25" x14ac:dyDescent="0.2">
      <c r="A11" s="18" t="s">
        <v>11</v>
      </c>
      <c r="B11" s="6">
        <v>86.52</v>
      </c>
      <c r="C11" s="5">
        <f t="shared" si="1"/>
        <v>13.799999999999999</v>
      </c>
      <c r="D11" s="22">
        <f t="shared" si="2"/>
        <v>100.32</v>
      </c>
      <c r="E11" s="6">
        <v>86.59</v>
      </c>
      <c r="F11" s="5">
        <f t="shared" si="3"/>
        <v>13.799999999999999</v>
      </c>
      <c r="G11" s="22">
        <f t="shared" si="0"/>
        <v>100.39</v>
      </c>
      <c r="H11" s="6">
        <v>63.89</v>
      </c>
      <c r="I11" s="5">
        <f t="shared" si="20"/>
        <v>13.64</v>
      </c>
      <c r="J11" s="22">
        <f t="shared" si="4"/>
        <v>77.53</v>
      </c>
      <c r="K11" s="6">
        <v>115.47</v>
      </c>
      <c r="L11" s="5">
        <f t="shared" si="21"/>
        <v>13.370000000000001</v>
      </c>
      <c r="M11" s="22">
        <f t="shared" si="5"/>
        <v>128.84</v>
      </c>
      <c r="N11" s="5">
        <v>77.08</v>
      </c>
      <c r="O11" s="5">
        <f t="shared" si="22"/>
        <v>13.76</v>
      </c>
      <c r="P11" s="53">
        <f t="shared" si="6"/>
        <v>90.84</v>
      </c>
      <c r="Q11" s="9">
        <v>86.51</v>
      </c>
      <c r="R11" s="5">
        <f t="shared" si="7"/>
        <v>13.799999999999999</v>
      </c>
      <c r="S11" s="22">
        <f t="shared" si="8"/>
        <v>100.31</v>
      </c>
      <c r="T11" s="5">
        <v>86.37</v>
      </c>
      <c r="U11" s="5">
        <f t="shared" si="23"/>
        <v>13.8</v>
      </c>
      <c r="V11" s="53">
        <f t="shared" si="9"/>
        <v>100.17</v>
      </c>
      <c r="W11" s="5">
        <v>64.099999999999994</v>
      </c>
      <c r="X11" s="5">
        <f t="shared" si="24"/>
        <v>13.57</v>
      </c>
      <c r="Y11" s="53">
        <f t="shared" si="10"/>
        <v>77.669999999999987</v>
      </c>
      <c r="Z11" s="5">
        <v>129.30000000000001</v>
      </c>
      <c r="AA11" s="5">
        <f>9.91+3.4</f>
        <v>13.31</v>
      </c>
      <c r="AB11" s="53">
        <f t="shared" si="12"/>
        <v>142.61000000000001</v>
      </c>
      <c r="AC11" s="5">
        <v>64.5</v>
      </c>
      <c r="AD11" s="5">
        <f t="shared" si="25"/>
        <v>13.75</v>
      </c>
      <c r="AE11" s="53">
        <f t="shared" si="13"/>
        <v>78.25</v>
      </c>
      <c r="AF11" s="9">
        <v>86.34</v>
      </c>
      <c r="AG11" s="5">
        <f t="shared" si="14"/>
        <v>13.799999999999999</v>
      </c>
      <c r="AH11" s="53">
        <f t="shared" si="26"/>
        <v>100.14</v>
      </c>
      <c r="AI11" s="5">
        <v>86.34</v>
      </c>
      <c r="AJ11" s="5">
        <f t="shared" si="15"/>
        <v>13.799999999999999</v>
      </c>
      <c r="AK11" s="53">
        <f t="shared" si="16"/>
        <v>100.14</v>
      </c>
      <c r="AL11" s="5">
        <v>63.86</v>
      </c>
      <c r="AM11" s="5">
        <f t="shared" si="27"/>
        <v>13.64</v>
      </c>
      <c r="AN11" s="53">
        <f t="shared" si="17"/>
        <v>77.5</v>
      </c>
      <c r="AO11" s="5">
        <v>129</v>
      </c>
      <c r="AP11" s="5">
        <f t="shared" si="28"/>
        <v>13.370000000000001</v>
      </c>
      <c r="AQ11" s="53">
        <f t="shared" si="18"/>
        <v>142.37</v>
      </c>
      <c r="AR11" s="5">
        <v>64.17</v>
      </c>
      <c r="AS11" s="5">
        <f t="shared" si="29"/>
        <v>13.75</v>
      </c>
      <c r="AT11" s="53">
        <f t="shared" si="19"/>
        <v>77.92</v>
      </c>
    </row>
    <row r="12" spans="1:46" ht="14.25" x14ac:dyDescent="0.2">
      <c r="A12" s="18" t="s">
        <v>12</v>
      </c>
      <c r="B12" s="6">
        <v>86.77</v>
      </c>
      <c r="C12" s="5">
        <f>10.04+3.75</f>
        <v>13.79</v>
      </c>
      <c r="D12" s="22">
        <f t="shared" si="2"/>
        <v>100.56</v>
      </c>
      <c r="E12" s="6">
        <v>86.88</v>
      </c>
      <c r="F12" s="5">
        <f>10.03+3.77</f>
        <v>13.799999999999999</v>
      </c>
      <c r="G12" s="22">
        <f t="shared" si="0"/>
        <v>100.67999999999999</v>
      </c>
      <c r="H12" s="6">
        <v>124.63</v>
      </c>
      <c r="I12" s="5">
        <f>9.82+3.93</f>
        <v>13.75</v>
      </c>
      <c r="J12" s="22">
        <f t="shared" si="4"/>
        <v>138.38</v>
      </c>
      <c r="K12" s="6">
        <v>124.52</v>
      </c>
      <c r="L12" s="5">
        <f>9.82+3.89</f>
        <v>13.71</v>
      </c>
      <c r="M12" s="22">
        <f t="shared" si="5"/>
        <v>138.22999999999999</v>
      </c>
      <c r="N12" s="5"/>
      <c r="O12" s="5"/>
      <c r="P12" s="53"/>
      <c r="Q12" s="9">
        <v>86.61</v>
      </c>
      <c r="R12" s="5">
        <f t="shared" si="7"/>
        <v>13.799999999999999</v>
      </c>
      <c r="S12" s="22">
        <f t="shared" si="8"/>
        <v>100.41</v>
      </c>
      <c r="T12" s="5">
        <v>86.64</v>
      </c>
      <c r="U12" s="5">
        <f t="shared" ref="U12" si="30">10.03+3.77</f>
        <v>13.799999999999999</v>
      </c>
      <c r="V12" s="53">
        <f t="shared" si="9"/>
        <v>100.44</v>
      </c>
      <c r="W12" s="5">
        <v>124.91</v>
      </c>
      <c r="X12" s="5">
        <f>9.79+3.93</f>
        <v>13.719999999999999</v>
      </c>
      <c r="Y12" s="53">
        <f t="shared" si="10"/>
        <v>138.63</v>
      </c>
      <c r="Z12" s="5">
        <v>124.87</v>
      </c>
      <c r="AA12" s="5">
        <f>9.82+3.93</f>
        <v>13.75</v>
      </c>
      <c r="AB12" s="53">
        <f t="shared" si="12"/>
        <v>138.62</v>
      </c>
      <c r="AC12" s="5"/>
      <c r="AD12" s="5"/>
      <c r="AE12" s="53"/>
      <c r="AF12" s="9">
        <v>86.34</v>
      </c>
      <c r="AG12" s="5">
        <f t="shared" si="14"/>
        <v>13.799999999999999</v>
      </c>
      <c r="AH12" s="53">
        <f t="shared" si="26"/>
        <v>100.14</v>
      </c>
      <c r="AI12" s="5">
        <v>86.34</v>
      </c>
      <c r="AJ12" s="5">
        <f t="shared" si="15"/>
        <v>13.799999999999999</v>
      </c>
      <c r="AK12" s="53">
        <f t="shared" si="16"/>
        <v>100.14</v>
      </c>
      <c r="AL12" s="5">
        <v>63.86</v>
      </c>
      <c r="AM12" s="5">
        <f t="shared" si="27"/>
        <v>13.64</v>
      </c>
      <c r="AN12" s="53">
        <f t="shared" si="17"/>
        <v>77.5</v>
      </c>
      <c r="AO12" s="5">
        <v>129</v>
      </c>
      <c r="AP12" s="5">
        <f t="shared" si="28"/>
        <v>13.370000000000001</v>
      </c>
      <c r="AQ12" s="53">
        <f t="shared" si="18"/>
        <v>142.37</v>
      </c>
      <c r="AR12" s="5">
        <v>64.17</v>
      </c>
      <c r="AS12" s="5">
        <f t="shared" si="29"/>
        <v>13.75</v>
      </c>
      <c r="AT12" s="53">
        <f t="shared" si="19"/>
        <v>77.92</v>
      </c>
    </row>
    <row r="13" spans="1:46" thickBot="1" x14ac:dyDescent="0.25">
      <c r="A13" s="18" t="s">
        <v>13</v>
      </c>
      <c r="B13" s="26"/>
      <c r="C13" s="47"/>
      <c r="D13" s="11">
        <f t="shared" si="2"/>
        <v>0</v>
      </c>
      <c r="E13" s="26"/>
      <c r="F13" s="47"/>
      <c r="G13" s="11">
        <f t="shared" si="0"/>
        <v>0</v>
      </c>
      <c r="H13" s="26">
        <v>143.06</v>
      </c>
      <c r="I13" s="47">
        <f>9.82+3.93</f>
        <v>13.75</v>
      </c>
      <c r="J13" s="11">
        <f t="shared" si="4"/>
        <v>156.81</v>
      </c>
      <c r="K13" s="26">
        <v>143.06</v>
      </c>
      <c r="L13" s="47">
        <f>9.82+3.93</f>
        <v>13.75</v>
      </c>
      <c r="M13" s="11">
        <f t="shared" si="5"/>
        <v>156.81</v>
      </c>
      <c r="N13" s="4"/>
      <c r="O13" s="47"/>
      <c r="P13" s="54"/>
      <c r="Q13" s="29"/>
      <c r="R13" s="47"/>
      <c r="S13" s="11"/>
      <c r="T13" s="4"/>
      <c r="U13" s="47"/>
      <c r="V13" s="54"/>
      <c r="W13" s="4">
        <v>143.18</v>
      </c>
      <c r="X13" s="47">
        <f>9.83+3.93</f>
        <v>13.76</v>
      </c>
      <c r="Y13" s="54">
        <f t="shared" si="10"/>
        <v>156.94</v>
      </c>
      <c r="Z13" s="4">
        <v>143.32</v>
      </c>
      <c r="AA13" s="47">
        <f>9.92+3.93</f>
        <v>13.85</v>
      </c>
      <c r="AB13" s="54">
        <f t="shared" si="12"/>
        <v>157.16999999999999</v>
      </c>
      <c r="AC13" s="4"/>
      <c r="AD13" s="47"/>
      <c r="AE13" s="54"/>
      <c r="AF13" s="9">
        <v>86.34</v>
      </c>
      <c r="AG13" s="5">
        <f t="shared" si="14"/>
        <v>13.799999999999999</v>
      </c>
      <c r="AH13" s="53">
        <f t="shared" si="26"/>
        <v>100.14</v>
      </c>
      <c r="AI13" s="5">
        <v>86.34</v>
      </c>
      <c r="AJ13" s="5">
        <f t="shared" si="15"/>
        <v>13.799999999999999</v>
      </c>
      <c r="AK13" s="53">
        <f t="shared" si="16"/>
        <v>100.14</v>
      </c>
      <c r="AL13" s="5">
        <v>63.86</v>
      </c>
      <c r="AM13" s="5">
        <f t="shared" si="27"/>
        <v>13.64</v>
      </c>
      <c r="AN13" s="53">
        <f t="shared" si="17"/>
        <v>77.5</v>
      </c>
      <c r="AO13" s="5">
        <v>129</v>
      </c>
      <c r="AP13" s="5">
        <f t="shared" si="28"/>
        <v>13.370000000000001</v>
      </c>
      <c r="AQ13" s="53">
        <f t="shared" si="18"/>
        <v>142.37</v>
      </c>
      <c r="AR13" s="5">
        <v>64.17</v>
      </c>
      <c r="AS13" s="5">
        <f t="shared" si="29"/>
        <v>13.75</v>
      </c>
      <c r="AT13" s="53">
        <f t="shared" si="19"/>
        <v>77.92</v>
      </c>
    </row>
    <row r="14" spans="1:46" ht="14.25" x14ac:dyDescent="0.2">
      <c r="A14" s="18" t="s">
        <v>14</v>
      </c>
      <c r="B14" s="215"/>
      <c r="C14" s="216"/>
      <c r="D14" s="216"/>
      <c r="E14" s="216"/>
      <c r="F14" s="216"/>
      <c r="G14" s="216"/>
      <c r="H14" s="216"/>
      <c r="I14" s="216"/>
      <c r="J14" s="216"/>
      <c r="K14" s="216"/>
      <c r="L14" s="216"/>
      <c r="M14" s="216"/>
      <c r="N14" s="216"/>
      <c r="O14" s="216"/>
      <c r="P14" s="216"/>
      <c r="Q14" s="215"/>
      <c r="R14" s="216"/>
      <c r="S14" s="216"/>
      <c r="T14" s="216"/>
      <c r="U14" s="216"/>
      <c r="V14" s="216"/>
      <c r="W14" s="216"/>
      <c r="X14" s="216"/>
      <c r="Y14" s="216"/>
      <c r="Z14" s="216"/>
      <c r="AA14" s="216"/>
      <c r="AB14" s="216"/>
      <c r="AC14" s="216"/>
      <c r="AD14" s="216"/>
      <c r="AE14" s="216"/>
      <c r="AF14" s="9">
        <v>86.34</v>
      </c>
      <c r="AG14" s="5">
        <f t="shared" si="14"/>
        <v>13.799999999999999</v>
      </c>
      <c r="AH14" s="53">
        <f t="shared" si="26"/>
        <v>100.14</v>
      </c>
      <c r="AI14" s="5">
        <v>86.34</v>
      </c>
      <c r="AJ14" s="5">
        <f t="shared" si="15"/>
        <v>13.799999999999999</v>
      </c>
      <c r="AK14" s="53">
        <f t="shared" si="16"/>
        <v>100.14</v>
      </c>
      <c r="AL14" s="5">
        <v>63.86</v>
      </c>
      <c r="AM14" s="5">
        <f t="shared" si="27"/>
        <v>13.64</v>
      </c>
      <c r="AN14" s="53">
        <f t="shared" si="17"/>
        <v>77.5</v>
      </c>
      <c r="AO14" s="5">
        <v>129</v>
      </c>
      <c r="AP14" s="5">
        <f t="shared" si="28"/>
        <v>13.370000000000001</v>
      </c>
      <c r="AQ14" s="53">
        <f t="shared" si="18"/>
        <v>142.37</v>
      </c>
      <c r="AR14" s="5">
        <v>64.17</v>
      </c>
      <c r="AS14" s="5">
        <f t="shared" si="29"/>
        <v>13.75</v>
      </c>
      <c r="AT14" s="53">
        <f t="shared" si="19"/>
        <v>77.92</v>
      </c>
    </row>
    <row r="15" spans="1:46" ht="14.25" x14ac:dyDescent="0.2">
      <c r="A15" s="18" t="s">
        <v>15</v>
      </c>
      <c r="B15" s="215"/>
      <c r="C15" s="216"/>
      <c r="D15" s="216"/>
      <c r="E15" s="216"/>
      <c r="F15" s="216"/>
      <c r="G15" s="216"/>
      <c r="H15" s="216"/>
      <c r="I15" s="216"/>
      <c r="J15" s="216"/>
      <c r="K15" s="216"/>
      <c r="L15" s="216"/>
      <c r="M15" s="216"/>
      <c r="N15" s="216"/>
      <c r="O15" s="216"/>
      <c r="P15" s="216"/>
      <c r="Q15" s="215"/>
      <c r="R15" s="216"/>
      <c r="S15" s="216"/>
      <c r="T15" s="216"/>
      <c r="U15" s="216"/>
      <c r="V15" s="216"/>
      <c r="W15" s="216"/>
      <c r="X15" s="216"/>
      <c r="Y15" s="216"/>
      <c r="Z15" s="216"/>
      <c r="AA15" s="216"/>
      <c r="AB15" s="216"/>
      <c r="AC15" s="216"/>
      <c r="AD15" s="216"/>
      <c r="AE15" s="216"/>
      <c r="AF15" s="9">
        <v>86.34</v>
      </c>
      <c r="AG15" s="5">
        <f t="shared" si="14"/>
        <v>13.799999999999999</v>
      </c>
      <c r="AH15" s="53">
        <f t="shared" si="26"/>
        <v>100.14</v>
      </c>
      <c r="AI15" s="5">
        <v>86.34</v>
      </c>
      <c r="AJ15" s="5">
        <f t="shared" si="15"/>
        <v>13.799999999999999</v>
      </c>
      <c r="AK15" s="53">
        <f t="shared" si="16"/>
        <v>100.14</v>
      </c>
      <c r="AL15" s="5">
        <v>63.86</v>
      </c>
      <c r="AM15" s="5">
        <f t="shared" si="27"/>
        <v>13.64</v>
      </c>
      <c r="AN15" s="53">
        <f t="shared" si="17"/>
        <v>77.5</v>
      </c>
      <c r="AO15" s="5">
        <v>129</v>
      </c>
      <c r="AP15" s="5">
        <f t="shared" si="28"/>
        <v>13.370000000000001</v>
      </c>
      <c r="AQ15" s="53">
        <f t="shared" si="18"/>
        <v>142.37</v>
      </c>
      <c r="AR15" s="5">
        <v>64.17</v>
      </c>
      <c r="AS15" s="5">
        <f t="shared" si="29"/>
        <v>13.75</v>
      </c>
      <c r="AT15" s="53">
        <f t="shared" si="19"/>
        <v>77.92</v>
      </c>
    </row>
    <row r="16" spans="1:46" ht="14.25" x14ac:dyDescent="0.2">
      <c r="A16" s="18" t="s">
        <v>16</v>
      </c>
      <c r="B16" s="215"/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216"/>
      <c r="O16" s="216"/>
      <c r="P16" s="216"/>
      <c r="Q16" s="215"/>
      <c r="R16" s="216"/>
      <c r="S16" s="216"/>
      <c r="T16" s="216"/>
      <c r="U16" s="216"/>
      <c r="V16" s="216"/>
      <c r="W16" s="216"/>
      <c r="X16" s="216"/>
      <c r="Y16" s="216"/>
      <c r="Z16" s="216"/>
      <c r="AA16" s="216"/>
      <c r="AB16" s="216"/>
      <c r="AC16" s="216"/>
      <c r="AD16" s="216"/>
      <c r="AE16" s="216"/>
      <c r="AF16" s="9">
        <v>86.34</v>
      </c>
      <c r="AG16" s="5">
        <f t="shared" si="14"/>
        <v>13.799999999999999</v>
      </c>
      <c r="AH16" s="53">
        <f t="shared" si="26"/>
        <v>100.14</v>
      </c>
      <c r="AI16" s="5">
        <v>86.34</v>
      </c>
      <c r="AJ16" s="5">
        <f t="shared" si="15"/>
        <v>13.799999999999999</v>
      </c>
      <c r="AK16" s="53">
        <f t="shared" si="16"/>
        <v>100.14</v>
      </c>
      <c r="AL16" s="5">
        <v>63.86</v>
      </c>
      <c r="AM16" s="5">
        <f t="shared" si="27"/>
        <v>13.64</v>
      </c>
      <c r="AN16" s="53">
        <f t="shared" si="17"/>
        <v>77.5</v>
      </c>
      <c r="AO16" s="5">
        <v>129</v>
      </c>
      <c r="AP16" s="5">
        <f t="shared" si="28"/>
        <v>13.370000000000001</v>
      </c>
      <c r="AQ16" s="53">
        <f t="shared" si="18"/>
        <v>142.37</v>
      </c>
      <c r="AR16" s="5">
        <v>64.17</v>
      </c>
      <c r="AS16" s="5">
        <f t="shared" si="29"/>
        <v>13.75</v>
      </c>
      <c r="AT16" s="53">
        <f t="shared" si="19"/>
        <v>77.92</v>
      </c>
    </row>
    <row r="17" spans="1:46" ht="14.25" x14ac:dyDescent="0.2">
      <c r="A17" s="18" t="s">
        <v>17</v>
      </c>
      <c r="B17" s="215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5"/>
      <c r="R17" s="216"/>
      <c r="S17" s="216"/>
      <c r="T17" s="216"/>
      <c r="U17" s="216"/>
      <c r="V17" s="216"/>
      <c r="W17" s="216"/>
      <c r="X17" s="216"/>
      <c r="Y17" s="216"/>
      <c r="Z17" s="216"/>
      <c r="AA17" s="216"/>
      <c r="AB17" s="216"/>
      <c r="AC17" s="216"/>
      <c r="AD17" s="216"/>
      <c r="AE17" s="216"/>
      <c r="AF17" s="9">
        <v>86.34</v>
      </c>
      <c r="AG17" s="5">
        <f t="shared" si="14"/>
        <v>13.799999999999999</v>
      </c>
      <c r="AH17" s="53">
        <f t="shared" si="26"/>
        <v>100.14</v>
      </c>
      <c r="AI17" s="5">
        <v>86.34</v>
      </c>
      <c r="AJ17" s="5">
        <f t="shared" si="15"/>
        <v>13.799999999999999</v>
      </c>
      <c r="AK17" s="53">
        <f t="shared" si="16"/>
        <v>100.14</v>
      </c>
      <c r="AL17" s="5">
        <v>63.86</v>
      </c>
      <c r="AM17" s="5">
        <f t="shared" si="27"/>
        <v>13.64</v>
      </c>
      <c r="AN17" s="53">
        <f t="shared" si="17"/>
        <v>77.5</v>
      </c>
      <c r="AO17" s="5">
        <v>129</v>
      </c>
      <c r="AP17" s="5">
        <f t="shared" si="28"/>
        <v>13.370000000000001</v>
      </c>
      <c r="AQ17" s="53">
        <f t="shared" si="18"/>
        <v>142.37</v>
      </c>
      <c r="AR17" s="5">
        <v>64.17</v>
      </c>
      <c r="AS17" s="5">
        <f t="shared" si="29"/>
        <v>13.75</v>
      </c>
      <c r="AT17" s="53">
        <f t="shared" si="19"/>
        <v>77.92</v>
      </c>
    </row>
    <row r="18" spans="1:46" ht="14.25" x14ac:dyDescent="0.2">
      <c r="A18" s="18" t="s">
        <v>18</v>
      </c>
      <c r="B18" s="215"/>
      <c r="C18" s="216"/>
      <c r="D18" s="216"/>
      <c r="E18" s="216"/>
      <c r="F18" s="216"/>
      <c r="G18" s="216"/>
      <c r="H18" s="216"/>
      <c r="I18" s="216"/>
      <c r="J18" s="216"/>
      <c r="K18" s="216"/>
      <c r="L18" s="216"/>
      <c r="M18" s="216"/>
      <c r="N18" s="216"/>
      <c r="O18" s="216"/>
      <c r="P18" s="216"/>
      <c r="Q18" s="215"/>
      <c r="R18" s="216"/>
      <c r="S18" s="216"/>
      <c r="T18" s="216"/>
      <c r="U18" s="216"/>
      <c r="V18" s="216"/>
      <c r="W18" s="216"/>
      <c r="X18" s="216"/>
      <c r="Y18" s="216"/>
      <c r="Z18" s="216"/>
      <c r="AA18" s="216"/>
      <c r="AB18" s="216"/>
      <c r="AC18" s="216"/>
      <c r="AD18" s="216"/>
      <c r="AE18" s="216"/>
      <c r="AF18" s="9">
        <v>86.34</v>
      </c>
      <c r="AG18" s="5">
        <f t="shared" si="14"/>
        <v>13.799999999999999</v>
      </c>
      <c r="AH18" s="53">
        <f t="shared" si="26"/>
        <v>100.14</v>
      </c>
      <c r="AI18" s="5">
        <v>86.34</v>
      </c>
      <c r="AJ18" s="5">
        <f t="shared" si="15"/>
        <v>13.799999999999999</v>
      </c>
      <c r="AK18" s="53">
        <f t="shared" si="16"/>
        <v>100.14</v>
      </c>
      <c r="AL18" s="5">
        <v>63.86</v>
      </c>
      <c r="AM18" s="5">
        <f t="shared" si="27"/>
        <v>13.64</v>
      </c>
      <c r="AN18" s="53">
        <f t="shared" si="17"/>
        <v>77.5</v>
      </c>
      <c r="AO18" s="5">
        <v>129</v>
      </c>
      <c r="AP18" s="5">
        <f t="shared" si="28"/>
        <v>13.370000000000001</v>
      </c>
      <c r="AQ18" s="53">
        <f t="shared" si="18"/>
        <v>142.37</v>
      </c>
      <c r="AR18" s="5">
        <v>64.17</v>
      </c>
      <c r="AS18" s="5">
        <f t="shared" si="29"/>
        <v>13.75</v>
      </c>
      <c r="AT18" s="53">
        <f t="shared" si="19"/>
        <v>77.92</v>
      </c>
    </row>
    <row r="19" spans="1:46" ht="14.25" x14ac:dyDescent="0.2">
      <c r="A19" s="18" t="s">
        <v>19</v>
      </c>
      <c r="B19" s="215"/>
      <c r="C19" s="216"/>
      <c r="D19" s="216"/>
      <c r="E19" s="216"/>
      <c r="F19" s="216"/>
      <c r="G19" s="216"/>
      <c r="H19" s="216"/>
      <c r="I19" s="216"/>
      <c r="J19" s="216"/>
      <c r="K19" s="216"/>
      <c r="L19" s="216"/>
      <c r="M19" s="216"/>
      <c r="N19" s="216"/>
      <c r="O19" s="216"/>
      <c r="P19" s="216"/>
      <c r="Q19" s="215"/>
      <c r="R19" s="216"/>
      <c r="S19" s="216"/>
      <c r="T19" s="216"/>
      <c r="U19" s="216"/>
      <c r="V19" s="216"/>
      <c r="W19" s="216"/>
      <c r="X19" s="216"/>
      <c r="Y19" s="216"/>
      <c r="Z19" s="216"/>
      <c r="AA19" s="216"/>
      <c r="AB19" s="216"/>
      <c r="AC19" s="216"/>
      <c r="AD19" s="216"/>
      <c r="AE19" s="216"/>
      <c r="AF19" s="9">
        <v>86.34</v>
      </c>
      <c r="AG19" s="5">
        <f t="shared" si="14"/>
        <v>13.799999999999999</v>
      </c>
      <c r="AH19" s="53">
        <f t="shared" si="26"/>
        <v>100.14</v>
      </c>
      <c r="AI19" s="5">
        <v>86.34</v>
      </c>
      <c r="AJ19" s="5">
        <f t="shared" si="15"/>
        <v>13.799999999999999</v>
      </c>
      <c r="AK19" s="53">
        <f t="shared" si="16"/>
        <v>100.14</v>
      </c>
      <c r="AL19" s="5">
        <v>63.86</v>
      </c>
      <c r="AM19" s="5">
        <f t="shared" si="27"/>
        <v>13.64</v>
      </c>
      <c r="AN19" s="53">
        <f t="shared" si="17"/>
        <v>77.5</v>
      </c>
      <c r="AO19" s="5">
        <v>129</v>
      </c>
      <c r="AP19" s="5">
        <f t="shared" si="28"/>
        <v>13.370000000000001</v>
      </c>
      <c r="AQ19" s="53">
        <f t="shared" si="18"/>
        <v>142.37</v>
      </c>
      <c r="AR19" s="5">
        <v>64.17</v>
      </c>
      <c r="AS19" s="5">
        <f t="shared" si="29"/>
        <v>13.75</v>
      </c>
      <c r="AT19" s="53">
        <f t="shared" si="19"/>
        <v>77.92</v>
      </c>
    </row>
    <row r="20" spans="1:46" ht="14.25" x14ac:dyDescent="0.2">
      <c r="A20" s="18" t="s">
        <v>20</v>
      </c>
      <c r="B20" s="215"/>
      <c r="C20" s="216"/>
      <c r="D20" s="216"/>
      <c r="E20" s="216"/>
      <c r="F20" s="216"/>
      <c r="G20" s="216"/>
      <c r="H20" s="216"/>
      <c r="I20" s="216"/>
      <c r="J20" s="216"/>
      <c r="K20" s="216"/>
      <c r="L20" s="216"/>
      <c r="M20" s="216"/>
      <c r="N20" s="216"/>
      <c r="O20" s="216"/>
      <c r="P20" s="216"/>
      <c r="Q20" s="215"/>
      <c r="R20" s="216"/>
      <c r="S20" s="216"/>
      <c r="T20" s="216"/>
      <c r="U20" s="216"/>
      <c r="V20" s="216"/>
      <c r="W20" s="216"/>
      <c r="X20" s="216"/>
      <c r="Y20" s="216"/>
      <c r="Z20" s="216"/>
      <c r="AA20" s="216"/>
      <c r="AB20" s="216"/>
      <c r="AC20" s="216"/>
      <c r="AD20" s="216"/>
      <c r="AE20" s="216"/>
      <c r="AF20" s="9">
        <v>86.34</v>
      </c>
      <c r="AG20" s="5">
        <f t="shared" si="14"/>
        <v>13.799999999999999</v>
      </c>
      <c r="AH20" s="53">
        <f t="shared" si="26"/>
        <v>100.14</v>
      </c>
      <c r="AI20" s="5">
        <v>86.34</v>
      </c>
      <c r="AJ20" s="5">
        <f t="shared" si="15"/>
        <v>13.799999999999999</v>
      </c>
      <c r="AK20" s="53">
        <f t="shared" si="16"/>
        <v>100.14</v>
      </c>
      <c r="AL20" s="5">
        <v>63.86</v>
      </c>
      <c r="AM20" s="5">
        <f t="shared" si="27"/>
        <v>13.64</v>
      </c>
      <c r="AN20" s="53">
        <f t="shared" si="17"/>
        <v>77.5</v>
      </c>
      <c r="AO20" s="5">
        <v>129</v>
      </c>
      <c r="AP20" s="5">
        <f t="shared" si="28"/>
        <v>13.370000000000001</v>
      </c>
      <c r="AQ20" s="53">
        <f t="shared" si="18"/>
        <v>142.37</v>
      </c>
      <c r="AR20" s="5">
        <v>64.17</v>
      </c>
      <c r="AS20" s="5">
        <f t="shared" si="29"/>
        <v>13.75</v>
      </c>
      <c r="AT20" s="53">
        <f t="shared" si="19"/>
        <v>77.92</v>
      </c>
    </row>
    <row r="21" spans="1:46" ht="14.25" x14ac:dyDescent="0.2">
      <c r="A21" s="18" t="s">
        <v>21</v>
      </c>
      <c r="B21" s="215"/>
      <c r="C21" s="216"/>
      <c r="D21" s="216"/>
      <c r="E21" s="216"/>
      <c r="F21" s="216"/>
      <c r="G21" s="216"/>
      <c r="H21" s="216"/>
      <c r="I21" s="216"/>
      <c r="J21" s="216"/>
      <c r="K21" s="216"/>
      <c r="L21" s="216"/>
      <c r="M21" s="216"/>
      <c r="N21" s="216"/>
      <c r="O21" s="216"/>
      <c r="P21" s="216"/>
      <c r="Q21" s="215"/>
      <c r="R21" s="216"/>
      <c r="S21" s="216"/>
      <c r="T21" s="216"/>
      <c r="U21" s="216"/>
      <c r="V21" s="216"/>
      <c r="W21" s="216"/>
      <c r="X21" s="216"/>
      <c r="Y21" s="216"/>
      <c r="Z21" s="216"/>
      <c r="AA21" s="216"/>
      <c r="AB21" s="216"/>
      <c r="AC21" s="216"/>
      <c r="AD21" s="216"/>
      <c r="AE21" s="216"/>
      <c r="AF21" s="9">
        <v>86.34</v>
      </c>
      <c r="AG21" s="5">
        <f t="shared" si="14"/>
        <v>13.799999999999999</v>
      </c>
      <c r="AH21" s="53">
        <f t="shared" si="26"/>
        <v>100.14</v>
      </c>
      <c r="AI21" s="5">
        <v>86.34</v>
      </c>
      <c r="AJ21" s="5">
        <f t="shared" si="15"/>
        <v>13.799999999999999</v>
      </c>
      <c r="AK21" s="53">
        <f t="shared" si="16"/>
        <v>100.14</v>
      </c>
      <c r="AL21" s="5">
        <v>63.86</v>
      </c>
      <c r="AM21" s="5">
        <f t="shared" si="27"/>
        <v>13.64</v>
      </c>
      <c r="AN21" s="53">
        <f t="shared" si="17"/>
        <v>77.5</v>
      </c>
      <c r="AO21" s="5">
        <v>129</v>
      </c>
      <c r="AP21" s="5">
        <f t="shared" si="28"/>
        <v>13.370000000000001</v>
      </c>
      <c r="AQ21" s="53">
        <f t="shared" si="18"/>
        <v>142.37</v>
      </c>
      <c r="AR21" s="5">
        <v>64.17</v>
      </c>
      <c r="AS21" s="5">
        <f t="shared" si="29"/>
        <v>13.75</v>
      </c>
      <c r="AT21" s="53">
        <f t="shared" si="19"/>
        <v>77.92</v>
      </c>
    </row>
    <row r="22" spans="1:46" ht="14.25" x14ac:dyDescent="0.2">
      <c r="A22" s="18" t="s">
        <v>22</v>
      </c>
      <c r="B22" s="215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/>
      <c r="P22" s="216"/>
      <c r="Q22" s="215"/>
      <c r="R22" s="216"/>
      <c r="S22" s="216"/>
      <c r="T22" s="216"/>
      <c r="U22" s="216"/>
      <c r="V22" s="216"/>
      <c r="W22" s="216"/>
      <c r="X22" s="216"/>
      <c r="Y22" s="216"/>
      <c r="Z22" s="216"/>
      <c r="AA22" s="216"/>
      <c r="AB22" s="216"/>
      <c r="AC22" s="216"/>
      <c r="AD22" s="216"/>
      <c r="AE22" s="216"/>
      <c r="AF22" s="9">
        <v>86.34</v>
      </c>
      <c r="AG22" s="5">
        <f t="shared" si="14"/>
        <v>13.799999999999999</v>
      </c>
      <c r="AH22" s="53">
        <f t="shared" si="26"/>
        <v>100.14</v>
      </c>
      <c r="AI22" s="5">
        <v>86.34</v>
      </c>
      <c r="AJ22" s="5">
        <f t="shared" si="15"/>
        <v>13.799999999999999</v>
      </c>
      <c r="AK22" s="53">
        <f t="shared" si="16"/>
        <v>100.14</v>
      </c>
      <c r="AL22" s="5">
        <v>63.86</v>
      </c>
      <c r="AM22" s="5">
        <f t="shared" si="27"/>
        <v>13.64</v>
      </c>
      <c r="AN22" s="53">
        <f t="shared" si="17"/>
        <v>77.5</v>
      </c>
      <c r="AO22" s="5">
        <v>129</v>
      </c>
      <c r="AP22" s="5">
        <f t="shared" si="28"/>
        <v>13.370000000000001</v>
      </c>
      <c r="AQ22" s="53">
        <f t="shared" si="18"/>
        <v>142.37</v>
      </c>
      <c r="AR22" s="5">
        <v>64.17</v>
      </c>
      <c r="AS22" s="5">
        <f t="shared" si="29"/>
        <v>13.75</v>
      </c>
      <c r="AT22" s="53">
        <f t="shared" si="19"/>
        <v>77.92</v>
      </c>
    </row>
    <row r="23" spans="1:46" ht="14.25" x14ac:dyDescent="0.2">
      <c r="A23" s="18" t="s">
        <v>23</v>
      </c>
      <c r="B23" s="215"/>
      <c r="C23" s="216"/>
      <c r="D23" s="216"/>
      <c r="E23" s="216"/>
      <c r="F23" s="216"/>
      <c r="G23" s="216"/>
      <c r="H23" s="216"/>
      <c r="I23" s="216"/>
      <c r="J23" s="216"/>
      <c r="K23" s="216"/>
      <c r="L23" s="216"/>
      <c r="M23" s="216"/>
      <c r="N23" s="216"/>
      <c r="O23" s="216"/>
      <c r="P23" s="216"/>
      <c r="Q23" s="215"/>
      <c r="R23" s="216"/>
      <c r="S23" s="216"/>
      <c r="T23" s="216"/>
      <c r="U23" s="216"/>
      <c r="V23" s="216"/>
      <c r="W23" s="216"/>
      <c r="X23" s="216"/>
      <c r="Y23" s="216"/>
      <c r="Z23" s="216"/>
      <c r="AA23" s="216"/>
      <c r="AB23" s="216"/>
      <c r="AC23" s="216"/>
      <c r="AD23" s="216"/>
      <c r="AE23" s="216"/>
      <c r="AF23" s="9">
        <v>86.34</v>
      </c>
      <c r="AG23" s="5">
        <f t="shared" si="14"/>
        <v>13.799999999999999</v>
      </c>
      <c r="AH23" s="53">
        <f t="shared" si="26"/>
        <v>100.14</v>
      </c>
      <c r="AI23" s="5">
        <v>86.34</v>
      </c>
      <c r="AJ23" s="5">
        <f t="shared" si="15"/>
        <v>13.799999999999999</v>
      </c>
      <c r="AK23" s="53">
        <f t="shared" si="16"/>
        <v>100.14</v>
      </c>
      <c r="AL23" s="5">
        <v>63.86</v>
      </c>
      <c r="AM23" s="5">
        <f t="shared" si="27"/>
        <v>13.64</v>
      </c>
      <c r="AN23" s="53">
        <f t="shared" si="17"/>
        <v>77.5</v>
      </c>
      <c r="AO23" s="5">
        <v>129</v>
      </c>
      <c r="AP23" s="5">
        <f t="shared" si="28"/>
        <v>13.370000000000001</v>
      </c>
      <c r="AQ23" s="53">
        <f t="shared" si="18"/>
        <v>142.37</v>
      </c>
      <c r="AR23" s="5">
        <v>64.17</v>
      </c>
      <c r="AS23" s="5">
        <f t="shared" si="29"/>
        <v>13.75</v>
      </c>
      <c r="AT23" s="53">
        <f t="shared" si="19"/>
        <v>77.92</v>
      </c>
    </row>
    <row r="24" spans="1:46" ht="14.25" x14ac:dyDescent="0.2">
      <c r="A24" s="18" t="s">
        <v>24</v>
      </c>
      <c r="B24" s="215"/>
      <c r="C24" s="216"/>
      <c r="D24" s="216"/>
      <c r="E24" s="216"/>
      <c r="F24" s="216"/>
      <c r="G24" s="216"/>
      <c r="H24" s="216"/>
      <c r="I24" s="216"/>
      <c r="J24" s="216"/>
      <c r="K24" s="216"/>
      <c r="L24" s="216"/>
      <c r="M24" s="216"/>
      <c r="N24" s="216"/>
      <c r="O24" s="216"/>
      <c r="P24" s="216"/>
      <c r="Q24" s="215"/>
      <c r="R24" s="216"/>
      <c r="S24" s="216"/>
      <c r="T24" s="216"/>
      <c r="U24" s="216"/>
      <c r="V24" s="216"/>
      <c r="W24" s="216"/>
      <c r="X24" s="216"/>
      <c r="Y24" s="216"/>
      <c r="Z24" s="216"/>
      <c r="AA24" s="216"/>
      <c r="AB24" s="216"/>
      <c r="AC24" s="216"/>
      <c r="AD24" s="216"/>
      <c r="AE24" s="216"/>
      <c r="AF24" s="9">
        <v>86.34</v>
      </c>
      <c r="AG24" s="5">
        <f t="shared" si="14"/>
        <v>13.799999999999999</v>
      </c>
      <c r="AH24" s="53">
        <f t="shared" si="26"/>
        <v>100.14</v>
      </c>
      <c r="AI24" s="5">
        <v>86.34</v>
      </c>
      <c r="AJ24" s="5">
        <f t="shared" si="15"/>
        <v>13.799999999999999</v>
      </c>
      <c r="AK24" s="53">
        <f t="shared" si="16"/>
        <v>100.14</v>
      </c>
      <c r="AL24" s="5">
        <v>63.86</v>
      </c>
      <c r="AM24" s="5">
        <f t="shared" si="27"/>
        <v>13.64</v>
      </c>
      <c r="AN24" s="53">
        <f t="shared" si="17"/>
        <v>77.5</v>
      </c>
      <c r="AO24" s="5">
        <v>129</v>
      </c>
      <c r="AP24" s="5">
        <f t="shared" si="28"/>
        <v>13.370000000000001</v>
      </c>
      <c r="AQ24" s="53">
        <f t="shared" si="18"/>
        <v>142.37</v>
      </c>
      <c r="AR24" s="5">
        <v>64.17</v>
      </c>
      <c r="AS24" s="5">
        <f t="shared" si="29"/>
        <v>13.75</v>
      </c>
      <c r="AT24" s="53">
        <f t="shared" si="19"/>
        <v>77.92</v>
      </c>
    </row>
    <row r="25" spans="1:46" ht="14.25" x14ac:dyDescent="0.2">
      <c r="A25" s="18" t="s">
        <v>25</v>
      </c>
      <c r="B25" s="215"/>
      <c r="C25" s="216"/>
      <c r="D25" s="216"/>
      <c r="E25" s="216"/>
      <c r="F25" s="216"/>
      <c r="G25" s="216"/>
      <c r="H25" s="216"/>
      <c r="I25" s="216"/>
      <c r="J25" s="216"/>
      <c r="K25" s="216"/>
      <c r="L25" s="216"/>
      <c r="M25" s="216"/>
      <c r="N25" s="216"/>
      <c r="O25" s="216"/>
      <c r="P25" s="216"/>
      <c r="Q25" s="215"/>
      <c r="R25" s="216"/>
      <c r="S25" s="216"/>
      <c r="T25" s="216"/>
      <c r="U25" s="216"/>
      <c r="V25" s="216"/>
      <c r="W25" s="216"/>
      <c r="X25" s="216"/>
      <c r="Y25" s="216"/>
      <c r="Z25" s="216"/>
      <c r="AA25" s="216"/>
      <c r="AB25" s="216"/>
      <c r="AC25" s="216"/>
      <c r="AD25" s="216"/>
      <c r="AE25" s="216"/>
      <c r="AF25" s="9">
        <v>86.34</v>
      </c>
      <c r="AG25" s="5">
        <f t="shared" si="14"/>
        <v>13.799999999999999</v>
      </c>
      <c r="AH25" s="53">
        <f t="shared" si="26"/>
        <v>100.14</v>
      </c>
      <c r="AI25" s="5">
        <v>86.34</v>
      </c>
      <c r="AJ25" s="5">
        <f t="shared" si="15"/>
        <v>13.799999999999999</v>
      </c>
      <c r="AK25" s="53">
        <f t="shared" si="16"/>
        <v>100.14</v>
      </c>
      <c r="AL25" s="5">
        <v>63.86</v>
      </c>
      <c r="AM25" s="5">
        <f t="shared" si="27"/>
        <v>13.64</v>
      </c>
      <c r="AN25" s="53">
        <f t="shared" si="17"/>
        <v>77.5</v>
      </c>
      <c r="AO25" s="5">
        <v>129</v>
      </c>
      <c r="AP25" s="5">
        <f t="shared" si="28"/>
        <v>13.370000000000001</v>
      </c>
      <c r="AQ25" s="53">
        <f t="shared" si="18"/>
        <v>142.37</v>
      </c>
      <c r="AR25" s="5">
        <v>64.17</v>
      </c>
      <c r="AS25" s="5">
        <f t="shared" si="29"/>
        <v>13.75</v>
      </c>
      <c r="AT25" s="53">
        <f t="shared" si="19"/>
        <v>77.92</v>
      </c>
    </row>
    <row r="26" spans="1:46" ht="14.25" x14ac:dyDescent="0.2">
      <c r="A26" s="18" t="s">
        <v>26</v>
      </c>
      <c r="B26" s="215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5"/>
      <c r="R26" s="216"/>
      <c r="S26" s="216"/>
      <c r="T26" s="216"/>
      <c r="U26" s="216"/>
      <c r="V26" s="216"/>
      <c r="W26" s="216"/>
      <c r="X26" s="216"/>
      <c r="Y26" s="216"/>
      <c r="Z26" s="216"/>
      <c r="AA26" s="216"/>
      <c r="AB26" s="216"/>
      <c r="AC26" s="216"/>
      <c r="AD26" s="216"/>
      <c r="AE26" s="216"/>
      <c r="AF26" s="9">
        <v>86.34</v>
      </c>
      <c r="AG26" s="5">
        <f t="shared" si="14"/>
        <v>13.799999999999999</v>
      </c>
      <c r="AH26" s="53">
        <f t="shared" si="26"/>
        <v>100.14</v>
      </c>
      <c r="AI26" s="5">
        <v>86.34</v>
      </c>
      <c r="AJ26" s="5">
        <f t="shared" si="15"/>
        <v>13.799999999999999</v>
      </c>
      <c r="AK26" s="53">
        <f t="shared" si="16"/>
        <v>100.14</v>
      </c>
      <c r="AL26" s="5">
        <v>63.86</v>
      </c>
      <c r="AM26" s="5">
        <f t="shared" si="27"/>
        <v>13.64</v>
      </c>
      <c r="AN26" s="53">
        <f t="shared" si="17"/>
        <v>77.5</v>
      </c>
      <c r="AO26" s="5">
        <v>129</v>
      </c>
      <c r="AP26" s="5">
        <f t="shared" si="28"/>
        <v>13.370000000000001</v>
      </c>
      <c r="AQ26" s="53">
        <f t="shared" si="18"/>
        <v>142.37</v>
      </c>
      <c r="AR26" s="5">
        <v>64.17</v>
      </c>
      <c r="AS26" s="5">
        <f t="shared" si="29"/>
        <v>13.75</v>
      </c>
      <c r="AT26" s="53">
        <f t="shared" si="19"/>
        <v>77.92</v>
      </c>
    </row>
    <row r="27" spans="1:46" ht="14.25" x14ac:dyDescent="0.2">
      <c r="A27" s="18" t="s">
        <v>27</v>
      </c>
      <c r="B27" s="215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5"/>
      <c r="R27" s="216"/>
      <c r="S27" s="216"/>
      <c r="T27" s="216"/>
      <c r="U27" s="216"/>
      <c r="V27" s="216"/>
      <c r="W27" s="216"/>
      <c r="X27" s="216"/>
      <c r="Y27" s="216"/>
      <c r="Z27" s="216"/>
      <c r="AA27" s="216"/>
      <c r="AB27" s="216"/>
      <c r="AC27" s="216"/>
      <c r="AD27" s="216"/>
      <c r="AE27" s="216"/>
      <c r="AF27" s="9">
        <v>86.34</v>
      </c>
      <c r="AG27" s="5">
        <f t="shared" si="14"/>
        <v>13.799999999999999</v>
      </c>
      <c r="AH27" s="53">
        <f t="shared" si="26"/>
        <v>100.14</v>
      </c>
      <c r="AI27" s="5">
        <v>86.34</v>
      </c>
      <c r="AJ27" s="5">
        <f t="shared" si="15"/>
        <v>13.799999999999999</v>
      </c>
      <c r="AK27" s="53">
        <f t="shared" si="16"/>
        <v>100.14</v>
      </c>
      <c r="AL27" s="5">
        <v>63.86</v>
      </c>
      <c r="AM27" s="5">
        <f t="shared" si="27"/>
        <v>13.64</v>
      </c>
      <c r="AN27" s="53">
        <f t="shared" si="17"/>
        <v>77.5</v>
      </c>
      <c r="AO27" s="5">
        <v>129</v>
      </c>
      <c r="AP27" s="5">
        <f t="shared" si="28"/>
        <v>13.370000000000001</v>
      </c>
      <c r="AQ27" s="53">
        <f t="shared" si="18"/>
        <v>142.37</v>
      </c>
      <c r="AR27" s="5">
        <v>64.17</v>
      </c>
      <c r="AS27" s="5">
        <f t="shared" si="29"/>
        <v>13.75</v>
      </c>
      <c r="AT27" s="53">
        <f t="shared" si="19"/>
        <v>77.92</v>
      </c>
    </row>
    <row r="28" spans="1:46" ht="14.25" x14ac:dyDescent="0.2">
      <c r="A28" s="18" t="s">
        <v>28</v>
      </c>
      <c r="B28" s="215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5"/>
      <c r="R28" s="216"/>
      <c r="S28" s="216"/>
      <c r="T28" s="216"/>
      <c r="U28" s="216"/>
      <c r="V28" s="216"/>
      <c r="W28" s="216"/>
      <c r="X28" s="216"/>
      <c r="Y28" s="216"/>
      <c r="Z28" s="216"/>
      <c r="AA28" s="216"/>
      <c r="AB28" s="216"/>
      <c r="AC28" s="216"/>
      <c r="AD28" s="216"/>
      <c r="AE28" s="216"/>
      <c r="AF28" s="9">
        <v>86.34</v>
      </c>
      <c r="AG28" s="5">
        <f t="shared" si="14"/>
        <v>13.799999999999999</v>
      </c>
      <c r="AH28" s="53">
        <f t="shared" si="26"/>
        <v>100.14</v>
      </c>
      <c r="AI28" s="5">
        <v>86.34</v>
      </c>
      <c r="AJ28" s="5">
        <f t="shared" si="15"/>
        <v>13.799999999999999</v>
      </c>
      <c r="AK28" s="53">
        <f t="shared" si="16"/>
        <v>100.14</v>
      </c>
      <c r="AL28" s="5">
        <v>63.86</v>
      </c>
      <c r="AM28" s="5">
        <f t="shared" si="27"/>
        <v>13.64</v>
      </c>
      <c r="AN28" s="53">
        <f t="shared" si="17"/>
        <v>77.5</v>
      </c>
      <c r="AO28" s="5">
        <v>129</v>
      </c>
      <c r="AP28" s="5">
        <f t="shared" si="28"/>
        <v>13.370000000000001</v>
      </c>
      <c r="AQ28" s="53">
        <f t="shared" si="18"/>
        <v>142.37</v>
      </c>
      <c r="AR28" s="5">
        <v>64.17</v>
      </c>
      <c r="AS28" s="5">
        <f t="shared" si="29"/>
        <v>13.75</v>
      </c>
      <c r="AT28" s="53">
        <f t="shared" si="19"/>
        <v>77.92</v>
      </c>
    </row>
    <row r="29" spans="1:46" ht="14.25" x14ac:dyDescent="0.2">
      <c r="A29" s="18" t="s">
        <v>29</v>
      </c>
      <c r="B29" s="215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5"/>
      <c r="R29" s="216"/>
      <c r="S29" s="216"/>
      <c r="T29" s="216"/>
      <c r="U29" s="216"/>
      <c r="V29" s="216"/>
      <c r="W29" s="216"/>
      <c r="X29" s="216"/>
      <c r="Y29" s="216"/>
      <c r="Z29" s="216"/>
      <c r="AA29" s="216"/>
      <c r="AB29" s="216"/>
      <c r="AC29" s="216"/>
      <c r="AD29" s="216"/>
      <c r="AE29" s="216"/>
      <c r="AF29" s="9">
        <v>86.34</v>
      </c>
      <c r="AG29" s="5">
        <f t="shared" si="14"/>
        <v>13.799999999999999</v>
      </c>
      <c r="AH29" s="53">
        <f t="shared" si="26"/>
        <v>100.14</v>
      </c>
      <c r="AI29" s="5">
        <v>86.34</v>
      </c>
      <c r="AJ29" s="5">
        <f t="shared" si="15"/>
        <v>13.799999999999999</v>
      </c>
      <c r="AK29" s="53">
        <f t="shared" si="16"/>
        <v>100.14</v>
      </c>
      <c r="AL29" s="5">
        <v>63.86</v>
      </c>
      <c r="AM29" s="5">
        <f t="shared" si="27"/>
        <v>13.64</v>
      </c>
      <c r="AN29" s="53">
        <f t="shared" si="17"/>
        <v>77.5</v>
      </c>
      <c r="AO29" s="5">
        <v>129</v>
      </c>
      <c r="AP29" s="5">
        <f t="shared" si="28"/>
        <v>13.370000000000001</v>
      </c>
      <c r="AQ29" s="53">
        <f t="shared" si="18"/>
        <v>142.37</v>
      </c>
      <c r="AR29" s="5">
        <v>64.17</v>
      </c>
      <c r="AS29" s="5">
        <f t="shared" si="29"/>
        <v>13.75</v>
      </c>
      <c r="AT29" s="53">
        <f t="shared" si="19"/>
        <v>77.92</v>
      </c>
    </row>
    <row r="30" spans="1:46" ht="14.25" x14ac:dyDescent="0.2">
      <c r="A30" s="18" t="s">
        <v>30</v>
      </c>
      <c r="B30" s="215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5"/>
      <c r="R30" s="216"/>
      <c r="S30" s="216"/>
      <c r="T30" s="216"/>
      <c r="U30" s="216"/>
      <c r="V30" s="216"/>
      <c r="W30" s="216"/>
      <c r="X30" s="216"/>
      <c r="Y30" s="216"/>
      <c r="Z30" s="216"/>
      <c r="AA30" s="216"/>
      <c r="AB30" s="216"/>
      <c r="AC30" s="216"/>
      <c r="AD30" s="216"/>
      <c r="AE30" s="216"/>
      <c r="AF30" s="9">
        <v>86.34</v>
      </c>
      <c r="AG30" s="5">
        <f t="shared" si="14"/>
        <v>13.799999999999999</v>
      </c>
      <c r="AH30" s="53">
        <f t="shared" si="26"/>
        <v>100.14</v>
      </c>
      <c r="AI30" s="5">
        <v>86.34</v>
      </c>
      <c r="AJ30" s="5">
        <f t="shared" si="15"/>
        <v>13.799999999999999</v>
      </c>
      <c r="AK30" s="53">
        <f t="shared" si="16"/>
        <v>100.14</v>
      </c>
      <c r="AL30" s="5">
        <v>63.86</v>
      </c>
      <c r="AM30" s="5">
        <f t="shared" si="27"/>
        <v>13.64</v>
      </c>
      <c r="AN30" s="53">
        <f t="shared" si="17"/>
        <v>77.5</v>
      </c>
      <c r="AO30" s="5">
        <v>129</v>
      </c>
      <c r="AP30" s="5">
        <f t="shared" si="28"/>
        <v>13.370000000000001</v>
      </c>
      <c r="AQ30" s="53">
        <f t="shared" si="18"/>
        <v>142.37</v>
      </c>
      <c r="AR30" s="5">
        <v>64.17</v>
      </c>
      <c r="AS30" s="5">
        <f t="shared" si="29"/>
        <v>13.75</v>
      </c>
      <c r="AT30" s="53">
        <f t="shared" si="19"/>
        <v>77.92</v>
      </c>
    </row>
    <row r="31" spans="1:46" ht="14.25" x14ac:dyDescent="0.2">
      <c r="A31" s="18" t="s">
        <v>31</v>
      </c>
      <c r="B31" s="215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5"/>
      <c r="R31" s="216"/>
      <c r="S31" s="216"/>
      <c r="T31" s="216"/>
      <c r="U31" s="216"/>
      <c r="V31" s="216"/>
      <c r="W31" s="216"/>
      <c r="X31" s="216"/>
      <c r="Y31" s="216"/>
      <c r="Z31" s="216"/>
      <c r="AA31" s="216"/>
      <c r="AB31" s="216"/>
      <c r="AC31" s="216"/>
      <c r="AD31" s="216"/>
      <c r="AE31" s="216"/>
      <c r="AF31" s="9">
        <v>86.34</v>
      </c>
      <c r="AG31" s="5">
        <f t="shared" si="14"/>
        <v>13.799999999999999</v>
      </c>
      <c r="AH31" s="53">
        <f t="shared" si="26"/>
        <v>100.14</v>
      </c>
      <c r="AI31" s="5">
        <v>86.34</v>
      </c>
      <c r="AJ31" s="5">
        <f t="shared" si="15"/>
        <v>13.799999999999999</v>
      </c>
      <c r="AK31" s="53">
        <f t="shared" si="16"/>
        <v>100.14</v>
      </c>
      <c r="AL31" s="5">
        <v>63.86</v>
      </c>
      <c r="AM31" s="5">
        <f t="shared" si="27"/>
        <v>13.64</v>
      </c>
      <c r="AN31" s="53">
        <f t="shared" si="17"/>
        <v>77.5</v>
      </c>
      <c r="AO31" s="5">
        <v>129</v>
      </c>
      <c r="AP31" s="5">
        <f t="shared" si="28"/>
        <v>13.370000000000001</v>
      </c>
      <c r="AQ31" s="53">
        <f t="shared" si="18"/>
        <v>142.37</v>
      </c>
      <c r="AR31" s="5">
        <v>64.17</v>
      </c>
      <c r="AS31" s="5">
        <f t="shared" si="29"/>
        <v>13.75</v>
      </c>
      <c r="AT31" s="53">
        <f t="shared" si="19"/>
        <v>77.92</v>
      </c>
    </row>
    <row r="32" spans="1:46" ht="14.25" x14ac:dyDescent="0.2">
      <c r="A32" s="18" t="s">
        <v>32</v>
      </c>
      <c r="B32" s="215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5"/>
      <c r="R32" s="216"/>
      <c r="S32" s="216"/>
      <c r="T32" s="216"/>
      <c r="U32" s="216"/>
      <c r="V32" s="216"/>
      <c r="W32" s="216"/>
      <c r="X32" s="216"/>
      <c r="Y32" s="216"/>
      <c r="Z32" s="216"/>
      <c r="AA32" s="216"/>
      <c r="AB32" s="216"/>
      <c r="AC32" s="216"/>
      <c r="AD32" s="216"/>
      <c r="AE32" s="216"/>
      <c r="AF32" s="9">
        <v>86.34</v>
      </c>
      <c r="AG32" s="5">
        <f t="shared" si="14"/>
        <v>13.799999999999999</v>
      </c>
      <c r="AH32" s="53">
        <f t="shared" si="26"/>
        <v>100.14</v>
      </c>
      <c r="AI32" s="5">
        <v>86.34</v>
      </c>
      <c r="AJ32" s="5">
        <f t="shared" si="15"/>
        <v>13.799999999999999</v>
      </c>
      <c r="AK32" s="53">
        <f t="shared" si="16"/>
        <v>100.14</v>
      </c>
      <c r="AL32" s="5">
        <v>63.87</v>
      </c>
      <c r="AM32" s="5">
        <f t="shared" si="27"/>
        <v>13.64</v>
      </c>
      <c r="AN32" s="53">
        <f t="shared" si="17"/>
        <v>77.509999999999991</v>
      </c>
      <c r="AO32" s="5">
        <v>129</v>
      </c>
      <c r="AP32" s="5">
        <f t="shared" si="28"/>
        <v>13.370000000000001</v>
      </c>
      <c r="AQ32" s="53">
        <f t="shared" si="18"/>
        <v>142.37</v>
      </c>
      <c r="AR32" s="5">
        <v>64.17</v>
      </c>
      <c r="AS32" s="5">
        <f t="shared" si="29"/>
        <v>13.75</v>
      </c>
      <c r="AT32" s="53">
        <f t="shared" si="19"/>
        <v>77.92</v>
      </c>
    </row>
    <row r="33" spans="1:46" ht="14.25" x14ac:dyDescent="0.2">
      <c r="A33" s="18" t="s">
        <v>33</v>
      </c>
      <c r="B33" s="215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5"/>
      <c r="R33" s="216"/>
      <c r="S33" s="216"/>
      <c r="T33" s="216"/>
      <c r="U33" s="216"/>
      <c r="V33" s="216"/>
      <c r="W33" s="216"/>
      <c r="X33" s="216"/>
      <c r="Y33" s="216"/>
      <c r="Z33" s="216"/>
      <c r="AA33" s="216"/>
      <c r="AB33" s="216"/>
      <c r="AC33" s="216"/>
      <c r="AD33" s="216"/>
      <c r="AE33" s="216"/>
      <c r="AF33" s="13">
        <v>86.35</v>
      </c>
      <c r="AG33" s="5">
        <f>10.02+3.77</f>
        <v>13.79</v>
      </c>
      <c r="AH33" s="53">
        <f t="shared" si="26"/>
        <v>100.13999999999999</v>
      </c>
      <c r="AI33" s="5">
        <v>86.33</v>
      </c>
      <c r="AJ33" s="5">
        <f>10.02+3.77</f>
        <v>13.79</v>
      </c>
      <c r="AK33" s="53">
        <f t="shared" si="16"/>
        <v>100.12</v>
      </c>
      <c r="AL33" s="5">
        <v>120.9</v>
      </c>
      <c r="AM33" s="5">
        <f>9.83+3.93</f>
        <v>13.76</v>
      </c>
      <c r="AN33" s="53">
        <f t="shared" si="17"/>
        <v>134.66</v>
      </c>
      <c r="AO33" s="5"/>
      <c r="AP33" s="5"/>
      <c r="AQ33" s="53"/>
      <c r="AR33" s="5">
        <v>121</v>
      </c>
      <c r="AS33" s="5">
        <f>9.83+3.93</f>
        <v>13.76</v>
      </c>
      <c r="AT33" s="53">
        <f t="shared" si="19"/>
        <v>134.76</v>
      </c>
    </row>
    <row r="34" spans="1:46" ht="14.25" x14ac:dyDescent="0.2">
      <c r="A34" s="18" t="s">
        <v>34</v>
      </c>
      <c r="B34" s="217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7"/>
      <c r="R34" s="218"/>
      <c r="S34" s="218"/>
      <c r="T34" s="218"/>
      <c r="U34" s="218"/>
      <c r="V34" s="218"/>
      <c r="W34" s="218"/>
      <c r="X34" s="218"/>
      <c r="Y34" s="218"/>
      <c r="Z34" s="218"/>
      <c r="AA34" s="218"/>
      <c r="AB34" s="218"/>
      <c r="AC34" s="218"/>
      <c r="AD34" s="218"/>
      <c r="AE34" s="218"/>
      <c r="AF34" s="9">
        <v>86.36</v>
      </c>
      <c r="AG34" s="5">
        <f>10.02+3.77</f>
        <v>13.79</v>
      </c>
      <c r="AH34" s="53">
        <f t="shared" si="26"/>
        <v>100.15</v>
      </c>
      <c r="AI34" s="6">
        <v>86.37</v>
      </c>
      <c r="AJ34" s="5">
        <f>10.02+3.77</f>
        <v>13.79</v>
      </c>
      <c r="AK34" s="53">
        <f t="shared" si="16"/>
        <v>100.16</v>
      </c>
      <c r="AL34" s="5">
        <v>120.87</v>
      </c>
      <c r="AM34" s="5">
        <f>9.83+3.93</f>
        <v>13.76</v>
      </c>
      <c r="AN34" s="53">
        <f t="shared" si="17"/>
        <v>134.63</v>
      </c>
      <c r="AO34" s="5"/>
      <c r="AP34" s="6"/>
      <c r="AQ34" s="53"/>
      <c r="AR34" s="5">
        <v>120.99</v>
      </c>
      <c r="AS34" s="5">
        <f>9.83+3.93</f>
        <v>13.76</v>
      </c>
      <c r="AT34" s="53">
        <f t="shared" si="19"/>
        <v>134.75</v>
      </c>
    </row>
    <row r="36" spans="1:46" ht="15.75" thickBot="1" x14ac:dyDescent="0.3"/>
    <row r="37" spans="1:46" thickBot="1" x14ac:dyDescent="0.25">
      <c r="A37" s="184" t="s">
        <v>61</v>
      </c>
      <c r="B37" s="111" t="s">
        <v>40</v>
      </c>
      <c r="C37" s="112"/>
      <c r="D37" s="112"/>
      <c r="E37" s="112"/>
      <c r="F37" s="201"/>
      <c r="G37" s="111" t="s">
        <v>41</v>
      </c>
      <c r="H37" s="112"/>
      <c r="I37" s="112"/>
      <c r="J37" s="112"/>
      <c r="K37" s="201"/>
      <c r="L37" s="111" t="s">
        <v>42</v>
      </c>
      <c r="M37" s="112"/>
      <c r="N37" s="112"/>
      <c r="O37" s="112"/>
      <c r="P37" s="201"/>
      <c r="AH37"/>
      <c r="AK37"/>
      <c r="AN37"/>
      <c r="AQ37"/>
      <c r="AT37"/>
    </row>
    <row r="38" spans="1:46" ht="14.25" x14ac:dyDescent="0.2">
      <c r="A38" s="185"/>
      <c r="B38" s="49" t="s">
        <v>1</v>
      </c>
      <c r="C38" s="49" t="s">
        <v>1</v>
      </c>
      <c r="D38" s="49" t="s">
        <v>1</v>
      </c>
      <c r="E38" s="49" t="s">
        <v>1</v>
      </c>
      <c r="F38" s="58" t="s">
        <v>1</v>
      </c>
      <c r="G38" s="49" t="s">
        <v>1</v>
      </c>
      <c r="H38" s="49" t="s">
        <v>1</v>
      </c>
      <c r="I38" s="49" t="s">
        <v>1</v>
      </c>
      <c r="J38" s="49" t="s">
        <v>1</v>
      </c>
      <c r="K38" s="49" t="s">
        <v>1</v>
      </c>
      <c r="L38" s="49" t="s">
        <v>1</v>
      </c>
      <c r="M38" s="49" t="s">
        <v>1</v>
      </c>
      <c r="N38" s="49" t="s">
        <v>1</v>
      </c>
      <c r="O38" s="49" t="s">
        <v>1</v>
      </c>
      <c r="P38" s="58" t="s">
        <v>1</v>
      </c>
      <c r="AH38"/>
      <c r="AK38"/>
      <c r="AN38"/>
      <c r="AQ38"/>
      <c r="AT38"/>
    </row>
    <row r="39" spans="1:46" thickBot="1" x14ac:dyDescent="0.25">
      <c r="A39" s="185"/>
      <c r="B39" s="50">
        <v>1</v>
      </c>
      <c r="C39" s="50">
        <v>2</v>
      </c>
      <c r="D39" s="50">
        <v>3</v>
      </c>
      <c r="E39" s="50">
        <v>4</v>
      </c>
      <c r="F39" s="59">
        <v>5</v>
      </c>
      <c r="G39" s="50">
        <v>6</v>
      </c>
      <c r="H39" s="50">
        <v>7</v>
      </c>
      <c r="I39" s="50">
        <v>8</v>
      </c>
      <c r="J39" s="50">
        <v>9</v>
      </c>
      <c r="K39" s="50">
        <v>10</v>
      </c>
      <c r="L39" s="50">
        <v>11</v>
      </c>
      <c r="M39" s="50">
        <v>12</v>
      </c>
      <c r="N39" s="50">
        <v>13</v>
      </c>
      <c r="O39" s="50">
        <v>14</v>
      </c>
      <c r="P39" s="59">
        <v>15</v>
      </c>
      <c r="AH39"/>
      <c r="AK39"/>
      <c r="AN39"/>
      <c r="AQ39"/>
      <c r="AT39"/>
    </row>
    <row r="40" spans="1:46" ht="14.25" x14ac:dyDescent="0.2">
      <c r="A40" s="185"/>
      <c r="B40" s="113" t="s">
        <v>35</v>
      </c>
      <c r="C40" s="113" t="s">
        <v>35</v>
      </c>
      <c r="D40" s="113" t="s">
        <v>35</v>
      </c>
      <c r="E40" s="113" t="s">
        <v>35</v>
      </c>
      <c r="F40" s="113" t="s">
        <v>35</v>
      </c>
      <c r="G40" s="113" t="s">
        <v>35</v>
      </c>
      <c r="H40" s="113" t="s">
        <v>35</v>
      </c>
      <c r="I40" s="113" t="s">
        <v>35</v>
      </c>
      <c r="J40" s="113" t="s">
        <v>35</v>
      </c>
      <c r="K40" s="197" t="s">
        <v>35</v>
      </c>
      <c r="L40" s="113" t="s">
        <v>35</v>
      </c>
      <c r="M40" s="113" t="s">
        <v>35</v>
      </c>
      <c r="N40" s="113" t="s">
        <v>35</v>
      </c>
      <c r="O40" s="113" t="s">
        <v>35</v>
      </c>
      <c r="P40" s="140" t="s">
        <v>35</v>
      </c>
      <c r="AH40"/>
      <c r="AK40"/>
      <c r="AN40"/>
      <c r="AQ40"/>
      <c r="AT40"/>
    </row>
    <row r="41" spans="1:46" thickBot="1" x14ac:dyDescent="0.25">
      <c r="A41" s="186"/>
      <c r="B41" s="114"/>
      <c r="C41" s="114"/>
      <c r="D41" s="114"/>
      <c r="E41" s="114"/>
      <c r="F41" s="114"/>
      <c r="G41" s="114"/>
      <c r="H41" s="114"/>
      <c r="I41" s="114"/>
      <c r="J41" s="114"/>
      <c r="K41" s="199"/>
      <c r="L41" s="114"/>
      <c r="M41" s="114"/>
      <c r="N41" s="114"/>
      <c r="O41" s="114"/>
      <c r="P41" s="141"/>
      <c r="AH41"/>
      <c r="AK41"/>
      <c r="AN41"/>
      <c r="AQ41"/>
      <c r="AT41"/>
    </row>
    <row r="42" spans="1:46" ht="14.25" x14ac:dyDescent="0.2">
      <c r="A42" s="21" t="s">
        <v>6</v>
      </c>
      <c r="B42" s="6">
        <f>D6</f>
        <v>100.53</v>
      </c>
      <c r="C42" s="24">
        <f>G6</f>
        <v>100.59</v>
      </c>
      <c r="D42" s="24">
        <f>J6</f>
        <v>77.599999999999994</v>
      </c>
      <c r="E42" s="24">
        <f>M6</f>
        <v>128.94</v>
      </c>
      <c r="F42" s="22"/>
      <c r="G42" s="24">
        <f>S6</f>
        <v>100.49</v>
      </c>
      <c r="H42" s="24">
        <f>V6</f>
        <v>100.45</v>
      </c>
      <c r="I42" s="24">
        <f>Y6</f>
        <v>77.489999999999995</v>
      </c>
      <c r="J42" s="24">
        <f>AB6</f>
        <v>142.47999999999999</v>
      </c>
      <c r="K42" s="48"/>
      <c r="L42" s="30">
        <f>AH6</f>
        <v>100.14</v>
      </c>
      <c r="M42" s="24">
        <f>AK6</f>
        <v>100.11999999999999</v>
      </c>
      <c r="N42" s="24">
        <f>AN6</f>
        <v>77.59</v>
      </c>
      <c r="O42" s="24">
        <f>AQ6</f>
        <v>142.36000000000001</v>
      </c>
      <c r="P42" s="10"/>
      <c r="AH42"/>
      <c r="AK42"/>
      <c r="AN42"/>
      <c r="AQ42"/>
      <c r="AT42"/>
    </row>
    <row r="43" spans="1:46" ht="14.25" x14ac:dyDescent="0.2">
      <c r="A43" s="18" t="s">
        <v>7</v>
      </c>
      <c r="B43" s="6">
        <f t="shared" ref="B43:B48" si="31">D7</f>
        <v>100.36</v>
      </c>
      <c r="C43" s="24">
        <f t="shared" ref="C43:C48" si="32">G7</f>
        <v>100.39999999999999</v>
      </c>
      <c r="D43" s="24">
        <f t="shared" ref="D43:D49" si="33">J7</f>
        <v>77.53</v>
      </c>
      <c r="E43" s="24">
        <f t="shared" ref="E43:E49" si="34">M7</f>
        <v>128.84</v>
      </c>
      <c r="F43" s="22">
        <f>P7</f>
        <v>90.84</v>
      </c>
      <c r="G43" s="24">
        <f t="shared" ref="G43:G48" si="35">S7</f>
        <v>100.28</v>
      </c>
      <c r="H43" s="24">
        <f t="shared" ref="H43:H48" si="36">V7</f>
        <v>100.2</v>
      </c>
      <c r="I43" s="24">
        <f t="shared" ref="I43:I49" si="37">Y7</f>
        <v>77.669999999999987</v>
      </c>
      <c r="J43" s="24">
        <f t="shared" ref="J43:J49" si="38">AB7</f>
        <v>142.61000000000001</v>
      </c>
      <c r="K43" s="48">
        <f t="shared" ref="K43:K47" si="39">AE7</f>
        <v>78.25</v>
      </c>
      <c r="L43" s="30">
        <f t="shared" ref="L43:L70" si="40">AH7</f>
        <v>100.14</v>
      </c>
      <c r="M43" s="24">
        <f t="shared" ref="M43:M70" si="41">AK7</f>
        <v>100.14</v>
      </c>
      <c r="N43" s="24">
        <f t="shared" ref="N43:N70" si="42">AN7</f>
        <v>77.5</v>
      </c>
      <c r="O43" s="24">
        <f t="shared" ref="O43:O68" si="43">AQ7</f>
        <v>142.37</v>
      </c>
      <c r="P43" s="10">
        <f t="shared" ref="P43:P70" si="44">AT7</f>
        <v>77.92</v>
      </c>
      <c r="AH43"/>
      <c r="AK43"/>
      <c r="AN43"/>
      <c r="AQ43"/>
      <c r="AT43"/>
    </row>
    <row r="44" spans="1:46" ht="14.25" x14ac:dyDescent="0.2">
      <c r="A44" s="18" t="s">
        <v>8</v>
      </c>
      <c r="B44" s="6">
        <f t="shared" si="31"/>
        <v>100.36</v>
      </c>
      <c r="C44" s="24">
        <f t="shared" si="32"/>
        <v>100.39999999999999</v>
      </c>
      <c r="D44" s="24">
        <f t="shared" si="33"/>
        <v>77.53</v>
      </c>
      <c r="E44" s="24">
        <f t="shared" si="34"/>
        <v>128.84</v>
      </c>
      <c r="F44" s="22">
        <f t="shared" ref="F44:F47" si="45">P8</f>
        <v>90.84</v>
      </c>
      <c r="G44" s="24">
        <f t="shared" si="35"/>
        <v>100.28</v>
      </c>
      <c r="H44" s="24">
        <f t="shared" si="36"/>
        <v>100.2</v>
      </c>
      <c r="I44" s="24">
        <f t="shared" si="37"/>
        <v>77.669999999999987</v>
      </c>
      <c r="J44" s="24">
        <f t="shared" si="38"/>
        <v>142.61000000000001</v>
      </c>
      <c r="K44" s="48">
        <f t="shared" si="39"/>
        <v>78.25</v>
      </c>
      <c r="L44" s="30">
        <f t="shared" si="40"/>
        <v>100.14</v>
      </c>
      <c r="M44" s="24">
        <f t="shared" si="41"/>
        <v>100.14</v>
      </c>
      <c r="N44" s="24">
        <f t="shared" si="42"/>
        <v>77.5</v>
      </c>
      <c r="O44" s="24">
        <f t="shared" si="43"/>
        <v>142.37</v>
      </c>
      <c r="P44" s="10">
        <f t="shared" si="44"/>
        <v>77.92</v>
      </c>
      <c r="AH44"/>
      <c r="AK44"/>
      <c r="AN44"/>
      <c r="AQ44"/>
      <c r="AT44"/>
    </row>
    <row r="45" spans="1:46" ht="14.25" x14ac:dyDescent="0.2">
      <c r="A45" s="18" t="s">
        <v>9</v>
      </c>
      <c r="B45" s="6">
        <f t="shared" si="31"/>
        <v>100.36</v>
      </c>
      <c r="C45" s="24">
        <f t="shared" si="32"/>
        <v>100.39999999999999</v>
      </c>
      <c r="D45" s="24">
        <f t="shared" si="33"/>
        <v>77.53</v>
      </c>
      <c r="E45" s="24">
        <f t="shared" si="34"/>
        <v>128.84</v>
      </c>
      <c r="F45" s="22">
        <f t="shared" si="45"/>
        <v>90.84</v>
      </c>
      <c r="G45" s="24">
        <f t="shared" si="35"/>
        <v>100.28</v>
      </c>
      <c r="H45" s="24">
        <f t="shared" si="36"/>
        <v>100.2</v>
      </c>
      <c r="I45" s="24">
        <f t="shared" si="37"/>
        <v>77.669999999999987</v>
      </c>
      <c r="J45" s="24">
        <f t="shared" si="38"/>
        <v>142.61000000000001</v>
      </c>
      <c r="K45" s="48">
        <f t="shared" si="39"/>
        <v>78.25</v>
      </c>
      <c r="L45" s="30">
        <f t="shared" si="40"/>
        <v>100.14</v>
      </c>
      <c r="M45" s="24">
        <f t="shared" si="41"/>
        <v>100.14</v>
      </c>
      <c r="N45" s="24">
        <f t="shared" si="42"/>
        <v>77.5</v>
      </c>
      <c r="O45" s="24">
        <f t="shared" si="43"/>
        <v>142.37</v>
      </c>
      <c r="P45" s="10">
        <f t="shared" si="44"/>
        <v>77.92</v>
      </c>
      <c r="AH45"/>
      <c r="AK45"/>
      <c r="AN45"/>
      <c r="AQ45"/>
      <c r="AT45"/>
    </row>
    <row r="46" spans="1:46" ht="14.25" x14ac:dyDescent="0.2">
      <c r="A46" s="18" t="s">
        <v>10</v>
      </c>
      <c r="B46" s="6">
        <f t="shared" si="31"/>
        <v>100.36</v>
      </c>
      <c r="C46" s="24">
        <f t="shared" si="32"/>
        <v>100.39999999999999</v>
      </c>
      <c r="D46" s="24">
        <f t="shared" si="33"/>
        <v>77.53</v>
      </c>
      <c r="E46" s="24">
        <f t="shared" si="34"/>
        <v>128.84</v>
      </c>
      <c r="F46" s="22">
        <f t="shared" si="45"/>
        <v>90.84</v>
      </c>
      <c r="G46" s="24">
        <f t="shared" si="35"/>
        <v>100.28</v>
      </c>
      <c r="H46" s="24">
        <f t="shared" si="36"/>
        <v>100.2</v>
      </c>
      <c r="I46" s="24">
        <f t="shared" si="37"/>
        <v>77.669999999999987</v>
      </c>
      <c r="J46" s="24">
        <f t="shared" si="38"/>
        <v>142.61000000000001</v>
      </c>
      <c r="K46" s="48">
        <f t="shared" si="39"/>
        <v>78.25</v>
      </c>
      <c r="L46" s="30">
        <f t="shared" si="40"/>
        <v>100.14</v>
      </c>
      <c r="M46" s="24">
        <f t="shared" si="41"/>
        <v>100.14</v>
      </c>
      <c r="N46" s="24">
        <f t="shared" si="42"/>
        <v>77.5</v>
      </c>
      <c r="O46" s="24">
        <f t="shared" si="43"/>
        <v>142.37</v>
      </c>
      <c r="P46" s="10">
        <f t="shared" si="44"/>
        <v>77.92</v>
      </c>
      <c r="AH46"/>
      <c r="AK46"/>
      <c r="AN46"/>
      <c r="AQ46"/>
      <c r="AT46"/>
    </row>
    <row r="47" spans="1:46" ht="14.25" x14ac:dyDescent="0.2">
      <c r="A47" s="18" t="s">
        <v>11</v>
      </c>
      <c r="B47" s="6">
        <f t="shared" si="31"/>
        <v>100.32</v>
      </c>
      <c r="C47" s="24">
        <f t="shared" si="32"/>
        <v>100.39</v>
      </c>
      <c r="D47" s="24">
        <f t="shared" si="33"/>
        <v>77.53</v>
      </c>
      <c r="E47" s="24">
        <f t="shared" si="34"/>
        <v>128.84</v>
      </c>
      <c r="F47" s="22">
        <f t="shared" si="45"/>
        <v>90.84</v>
      </c>
      <c r="G47" s="24">
        <f t="shared" si="35"/>
        <v>100.31</v>
      </c>
      <c r="H47" s="24">
        <f t="shared" si="36"/>
        <v>100.17</v>
      </c>
      <c r="I47" s="24">
        <f t="shared" si="37"/>
        <v>77.669999999999987</v>
      </c>
      <c r="J47" s="24">
        <f t="shared" si="38"/>
        <v>142.61000000000001</v>
      </c>
      <c r="K47" s="48">
        <f t="shared" si="39"/>
        <v>78.25</v>
      </c>
      <c r="L47" s="30">
        <f t="shared" si="40"/>
        <v>100.14</v>
      </c>
      <c r="M47" s="24">
        <f t="shared" si="41"/>
        <v>100.14</v>
      </c>
      <c r="N47" s="24">
        <f t="shared" si="42"/>
        <v>77.5</v>
      </c>
      <c r="O47" s="24">
        <f t="shared" si="43"/>
        <v>142.37</v>
      </c>
      <c r="P47" s="10">
        <f t="shared" si="44"/>
        <v>77.92</v>
      </c>
      <c r="AH47"/>
      <c r="AK47"/>
      <c r="AN47"/>
      <c r="AQ47"/>
      <c r="AT47"/>
    </row>
    <row r="48" spans="1:46" ht="14.25" x14ac:dyDescent="0.2">
      <c r="A48" s="18" t="s">
        <v>12</v>
      </c>
      <c r="B48" s="6">
        <f t="shared" si="31"/>
        <v>100.56</v>
      </c>
      <c r="C48" s="24">
        <f t="shared" si="32"/>
        <v>100.67999999999999</v>
      </c>
      <c r="D48" s="24">
        <f t="shared" si="33"/>
        <v>138.38</v>
      </c>
      <c r="E48" s="24">
        <f t="shared" si="34"/>
        <v>138.22999999999999</v>
      </c>
      <c r="F48" s="22"/>
      <c r="G48" s="24">
        <f t="shared" si="35"/>
        <v>100.41</v>
      </c>
      <c r="H48" s="24">
        <f t="shared" si="36"/>
        <v>100.44</v>
      </c>
      <c r="I48" s="24">
        <f t="shared" si="37"/>
        <v>138.63</v>
      </c>
      <c r="J48" s="24">
        <f t="shared" si="38"/>
        <v>138.62</v>
      </c>
      <c r="K48" s="48"/>
      <c r="L48" s="30">
        <f t="shared" si="40"/>
        <v>100.14</v>
      </c>
      <c r="M48" s="24">
        <f t="shared" si="41"/>
        <v>100.14</v>
      </c>
      <c r="N48" s="24">
        <f t="shared" si="42"/>
        <v>77.5</v>
      </c>
      <c r="O48" s="24">
        <f t="shared" si="43"/>
        <v>142.37</v>
      </c>
      <c r="P48" s="10">
        <f t="shared" si="44"/>
        <v>77.92</v>
      </c>
      <c r="AH48"/>
      <c r="AK48"/>
      <c r="AN48"/>
      <c r="AQ48"/>
      <c r="AT48"/>
    </row>
    <row r="49" spans="1:46" thickBot="1" x14ac:dyDescent="0.25">
      <c r="A49" s="18" t="s">
        <v>13</v>
      </c>
      <c r="B49" s="26"/>
      <c r="C49" s="26"/>
      <c r="D49" s="26">
        <f t="shared" si="33"/>
        <v>156.81</v>
      </c>
      <c r="E49" s="26">
        <f t="shared" si="34"/>
        <v>156.81</v>
      </c>
      <c r="F49" s="11"/>
      <c r="G49" s="26"/>
      <c r="H49" s="26"/>
      <c r="I49" s="26">
        <f t="shared" si="37"/>
        <v>156.94</v>
      </c>
      <c r="J49" s="26">
        <f t="shared" si="38"/>
        <v>157.16999999999999</v>
      </c>
      <c r="K49" s="47"/>
      <c r="L49" s="30">
        <f t="shared" si="40"/>
        <v>100.14</v>
      </c>
      <c r="M49" s="24">
        <f t="shared" si="41"/>
        <v>100.14</v>
      </c>
      <c r="N49" s="24">
        <f t="shared" si="42"/>
        <v>77.5</v>
      </c>
      <c r="O49" s="24">
        <f t="shared" si="43"/>
        <v>142.37</v>
      </c>
      <c r="P49" s="10">
        <f t="shared" si="44"/>
        <v>77.92</v>
      </c>
      <c r="AH49"/>
      <c r="AK49"/>
      <c r="AN49"/>
      <c r="AQ49"/>
      <c r="AT49"/>
    </row>
    <row r="50" spans="1:46" ht="14.25" x14ac:dyDescent="0.2">
      <c r="A50" s="18" t="s">
        <v>14</v>
      </c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30">
        <f t="shared" si="40"/>
        <v>100.14</v>
      </c>
      <c r="M50" s="24">
        <f t="shared" si="41"/>
        <v>100.14</v>
      </c>
      <c r="N50" s="24">
        <f t="shared" si="42"/>
        <v>77.5</v>
      </c>
      <c r="O50" s="24">
        <f t="shared" si="43"/>
        <v>142.37</v>
      </c>
      <c r="P50" s="10">
        <f t="shared" si="44"/>
        <v>77.92</v>
      </c>
      <c r="AH50"/>
      <c r="AK50"/>
      <c r="AN50"/>
      <c r="AQ50"/>
      <c r="AT50"/>
    </row>
    <row r="51" spans="1:46" ht="14.25" x14ac:dyDescent="0.2">
      <c r="A51" s="18" t="s">
        <v>15</v>
      </c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30">
        <f t="shared" si="40"/>
        <v>100.14</v>
      </c>
      <c r="M51" s="24">
        <f t="shared" si="41"/>
        <v>100.14</v>
      </c>
      <c r="N51" s="24">
        <f t="shared" si="42"/>
        <v>77.5</v>
      </c>
      <c r="O51" s="24">
        <f t="shared" si="43"/>
        <v>142.37</v>
      </c>
      <c r="P51" s="10">
        <f t="shared" si="44"/>
        <v>77.92</v>
      </c>
      <c r="AH51"/>
      <c r="AK51"/>
      <c r="AN51"/>
      <c r="AQ51"/>
      <c r="AT51"/>
    </row>
    <row r="52" spans="1:46" ht="14.25" x14ac:dyDescent="0.2">
      <c r="A52" s="18" t="s">
        <v>16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30">
        <f t="shared" si="40"/>
        <v>100.14</v>
      </c>
      <c r="M52" s="24">
        <f t="shared" si="41"/>
        <v>100.14</v>
      </c>
      <c r="N52" s="24">
        <f t="shared" si="42"/>
        <v>77.5</v>
      </c>
      <c r="O52" s="24">
        <f t="shared" si="43"/>
        <v>142.37</v>
      </c>
      <c r="P52" s="10">
        <f t="shared" si="44"/>
        <v>77.92</v>
      </c>
      <c r="AH52"/>
      <c r="AK52"/>
      <c r="AN52"/>
      <c r="AQ52"/>
      <c r="AT52"/>
    </row>
    <row r="53" spans="1:46" ht="14.25" x14ac:dyDescent="0.2">
      <c r="A53" s="18" t="s">
        <v>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30">
        <f t="shared" si="40"/>
        <v>100.14</v>
      </c>
      <c r="M53" s="24">
        <f t="shared" si="41"/>
        <v>100.14</v>
      </c>
      <c r="N53" s="24">
        <f t="shared" si="42"/>
        <v>77.5</v>
      </c>
      <c r="O53" s="24">
        <f t="shared" si="43"/>
        <v>142.37</v>
      </c>
      <c r="P53" s="10">
        <f t="shared" si="44"/>
        <v>77.92</v>
      </c>
      <c r="AH53"/>
      <c r="AK53"/>
      <c r="AN53"/>
      <c r="AQ53"/>
      <c r="AT53"/>
    </row>
    <row r="54" spans="1:46" ht="14.25" x14ac:dyDescent="0.2">
      <c r="A54" s="18" t="s">
        <v>18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30">
        <f t="shared" si="40"/>
        <v>100.14</v>
      </c>
      <c r="M54" s="24">
        <f t="shared" si="41"/>
        <v>100.14</v>
      </c>
      <c r="N54" s="24">
        <f t="shared" si="42"/>
        <v>77.5</v>
      </c>
      <c r="O54" s="24">
        <f t="shared" si="43"/>
        <v>142.37</v>
      </c>
      <c r="P54" s="10">
        <f t="shared" si="44"/>
        <v>77.92</v>
      </c>
      <c r="AH54"/>
      <c r="AK54"/>
      <c r="AN54"/>
      <c r="AQ54"/>
      <c r="AT54"/>
    </row>
    <row r="55" spans="1:46" ht="14.25" x14ac:dyDescent="0.2">
      <c r="A55" s="18" t="s">
        <v>19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30">
        <f t="shared" si="40"/>
        <v>100.14</v>
      </c>
      <c r="M55" s="24">
        <f t="shared" si="41"/>
        <v>100.14</v>
      </c>
      <c r="N55" s="24">
        <f t="shared" si="42"/>
        <v>77.5</v>
      </c>
      <c r="O55" s="24">
        <f t="shared" si="43"/>
        <v>142.37</v>
      </c>
      <c r="P55" s="10">
        <f t="shared" si="44"/>
        <v>77.92</v>
      </c>
      <c r="AH55"/>
      <c r="AK55"/>
      <c r="AN55"/>
      <c r="AQ55"/>
      <c r="AT55"/>
    </row>
    <row r="56" spans="1:46" ht="14.25" x14ac:dyDescent="0.2">
      <c r="A56" s="18" t="s">
        <v>20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30">
        <f t="shared" si="40"/>
        <v>100.14</v>
      </c>
      <c r="M56" s="24">
        <f t="shared" si="41"/>
        <v>100.14</v>
      </c>
      <c r="N56" s="24">
        <f t="shared" si="42"/>
        <v>77.5</v>
      </c>
      <c r="O56" s="24">
        <f t="shared" si="43"/>
        <v>142.37</v>
      </c>
      <c r="P56" s="10">
        <f t="shared" si="44"/>
        <v>77.92</v>
      </c>
      <c r="AH56"/>
      <c r="AK56"/>
      <c r="AN56"/>
      <c r="AQ56"/>
      <c r="AT56"/>
    </row>
    <row r="57" spans="1:46" ht="14.25" x14ac:dyDescent="0.2">
      <c r="A57" s="18" t="s">
        <v>21</v>
      </c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30">
        <f t="shared" si="40"/>
        <v>100.14</v>
      </c>
      <c r="M57" s="24">
        <f t="shared" si="41"/>
        <v>100.14</v>
      </c>
      <c r="N57" s="24">
        <f t="shared" si="42"/>
        <v>77.5</v>
      </c>
      <c r="O57" s="24">
        <f t="shared" si="43"/>
        <v>142.37</v>
      </c>
      <c r="P57" s="10">
        <f t="shared" si="44"/>
        <v>77.92</v>
      </c>
      <c r="AH57"/>
      <c r="AK57"/>
      <c r="AN57"/>
      <c r="AQ57"/>
      <c r="AT57"/>
    </row>
    <row r="58" spans="1:46" ht="14.25" x14ac:dyDescent="0.2">
      <c r="A58" s="18" t="s">
        <v>22</v>
      </c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30">
        <f t="shared" si="40"/>
        <v>100.14</v>
      </c>
      <c r="M58" s="24">
        <f t="shared" si="41"/>
        <v>100.14</v>
      </c>
      <c r="N58" s="24">
        <f t="shared" si="42"/>
        <v>77.5</v>
      </c>
      <c r="O58" s="24">
        <f t="shared" si="43"/>
        <v>142.37</v>
      </c>
      <c r="P58" s="10">
        <f t="shared" si="44"/>
        <v>77.92</v>
      </c>
      <c r="AH58"/>
      <c r="AK58"/>
      <c r="AN58"/>
      <c r="AQ58"/>
      <c r="AT58"/>
    </row>
    <row r="59" spans="1:46" ht="14.25" x14ac:dyDescent="0.2">
      <c r="A59" s="18" t="s">
        <v>23</v>
      </c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30">
        <f t="shared" si="40"/>
        <v>100.14</v>
      </c>
      <c r="M59" s="24">
        <f t="shared" si="41"/>
        <v>100.14</v>
      </c>
      <c r="N59" s="24">
        <f t="shared" si="42"/>
        <v>77.5</v>
      </c>
      <c r="O59" s="24">
        <f>AQ23</f>
        <v>142.37</v>
      </c>
      <c r="P59" s="10">
        <f t="shared" si="44"/>
        <v>77.92</v>
      </c>
      <c r="AH59"/>
      <c r="AK59"/>
      <c r="AN59"/>
      <c r="AQ59"/>
      <c r="AT59"/>
    </row>
    <row r="60" spans="1:46" ht="14.25" x14ac:dyDescent="0.2">
      <c r="A60" s="18" t="s">
        <v>24</v>
      </c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30">
        <f t="shared" si="40"/>
        <v>100.14</v>
      </c>
      <c r="M60" s="24">
        <f t="shared" si="41"/>
        <v>100.14</v>
      </c>
      <c r="N60" s="24">
        <f t="shared" si="42"/>
        <v>77.5</v>
      </c>
      <c r="O60" s="24">
        <f t="shared" si="43"/>
        <v>142.37</v>
      </c>
      <c r="P60" s="10">
        <f t="shared" si="44"/>
        <v>77.92</v>
      </c>
      <c r="AH60"/>
      <c r="AK60"/>
      <c r="AN60"/>
      <c r="AQ60"/>
      <c r="AT60"/>
    </row>
    <row r="61" spans="1:46" ht="14.25" x14ac:dyDescent="0.2">
      <c r="A61" s="18" t="s">
        <v>25</v>
      </c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30">
        <f t="shared" si="40"/>
        <v>100.14</v>
      </c>
      <c r="M61" s="24">
        <f t="shared" si="41"/>
        <v>100.14</v>
      </c>
      <c r="N61" s="24">
        <f t="shared" si="42"/>
        <v>77.5</v>
      </c>
      <c r="O61" s="24">
        <f t="shared" si="43"/>
        <v>142.37</v>
      </c>
      <c r="P61" s="10">
        <f t="shared" si="44"/>
        <v>77.92</v>
      </c>
      <c r="AH61"/>
      <c r="AK61"/>
      <c r="AN61"/>
      <c r="AQ61"/>
      <c r="AT61"/>
    </row>
    <row r="62" spans="1:46" ht="14.25" x14ac:dyDescent="0.2">
      <c r="A62" s="18" t="s">
        <v>26</v>
      </c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30">
        <f t="shared" si="40"/>
        <v>100.14</v>
      </c>
      <c r="M62" s="24">
        <f t="shared" si="41"/>
        <v>100.14</v>
      </c>
      <c r="N62" s="24">
        <f t="shared" si="42"/>
        <v>77.5</v>
      </c>
      <c r="O62" s="24">
        <f t="shared" si="43"/>
        <v>142.37</v>
      </c>
      <c r="P62" s="10">
        <f t="shared" si="44"/>
        <v>77.92</v>
      </c>
      <c r="AH62"/>
      <c r="AK62"/>
      <c r="AN62"/>
      <c r="AQ62"/>
      <c r="AT62"/>
    </row>
    <row r="63" spans="1:46" ht="14.25" x14ac:dyDescent="0.2">
      <c r="A63" s="18" t="s">
        <v>27</v>
      </c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30">
        <f t="shared" si="40"/>
        <v>100.14</v>
      </c>
      <c r="M63" s="24">
        <f>AK27</f>
        <v>100.14</v>
      </c>
      <c r="N63" s="24">
        <f t="shared" si="42"/>
        <v>77.5</v>
      </c>
      <c r="O63" s="24">
        <f t="shared" si="43"/>
        <v>142.37</v>
      </c>
      <c r="P63" s="10">
        <f t="shared" si="44"/>
        <v>77.92</v>
      </c>
      <c r="AH63"/>
      <c r="AK63"/>
      <c r="AN63"/>
      <c r="AQ63"/>
      <c r="AT63"/>
    </row>
    <row r="64" spans="1:46" ht="14.25" x14ac:dyDescent="0.2">
      <c r="A64" s="18" t="s">
        <v>28</v>
      </c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30">
        <f t="shared" si="40"/>
        <v>100.14</v>
      </c>
      <c r="M64" s="24">
        <f t="shared" si="41"/>
        <v>100.14</v>
      </c>
      <c r="N64" s="24">
        <f t="shared" si="42"/>
        <v>77.5</v>
      </c>
      <c r="O64" s="24">
        <f t="shared" si="43"/>
        <v>142.37</v>
      </c>
      <c r="P64" s="10">
        <f t="shared" si="44"/>
        <v>77.92</v>
      </c>
      <c r="AH64"/>
      <c r="AK64"/>
      <c r="AN64"/>
      <c r="AQ64"/>
      <c r="AT64"/>
    </row>
    <row r="65" spans="1:46" ht="14.25" x14ac:dyDescent="0.2">
      <c r="A65" s="18" t="s">
        <v>29</v>
      </c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30">
        <f t="shared" si="40"/>
        <v>100.14</v>
      </c>
      <c r="M65" s="24">
        <f t="shared" si="41"/>
        <v>100.14</v>
      </c>
      <c r="N65" s="24">
        <f t="shared" si="42"/>
        <v>77.5</v>
      </c>
      <c r="O65" s="24">
        <f t="shared" si="43"/>
        <v>142.37</v>
      </c>
      <c r="P65" s="10">
        <f t="shared" si="44"/>
        <v>77.92</v>
      </c>
      <c r="AH65"/>
      <c r="AK65"/>
      <c r="AN65"/>
      <c r="AQ65"/>
      <c r="AT65"/>
    </row>
    <row r="66" spans="1:46" ht="14.25" x14ac:dyDescent="0.2">
      <c r="A66" s="18" t="s">
        <v>30</v>
      </c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30">
        <f t="shared" si="40"/>
        <v>100.14</v>
      </c>
      <c r="M66" s="24">
        <f t="shared" si="41"/>
        <v>100.14</v>
      </c>
      <c r="N66" s="24">
        <f t="shared" si="42"/>
        <v>77.5</v>
      </c>
      <c r="O66" s="24">
        <f t="shared" si="43"/>
        <v>142.37</v>
      </c>
      <c r="P66" s="10">
        <f t="shared" si="44"/>
        <v>77.92</v>
      </c>
      <c r="AH66"/>
      <c r="AK66"/>
      <c r="AN66"/>
      <c r="AQ66"/>
      <c r="AT66"/>
    </row>
    <row r="67" spans="1:46" ht="14.25" x14ac:dyDescent="0.2">
      <c r="A67" s="18" t="s">
        <v>31</v>
      </c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30">
        <f t="shared" si="40"/>
        <v>100.14</v>
      </c>
      <c r="M67" s="24">
        <f t="shared" si="41"/>
        <v>100.14</v>
      </c>
      <c r="N67" s="24">
        <f t="shared" si="42"/>
        <v>77.5</v>
      </c>
      <c r="O67" s="24">
        <f t="shared" si="43"/>
        <v>142.37</v>
      </c>
      <c r="P67" s="10">
        <f t="shared" si="44"/>
        <v>77.92</v>
      </c>
      <c r="AH67"/>
      <c r="AK67"/>
      <c r="AN67"/>
      <c r="AQ67"/>
      <c r="AT67"/>
    </row>
    <row r="68" spans="1:46" ht="14.25" x14ac:dyDescent="0.2">
      <c r="A68" s="18" t="s">
        <v>32</v>
      </c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30">
        <f t="shared" si="40"/>
        <v>100.14</v>
      </c>
      <c r="M68" s="24">
        <f t="shared" si="41"/>
        <v>100.14</v>
      </c>
      <c r="N68" s="24">
        <f t="shared" si="42"/>
        <v>77.509999999999991</v>
      </c>
      <c r="O68" s="24">
        <f t="shared" si="43"/>
        <v>142.37</v>
      </c>
      <c r="P68" s="10">
        <f t="shared" si="44"/>
        <v>77.92</v>
      </c>
      <c r="AH68"/>
      <c r="AK68"/>
      <c r="AN68"/>
      <c r="AQ68"/>
      <c r="AT68"/>
    </row>
    <row r="69" spans="1:46" ht="14.25" x14ac:dyDescent="0.2">
      <c r="A69" s="18" t="s">
        <v>33</v>
      </c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30">
        <f t="shared" si="40"/>
        <v>100.13999999999999</v>
      </c>
      <c r="M69" s="24">
        <f t="shared" si="41"/>
        <v>100.12</v>
      </c>
      <c r="N69" s="24">
        <f t="shared" si="42"/>
        <v>134.66</v>
      </c>
      <c r="O69" s="24"/>
      <c r="P69" s="10">
        <f t="shared" si="44"/>
        <v>134.76</v>
      </c>
      <c r="AH69"/>
      <c r="AK69"/>
      <c r="AN69"/>
      <c r="AQ69"/>
      <c r="AT69"/>
    </row>
    <row r="70" spans="1:46" thickBot="1" x14ac:dyDescent="0.25">
      <c r="A70" s="18" t="s">
        <v>34</v>
      </c>
      <c r="B70" s="57"/>
      <c r="C70" s="56"/>
      <c r="D70" s="56"/>
      <c r="E70" s="56"/>
      <c r="F70" s="56"/>
      <c r="G70" s="56"/>
      <c r="H70" s="56"/>
      <c r="I70" s="56"/>
      <c r="J70" s="56"/>
      <c r="K70" s="56"/>
      <c r="L70" s="29">
        <f t="shared" si="40"/>
        <v>100.15</v>
      </c>
      <c r="M70" s="4">
        <f t="shared" si="41"/>
        <v>100.16</v>
      </c>
      <c r="N70" s="51">
        <f t="shared" si="42"/>
        <v>134.63</v>
      </c>
      <c r="O70" s="51"/>
      <c r="P70" s="11">
        <f t="shared" si="44"/>
        <v>134.75</v>
      </c>
      <c r="AH70"/>
      <c r="AK70"/>
      <c r="AN70"/>
      <c r="AQ70"/>
      <c r="AT70"/>
    </row>
    <row r="71" spans="1:46" x14ac:dyDescent="0.25">
      <c r="C71" s="56"/>
      <c r="D71" s="56"/>
      <c r="E71" s="56"/>
      <c r="F71" s="56"/>
      <c r="G71" s="56"/>
      <c r="H71" s="56"/>
      <c r="I71" s="56"/>
      <c r="Q71" s="55"/>
      <c r="T71" s="55"/>
      <c r="W71" s="55"/>
      <c r="Z71" s="55"/>
      <c r="AC71" s="55"/>
      <c r="AH71"/>
      <c r="AK71"/>
      <c r="AN71"/>
      <c r="AQ71"/>
      <c r="AT71"/>
    </row>
  </sheetData>
  <mergeCells count="95">
    <mergeCell ref="G37:K37"/>
    <mergeCell ref="L37:P37"/>
    <mergeCell ref="B37:F37"/>
    <mergeCell ref="I40:I41"/>
    <mergeCell ref="H40:H41"/>
    <mergeCell ref="P40:P41"/>
    <mergeCell ref="M40:M41"/>
    <mergeCell ref="C40:C41"/>
    <mergeCell ref="J40:J41"/>
    <mergeCell ref="K40:K41"/>
    <mergeCell ref="F40:F41"/>
    <mergeCell ref="E40:E41"/>
    <mergeCell ref="G40:G41"/>
    <mergeCell ref="B40:B41"/>
    <mergeCell ref="D40:D41"/>
    <mergeCell ref="N40:N41"/>
    <mergeCell ref="O40:O41"/>
    <mergeCell ref="L40:L41"/>
    <mergeCell ref="AP4:AP5"/>
    <mergeCell ref="AS4:AS5"/>
    <mergeCell ref="A37:A41"/>
    <mergeCell ref="L4:L5"/>
    <mergeCell ref="O4:O5"/>
    <mergeCell ref="R4:R5"/>
    <mergeCell ref="U4:U5"/>
    <mergeCell ref="X4:X5"/>
    <mergeCell ref="AA4:AA5"/>
    <mergeCell ref="AO4:AO5"/>
    <mergeCell ref="AQ4:AQ5"/>
    <mergeCell ref="AR4:AR5"/>
    <mergeCell ref="S4:S5"/>
    <mergeCell ref="V4:V5"/>
    <mergeCell ref="AT4:AT5"/>
    <mergeCell ref="B14:P34"/>
    <mergeCell ref="Q14:AE34"/>
    <mergeCell ref="C4:C5"/>
    <mergeCell ref="F4:F5"/>
    <mergeCell ref="I4:I5"/>
    <mergeCell ref="AF4:AF5"/>
    <mergeCell ref="AH4:AH5"/>
    <mergeCell ref="AI4:AI5"/>
    <mergeCell ref="AK4:AK5"/>
    <mergeCell ref="AL4:AL5"/>
    <mergeCell ref="AN4:AN5"/>
    <mergeCell ref="AG4:AG5"/>
    <mergeCell ref="AJ4:AJ5"/>
    <mergeCell ref="AM4:AM5"/>
    <mergeCell ref="P4:P5"/>
    <mergeCell ref="AR3:AT3"/>
    <mergeCell ref="AC3:AE3"/>
    <mergeCell ref="AF3:AH3"/>
    <mergeCell ref="AI3:AK3"/>
    <mergeCell ref="AL3:AN3"/>
    <mergeCell ref="AO3:AQ3"/>
    <mergeCell ref="K3:M3"/>
    <mergeCell ref="B4:B5"/>
    <mergeCell ref="D4:D5"/>
    <mergeCell ref="E4:E5"/>
    <mergeCell ref="G4:G5"/>
    <mergeCell ref="H4:H5"/>
    <mergeCell ref="AB4:AB5"/>
    <mergeCell ref="AE4:AE5"/>
    <mergeCell ref="AD4:AD5"/>
    <mergeCell ref="W2:Y2"/>
    <mergeCell ref="Z2:AB2"/>
    <mergeCell ref="AC2:AE2"/>
    <mergeCell ref="N3:P3"/>
    <mergeCell ref="Q3:S3"/>
    <mergeCell ref="T3:V3"/>
    <mergeCell ref="W3:Y3"/>
    <mergeCell ref="A1:A5"/>
    <mergeCell ref="B1:P1"/>
    <mergeCell ref="Q1:AE1"/>
    <mergeCell ref="B3:D3"/>
    <mergeCell ref="E3:G3"/>
    <mergeCell ref="H3:J3"/>
    <mergeCell ref="J4:J5"/>
    <mergeCell ref="K4:K5"/>
    <mergeCell ref="M4:M5"/>
    <mergeCell ref="N4:N5"/>
    <mergeCell ref="Z3:AB3"/>
    <mergeCell ref="Y4:Y5"/>
    <mergeCell ref="AF1:AT1"/>
    <mergeCell ref="B2:D2"/>
    <mergeCell ref="E2:G2"/>
    <mergeCell ref="H2:J2"/>
    <mergeCell ref="K2:M2"/>
    <mergeCell ref="N2:P2"/>
    <mergeCell ref="Q2:S2"/>
    <mergeCell ref="T2:V2"/>
    <mergeCell ref="AO2:AQ2"/>
    <mergeCell ref="AR2:AT2"/>
    <mergeCell ref="AL2:AN2"/>
    <mergeCell ref="AF2:AH2"/>
    <mergeCell ref="AI2:A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טבלת דירות</vt:lpstr>
      <vt:lpstr>טבלת עזר - חישוב דירות כולל ממד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Prosmushkin - Oren Architects</dc:creator>
  <cp:lastModifiedBy>Alexandra Saitova - Oren Architects</cp:lastModifiedBy>
  <cp:lastPrinted>2024-10-10T11:57:11Z</cp:lastPrinted>
  <dcterms:created xsi:type="dcterms:W3CDTF">2024-08-20T05:12:00Z</dcterms:created>
  <dcterms:modified xsi:type="dcterms:W3CDTF">2024-10-10T12:03:08Z</dcterms:modified>
</cp:coreProperties>
</file>